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-01\UserData\RhodeIsland\Actuarial\Public\Data\ACTUAR\PA\Financial Data for AIPSO.com\"/>
    </mc:Choice>
  </mc:AlternateContent>
  <xr:revisionPtr revIDLastSave="0" documentId="13_ncr:1_{1D3CF6A0-4576-49BA-AAD9-CE5E38A01B58}" xr6:coauthVersionLast="47" xr6:coauthVersionMax="47" xr10:uidLastSave="{00000000-0000-0000-0000-000000000000}"/>
  <workbookProtection lockStructure="1"/>
  <bookViews>
    <workbookView xWindow="-120" yWindow="-120" windowWidth="29040" windowHeight="15840" xr2:uid="{00000000-000D-0000-FFFF-FFFF00000000}"/>
  </bookViews>
  <sheets>
    <sheet name="Operating Results" sheetId="2" r:id="rId1"/>
    <sheet name="Loss &amp; Expense Detail" sheetId="3" r:id="rId2"/>
  </sheets>
  <definedNames>
    <definedName name="_xlnm.Print_Area" localSheetId="1">'Loss &amp; Expense Detail'!$A$1:$N$63</definedName>
    <definedName name="_xlnm.Print_Area" localSheetId="0">'Operating Results'!$A$3:$N$64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" i="2" l="1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W3651" i="2"/>
  <c r="W3652" i="2"/>
  <c r="W3653" i="2"/>
  <c r="W3654" i="2"/>
  <c r="W3655" i="2"/>
  <c r="W3656" i="2"/>
  <c r="W3657" i="2"/>
  <c r="W3658" i="2"/>
  <c r="W3659" i="2"/>
  <c r="W3660" i="2"/>
  <c r="W3661" i="2"/>
  <c r="W3662" i="2"/>
  <c r="W3663" i="2"/>
  <c r="W3664" i="2"/>
  <c r="W3665" i="2"/>
  <c r="W3666" i="2"/>
  <c r="W3667" i="2"/>
  <c r="W3668" i="2"/>
  <c r="W3669" i="2"/>
  <c r="W3670" i="2"/>
  <c r="W3671" i="2"/>
  <c r="W3672" i="2"/>
  <c r="W3673" i="2"/>
  <c r="W3674" i="2"/>
  <c r="W3675" i="2"/>
  <c r="W3676" i="2"/>
  <c r="W3677" i="2"/>
  <c r="W3678" i="2"/>
  <c r="W3679" i="2"/>
  <c r="W3680" i="2"/>
  <c r="W3681" i="2"/>
  <c r="W3682" i="2"/>
  <c r="W3683" i="2"/>
  <c r="W3684" i="2"/>
  <c r="W3685" i="2"/>
  <c r="W3686" i="2"/>
  <c r="W3687" i="2"/>
  <c r="W3688" i="2"/>
  <c r="W3689" i="2"/>
  <c r="W3690" i="2"/>
  <c r="W3691" i="2"/>
  <c r="W3692" i="2"/>
  <c r="W3693" i="2"/>
  <c r="W3694" i="2"/>
  <c r="W3695" i="2"/>
  <c r="W3696" i="2"/>
  <c r="W3697" i="2"/>
  <c r="W3698" i="2"/>
  <c r="W3699" i="2"/>
  <c r="W3700" i="2"/>
  <c r="W3701" i="2"/>
  <c r="W3702" i="2"/>
  <c r="W3703" i="2"/>
  <c r="W3704" i="2"/>
  <c r="W3705" i="2"/>
  <c r="W3706" i="2"/>
  <c r="W3707" i="2"/>
  <c r="W3708" i="2"/>
  <c r="W3709" i="2"/>
  <c r="W3710" i="2"/>
  <c r="W3711" i="2"/>
  <c r="W3712" i="2"/>
  <c r="W3713" i="2"/>
  <c r="W3714" i="2"/>
  <c r="W3715" i="2"/>
  <c r="W3716" i="2"/>
  <c r="W3717" i="2"/>
  <c r="W3718" i="2"/>
  <c r="W3719" i="2"/>
  <c r="W3720" i="2"/>
  <c r="W3721" i="2"/>
  <c r="W3722" i="2"/>
  <c r="W3723" i="2"/>
  <c r="W3724" i="2"/>
  <c r="W3725" i="2"/>
  <c r="W3726" i="2"/>
  <c r="W3727" i="2"/>
  <c r="W3728" i="2"/>
  <c r="W3729" i="2"/>
  <c r="W3730" i="2"/>
  <c r="W3731" i="2"/>
  <c r="W3732" i="2"/>
  <c r="W3733" i="2"/>
  <c r="W3734" i="2"/>
  <c r="W3735" i="2"/>
  <c r="W3736" i="2"/>
  <c r="W3737" i="2"/>
  <c r="W3738" i="2"/>
  <c r="W3739" i="2"/>
  <c r="W3740" i="2"/>
  <c r="W3741" i="2"/>
  <c r="W3742" i="2"/>
  <c r="W3743" i="2"/>
  <c r="W3744" i="2"/>
  <c r="W3745" i="2"/>
  <c r="W3746" i="2"/>
  <c r="W3747" i="2"/>
  <c r="W3748" i="2"/>
  <c r="W3749" i="2"/>
  <c r="W3750" i="2"/>
  <c r="W3751" i="2"/>
  <c r="W3752" i="2"/>
  <c r="W3753" i="2"/>
  <c r="W3754" i="2"/>
  <c r="W3755" i="2"/>
  <c r="W3756" i="2"/>
  <c r="W3757" i="2"/>
  <c r="W3758" i="2"/>
  <c r="W3759" i="2"/>
  <c r="W3760" i="2"/>
  <c r="W3761" i="2"/>
  <c r="W3762" i="2"/>
  <c r="W3763" i="2"/>
  <c r="W3764" i="2"/>
  <c r="W3765" i="2"/>
  <c r="W3766" i="2"/>
  <c r="W3767" i="2"/>
  <c r="W3768" i="2"/>
  <c r="W3769" i="2"/>
  <c r="W3770" i="2"/>
  <c r="W3771" i="2"/>
  <c r="W3772" i="2"/>
  <c r="W3773" i="2"/>
  <c r="W3774" i="2"/>
  <c r="W3775" i="2"/>
  <c r="W3776" i="2"/>
  <c r="W3777" i="2"/>
  <c r="W3778" i="2"/>
  <c r="W3779" i="2"/>
  <c r="W3780" i="2"/>
  <c r="W3781" i="2"/>
  <c r="W3782" i="2"/>
  <c r="W3783" i="2"/>
  <c r="W3784" i="2"/>
  <c r="W3785" i="2"/>
  <c r="W3786" i="2"/>
  <c r="W3787" i="2"/>
  <c r="W3788" i="2"/>
  <c r="W3789" i="2"/>
  <c r="W3790" i="2"/>
  <c r="W3791" i="2"/>
  <c r="W3792" i="2"/>
  <c r="W3793" i="2"/>
  <c r="W3794" i="2"/>
  <c r="W3795" i="2"/>
  <c r="W3796" i="2"/>
  <c r="W3797" i="2"/>
  <c r="W3798" i="2"/>
  <c r="W3799" i="2"/>
  <c r="W3800" i="2"/>
  <c r="W3801" i="2"/>
  <c r="W3802" i="2"/>
  <c r="W3803" i="2"/>
  <c r="W3804" i="2"/>
  <c r="W3805" i="2"/>
  <c r="W3806" i="2"/>
  <c r="W3807" i="2"/>
  <c r="W3808" i="2"/>
  <c r="W3809" i="2"/>
  <c r="W3810" i="2"/>
  <c r="W3811" i="2"/>
  <c r="W3812" i="2"/>
  <c r="W3813" i="2"/>
  <c r="W3814" i="2"/>
  <c r="W3815" i="2"/>
  <c r="W3816" i="2"/>
  <c r="W3817" i="2"/>
  <c r="W3818" i="2"/>
  <c r="W3819" i="2"/>
  <c r="W3820" i="2"/>
  <c r="W3821" i="2"/>
  <c r="W3822" i="2"/>
  <c r="W3823" i="2"/>
  <c r="W3824" i="2"/>
  <c r="W3825" i="2"/>
  <c r="W3826" i="2"/>
  <c r="W3827" i="2"/>
  <c r="W3828" i="2"/>
  <c r="W3829" i="2"/>
  <c r="W3830" i="2"/>
  <c r="W3831" i="2"/>
  <c r="W3832" i="2"/>
  <c r="W3833" i="2"/>
  <c r="W3834" i="2"/>
  <c r="W3835" i="2"/>
  <c r="W3836" i="2"/>
  <c r="W3837" i="2"/>
  <c r="W3838" i="2"/>
  <c r="W3839" i="2"/>
  <c r="W3840" i="2"/>
  <c r="W3841" i="2"/>
  <c r="W3842" i="2"/>
  <c r="W3843" i="2"/>
  <c r="W3844" i="2"/>
  <c r="W3845" i="2"/>
  <c r="W3846" i="2"/>
  <c r="W3847" i="2"/>
  <c r="W3848" i="2"/>
  <c r="W3849" i="2"/>
  <c r="W3850" i="2"/>
  <c r="W3851" i="2"/>
  <c r="W3852" i="2"/>
  <c r="W3853" i="2"/>
  <c r="W3854" i="2"/>
  <c r="W3855" i="2"/>
  <c r="W3856" i="2"/>
  <c r="W3857" i="2"/>
  <c r="W3858" i="2"/>
  <c r="W3859" i="2"/>
  <c r="W3860" i="2"/>
  <c r="W3861" i="2"/>
  <c r="W3862" i="2"/>
  <c r="W3863" i="2"/>
  <c r="W3864" i="2"/>
  <c r="W3865" i="2"/>
  <c r="W3866" i="2"/>
  <c r="W3867" i="2"/>
  <c r="W3868" i="2"/>
  <c r="W3869" i="2"/>
  <c r="W3870" i="2"/>
  <c r="W3871" i="2"/>
  <c r="W3872" i="2"/>
  <c r="W3873" i="2"/>
  <c r="W3874" i="2"/>
  <c r="W3875" i="2"/>
  <c r="W3876" i="2"/>
  <c r="W3877" i="2"/>
  <c r="W3878" i="2"/>
  <c r="W3879" i="2"/>
  <c r="W3880" i="2"/>
  <c r="W3881" i="2"/>
  <c r="W3882" i="2"/>
  <c r="W3883" i="2"/>
  <c r="W3884" i="2"/>
  <c r="W3885" i="2"/>
  <c r="W3886" i="2"/>
  <c r="W3887" i="2"/>
  <c r="W3888" i="2"/>
  <c r="W3889" i="2"/>
  <c r="W3890" i="2"/>
  <c r="W3891" i="2"/>
  <c r="W3892" i="2"/>
  <c r="W3893" i="2"/>
  <c r="W3894" i="2"/>
  <c r="W3895" i="2"/>
  <c r="W3896" i="2"/>
  <c r="W3897" i="2"/>
  <c r="W3898" i="2"/>
  <c r="W3899" i="2"/>
  <c r="W3900" i="2"/>
  <c r="W3901" i="2"/>
  <c r="W3902" i="2"/>
  <c r="W3903" i="2"/>
  <c r="W3904" i="2"/>
  <c r="W3905" i="2"/>
  <c r="W3906" i="2"/>
  <c r="W3907" i="2"/>
  <c r="W3908" i="2"/>
  <c r="W3909" i="2"/>
  <c r="W3910" i="2"/>
  <c r="W3911" i="2"/>
  <c r="W3912" i="2"/>
  <c r="W3913" i="2"/>
  <c r="W3914" i="2"/>
  <c r="W3915" i="2"/>
  <c r="W3916" i="2"/>
  <c r="W3917" i="2"/>
  <c r="W3918" i="2"/>
  <c r="W3919" i="2"/>
  <c r="W3920" i="2"/>
  <c r="W3921" i="2"/>
  <c r="W3922" i="2"/>
  <c r="W3923" i="2"/>
  <c r="W3924" i="2"/>
  <c r="W3925" i="2"/>
  <c r="W3926" i="2"/>
  <c r="W3927" i="2"/>
  <c r="W3928" i="2"/>
  <c r="W3929" i="2"/>
  <c r="W3930" i="2"/>
  <c r="W3931" i="2"/>
  <c r="W3932" i="2"/>
  <c r="W3933" i="2"/>
  <c r="W3934" i="2"/>
  <c r="W3935" i="2"/>
  <c r="W3936" i="2"/>
  <c r="W3937" i="2"/>
  <c r="W3938" i="2"/>
  <c r="W3939" i="2"/>
  <c r="W3940" i="2"/>
  <c r="W3941" i="2"/>
  <c r="W3942" i="2"/>
  <c r="W3943" i="2"/>
  <c r="W3944" i="2"/>
  <c r="W3945" i="2"/>
  <c r="W3946" i="2"/>
  <c r="W3947" i="2"/>
  <c r="W3948" i="2"/>
  <c r="W3949" i="2"/>
  <c r="W3950" i="2"/>
  <c r="W3951" i="2"/>
  <c r="W3952" i="2"/>
  <c r="W3953" i="2"/>
  <c r="W3954" i="2"/>
  <c r="W3955" i="2"/>
  <c r="W3956" i="2"/>
  <c r="W3957" i="2"/>
  <c r="W3958" i="2"/>
  <c r="W3959" i="2"/>
  <c r="W3960" i="2"/>
  <c r="W3961" i="2"/>
  <c r="W3962" i="2"/>
  <c r="W3963" i="2"/>
  <c r="W3964" i="2"/>
  <c r="W3965" i="2"/>
  <c r="W3966" i="2"/>
  <c r="W3967" i="2"/>
  <c r="W3968" i="2"/>
  <c r="W3969" i="2"/>
  <c r="W3970" i="2"/>
  <c r="W3971" i="2"/>
  <c r="W3972" i="2"/>
  <c r="W3973" i="2"/>
  <c r="W3974" i="2"/>
  <c r="W3975" i="2"/>
  <c r="W3976" i="2"/>
  <c r="W3977" i="2"/>
  <c r="W3978" i="2"/>
  <c r="W3979" i="2"/>
  <c r="W3980" i="2"/>
  <c r="W3981" i="2"/>
  <c r="W3982" i="2"/>
  <c r="W3983" i="2"/>
  <c r="W3984" i="2"/>
  <c r="W3985" i="2"/>
  <c r="W3986" i="2"/>
  <c r="W3987" i="2"/>
  <c r="W3988" i="2"/>
  <c r="W3989" i="2"/>
  <c r="W3990" i="2"/>
  <c r="W3991" i="2"/>
  <c r="W3992" i="2"/>
  <c r="W3993" i="2"/>
  <c r="W3994" i="2"/>
  <c r="W3995" i="2"/>
  <c r="W3996" i="2"/>
  <c r="W3997" i="2"/>
  <c r="W3998" i="2"/>
  <c r="W3999" i="2"/>
  <c r="W4000" i="2"/>
  <c r="W4001" i="2"/>
  <c r="W4002" i="2"/>
  <c r="W4003" i="2"/>
  <c r="W4004" i="2"/>
  <c r="W4005" i="2"/>
  <c r="W4006" i="2"/>
  <c r="W4007" i="2"/>
  <c r="W4008" i="2"/>
  <c r="W4009" i="2"/>
  <c r="W4010" i="2"/>
  <c r="W4011" i="2"/>
  <c r="W4012" i="2"/>
  <c r="W4013" i="2"/>
  <c r="W4014" i="2"/>
  <c r="W4015" i="2"/>
  <c r="W4016" i="2"/>
  <c r="W4017" i="2"/>
  <c r="W4018" i="2"/>
  <c r="W4019" i="2"/>
  <c r="W4020" i="2"/>
  <c r="W4021" i="2"/>
  <c r="W4022" i="2"/>
  <c r="W4023" i="2"/>
  <c r="W4024" i="2"/>
  <c r="W4025" i="2"/>
  <c r="W4026" i="2"/>
  <c r="W4027" i="2"/>
  <c r="W4028" i="2"/>
  <c r="W4029" i="2"/>
  <c r="W4030" i="2"/>
  <c r="W4031" i="2"/>
  <c r="W4032" i="2"/>
  <c r="W4033" i="2"/>
  <c r="W4034" i="2"/>
  <c r="W4035" i="2"/>
  <c r="W4036" i="2"/>
  <c r="W4037" i="2"/>
  <c r="W4038" i="2"/>
  <c r="W4039" i="2"/>
  <c r="W4040" i="2"/>
  <c r="W4041" i="2"/>
  <c r="W4042" i="2"/>
  <c r="W4043" i="2"/>
  <c r="W4044" i="2"/>
  <c r="W4045" i="2"/>
  <c r="W4046" i="2"/>
  <c r="W4047" i="2"/>
  <c r="W4048" i="2"/>
  <c r="W4049" i="2"/>
  <c r="W4050" i="2"/>
  <c r="W4051" i="2"/>
  <c r="W4052" i="2"/>
  <c r="W4053" i="2"/>
  <c r="W4054" i="2"/>
  <c r="W4055" i="2"/>
  <c r="W4056" i="2"/>
  <c r="W4057" i="2"/>
  <c r="W4058" i="2"/>
  <c r="W4059" i="2"/>
  <c r="W4060" i="2"/>
  <c r="W4061" i="2"/>
  <c r="W4062" i="2"/>
  <c r="W4063" i="2"/>
  <c r="W4064" i="2"/>
  <c r="W4065" i="2"/>
  <c r="W4066" i="2"/>
  <c r="W4067" i="2"/>
  <c r="W4068" i="2"/>
  <c r="W4069" i="2"/>
  <c r="W4070" i="2"/>
  <c r="W4071" i="2"/>
  <c r="W4072" i="2"/>
  <c r="W4073" i="2"/>
  <c r="W4074" i="2"/>
  <c r="W4075" i="2"/>
  <c r="W4076" i="2"/>
  <c r="W4077" i="2"/>
  <c r="W4078" i="2"/>
  <c r="W4079" i="2"/>
  <c r="W4080" i="2"/>
  <c r="W4081" i="2"/>
  <c r="W4082" i="2"/>
  <c r="W4083" i="2"/>
  <c r="W4084" i="2"/>
  <c r="W4085" i="2"/>
  <c r="W4086" i="2"/>
  <c r="W4087" i="2"/>
  <c r="W4088" i="2"/>
  <c r="W4089" i="2"/>
  <c r="W4090" i="2"/>
  <c r="W4091" i="2"/>
  <c r="W4092" i="2"/>
  <c r="W4093" i="2"/>
  <c r="W4094" i="2"/>
  <c r="W4095" i="2"/>
  <c r="W4096" i="2"/>
  <c r="W4097" i="2"/>
  <c r="W4098" i="2"/>
  <c r="W4099" i="2"/>
  <c r="W4100" i="2"/>
  <c r="W4101" i="2"/>
  <c r="W4102" i="2"/>
  <c r="W4103" i="2"/>
  <c r="W4104" i="2"/>
  <c r="W4105" i="2"/>
  <c r="W4106" i="2"/>
  <c r="W4107" i="2"/>
  <c r="W4108" i="2"/>
  <c r="W4109" i="2"/>
  <c r="W4110" i="2"/>
  <c r="W4111" i="2"/>
  <c r="W4112" i="2"/>
  <c r="W4113" i="2"/>
  <c r="W4114" i="2"/>
  <c r="W4115" i="2"/>
  <c r="W4116" i="2"/>
  <c r="W4117" i="2"/>
  <c r="W4118" i="2"/>
  <c r="W4119" i="2"/>
  <c r="W4120" i="2"/>
  <c r="W4121" i="2"/>
  <c r="W4122" i="2"/>
  <c r="W4123" i="2"/>
  <c r="W4124" i="2"/>
  <c r="W4125" i="2"/>
  <c r="W4126" i="2"/>
  <c r="W4127" i="2"/>
  <c r="W4128" i="2"/>
  <c r="W4129" i="2"/>
  <c r="W4130" i="2"/>
  <c r="W4131" i="2"/>
  <c r="W4132" i="2"/>
  <c r="W4133" i="2"/>
  <c r="W4134" i="2"/>
  <c r="W4135" i="2"/>
  <c r="W4136" i="2"/>
  <c r="W4137" i="2"/>
  <c r="W4138" i="2"/>
  <c r="W4139" i="2"/>
  <c r="W4140" i="2"/>
  <c r="W4141" i="2"/>
  <c r="W4142" i="2"/>
  <c r="W4143" i="2"/>
  <c r="W4144" i="2"/>
  <c r="W4145" i="2"/>
  <c r="W4146" i="2"/>
  <c r="W4147" i="2"/>
  <c r="W4148" i="2"/>
  <c r="W4149" i="2"/>
  <c r="W4150" i="2"/>
  <c r="W4151" i="2"/>
  <c r="W4152" i="2"/>
  <c r="W4153" i="2"/>
  <c r="W4154" i="2"/>
  <c r="W4155" i="2"/>
  <c r="W4156" i="2"/>
  <c r="W4157" i="2"/>
  <c r="W4158" i="2"/>
  <c r="W4159" i="2"/>
  <c r="W4160" i="2"/>
  <c r="W4161" i="2"/>
  <c r="W4162" i="2"/>
  <c r="W4163" i="2"/>
  <c r="W4164" i="2"/>
  <c r="W4165" i="2"/>
  <c r="W4166" i="2"/>
  <c r="W4167" i="2"/>
  <c r="W4168" i="2"/>
  <c r="W4169" i="2"/>
  <c r="W4170" i="2"/>
  <c r="W4171" i="2"/>
  <c r="W4172" i="2"/>
  <c r="W4173" i="2"/>
  <c r="W4174" i="2"/>
  <c r="W4175" i="2"/>
  <c r="W4176" i="2"/>
  <c r="W4177" i="2"/>
  <c r="W4178" i="2"/>
  <c r="W4179" i="2"/>
  <c r="W4180" i="2"/>
  <c r="W4181" i="2"/>
  <c r="W4182" i="2"/>
  <c r="W4183" i="2"/>
  <c r="W4184" i="2"/>
  <c r="W4185" i="2"/>
  <c r="W4186" i="2"/>
  <c r="W4187" i="2"/>
  <c r="W4188" i="2"/>
  <c r="W4189" i="2"/>
  <c r="W4190" i="2"/>
  <c r="W4191" i="2"/>
  <c r="W4192" i="2"/>
  <c r="W4193" i="2"/>
  <c r="W4194" i="2"/>
  <c r="W4195" i="2"/>
  <c r="W4196" i="2"/>
  <c r="W4197" i="2"/>
  <c r="W4198" i="2"/>
  <c r="W4199" i="2"/>
  <c r="W4200" i="2"/>
  <c r="W4201" i="2"/>
  <c r="W4202" i="2"/>
  <c r="W4203" i="2"/>
  <c r="W4204" i="2"/>
  <c r="W4205" i="2"/>
  <c r="W4206" i="2"/>
  <c r="W4207" i="2"/>
  <c r="W4208" i="2"/>
  <c r="W4209" i="2"/>
  <c r="W4210" i="2"/>
  <c r="W4211" i="2"/>
  <c r="W4212" i="2"/>
  <c r="W4213" i="2"/>
  <c r="W4214" i="2"/>
  <c r="W4215" i="2"/>
  <c r="W4216" i="2"/>
  <c r="W4217" i="2"/>
  <c r="W4218" i="2"/>
  <c r="W4219" i="2"/>
  <c r="W4220" i="2"/>
  <c r="W4221" i="2"/>
  <c r="W4222" i="2"/>
  <c r="W4223" i="2"/>
  <c r="W4224" i="2"/>
  <c r="W4225" i="2"/>
  <c r="W4226" i="2"/>
  <c r="W4227" i="2"/>
  <c r="W4228" i="2"/>
  <c r="W4229" i="2"/>
  <c r="W4230" i="2"/>
  <c r="W4231" i="2"/>
  <c r="W4232" i="2"/>
  <c r="W4233" i="2"/>
  <c r="W4234" i="2"/>
  <c r="W4235" i="2"/>
  <c r="W4236" i="2"/>
  <c r="W4237" i="2"/>
  <c r="W4238" i="2"/>
  <c r="W4239" i="2"/>
  <c r="W4240" i="2"/>
  <c r="W4241" i="2"/>
  <c r="W4242" i="2"/>
  <c r="W4243" i="2"/>
  <c r="W4244" i="2"/>
  <c r="W4245" i="2"/>
  <c r="W4246" i="2"/>
  <c r="W4247" i="2"/>
  <c r="W4248" i="2"/>
  <c r="W4249" i="2"/>
  <c r="W4250" i="2"/>
  <c r="W4251" i="2"/>
  <c r="W4252" i="2"/>
  <c r="W4253" i="2"/>
  <c r="W4254" i="2"/>
  <c r="W4255" i="2"/>
  <c r="W4256" i="2"/>
  <c r="W4257" i="2"/>
  <c r="W4258" i="2"/>
  <c r="W4259" i="2"/>
  <c r="W4260" i="2"/>
  <c r="W4261" i="2"/>
  <c r="W4262" i="2"/>
  <c r="W4263" i="2"/>
  <c r="W4264" i="2"/>
  <c r="W4265" i="2"/>
  <c r="W4266" i="2"/>
  <c r="W4267" i="2"/>
  <c r="W4268" i="2"/>
  <c r="W4269" i="2"/>
  <c r="W4270" i="2"/>
  <c r="W4271" i="2"/>
  <c r="W4272" i="2"/>
  <c r="W4273" i="2"/>
  <c r="W4274" i="2"/>
  <c r="W4275" i="2"/>
  <c r="W4276" i="2"/>
  <c r="W4277" i="2"/>
  <c r="W4278" i="2"/>
  <c r="W4279" i="2"/>
  <c r="W4280" i="2"/>
  <c r="W4281" i="2"/>
  <c r="W4282" i="2"/>
  <c r="W4283" i="2"/>
  <c r="W4284" i="2"/>
  <c r="W4285" i="2"/>
  <c r="W4286" i="2"/>
  <c r="W4287" i="2"/>
  <c r="W4288" i="2"/>
  <c r="W4289" i="2"/>
  <c r="W4290" i="2"/>
  <c r="W4291" i="2"/>
  <c r="W4292" i="2"/>
  <c r="W4293" i="2"/>
  <c r="W4294" i="2"/>
  <c r="W4295" i="2"/>
  <c r="W4296" i="2"/>
  <c r="W4297" i="2"/>
  <c r="W4298" i="2"/>
  <c r="W4299" i="2"/>
  <c r="W4300" i="2"/>
  <c r="W4301" i="2"/>
  <c r="W4302" i="2"/>
  <c r="W4303" i="2"/>
  <c r="W4304" i="2"/>
  <c r="W4305" i="2"/>
  <c r="W4306" i="2"/>
  <c r="W4307" i="2"/>
  <c r="W4308" i="2"/>
  <c r="W4309" i="2"/>
  <c r="W4310" i="2"/>
  <c r="W4311" i="2"/>
  <c r="W4312" i="2"/>
  <c r="W4313" i="2"/>
  <c r="W4314" i="2"/>
  <c r="W4315" i="2"/>
  <c r="W4316" i="2"/>
  <c r="W4317" i="2"/>
  <c r="W4318" i="2"/>
  <c r="W4319" i="2"/>
  <c r="W4320" i="2"/>
  <c r="W4321" i="2"/>
  <c r="W4322" i="2"/>
  <c r="W4323" i="2"/>
  <c r="W4324" i="2"/>
  <c r="W4325" i="2"/>
  <c r="W4326" i="2"/>
  <c r="W4327" i="2"/>
  <c r="W4328" i="2"/>
  <c r="W4329" i="2"/>
  <c r="W4330" i="2"/>
  <c r="W4331" i="2"/>
  <c r="W4332" i="2"/>
  <c r="W4333" i="2"/>
  <c r="W4334" i="2"/>
  <c r="W4335" i="2"/>
  <c r="W4336" i="2"/>
  <c r="W4337" i="2"/>
  <c r="W4338" i="2"/>
  <c r="W4339" i="2"/>
  <c r="W4340" i="2"/>
  <c r="W4341" i="2"/>
  <c r="W4342" i="2"/>
  <c r="W4343" i="2"/>
  <c r="W4344" i="2"/>
  <c r="W4345" i="2"/>
  <c r="W4346" i="2"/>
  <c r="W4347" i="2"/>
  <c r="W4348" i="2"/>
  <c r="W4349" i="2"/>
  <c r="W4350" i="2"/>
  <c r="W4351" i="2"/>
  <c r="W4352" i="2"/>
  <c r="W4353" i="2"/>
  <c r="W4354" i="2"/>
  <c r="W4355" i="2"/>
  <c r="W4356" i="2"/>
  <c r="W4357" i="2"/>
  <c r="W4358" i="2"/>
  <c r="W4359" i="2"/>
  <c r="W4360" i="2"/>
  <c r="W4361" i="2"/>
  <c r="W4362" i="2"/>
  <c r="W4363" i="2"/>
  <c r="W4364" i="2"/>
  <c r="W4365" i="2"/>
  <c r="W4366" i="2"/>
  <c r="W4367" i="2"/>
  <c r="W4368" i="2"/>
  <c r="W4369" i="2"/>
  <c r="W4370" i="2"/>
  <c r="W4371" i="2"/>
  <c r="W4372" i="2"/>
  <c r="W4373" i="2"/>
  <c r="W4374" i="2"/>
  <c r="W4375" i="2"/>
  <c r="W4376" i="2"/>
  <c r="W4377" i="2"/>
  <c r="W4378" i="2"/>
  <c r="W4379" i="2"/>
  <c r="W4380" i="2"/>
  <c r="W4381" i="2"/>
  <c r="W4382" i="2"/>
  <c r="W4383" i="2"/>
  <c r="W4384" i="2"/>
  <c r="W4385" i="2"/>
  <c r="W4386" i="2"/>
  <c r="W4387" i="2"/>
  <c r="W4388" i="2"/>
  <c r="W4389" i="2"/>
  <c r="W4390" i="2"/>
  <c r="W4391" i="2"/>
  <c r="W4392" i="2"/>
  <c r="W4393" i="2"/>
  <c r="W4394" i="2"/>
  <c r="W4395" i="2"/>
  <c r="W4396" i="2"/>
  <c r="W4397" i="2"/>
  <c r="W4398" i="2"/>
  <c r="W4399" i="2"/>
  <c r="W4400" i="2"/>
  <c r="W4401" i="2"/>
  <c r="W4402" i="2"/>
  <c r="W4403" i="2"/>
  <c r="W4404" i="2"/>
  <c r="W4405" i="2"/>
  <c r="W4406" i="2"/>
  <c r="W4407" i="2"/>
  <c r="W4408" i="2"/>
  <c r="W4409" i="2"/>
  <c r="W4410" i="2"/>
  <c r="W4411" i="2"/>
  <c r="W4412" i="2"/>
  <c r="W4413" i="2"/>
  <c r="W4414" i="2"/>
  <c r="W4415" i="2"/>
  <c r="W4416" i="2"/>
  <c r="W4417" i="2"/>
  <c r="W4418" i="2"/>
  <c r="W4419" i="2"/>
  <c r="W4420" i="2"/>
  <c r="W4421" i="2"/>
  <c r="W4422" i="2"/>
  <c r="W4423" i="2"/>
  <c r="W4424" i="2"/>
  <c r="W4425" i="2"/>
  <c r="W4426" i="2"/>
  <c r="W4427" i="2"/>
  <c r="W4428" i="2"/>
  <c r="W4429" i="2"/>
  <c r="W4430" i="2"/>
  <c r="W4431" i="2"/>
  <c r="W4432" i="2"/>
  <c r="W4433" i="2"/>
  <c r="W4434" i="2"/>
  <c r="W4435" i="2"/>
  <c r="W4436" i="2"/>
  <c r="W4437" i="2"/>
  <c r="W4438" i="2"/>
  <c r="W4439" i="2"/>
  <c r="W4440" i="2"/>
  <c r="W4441" i="2"/>
  <c r="W4442" i="2"/>
  <c r="W4443" i="2"/>
  <c r="W4444" i="2"/>
  <c r="W4445" i="2"/>
  <c r="W4446" i="2"/>
  <c r="W4447" i="2"/>
  <c r="W4448" i="2"/>
  <c r="W4449" i="2"/>
  <c r="W4450" i="2"/>
  <c r="W4451" i="2"/>
  <c r="W4452" i="2"/>
  <c r="W4453" i="2"/>
  <c r="W4454" i="2"/>
  <c r="W4455" i="2"/>
  <c r="W4456" i="2"/>
  <c r="W4457" i="2"/>
  <c r="W4458" i="2"/>
  <c r="W4459" i="2"/>
  <c r="W4460" i="2"/>
  <c r="W4461" i="2"/>
  <c r="W4462" i="2"/>
  <c r="W4463" i="2"/>
  <c r="W4464" i="2"/>
  <c r="W4465" i="2"/>
  <c r="W4466" i="2"/>
  <c r="W4467" i="2"/>
  <c r="W4468" i="2"/>
  <c r="W4469" i="2"/>
  <c r="W4470" i="2"/>
  <c r="W4471" i="2"/>
  <c r="W4472" i="2"/>
  <c r="W4473" i="2"/>
  <c r="W4474" i="2"/>
  <c r="W4475" i="2"/>
  <c r="W4476" i="2"/>
  <c r="W4477" i="2"/>
  <c r="W4478" i="2"/>
  <c r="W4479" i="2"/>
  <c r="W4480" i="2"/>
  <c r="W4481" i="2"/>
  <c r="W4482" i="2"/>
  <c r="W4483" i="2"/>
  <c r="W4484" i="2"/>
  <c r="W4485" i="2"/>
  <c r="W4486" i="2"/>
  <c r="W4487" i="2"/>
  <c r="W4488" i="2"/>
  <c r="W4489" i="2"/>
  <c r="W4490" i="2"/>
  <c r="W4491" i="2"/>
  <c r="W4492" i="2"/>
  <c r="W4493" i="2"/>
  <c r="W4494" i="2"/>
  <c r="W4495" i="2"/>
  <c r="W4496" i="2"/>
  <c r="W4497" i="2"/>
  <c r="W4498" i="2"/>
  <c r="W4499" i="2"/>
  <c r="W4500" i="2"/>
  <c r="W4501" i="2"/>
  <c r="W4502" i="2"/>
  <c r="W4503" i="2"/>
  <c r="W4504" i="2"/>
  <c r="W4505" i="2"/>
  <c r="W4506" i="2"/>
  <c r="W4507" i="2"/>
  <c r="W4508" i="2"/>
  <c r="W4509" i="2"/>
  <c r="W4510" i="2"/>
  <c r="W4511" i="2"/>
  <c r="W4512" i="2"/>
  <c r="W4513" i="2"/>
  <c r="W4514" i="2"/>
  <c r="W4515" i="2"/>
  <c r="W4516" i="2"/>
  <c r="W4517" i="2"/>
  <c r="W4518" i="2"/>
  <c r="W4519" i="2"/>
  <c r="W4520" i="2"/>
  <c r="W4521" i="2"/>
  <c r="W4522" i="2"/>
  <c r="W4523" i="2"/>
  <c r="W4524" i="2"/>
  <c r="W4525" i="2"/>
  <c r="W4526" i="2"/>
  <c r="W4527" i="2"/>
  <c r="W4528" i="2"/>
  <c r="W4529" i="2"/>
  <c r="W4530" i="2"/>
  <c r="W4531" i="2"/>
  <c r="W4532" i="2"/>
  <c r="W4533" i="2"/>
  <c r="W4534" i="2"/>
  <c r="W4535" i="2"/>
  <c r="W4536" i="2"/>
  <c r="W4537" i="2"/>
  <c r="W4538" i="2"/>
  <c r="W4539" i="2"/>
  <c r="W4540" i="2"/>
  <c r="W4541" i="2"/>
  <c r="W4542" i="2"/>
  <c r="W4543" i="2"/>
  <c r="W4544" i="2"/>
  <c r="W4545" i="2"/>
  <c r="W4546" i="2"/>
  <c r="W4547" i="2"/>
  <c r="W4548" i="2"/>
  <c r="W4549" i="2"/>
  <c r="W4550" i="2"/>
  <c r="W4551" i="2"/>
  <c r="W4552" i="2"/>
  <c r="W4553" i="2"/>
  <c r="W4554" i="2"/>
  <c r="W4555" i="2"/>
  <c r="W4556" i="2"/>
  <c r="W4557" i="2"/>
  <c r="W4558" i="2"/>
  <c r="W4559" i="2"/>
  <c r="W4560" i="2"/>
  <c r="W4561" i="2"/>
  <c r="W4562" i="2"/>
  <c r="W4563" i="2"/>
  <c r="W4564" i="2"/>
  <c r="W4565" i="2"/>
  <c r="W4566" i="2"/>
  <c r="W4567" i="2"/>
  <c r="W4568" i="2"/>
  <c r="W4569" i="2"/>
  <c r="W4570" i="2"/>
  <c r="W4571" i="2"/>
  <c r="W4572" i="2"/>
  <c r="W4573" i="2"/>
  <c r="W4574" i="2"/>
  <c r="W4575" i="2"/>
  <c r="W4576" i="2"/>
  <c r="W4577" i="2"/>
  <c r="W4578" i="2"/>
  <c r="W4579" i="2"/>
  <c r="W4580" i="2"/>
  <c r="W4581" i="2"/>
  <c r="W4582" i="2"/>
  <c r="W4583" i="2"/>
  <c r="W4584" i="2"/>
  <c r="W4585" i="2"/>
  <c r="W4586" i="2"/>
  <c r="W4587" i="2"/>
  <c r="W4588" i="2"/>
  <c r="W4589" i="2"/>
  <c r="W4590" i="2"/>
  <c r="W4591" i="2"/>
  <c r="W4592" i="2"/>
  <c r="W4593" i="2"/>
  <c r="W4594" i="2"/>
  <c r="W4595" i="2"/>
  <c r="W4596" i="2"/>
  <c r="W4597" i="2"/>
  <c r="W4598" i="2"/>
  <c r="W4599" i="2"/>
  <c r="W4600" i="2"/>
  <c r="W4601" i="2"/>
  <c r="W4602" i="2"/>
  <c r="W4603" i="2"/>
  <c r="W4604" i="2"/>
  <c r="W4605" i="2"/>
  <c r="W4606" i="2"/>
  <c r="W4607" i="2"/>
  <c r="W4608" i="2"/>
  <c r="W4609" i="2"/>
  <c r="W4610" i="2"/>
  <c r="W4611" i="2"/>
  <c r="W4612" i="2"/>
  <c r="W4613" i="2"/>
  <c r="W4614" i="2"/>
  <c r="W4615" i="2"/>
  <c r="W4616" i="2"/>
  <c r="W4617" i="2"/>
  <c r="W4618" i="2"/>
  <c r="W4619" i="2"/>
  <c r="W4620" i="2"/>
  <c r="W4621" i="2"/>
  <c r="W4622" i="2"/>
  <c r="W4623" i="2"/>
  <c r="W4624" i="2"/>
  <c r="W4625" i="2"/>
  <c r="W4626" i="2"/>
  <c r="W4627" i="2"/>
  <c r="W4628" i="2"/>
  <c r="W4629" i="2"/>
  <c r="W4630" i="2"/>
  <c r="W4631" i="2"/>
  <c r="W4632" i="2"/>
  <c r="W4633" i="2"/>
  <c r="W4634" i="2"/>
  <c r="W4635" i="2"/>
  <c r="W4636" i="2"/>
  <c r="W4637" i="2"/>
  <c r="W4638" i="2"/>
  <c r="W4639" i="2"/>
  <c r="W4640" i="2"/>
  <c r="W4641" i="2"/>
  <c r="W4642" i="2"/>
  <c r="W4643" i="2"/>
  <c r="W4644" i="2"/>
  <c r="W4645" i="2"/>
  <c r="W4646" i="2"/>
  <c r="W4647" i="2"/>
  <c r="W4648" i="2"/>
  <c r="W4649" i="2"/>
  <c r="W4650" i="2"/>
  <c r="W4651" i="2"/>
  <c r="W4652" i="2"/>
  <c r="W4653" i="2"/>
  <c r="W4654" i="2"/>
  <c r="W4655" i="2"/>
  <c r="W4656" i="2"/>
  <c r="W4657" i="2"/>
  <c r="W4658" i="2"/>
  <c r="W4659" i="2"/>
  <c r="W4660" i="2"/>
  <c r="W4661" i="2"/>
  <c r="W4662" i="2"/>
  <c r="W4663" i="2"/>
  <c r="W4664" i="2"/>
  <c r="W4665" i="2"/>
  <c r="W4666" i="2"/>
  <c r="W4667" i="2"/>
  <c r="W4668" i="2"/>
  <c r="W4669" i="2"/>
  <c r="W4670" i="2"/>
  <c r="W4671" i="2"/>
  <c r="W4672" i="2"/>
  <c r="W4673" i="2"/>
  <c r="W4674" i="2"/>
  <c r="W4675" i="2"/>
  <c r="W4676" i="2"/>
  <c r="W4677" i="2"/>
  <c r="W4678" i="2"/>
  <c r="W4679" i="2"/>
  <c r="W4680" i="2"/>
  <c r="W4681" i="2"/>
  <c r="W4682" i="2"/>
  <c r="W4683" i="2"/>
  <c r="W4684" i="2"/>
  <c r="W4685" i="2"/>
  <c r="W4686" i="2"/>
  <c r="W4687" i="2"/>
  <c r="W4688" i="2"/>
  <c r="W4689" i="2"/>
  <c r="W4690" i="2"/>
  <c r="W4691" i="2"/>
  <c r="W4692" i="2"/>
  <c r="W4693" i="2"/>
  <c r="W4694" i="2"/>
  <c r="W4695" i="2"/>
  <c r="W4696" i="2"/>
  <c r="W4697" i="2"/>
  <c r="W4698" i="2"/>
  <c r="W4699" i="2"/>
  <c r="W4700" i="2"/>
  <c r="W4701" i="2"/>
  <c r="W4702" i="2"/>
  <c r="W4703" i="2"/>
  <c r="W4704" i="2"/>
  <c r="W4705" i="2"/>
  <c r="W4706" i="2"/>
  <c r="W4707" i="2"/>
  <c r="W4708" i="2"/>
  <c r="W4709" i="2"/>
  <c r="W4710" i="2"/>
  <c r="W4711" i="2"/>
  <c r="W4712" i="2"/>
  <c r="W4713" i="2"/>
  <c r="W4714" i="2"/>
  <c r="W4715" i="2"/>
  <c r="W4716" i="2"/>
  <c r="W4717" i="2"/>
  <c r="W4718" i="2"/>
  <c r="W4719" i="2"/>
  <c r="W4720" i="2"/>
  <c r="W4721" i="2"/>
  <c r="W4722" i="2"/>
  <c r="W4723" i="2"/>
  <c r="W4724" i="2"/>
  <c r="W4725" i="2"/>
  <c r="W4726" i="2"/>
  <c r="W4727" i="2"/>
  <c r="W4728" i="2"/>
  <c r="W4729" i="2"/>
  <c r="W4730" i="2"/>
  <c r="W4731" i="2"/>
  <c r="W4732" i="2"/>
  <c r="W4733" i="2"/>
  <c r="W4734" i="2"/>
  <c r="W4735" i="2"/>
  <c r="W4736" i="2"/>
  <c r="W4737" i="2"/>
  <c r="W4738" i="2"/>
  <c r="W4739" i="2"/>
  <c r="W4740" i="2"/>
  <c r="W4741" i="2"/>
  <c r="W4742" i="2"/>
  <c r="W4743" i="2"/>
  <c r="W4744" i="2"/>
  <c r="W4745" i="2"/>
  <c r="W4746" i="2"/>
  <c r="W4747" i="2"/>
  <c r="W4748" i="2"/>
  <c r="W4749" i="2"/>
  <c r="W4750" i="2"/>
  <c r="W4751" i="2"/>
  <c r="W4752" i="2"/>
  <c r="W4753" i="2"/>
  <c r="W4754" i="2"/>
  <c r="W4755" i="2"/>
  <c r="W4756" i="2"/>
  <c r="W4757" i="2"/>
  <c r="W4758" i="2"/>
  <c r="W4759" i="2"/>
  <c r="W4760" i="2"/>
  <c r="W4761" i="2"/>
  <c r="W4762" i="2"/>
  <c r="W4763" i="2"/>
  <c r="W4764" i="2"/>
  <c r="W4765" i="2"/>
  <c r="W4766" i="2"/>
  <c r="W4767" i="2"/>
  <c r="W4768" i="2"/>
  <c r="W4769" i="2"/>
  <c r="W4770" i="2"/>
  <c r="W4771" i="2"/>
  <c r="W4772" i="2"/>
  <c r="W4773" i="2"/>
  <c r="W4774" i="2"/>
  <c r="W4775" i="2"/>
  <c r="W4776" i="2"/>
  <c r="W4777" i="2"/>
  <c r="W4778" i="2"/>
  <c r="W4779" i="2"/>
  <c r="W4780" i="2"/>
  <c r="W4781" i="2"/>
  <c r="W4782" i="2"/>
  <c r="W4783" i="2"/>
  <c r="W4784" i="2"/>
  <c r="W4785" i="2"/>
  <c r="W4786" i="2"/>
  <c r="W4787" i="2"/>
  <c r="W4788" i="2"/>
  <c r="W4789" i="2"/>
  <c r="W4790" i="2"/>
  <c r="W4791" i="2"/>
  <c r="W4792" i="2"/>
  <c r="W4793" i="2"/>
  <c r="W4794" i="2"/>
  <c r="W4795" i="2"/>
  <c r="W4796" i="2"/>
  <c r="W4797" i="2"/>
  <c r="W4798" i="2"/>
  <c r="W4799" i="2"/>
  <c r="W4800" i="2"/>
  <c r="W4801" i="2"/>
  <c r="W4802" i="2"/>
  <c r="W4803" i="2"/>
  <c r="W4804" i="2"/>
  <c r="W4805" i="2"/>
  <c r="W4806" i="2"/>
  <c r="W4807" i="2"/>
  <c r="W4808" i="2"/>
  <c r="W4809" i="2"/>
  <c r="W4810" i="2"/>
  <c r="W4811" i="2"/>
  <c r="W4812" i="2"/>
  <c r="W4813" i="2"/>
  <c r="W4814" i="2"/>
  <c r="W4815" i="2"/>
  <c r="W4816" i="2"/>
  <c r="W4817" i="2"/>
  <c r="W4818" i="2"/>
  <c r="W4819" i="2"/>
  <c r="W4820" i="2"/>
  <c r="W4821" i="2"/>
  <c r="W4822" i="2"/>
  <c r="W4823" i="2"/>
  <c r="W4824" i="2"/>
  <c r="W4825" i="2"/>
  <c r="W4826" i="2"/>
  <c r="W4827" i="2"/>
  <c r="W4828" i="2"/>
  <c r="W4829" i="2"/>
  <c r="W4830" i="2"/>
  <c r="W4831" i="2"/>
  <c r="W4832" i="2"/>
  <c r="W4833" i="2"/>
  <c r="W4834" i="2"/>
  <c r="W4835" i="2"/>
  <c r="W4836" i="2"/>
  <c r="W4837" i="2"/>
  <c r="W4838" i="2"/>
  <c r="W4839" i="2"/>
  <c r="W4840" i="2"/>
  <c r="W4841" i="2"/>
  <c r="W4842" i="2"/>
  <c r="W4843" i="2"/>
  <c r="W4844" i="2"/>
  <c r="W4845" i="2"/>
  <c r="W4846" i="2"/>
  <c r="W4847" i="2"/>
  <c r="W4848" i="2"/>
  <c r="W4849" i="2"/>
  <c r="W4850" i="2"/>
  <c r="W4851" i="2"/>
  <c r="W4852" i="2"/>
  <c r="W4853" i="2"/>
  <c r="W4854" i="2"/>
  <c r="W4855" i="2"/>
  <c r="W4856" i="2"/>
  <c r="W4857" i="2"/>
  <c r="W4858" i="2"/>
  <c r="W4859" i="2"/>
  <c r="W4860" i="2"/>
  <c r="W4861" i="2"/>
  <c r="W4862" i="2"/>
  <c r="W4863" i="2"/>
  <c r="W4864" i="2"/>
  <c r="W4865" i="2"/>
  <c r="W4866" i="2"/>
  <c r="W4867" i="2"/>
  <c r="W4868" i="2"/>
  <c r="W4869" i="2"/>
  <c r="W4870" i="2"/>
  <c r="W4871" i="2"/>
  <c r="W4872" i="2"/>
  <c r="W4873" i="2"/>
  <c r="W4874" i="2"/>
  <c r="W4875" i="2"/>
  <c r="W4876" i="2"/>
  <c r="W4877" i="2"/>
  <c r="W4878" i="2"/>
  <c r="W4879" i="2"/>
  <c r="W4880" i="2"/>
  <c r="W4881" i="2"/>
  <c r="W4882" i="2"/>
  <c r="W4883" i="2"/>
  <c r="W4884" i="2"/>
  <c r="W4885" i="2"/>
  <c r="W4886" i="2"/>
  <c r="W4887" i="2"/>
  <c r="W4888" i="2"/>
  <c r="W4889" i="2"/>
  <c r="W4890" i="2"/>
  <c r="W4891" i="2"/>
  <c r="W4892" i="2"/>
  <c r="W4893" i="2"/>
  <c r="W4894" i="2"/>
  <c r="W4895" i="2"/>
  <c r="W4896" i="2"/>
  <c r="W4897" i="2"/>
  <c r="W4898" i="2"/>
  <c r="W4899" i="2"/>
  <c r="W4900" i="2"/>
  <c r="W4901" i="2"/>
  <c r="W4902" i="2"/>
  <c r="W4903" i="2"/>
  <c r="W4904" i="2"/>
  <c r="W4905" i="2"/>
  <c r="W4906" i="2"/>
  <c r="W4907" i="2"/>
  <c r="W4908" i="2"/>
  <c r="W4909" i="2"/>
  <c r="W4910" i="2"/>
  <c r="W4911" i="2"/>
  <c r="W4912" i="2"/>
  <c r="W4913" i="2"/>
  <c r="W4914" i="2"/>
  <c r="W4915" i="2"/>
  <c r="W4916" i="2"/>
  <c r="W4917" i="2"/>
  <c r="W4918" i="2"/>
  <c r="W4919" i="2"/>
  <c r="W4920" i="2"/>
  <c r="W4921" i="2"/>
  <c r="W4922" i="2"/>
  <c r="W4923" i="2"/>
  <c r="W4924" i="2"/>
  <c r="W4925" i="2"/>
  <c r="W4926" i="2"/>
  <c r="W4927" i="2"/>
  <c r="W4928" i="2"/>
  <c r="W4929" i="2"/>
  <c r="W4930" i="2"/>
  <c r="W4931" i="2"/>
  <c r="W4932" i="2"/>
  <c r="W4933" i="2"/>
  <c r="W4934" i="2"/>
  <c r="W4935" i="2"/>
  <c r="W4936" i="2"/>
  <c r="W4937" i="2"/>
  <c r="W4938" i="2"/>
  <c r="W4939" i="2"/>
  <c r="W4940" i="2"/>
  <c r="W4941" i="2"/>
  <c r="W4942" i="2"/>
  <c r="W4943" i="2"/>
  <c r="W4944" i="2"/>
  <c r="W4945" i="2"/>
  <c r="W4946" i="2"/>
  <c r="W4947" i="2"/>
  <c r="W4948" i="2"/>
  <c r="W4949" i="2"/>
  <c r="W4950" i="2"/>
  <c r="W4951" i="2"/>
  <c r="W4952" i="2"/>
  <c r="W4953" i="2"/>
  <c r="W4954" i="2"/>
  <c r="W4955" i="2"/>
  <c r="W4956" i="2"/>
  <c r="W4957" i="2"/>
  <c r="W4958" i="2"/>
  <c r="W4959" i="2"/>
  <c r="W4960" i="2"/>
  <c r="W4961" i="2"/>
  <c r="W4962" i="2"/>
  <c r="W4963" i="2"/>
  <c r="W4964" i="2"/>
  <c r="W4965" i="2"/>
  <c r="W4966" i="2"/>
  <c r="W4967" i="2"/>
  <c r="W4968" i="2"/>
  <c r="W4969" i="2"/>
  <c r="W4970" i="2"/>
  <c r="W4971" i="2"/>
  <c r="W4972" i="2"/>
  <c r="W4973" i="2"/>
  <c r="W4974" i="2"/>
  <c r="W4975" i="2"/>
  <c r="W4976" i="2"/>
  <c r="W4977" i="2"/>
  <c r="W4978" i="2"/>
  <c r="W4979" i="2"/>
  <c r="W4980" i="2"/>
  <c r="W4981" i="2"/>
  <c r="W4982" i="2"/>
  <c r="W4983" i="2"/>
  <c r="W4984" i="2"/>
  <c r="W4985" i="2"/>
  <c r="W4986" i="2"/>
  <c r="W4987" i="2"/>
  <c r="W4988" i="2"/>
  <c r="W4989" i="2"/>
  <c r="W4990" i="2"/>
  <c r="W4991" i="2"/>
  <c r="W4992" i="2"/>
  <c r="W4993" i="2"/>
  <c r="W4994" i="2"/>
  <c r="W4995" i="2"/>
  <c r="W4996" i="2"/>
  <c r="W4997" i="2"/>
  <c r="W4998" i="2"/>
  <c r="W4999" i="2"/>
  <c r="W5000" i="2"/>
  <c r="W5001" i="2"/>
  <c r="W5002" i="2"/>
  <c r="W5003" i="2"/>
  <c r="W5004" i="2"/>
  <c r="W5005" i="2"/>
  <c r="W5006" i="2"/>
  <c r="W5007" i="2"/>
  <c r="W5008" i="2"/>
  <c r="W5009" i="2"/>
  <c r="W5010" i="2"/>
  <c r="W5011" i="2"/>
  <c r="W5012" i="2"/>
  <c r="W5013" i="2"/>
  <c r="W5014" i="2"/>
  <c r="W5015" i="2"/>
  <c r="W5016" i="2"/>
  <c r="W5017" i="2"/>
  <c r="W5018" i="2"/>
  <c r="W5019" i="2"/>
  <c r="W5020" i="2"/>
  <c r="W5021" i="2"/>
  <c r="W5022" i="2"/>
  <c r="W5023" i="2"/>
  <c r="W5024" i="2"/>
  <c r="W5025" i="2"/>
  <c r="W5026" i="2"/>
  <c r="W5027" i="2"/>
  <c r="W5028" i="2"/>
  <c r="W5029" i="2"/>
  <c r="W5030" i="2"/>
  <c r="W5031" i="2"/>
  <c r="W5032" i="2"/>
  <c r="W5033" i="2"/>
  <c r="W5034" i="2"/>
  <c r="W5035" i="2"/>
  <c r="W5036" i="2"/>
  <c r="W5037" i="2"/>
  <c r="W5038" i="2"/>
  <c r="W5039" i="2"/>
  <c r="W5040" i="2"/>
  <c r="W5041" i="2"/>
  <c r="W5042" i="2"/>
  <c r="W5043" i="2"/>
  <c r="W5044" i="2"/>
  <c r="W5045" i="2"/>
  <c r="W5046" i="2"/>
  <c r="W5047" i="2"/>
  <c r="W5048" i="2"/>
  <c r="W5049" i="2"/>
  <c r="W5050" i="2"/>
  <c r="W5051" i="2"/>
  <c r="W5052" i="2"/>
  <c r="W5053" i="2"/>
  <c r="W5054" i="2"/>
  <c r="W5055" i="2"/>
  <c r="W5056" i="2"/>
  <c r="W5057" i="2"/>
  <c r="W5058" i="2"/>
  <c r="W5059" i="2"/>
  <c r="W5060" i="2"/>
  <c r="W5061" i="2"/>
  <c r="W5062" i="2"/>
  <c r="W5063" i="2"/>
  <c r="W5064" i="2"/>
  <c r="W5065" i="2"/>
  <c r="W5066" i="2"/>
  <c r="W5067" i="2"/>
  <c r="W5068" i="2"/>
  <c r="W5069" i="2"/>
  <c r="W5070" i="2"/>
  <c r="W5071" i="2"/>
  <c r="W5072" i="2"/>
  <c r="W5073" i="2"/>
  <c r="W5074" i="2"/>
  <c r="W5075" i="2"/>
  <c r="W5076" i="2"/>
  <c r="W5077" i="2"/>
  <c r="W5078" i="2"/>
  <c r="W5079" i="2"/>
  <c r="W5080" i="2"/>
  <c r="W5081" i="2"/>
  <c r="W5082" i="2"/>
  <c r="W5083" i="2"/>
  <c r="W5084" i="2"/>
  <c r="W5085" i="2"/>
  <c r="W5086" i="2"/>
  <c r="W5087" i="2"/>
  <c r="W5088" i="2"/>
  <c r="W5089" i="2"/>
  <c r="W5090" i="2"/>
  <c r="W5091" i="2"/>
  <c r="W5092" i="2"/>
  <c r="W5093" i="2"/>
  <c r="W5094" i="2"/>
  <c r="W5095" i="2"/>
  <c r="W5096" i="2"/>
  <c r="W5097" i="2"/>
  <c r="W5098" i="2"/>
  <c r="W5099" i="2"/>
  <c r="W5100" i="2"/>
  <c r="W5101" i="2"/>
  <c r="W5102" i="2"/>
  <c r="W5103" i="2"/>
  <c r="W5104" i="2"/>
  <c r="W5105" i="2"/>
  <c r="W5106" i="2"/>
  <c r="W5107" i="2"/>
  <c r="W5108" i="2"/>
  <c r="W5109" i="2"/>
  <c r="W5110" i="2"/>
  <c r="W5111" i="2"/>
  <c r="W5112" i="2"/>
  <c r="W5113" i="2"/>
  <c r="W5114" i="2"/>
  <c r="W5115" i="2"/>
  <c r="W5116" i="2"/>
  <c r="W5117" i="2"/>
  <c r="W5118" i="2"/>
  <c r="W5119" i="2"/>
  <c r="W5120" i="2"/>
  <c r="W5121" i="2"/>
  <c r="W5122" i="2"/>
  <c r="W5123" i="2"/>
  <c r="W5124" i="2"/>
  <c r="W5125" i="2"/>
  <c r="W5126" i="2"/>
  <c r="W5127" i="2"/>
  <c r="W5128" i="2"/>
  <c r="W5129" i="2"/>
  <c r="W5130" i="2"/>
  <c r="W5131" i="2"/>
  <c r="W5132" i="2"/>
  <c r="W5133" i="2"/>
  <c r="W5134" i="2"/>
  <c r="W5135" i="2"/>
  <c r="W5136" i="2"/>
  <c r="W5137" i="2"/>
  <c r="W5138" i="2"/>
  <c r="W5139" i="2"/>
  <c r="W5140" i="2"/>
  <c r="W5141" i="2"/>
  <c r="W5142" i="2"/>
  <c r="W5143" i="2"/>
  <c r="W5144" i="2"/>
  <c r="W5145" i="2"/>
  <c r="W5146" i="2"/>
  <c r="W5147" i="2"/>
  <c r="W5148" i="2"/>
  <c r="W5149" i="2"/>
  <c r="W5150" i="2"/>
  <c r="W5151" i="2"/>
  <c r="W5152" i="2"/>
  <c r="W5153" i="2"/>
  <c r="W5154" i="2"/>
  <c r="W5155" i="2"/>
  <c r="W5156" i="2"/>
  <c r="W5157" i="2"/>
  <c r="W5158" i="2"/>
  <c r="W5159" i="2"/>
  <c r="W5160" i="2"/>
  <c r="W5161" i="2"/>
  <c r="W5162" i="2"/>
  <c r="W5163" i="2"/>
  <c r="W5164" i="2"/>
  <c r="W5165" i="2"/>
  <c r="W5166" i="2"/>
  <c r="W5167" i="2"/>
  <c r="W5168" i="2"/>
  <c r="W5169" i="2"/>
  <c r="W5170" i="2"/>
  <c r="W5171" i="2"/>
  <c r="W5172" i="2"/>
  <c r="W5173" i="2"/>
  <c r="W5174" i="2"/>
  <c r="W5175" i="2"/>
  <c r="W5176" i="2"/>
  <c r="W5177" i="2"/>
  <c r="W5178" i="2"/>
  <c r="W5179" i="2"/>
  <c r="W5180" i="2"/>
  <c r="W5181" i="2"/>
  <c r="W5182" i="2"/>
  <c r="W5183" i="2"/>
  <c r="W5184" i="2"/>
  <c r="W5185" i="2"/>
  <c r="W5186" i="2"/>
  <c r="W5187" i="2"/>
  <c r="W5188" i="2"/>
  <c r="W5189" i="2"/>
  <c r="W5190" i="2"/>
  <c r="W5191" i="2"/>
  <c r="W5192" i="2"/>
  <c r="W5193" i="2"/>
  <c r="W5194" i="2"/>
  <c r="W5195" i="2"/>
  <c r="W5196" i="2"/>
  <c r="W5197" i="2"/>
  <c r="W5198" i="2"/>
  <c r="W5199" i="2"/>
  <c r="W5200" i="2"/>
  <c r="W5201" i="2"/>
  <c r="W5202" i="2"/>
  <c r="W5203" i="2"/>
  <c r="W5204" i="2"/>
  <c r="W5205" i="2"/>
  <c r="W5206" i="2"/>
  <c r="W5207" i="2"/>
  <c r="W5208" i="2"/>
  <c r="W5209" i="2"/>
  <c r="W5210" i="2"/>
  <c r="W5211" i="2"/>
  <c r="W5212" i="2"/>
  <c r="W5213" i="2"/>
  <c r="W5214" i="2"/>
  <c r="W5215" i="2"/>
  <c r="W5216" i="2"/>
  <c r="W5217" i="2"/>
  <c r="W5218" i="2"/>
  <c r="W5219" i="2"/>
  <c r="W5220" i="2"/>
  <c r="W5221" i="2"/>
  <c r="W5222" i="2"/>
  <c r="W5223" i="2"/>
  <c r="W5224" i="2"/>
  <c r="W5225" i="2"/>
  <c r="W5226" i="2"/>
  <c r="W5227" i="2"/>
  <c r="W5228" i="2"/>
  <c r="W5229" i="2"/>
  <c r="W5230" i="2"/>
  <c r="W5231" i="2"/>
  <c r="W5232" i="2"/>
  <c r="W5233" i="2"/>
  <c r="W5234" i="2"/>
  <c r="W5235" i="2"/>
  <c r="W5236" i="2"/>
  <c r="W5237" i="2"/>
  <c r="W5238" i="2"/>
  <c r="W5239" i="2"/>
  <c r="W5240" i="2"/>
  <c r="W5241" i="2"/>
  <c r="W5242" i="2"/>
  <c r="W5243" i="2"/>
  <c r="W5244" i="2"/>
  <c r="W5245" i="2"/>
  <c r="W5246" i="2"/>
  <c r="W5247" i="2"/>
  <c r="W5248" i="2"/>
  <c r="W5249" i="2"/>
  <c r="W5250" i="2"/>
  <c r="W5251" i="2"/>
  <c r="W5252" i="2"/>
  <c r="W5253" i="2"/>
  <c r="W5254" i="2"/>
  <c r="W5255" i="2"/>
  <c r="W5256" i="2"/>
  <c r="W5257" i="2"/>
  <c r="W5258" i="2"/>
  <c r="W5259" i="2"/>
  <c r="W5260" i="2"/>
  <c r="W5261" i="2"/>
  <c r="W5262" i="2"/>
  <c r="W5263" i="2"/>
  <c r="W5264" i="2"/>
  <c r="W5265" i="2"/>
  <c r="W5266" i="2"/>
  <c r="W5267" i="2"/>
  <c r="W5268" i="2"/>
  <c r="W5269" i="2"/>
  <c r="W5270" i="2"/>
  <c r="W5271" i="2"/>
  <c r="W5272" i="2"/>
  <c r="W5273" i="2"/>
  <c r="W5274" i="2"/>
  <c r="W5275" i="2"/>
  <c r="W5276" i="2"/>
  <c r="W5277" i="2"/>
  <c r="W5278" i="2"/>
  <c r="W5279" i="2"/>
  <c r="W5280" i="2"/>
  <c r="W5281" i="2"/>
  <c r="W5282" i="2"/>
  <c r="W5283" i="2"/>
  <c r="W5284" i="2"/>
  <c r="W5285" i="2"/>
  <c r="W5286" i="2"/>
  <c r="W5287" i="2"/>
  <c r="W5288" i="2"/>
  <c r="W5289" i="2"/>
  <c r="W5290" i="2"/>
  <c r="W5291" i="2"/>
  <c r="W5292" i="2"/>
  <c r="W5293" i="2"/>
  <c r="W5294" i="2"/>
  <c r="W5295" i="2"/>
  <c r="W5296" i="2"/>
  <c r="W5297" i="2"/>
  <c r="W5298" i="2"/>
  <c r="W5299" i="2"/>
  <c r="W5300" i="2"/>
  <c r="W5301" i="2"/>
  <c r="W5302" i="2"/>
  <c r="W5303" i="2"/>
  <c r="W5304" i="2"/>
  <c r="W5305" i="2"/>
  <c r="W5306" i="2"/>
  <c r="W5307" i="2"/>
  <c r="W5308" i="2"/>
  <c r="W5309" i="2"/>
  <c r="W5310" i="2"/>
  <c r="W5311" i="2"/>
  <c r="W5312" i="2"/>
  <c r="W5313" i="2"/>
  <c r="W5314" i="2"/>
  <c r="W5315" i="2"/>
  <c r="W5316" i="2"/>
  <c r="W5317" i="2"/>
  <c r="W5318" i="2"/>
  <c r="W5319" i="2"/>
  <c r="W5320" i="2"/>
  <c r="W5321" i="2"/>
  <c r="W5322" i="2"/>
  <c r="W5323" i="2"/>
  <c r="W5324" i="2"/>
  <c r="W5325" i="2"/>
  <c r="W5326" i="2"/>
  <c r="W5327" i="2"/>
  <c r="W5328" i="2"/>
  <c r="W5329" i="2"/>
  <c r="W5330" i="2"/>
  <c r="W5331" i="2"/>
  <c r="W5332" i="2"/>
  <c r="W5333" i="2"/>
  <c r="W5334" i="2"/>
  <c r="W5335" i="2"/>
  <c r="W5336" i="2"/>
  <c r="W5337" i="2"/>
  <c r="W5338" i="2"/>
  <c r="W5339" i="2"/>
  <c r="W5340" i="2"/>
  <c r="W5341" i="2"/>
  <c r="W5342" i="2"/>
  <c r="W5343" i="2"/>
  <c r="W5344" i="2"/>
  <c r="W5345" i="2"/>
  <c r="W5346" i="2"/>
  <c r="W5347" i="2"/>
  <c r="W5348" i="2"/>
  <c r="W5349" i="2"/>
  <c r="W5350" i="2"/>
  <c r="W5351" i="2"/>
  <c r="W5352" i="2"/>
  <c r="W5353" i="2"/>
  <c r="W5354" i="2"/>
  <c r="W5355" i="2"/>
  <c r="W5356" i="2"/>
  <c r="W5357" i="2"/>
  <c r="W5358" i="2"/>
  <c r="W5359" i="2"/>
  <c r="W5360" i="2"/>
  <c r="W5361" i="2"/>
  <c r="W5362" i="2"/>
  <c r="W5363" i="2"/>
  <c r="W5364" i="2"/>
  <c r="W5365" i="2"/>
  <c r="W5366" i="2"/>
  <c r="W5367" i="2"/>
  <c r="W5368" i="2"/>
  <c r="W5369" i="2"/>
  <c r="W5370" i="2"/>
  <c r="W5371" i="2"/>
  <c r="W5372" i="2"/>
  <c r="W5373" i="2"/>
  <c r="W5374" i="2"/>
  <c r="W5375" i="2"/>
  <c r="W5376" i="2"/>
  <c r="W5377" i="2"/>
  <c r="W5378" i="2"/>
  <c r="W5379" i="2"/>
  <c r="W5380" i="2"/>
  <c r="W5381" i="2"/>
  <c r="W5382" i="2"/>
  <c r="W5383" i="2"/>
  <c r="W5384" i="2"/>
  <c r="W5385" i="2"/>
  <c r="W5386" i="2"/>
  <c r="W5387" i="2"/>
  <c r="W5388" i="2"/>
  <c r="W5389" i="2"/>
  <c r="W5390" i="2"/>
  <c r="W5391" i="2"/>
  <c r="W5392" i="2"/>
  <c r="W5393" i="2"/>
  <c r="W5394" i="2"/>
  <c r="W5395" i="2"/>
  <c r="W5396" i="2"/>
  <c r="W5397" i="2"/>
  <c r="W5398" i="2"/>
  <c r="W5399" i="2"/>
  <c r="W5400" i="2"/>
  <c r="W5401" i="2"/>
  <c r="W5402" i="2"/>
  <c r="W5403" i="2"/>
  <c r="W5404" i="2"/>
  <c r="W5405" i="2"/>
  <c r="W5406" i="2"/>
  <c r="W5407" i="2"/>
  <c r="W5408" i="2"/>
  <c r="W5409" i="2"/>
  <c r="W5410" i="2"/>
  <c r="W5411" i="2"/>
  <c r="W5412" i="2"/>
  <c r="W5413" i="2"/>
  <c r="W5414" i="2"/>
  <c r="W5415" i="2"/>
  <c r="W5416" i="2"/>
  <c r="W5417" i="2"/>
  <c r="W5418" i="2"/>
  <c r="W5419" i="2"/>
  <c r="W5420" i="2"/>
  <c r="W5421" i="2"/>
  <c r="W5422" i="2"/>
  <c r="W5423" i="2"/>
  <c r="W5424" i="2"/>
  <c r="W5425" i="2"/>
  <c r="W5426" i="2"/>
  <c r="W5427" i="2"/>
  <c r="W5428" i="2"/>
  <c r="W5429" i="2"/>
  <c r="W5430" i="2"/>
  <c r="W5431" i="2"/>
  <c r="W5432" i="2"/>
  <c r="W5433" i="2"/>
  <c r="W5434" i="2"/>
  <c r="W5435" i="2"/>
  <c r="W5436" i="2"/>
  <c r="W5437" i="2"/>
  <c r="W5438" i="2"/>
  <c r="W5439" i="2"/>
  <c r="W5440" i="2"/>
  <c r="W5441" i="2"/>
  <c r="W5442" i="2"/>
  <c r="W5443" i="2"/>
  <c r="W5444" i="2"/>
  <c r="W5445" i="2"/>
  <c r="W5446" i="2"/>
  <c r="W5447" i="2"/>
  <c r="W5448" i="2"/>
  <c r="W5449" i="2"/>
  <c r="W5450" i="2"/>
  <c r="W5451" i="2"/>
  <c r="W5452" i="2"/>
  <c r="W5453" i="2"/>
  <c r="W5454" i="2"/>
  <c r="W5455" i="2"/>
  <c r="W5456" i="2"/>
  <c r="W5457" i="2"/>
  <c r="W5458" i="2"/>
  <c r="W5459" i="2"/>
  <c r="W5460" i="2"/>
  <c r="W5461" i="2"/>
  <c r="W5462" i="2"/>
  <c r="W5463" i="2"/>
  <c r="W5464" i="2"/>
  <c r="W5465" i="2"/>
  <c r="W5466" i="2"/>
  <c r="W5467" i="2"/>
  <c r="W5468" i="2"/>
  <c r="W5469" i="2"/>
  <c r="W5470" i="2"/>
  <c r="W5471" i="2"/>
  <c r="W5472" i="2"/>
  <c r="W5473" i="2"/>
  <c r="W5474" i="2"/>
  <c r="W5475" i="2"/>
  <c r="W5476" i="2"/>
  <c r="W5477" i="2"/>
  <c r="W5478" i="2"/>
  <c r="W5479" i="2"/>
  <c r="W5480" i="2"/>
  <c r="W5481" i="2"/>
  <c r="W5482" i="2"/>
  <c r="W5483" i="2"/>
  <c r="W5484" i="2"/>
  <c r="W5485" i="2"/>
  <c r="W5486" i="2"/>
  <c r="W5487" i="2"/>
  <c r="W5488" i="2"/>
  <c r="W5489" i="2"/>
  <c r="W5490" i="2"/>
  <c r="W5491" i="2"/>
  <c r="W5492" i="2"/>
  <c r="W5493" i="2"/>
  <c r="W5494" i="2"/>
  <c r="W5495" i="2"/>
  <c r="W5496" i="2"/>
  <c r="W5497" i="2"/>
  <c r="W5498" i="2"/>
  <c r="W5499" i="2"/>
  <c r="W5500" i="2"/>
  <c r="W5501" i="2"/>
  <c r="W5502" i="2"/>
  <c r="W5503" i="2"/>
  <c r="W5504" i="2"/>
  <c r="W5505" i="2"/>
  <c r="W5506" i="2"/>
  <c r="W5507" i="2"/>
  <c r="W5508" i="2"/>
  <c r="W5509" i="2"/>
  <c r="W5510" i="2"/>
  <c r="W5511" i="2"/>
  <c r="W5512" i="2"/>
  <c r="W5513" i="2"/>
  <c r="W5514" i="2"/>
  <c r="W5515" i="2"/>
  <c r="W5516" i="2"/>
  <c r="W5517" i="2"/>
  <c r="W5518" i="2"/>
  <c r="W5519" i="2"/>
  <c r="W5520" i="2"/>
  <c r="W5521" i="2"/>
  <c r="W5522" i="2"/>
  <c r="W5523" i="2"/>
  <c r="W5524" i="2"/>
  <c r="W5525" i="2"/>
  <c r="W5526" i="2"/>
  <c r="W5527" i="2"/>
  <c r="W5528" i="2"/>
  <c r="W5529" i="2"/>
  <c r="W5530" i="2"/>
  <c r="W5531" i="2"/>
  <c r="W5532" i="2"/>
  <c r="W5533" i="2"/>
  <c r="W5534" i="2"/>
  <c r="W5535" i="2"/>
  <c r="W5536" i="2"/>
  <c r="W5537" i="2"/>
  <c r="W5538" i="2"/>
  <c r="W5539" i="2"/>
  <c r="W5540" i="2"/>
  <c r="W5541" i="2"/>
  <c r="W5542" i="2"/>
  <c r="W5543" i="2"/>
  <c r="W5544" i="2"/>
  <c r="W5545" i="2"/>
  <c r="W5546" i="2"/>
  <c r="W5547" i="2"/>
  <c r="W5548" i="2"/>
  <c r="W5549" i="2"/>
  <c r="W5550" i="2"/>
  <c r="W5551" i="2"/>
  <c r="W5552" i="2"/>
  <c r="W5553" i="2"/>
  <c r="W5554" i="2"/>
  <c r="W5555" i="2"/>
  <c r="W5556" i="2"/>
  <c r="W5557" i="2"/>
  <c r="W5558" i="2"/>
  <c r="W5559" i="2"/>
  <c r="W5560" i="2"/>
  <c r="W5561" i="2"/>
  <c r="W5562" i="2"/>
  <c r="W5563" i="2"/>
  <c r="W5564" i="2"/>
  <c r="W5565" i="2"/>
  <c r="W5566" i="2"/>
  <c r="W5567" i="2"/>
  <c r="W5568" i="2"/>
  <c r="W5569" i="2"/>
  <c r="W5570" i="2"/>
  <c r="W5571" i="2"/>
  <c r="W5572" i="2"/>
  <c r="W5573" i="2"/>
  <c r="W5574" i="2"/>
  <c r="W5575" i="2"/>
  <c r="W5576" i="2"/>
  <c r="W5577" i="2"/>
  <c r="W5578" i="2"/>
  <c r="W5579" i="2"/>
  <c r="W5580" i="2"/>
  <c r="W5581" i="2"/>
  <c r="W5582" i="2"/>
  <c r="W5583" i="2"/>
  <c r="W5584" i="2"/>
  <c r="W5585" i="2"/>
  <c r="W5586" i="2"/>
  <c r="W5587" i="2"/>
  <c r="W5588" i="2"/>
  <c r="W5589" i="2"/>
  <c r="W5590" i="2"/>
  <c r="W5591" i="2"/>
  <c r="W5592" i="2"/>
  <c r="W5593" i="2"/>
  <c r="W5594" i="2"/>
  <c r="W5595" i="2"/>
  <c r="W5596" i="2"/>
  <c r="W5597" i="2"/>
  <c r="W5598" i="2"/>
  <c r="W5599" i="2"/>
  <c r="W5600" i="2"/>
  <c r="W5601" i="2"/>
  <c r="W5602" i="2"/>
  <c r="W5603" i="2"/>
  <c r="W5604" i="2"/>
  <c r="W5605" i="2"/>
  <c r="W5606" i="2"/>
  <c r="W5607" i="2"/>
  <c r="W5608" i="2"/>
  <c r="W5609" i="2"/>
  <c r="W5610" i="2"/>
  <c r="W5611" i="2"/>
  <c r="W5612" i="2"/>
  <c r="W5613" i="2"/>
  <c r="W5614" i="2"/>
  <c r="W5615" i="2"/>
  <c r="W5616" i="2"/>
  <c r="W5617" i="2"/>
  <c r="W5618" i="2"/>
  <c r="W5619" i="2"/>
  <c r="W5620" i="2"/>
  <c r="W5621" i="2"/>
  <c r="W5622" i="2"/>
  <c r="W5623" i="2"/>
  <c r="W5624" i="2"/>
  <c r="W5625" i="2"/>
  <c r="W5626" i="2"/>
  <c r="W5627" i="2"/>
  <c r="W5628" i="2"/>
  <c r="W5629" i="2"/>
  <c r="W5630" i="2"/>
  <c r="W5631" i="2"/>
  <c r="W5632" i="2"/>
  <c r="W5633" i="2"/>
  <c r="W5634" i="2"/>
  <c r="W5635" i="2"/>
  <c r="W5636" i="2"/>
  <c r="W5637" i="2"/>
  <c r="W5638" i="2"/>
  <c r="W5639" i="2"/>
  <c r="W5640" i="2"/>
  <c r="W5641" i="2"/>
  <c r="W5642" i="2"/>
  <c r="W5643" i="2"/>
  <c r="W5644" i="2"/>
  <c r="W5645" i="2"/>
  <c r="W5646" i="2"/>
  <c r="W5647" i="2"/>
  <c r="W5648" i="2"/>
  <c r="W5649" i="2"/>
  <c r="W5650" i="2"/>
  <c r="W5651" i="2"/>
  <c r="W5652" i="2"/>
  <c r="W5653" i="2"/>
  <c r="W5654" i="2"/>
  <c r="W5655" i="2"/>
  <c r="W5656" i="2"/>
  <c r="W5657" i="2"/>
  <c r="W5658" i="2"/>
  <c r="W5659" i="2"/>
  <c r="W5660" i="2"/>
  <c r="W5661" i="2"/>
  <c r="W5662" i="2"/>
  <c r="W5663" i="2"/>
  <c r="W5664" i="2"/>
  <c r="W5665" i="2"/>
  <c r="W5666" i="2"/>
  <c r="W5667" i="2"/>
  <c r="W5668" i="2"/>
  <c r="W5669" i="2"/>
  <c r="W5670" i="2"/>
  <c r="W5671" i="2"/>
  <c r="W5672" i="2"/>
  <c r="W5673" i="2"/>
  <c r="W5674" i="2"/>
  <c r="W5675" i="2"/>
  <c r="W5676" i="2"/>
  <c r="W5677" i="2"/>
  <c r="W5678" i="2"/>
  <c r="W5679" i="2"/>
  <c r="W5680" i="2"/>
  <c r="W5681" i="2"/>
  <c r="W5682" i="2"/>
  <c r="W5683" i="2"/>
  <c r="W5684" i="2"/>
  <c r="W5685" i="2"/>
  <c r="W5686" i="2"/>
  <c r="W5687" i="2"/>
  <c r="W5688" i="2"/>
  <c r="W5689" i="2"/>
  <c r="W5690" i="2"/>
  <c r="W5691" i="2"/>
  <c r="W5692" i="2"/>
  <c r="W5693" i="2"/>
  <c r="W5694" i="2"/>
  <c r="W5695" i="2"/>
  <c r="W5696" i="2"/>
  <c r="W5697" i="2"/>
  <c r="W5698" i="2"/>
  <c r="W5699" i="2"/>
  <c r="W5700" i="2"/>
  <c r="W5701" i="2"/>
  <c r="W5702" i="2"/>
  <c r="W5703" i="2"/>
  <c r="W5704" i="2"/>
  <c r="W5705" i="2"/>
  <c r="W5706" i="2"/>
  <c r="W5707" i="2"/>
  <c r="W5708" i="2"/>
  <c r="W5709" i="2"/>
  <c r="W5710" i="2"/>
  <c r="W5711" i="2"/>
  <c r="W5712" i="2"/>
  <c r="W5713" i="2"/>
  <c r="W5714" i="2"/>
  <c r="W5715" i="2"/>
  <c r="W5716" i="2"/>
  <c r="W5717" i="2"/>
  <c r="W5718" i="2"/>
  <c r="W5719" i="2"/>
  <c r="W5720" i="2"/>
  <c r="W5721" i="2"/>
  <c r="W5722" i="2"/>
  <c r="W5723" i="2"/>
  <c r="W5724" i="2"/>
  <c r="W5725" i="2"/>
  <c r="W5726" i="2"/>
  <c r="W5727" i="2"/>
  <c r="W5728" i="2"/>
  <c r="W5729" i="2"/>
  <c r="W5730" i="2"/>
  <c r="W5731" i="2"/>
  <c r="W5732" i="2"/>
  <c r="W5733" i="2"/>
  <c r="W5734" i="2"/>
  <c r="W5735" i="2"/>
  <c r="W5736" i="2"/>
  <c r="W5737" i="2"/>
  <c r="W5738" i="2"/>
  <c r="W5739" i="2"/>
  <c r="W5740" i="2"/>
  <c r="W5741" i="2"/>
  <c r="W5742" i="2"/>
  <c r="W5743" i="2"/>
  <c r="W5744" i="2"/>
  <c r="W5745" i="2"/>
  <c r="W5746" i="2"/>
  <c r="W5747" i="2"/>
  <c r="W5748" i="2"/>
  <c r="W5749" i="2"/>
  <c r="W5750" i="2"/>
  <c r="W5751" i="2"/>
  <c r="W5752" i="2"/>
  <c r="W5753" i="2"/>
  <c r="W5754" i="2"/>
  <c r="W5755" i="2"/>
  <c r="W5756" i="2"/>
  <c r="W5757" i="2"/>
  <c r="W5758" i="2"/>
  <c r="W5759" i="2"/>
  <c r="W5760" i="2"/>
  <c r="W5761" i="2"/>
  <c r="W5762" i="2"/>
  <c r="W5763" i="2"/>
  <c r="W5764" i="2"/>
  <c r="W5765" i="2"/>
  <c r="W5766" i="2"/>
  <c r="W5767" i="2"/>
  <c r="W5768" i="2"/>
  <c r="W5769" i="2"/>
  <c r="W5770" i="2"/>
  <c r="W5771" i="2"/>
  <c r="W5772" i="2"/>
  <c r="W5773" i="2"/>
  <c r="W5774" i="2"/>
  <c r="W5775" i="2"/>
  <c r="W5776" i="2"/>
  <c r="W5777" i="2"/>
  <c r="W5778" i="2"/>
  <c r="W5779" i="2"/>
  <c r="W5780" i="2"/>
  <c r="W5781" i="2"/>
  <c r="W5782" i="2"/>
  <c r="W5783" i="2"/>
  <c r="W5784" i="2"/>
  <c r="W5785" i="2"/>
  <c r="W5786" i="2"/>
  <c r="W5787" i="2"/>
  <c r="W5788" i="2"/>
  <c r="W5789" i="2"/>
  <c r="W5790" i="2"/>
  <c r="W5791" i="2"/>
  <c r="W5792" i="2"/>
  <c r="W5793" i="2"/>
  <c r="W5794" i="2"/>
  <c r="W5795" i="2"/>
  <c r="W5796" i="2"/>
  <c r="W5797" i="2"/>
  <c r="W5798" i="2"/>
  <c r="W5799" i="2"/>
  <c r="W5800" i="2"/>
  <c r="W5801" i="2"/>
  <c r="W5802" i="2"/>
  <c r="W5803" i="2"/>
  <c r="W5804" i="2"/>
  <c r="W5805" i="2"/>
  <c r="W5806" i="2"/>
  <c r="W5807" i="2"/>
  <c r="W5808" i="2"/>
  <c r="W5809" i="2"/>
  <c r="W5810" i="2"/>
  <c r="W5811" i="2"/>
  <c r="W5812" i="2"/>
  <c r="W5813" i="2"/>
  <c r="W5814" i="2"/>
  <c r="W5815" i="2"/>
  <c r="W5816" i="2"/>
  <c r="W5817" i="2"/>
  <c r="W5818" i="2"/>
  <c r="W5819" i="2"/>
  <c r="W5820" i="2"/>
  <c r="W5821" i="2"/>
  <c r="W5822" i="2"/>
  <c r="W5823" i="2"/>
  <c r="W5824" i="2"/>
  <c r="W5825" i="2"/>
  <c r="W5826" i="2"/>
  <c r="W5827" i="2"/>
  <c r="W5828" i="2"/>
  <c r="W5829" i="2"/>
  <c r="W5830" i="2"/>
  <c r="W5831" i="2"/>
  <c r="W5832" i="2"/>
  <c r="W5833" i="2"/>
  <c r="W5834" i="2"/>
  <c r="W5835" i="2"/>
  <c r="W5836" i="2"/>
  <c r="W5837" i="2"/>
  <c r="W5838" i="2"/>
  <c r="W5839" i="2"/>
  <c r="W5840" i="2"/>
  <c r="W5841" i="2"/>
  <c r="W5842" i="2"/>
  <c r="W5843" i="2"/>
  <c r="W5844" i="2"/>
  <c r="W5845" i="2"/>
  <c r="W5846" i="2"/>
  <c r="W5847" i="2"/>
  <c r="W5848" i="2"/>
  <c r="W5849" i="2"/>
  <c r="W5850" i="2"/>
  <c r="W5851" i="2"/>
  <c r="W5852" i="2"/>
  <c r="W5853" i="2"/>
  <c r="W5854" i="2"/>
  <c r="W5855" i="2"/>
  <c r="W5856" i="2"/>
  <c r="W5857" i="2"/>
  <c r="W5858" i="2"/>
  <c r="W5859" i="2"/>
  <c r="W5860" i="2"/>
  <c r="W5861" i="2"/>
  <c r="W5862" i="2"/>
  <c r="W5863" i="2"/>
  <c r="W5864" i="2"/>
  <c r="W5865" i="2"/>
  <c r="W5866" i="2"/>
  <c r="W5867" i="2"/>
  <c r="W5868" i="2"/>
  <c r="W5869" i="2"/>
  <c r="W5870" i="2"/>
  <c r="W5871" i="2"/>
  <c r="W5872" i="2"/>
  <c r="W5873" i="2"/>
  <c r="W5874" i="2"/>
  <c r="W5875" i="2"/>
  <c r="W5876" i="2"/>
  <c r="W5877" i="2"/>
  <c r="W5878" i="2"/>
  <c r="W5879" i="2"/>
  <c r="W5880" i="2"/>
  <c r="W5881" i="2"/>
  <c r="W5882" i="2"/>
  <c r="W5883" i="2"/>
  <c r="W5884" i="2"/>
  <c r="W5885" i="2"/>
  <c r="W5886" i="2"/>
  <c r="W5887" i="2"/>
  <c r="W5888" i="2"/>
  <c r="W5889" i="2"/>
  <c r="W5890" i="2"/>
  <c r="W5891" i="2"/>
  <c r="W5892" i="2"/>
  <c r="W5893" i="2"/>
  <c r="W5894" i="2"/>
  <c r="W5895" i="2"/>
  <c r="W5896" i="2"/>
  <c r="W5897" i="2"/>
  <c r="W5898" i="2"/>
  <c r="W5899" i="2"/>
  <c r="W5900" i="2"/>
  <c r="W5901" i="2"/>
  <c r="W5902" i="2"/>
  <c r="W5903" i="2"/>
  <c r="W5904" i="2"/>
  <c r="W5905" i="2"/>
  <c r="W5906" i="2"/>
  <c r="W5907" i="2"/>
  <c r="W5908" i="2"/>
  <c r="W5909" i="2"/>
  <c r="W5910" i="2"/>
  <c r="W5911" i="2"/>
  <c r="W5912" i="2"/>
  <c r="W5913" i="2"/>
  <c r="W5914" i="2"/>
  <c r="W5915" i="2"/>
  <c r="W5916" i="2"/>
  <c r="W5917" i="2"/>
  <c r="W5918" i="2"/>
  <c r="W5919" i="2"/>
  <c r="W5920" i="2"/>
  <c r="W5921" i="2"/>
  <c r="W5922" i="2"/>
  <c r="W5923" i="2"/>
  <c r="W5924" i="2"/>
  <c r="W5925" i="2"/>
  <c r="W5926" i="2"/>
  <c r="W5927" i="2"/>
  <c r="W5928" i="2"/>
  <c r="W5929" i="2"/>
  <c r="W5930" i="2"/>
  <c r="W5931" i="2"/>
  <c r="W5932" i="2"/>
  <c r="W5933" i="2"/>
  <c r="W5934" i="2"/>
  <c r="W5935" i="2"/>
  <c r="W5936" i="2"/>
  <c r="W5937" i="2"/>
  <c r="W5938" i="2"/>
  <c r="W5939" i="2"/>
  <c r="W5940" i="2"/>
  <c r="W5941" i="2"/>
  <c r="W5942" i="2"/>
  <c r="W5943" i="2"/>
  <c r="W5944" i="2"/>
  <c r="W5945" i="2"/>
  <c r="W5946" i="2"/>
  <c r="W5947" i="2"/>
  <c r="W5948" i="2"/>
  <c r="W5949" i="2"/>
  <c r="W5950" i="2"/>
  <c r="W5951" i="2"/>
  <c r="W5952" i="2"/>
  <c r="W5953" i="2"/>
  <c r="W5954" i="2"/>
  <c r="W5955" i="2"/>
  <c r="W5956" i="2"/>
  <c r="W5957" i="2"/>
  <c r="W5958" i="2"/>
  <c r="W5959" i="2"/>
  <c r="W5960" i="2"/>
  <c r="W5961" i="2"/>
  <c r="W5962" i="2"/>
  <c r="W5963" i="2"/>
  <c r="W5964" i="2"/>
  <c r="W5965" i="2"/>
  <c r="W5966" i="2"/>
  <c r="W5967" i="2"/>
  <c r="W5968" i="2"/>
  <c r="W5969" i="2"/>
  <c r="W5970" i="2"/>
  <c r="W5971" i="2"/>
  <c r="W5972" i="2"/>
  <c r="W5973" i="2"/>
  <c r="W5974" i="2"/>
  <c r="W5975" i="2"/>
  <c r="W5976" i="2"/>
  <c r="W5977" i="2"/>
  <c r="W5978" i="2"/>
  <c r="W5979" i="2"/>
  <c r="W5980" i="2"/>
  <c r="W5981" i="2"/>
  <c r="W5982" i="2"/>
  <c r="W5983" i="2"/>
  <c r="W5984" i="2"/>
  <c r="W5985" i="2"/>
  <c r="W5986" i="2"/>
  <c r="W5987" i="2"/>
  <c r="W5988" i="2"/>
  <c r="W5989" i="2"/>
  <c r="W5990" i="2"/>
  <c r="W5991" i="2"/>
  <c r="W5992" i="2"/>
  <c r="W5993" i="2"/>
  <c r="W5994" i="2"/>
  <c r="W5995" i="2"/>
  <c r="W5996" i="2"/>
  <c r="W5997" i="2"/>
  <c r="W5998" i="2"/>
  <c r="W5999" i="2"/>
  <c r="W6000" i="2"/>
  <c r="W6001" i="2"/>
  <c r="W6002" i="2"/>
  <c r="W6003" i="2"/>
  <c r="W6004" i="2"/>
  <c r="W6005" i="2"/>
  <c r="W6006" i="2"/>
  <c r="W6007" i="2"/>
  <c r="W6008" i="2"/>
  <c r="W6009" i="2"/>
  <c r="W6010" i="2"/>
  <c r="W6011" i="2"/>
  <c r="W6012" i="2"/>
  <c r="W6013" i="2"/>
  <c r="W6014" i="2"/>
  <c r="W6015" i="2"/>
  <c r="W6016" i="2"/>
  <c r="W6017" i="2"/>
  <c r="W6018" i="2"/>
  <c r="W6019" i="2"/>
  <c r="W6020" i="2"/>
  <c r="W6021" i="2"/>
  <c r="W6022" i="2"/>
  <c r="W6023" i="2"/>
  <c r="W6024" i="2"/>
  <c r="W6025" i="2"/>
  <c r="W6026" i="2"/>
  <c r="W6027" i="2"/>
  <c r="W6028" i="2"/>
  <c r="W6029" i="2"/>
  <c r="W6030" i="2"/>
  <c r="W6031" i="2"/>
  <c r="W6032" i="2"/>
  <c r="W6033" i="2"/>
  <c r="W6034" i="2"/>
  <c r="W6035" i="2"/>
  <c r="W6036" i="2"/>
  <c r="W6037" i="2"/>
  <c r="W6038" i="2"/>
  <c r="W6039" i="2"/>
  <c r="W6040" i="2"/>
  <c r="W6041" i="2"/>
  <c r="W6042" i="2"/>
  <c r="W6043" i="2"/>
  <c r="W6044" i="2"/>
  <c r="W6045" i="2"/>
  <c r="W6046" i="2"/>
  <c r="W6047" i="2"/>
  <c r="W6048" i="2"/>
  <c r="W6049" i="2"/>
  <c r="W6050" i="2"/>
  <c r="W6051" i="2"/>
  <c r="W6052" i="2"/>
  <c r="W6053" i="2"/>
  <c r="W6054" i="2"/>
  <c r="W6055" i="2"/>
  <c r="W6056" i="2"/>
  <c r="W6057" i="2"/>
  <c r="W6058" i="2"/>
  <c r="W6059" i="2"/>
  <c r="W6060" i="2"/>
  <c r="W6061" i="2"/>
  <c r="W6062" i="2"/>
  <c r="W6063" i="2"/>
  <c r="W6064" i="2"/>
  <c r="W6065" i="2"/>
  <c r="W6066" i="2"/>
  <c r="W6067" i="2"/>
  <c r="W6068" i="2"/>
  <c r="W6069" i="2"/>
  <c r="W6070" i="2"/>
  <c r="W6071" i="2"/>
  <c r="W6072" i="2"/>
  <c r="W6073" i="2"/>
  <c r="W6074" i="2"/>
  <c r="W6075" i="2"/>
  <c r="W6076" i="2"/>
  <c r="W6077" i="2"/>
  <c r="W6078" i="2"/>
  <c r="W6079" i="2"/>
  <c r="W6080" i="2"/>
  <c r="W6081" i="2"/>
  <c r="W6082" i="2"/>
  <c r="W6083" i="2"/>
  <c r="W6084" i="2"/>
  <c r="W6085" i="2"/>
  <c r="W6086" i="2"/>
  <c r="W6087" i="2"/>
  <c r="W6088" i="2"/>
  <c r="W6089" i="2"/>
  <c r="W6090" i="2"/>
  <c r="W6091" i="2"/>
  <c r="W6092" i="2"/>
  <c r="W6093" i="2"/>
  <c r="W6094" i="2"/>
  <c r="W6095" i="2"/>
  <c r="W6096" i="2"/>
  <c r="W6097" i="2"/>
  <c r="W6098" i="2"/>
  <c r="W6099" i="2"/>
  <c r="W6100" i="2"/>
  <c r="W6101" i="2"/>
  <c r="W6102" i="2"/>
  <c r="W6103" i="2"/>
  <c r="W6104" i="2"/>
  <c r="W6105" i="2"/>
  <c r="W6106" i="2"/>
  <c r="W6107" i="2"/>
  <c r="W6108" i="2"/>
  <c r="W6109" i="2"/>
  <c r="W6110" i="2"/>
  <c r="W6111" i="2"/>
  <c r="W6112" i="2"/>
  <c r="W6113" i="2"/>
  <c r="W6114" i="2"/>
  <c r="W6115" i="2"/>
  <c r="W6116" i="2"/>
  <c r="W6117" i="2"/>
  <c r="W6118" i="2"/>
  <c r="W6119" i="2"/>
  <c r="W6120" i="2"/>
  <c r="W6121" i="2"/>
  <c r="W6122" i="2"/>
  <c r="W6123" i="2"/>
  <c r="W6124" i="2"/>
  <c r="W6125" i="2"/>
  <c r="W6126" i="2"/>
  <c r="W6127" i="2"/>
  <c r="W6128" i="2"/>
  <c r="W6129" i="2"/>
  <c r="W6130" i="2"/>
  <c r="W6131" i="2"/>
  <c r="W6132" i="2"/>
  <c r="W6133" i="2"/>
  <c r="W6134" i="2"/>
  <c r="W6135" i="2"/>
  <c r="W6136" i="2"/>
  <c r="W6137" i="2"/>
  <c r="W6138" i="2"/>
  <c r="W6139" i="2"/>
  <c r="W6140" i="2"/>
  <c r="W6141" i="2"/>
  <c r="W6142" i="2"/>
  <c r="W6143" i="2"/>
  <c r="W6144" i="2"/>
  <c r="W6145" i="2"/>
  <c r="W6146" i="2"/>
  <c r="W6147" i="2"/>
  <c r="W6148" i="2"/>
  <c r="W6149" i="2"/>
  <c r="W6150" i="2"/>
  <c r="W6151" i="2"/>
  <c r="W6152" i="2"/>
  <c r="W6153" i="2"/>
  <c r="W6154" i="2"/>
  <c r="W6155" i="2"/>
  <c r="W6156" i="2"/>
  <c r="W6157" i="2"/>
  <c r="W6158" i="2"/>
  <c r="W6159" i="2"/>
  <c r="W6160" i="2"/>
  <c r="W6161" i="2"/>
  <c r="W6162" i="2"/>
  <c r="W6163" i="2"/>
  <c r="W6164" i="2"/>
  <c r="W6165" i="2"/>
  <c r="W6166" i="2"/>
  <c r="W6167" i="2"/>
  <c r="W6168" i="2"/>
  <c r="W6169" i="2"/>
  <c r="W6170" i="2"/>
  <c r="W6171" i="2"/>
  <c r="W6172" i="2"/>
  <c r="W6173" i="2"/>
  <c r="W6174" i="2"/>
  <c r="W6175" i="2"/>
  <c r="W6176" i="2"/>
  <c r="W6177" i="2"/>
  <c r="W6178" i="2"/>
  <c r="W6179" i="2"/>
  <c r="W6180" i="2"/>
  <c r="W6181" i="2"/>
  <c r="W6182" i="2"/>
  <c r="W6183" i="2"/>
  <c r="W6184" i="2"/>
  <c r="W6185" i="2"/>
  <c r="W6186" i="2"/>
  <c r="W6187" i="2"/>
  <c r="W6188" i="2"/>
  <c r="W6189" i="2"/>
  <c r="W6190" i="2"/>
  <c r="W6191" i="2"/>
  <c r="W6192" i="2"/>
  <c r="W6193" i="2"/>
  <c r="W6194" i="2"/>
  <c r="W6195" i="2"/>
  <c r="W6196" i="2"/>
  <c r="W6197" i="2"/>
  <c r="W6198" i="2"/>
  <c r="W6199" i="2"/>
  <c r="W6200" i="2"/>
  <c r="W6201" i="2"/>
  <c r="W6202" i="2"/>
  <c r="W6203" i="2"/>
  <c r="W6204" i="2"/>
  <c r="W6205" i="2"/>
  <c r="W6206" i="2"/>
  <c r="W6207" i="2"/>
  <c r="W6208" i="2"/>
  <c r="W6209" i="2"/>
  <c r="W6210" i="2"/>
  <c r="W6211" i="2"/>
  <c r="W6212" i="2"/>
  <c r="W6213" i="2"/>
  <c r="W6214" i="2"/>
  <c r="W6215" i="2"/>
  <c r="W6216" i="2"/>
  <c r="W6217" i="2"/>
  <c r="W6218" i="2"/>
  <c r="W6219" i="2"/>
  <c r="W6220" i="2"/>
  <c r="W6221" i="2"/>
  <c r="W6222" i="2"/>
  <c r="W6223" i="2"/>
  <c r="W6224" i="2"/>
  <c r="W6225" i="2"/>
  <c r="W6226" i="2"/>
  <c r="W6227" i="2"/>
  <c r="W6228" i="2"/>
  <c r="W6229" i="2"/>
  <c r="W6230" i="2"/>
  <c r="W6231" i="2"/>
  <c r="W6232" i="2"/>
  <c r="W6233" i="2"/>
  <c r="W6234" i="2"/>
  <c r="W6235" i="2"/>
  <c r="W6236" i="2"/>
  <c r="W6237" i="2"/>
  <c r="W6238" i="2"/>
  <c r="W6239" i="2"/>
  <c r="W6240" i="2"/>
  <c r="W6241" i="2"/>
  <c r="W6242" i="2"/>
  <c r="W6243" i="2"/>
  <c r="W6244" i="2"/>
  <c r="W6245" i="2"/>
  <c r="W6246" i="2"/>
  <c r="W6247" i="2"/>
  <c r="W6248" i="2"/>
  <c r="W6249" i="2"/>
  <c r="W6250" i="2"/>
  <c r="W6251" i="2"/>
  <c r="W6252" i="2"/>
  <c r="W6253" i="2"/>
  <c r="W6254" i="2"/>
  <c r="W6255" i="2"/>
  <c r="W6256" i="2"/>
  <c r="W6257" i="2"/>
  <c r="W6258" i="2"/>
  <c r="W6259" i="2"/>
  <c r="W6260" i="2"/>
  <c r="W6261" i="2"/>
  <c r="W6262" i="2"/>
  <c r="W6263" i="2"/>
  <c r="W6264" i="2"/>
  <c r="W6265" i="2"/>
  <c r="W6266" i="2"/>
  <c r="W6267" i="2"/>
  <c r="W6268" i="2"/>
  <c r="W6269" i="2"/>
  <c r="W6270" i="2"/>
  <c r="W6271" i="2"/>
  <c r="W6272" i="2"/>
  <c r="W6273" i="2"/>
  <c r="W6274" i="2"/>
  <c r="W6275" i="2"/>
  <c r="W6276" i="2"/>
  <c r="W6277" i="2"/>
  <c r="W6278" i="2"/>
  <c r="W6279" i="2"/>
  <c r="W6280" i="2"/>
  <c r="W6281" i="2"/>
  <c r="W6282" i="2"/>
  <c r="W6283" i="2"/>
  <c r="W6284" i="2"/>
  <c r="W6285" i="2"/>
  <c r="W6286" i="2"/>
  <c r="W6287" i="2"/>
  <c r="W6288" i="2"/>
  <c r="W6289" i="2"/>
  <c r="W6290" i="2"/>
  <c r="W6291" i="2"/>
  <c r="W6292" i="2"/>
  <c r="W6293" i="2"/>
  <c r="W6294" i="2"/>
  <c r="W6295" i="2"/>
  <c r="W6296" i="2"/>
  <c r="W6297" i="2"/>
  <c r="W6298" i="2"/>
  <c r="W6299" i="2"/>
  <c r="W6300" i="2"/>
  <c r="W6301" i="2"/>
  <c r="W6302" i="2"/>
  <c r="W6303" i="2"/>
  <c r="W6304" i="2"/>
  <c r="W6305" i="2"/>
  <c r="W6306" i="2"/>
  <c r="W6307" i="2"/>
  <c r="W6308" i="2"/>
  <c r="W6309" i="2"/>
  <c r="W6310" i="2"/>
  <c r="W6311" i="2"/>
  <c r="W6312" i="2"/>
  <c r="W6313" i="2"/>
  <c r="W6314" i="2"/>
  <c r="W6315" i="2"/>
  <c r="W6316" i="2"/>
  <c r="W6317" i="2"/>
  <c r="W6318" i="2"/>
  <c r="W6319" i="2"/>
  <c r="W6320" i="2"/>
  <c r="W6321" i="2"/>
  <c r="W6322" i="2"/>
  <c r="W6323" i="2"/>
  <c r="W6324" i="2"/>
  <c r="W6325" i="2"/>
  <c r="W6326" i="2"/>
  <c r="W6327" i="2"/>
  <c r="W6328" i="2"/>
  <c r="W6329" i="2"/>
  <c r="W6330" i="2"/>
  <c r="W6331" i="2"/>
  <c r="W6332" i="2"/>
  <c r="W6333" i="2"/>
  <c r="W6334" i="2"/>
  <c r="W6335" i="2"/>
  <c r="W6336" i="2"/>
  <c r="W6337" i="2"/>
  <c r="W6338" i="2"/>
  <c r="W6339" i="2"/>
  <c r="W6340" i="2"/>
  <c r="W6341" i="2"/>
  <c r="W6342" i="2"/>
  <c r="W6343" i="2"/>
  <c r="W6344" i="2"/>
  <c r="W6345" i="2"/>
  <c r="W6346" i="2"/>
  <c r="W6347" i="2"/>
  <c r="W6348" i="2"/>
  <c r="W6349" i="2"/>
  <c r="W6350" i="2"/>
  <c r="W6351" i="2"/>
  <c r="W6352" i="2"/>
  <c r="W6353" i="2"/>
  <c r="W6354" i="2"/>
  <c r="W6355" i="2"/>
  <c r="W6356" i="2"/>
  <c r="W6357" i="2"/>
  <c r="W6358" i="2"/>
  <c r="W6359" i="2"/>
  <c r="W6360" i="2"/>
  <c r="W6361" i="2"/>
  <c r="W6362" i="2"/>
  <c r="W6363" i="2"/>
  <c r="W6364" i="2"/>
  <c r="W6365" i="2"/>
  <c r="W6366" i="2"/>
  <c r="W6367" i="2"/>
  <c r="W6368" i="2"/>
  <c r="W6369" i="2"/>
  <c r="W6370" i="2"/>
  <c r="W6371" i="2"/>
  <c r="W6372" i="2"/>
  <c r="W6373" i="2"/>
  <c r="W6374" i="2"/>
  <c r="W6375" i="2"/>
  <c r="W6376" i="2"/>
  <c r="W6377" i="2"/>
  <c r="W6378" i="2"/>
  <c r="W6379" i="2"/>
  <c r="W6380" i="2"/>
  <c r="W6381" i="2"/>
  <c r="W6382" i="2"/>
  <c r="W6383" i="2"/>
  <c r="W6384" i="2"/>
  <c r="W6385" i="2"/>
  <c r="W6386" i="2"/>
  <c r="W6387" i="2"/>
  <c r="W6388" i="2"/>
  <c r="W6389" i="2"/>
  <c r="W6390" i="2"/>
  <c r="W6391" i="2"/>
  <c r="W6392" i="2"/>
  <c r="W6393" i="2"/>
  <c r="W6394" i="2"/>
  <c r="W6395" i="2"/>
  <c r="W6396" i="2"/>
  <c r="W6397" i="2"/>
  <c r="W6398" i="2"/>
  <c r="W6399" i="2"/>
  <c r="W6400" i="2"/>
  <c r="W6401" i="2"/>
  <c r="W6402" i="2"/>
  <c r="W6403" i="2"/>
  <c r="W6404" i="2"/>
  <c r="W6405" i="2"/>
  <c r="W6406" i="2"/>
  <c r="W6407" i="2"/>
  <c r="W6408" i="2"/>
  <c r="W6409" i="2"/>
  <c r="W6410" i="2"/>
  <c r="W6411" i="2"/>
  <c r="W6412" i="2"/>
  <c r="W6413" i="2"/>
  <c r="W6414" i="2"/>
  <c r="W6415" i="2"/>
  <c r="W6416" i="2"/>
  <c r="W6417" i="2"/>
  <c r="W6418" i="2"/>
  <c r="W6419" i="2"/>
  <c r="W6420" i="2"/>
  <c r="W6421" i="2"/>
  <c r="W6422" i="2"/>
  <c r="W6423" i="2"/>
  <c r="W6424" i="2"/>
  <c r="W6425" i="2"/>
  <c r="W6426" i="2"/>
  <c r="W6427" i="2"/>
  <c r="W6428" i="2"/>
  <c r="W6429" i="2"/>
  <c r="W6430" i="2"/>
  <c r="W6431" i="2"/>
  <c r="W6432" i="2"/>
  <c r="W6433" i="2"/>
  <c r="W6434" i="2"/>
  <c r="W6435" i="2"/>
  <c r="W6436" i="2"/>
  <c r="W6437" i="2"/>
  <c r="W6438" i="2"/>
  <c r="W6439" i="2"/>
  <c r="W6440" i="2"/>
  <c r="W6441" i="2"/>
  <c r="W6442" i="2"/>
  <c r="W6443" i="2"/>
  <c r="W6444" i="2"/>
  <c r="W6445" i="2"/>
  <c r="W6446" i="2"/>
  <c r="W6447" i="2"/>
  <c r="W6448" i="2"/>
  <c r="W6449" i="2"/>
  <c r="W6450" i="2"/>
  <c r="W6451" i="2"/>
  <c r="W6452" i="2"/>
  <c r="W6453" i="2"/>
  <c r="W6454" i="2"/>
  <c r="W6455" i="2"/>
  <c r="W6456" i="2"/>
  <c r="W6457" i="2"/>
  <c r="W6458" i="2"/>
  <c r="W6459" i="2"/>
  <c r="W6460" i="2"/>
  <c r="W6461" i="2"/>
  <c r="W6462" i="2"/>
  <c r="W6463" i="2"/>
  <c r="W6464" i="2"/>
  <c r="W6465" i="2"/>
  <c r="W6466" i="2"/>
  <c r="W6467" i="2"/>
  <c r="W6468" i="2"/>
  <c r="W6469" i="2"/>
  <c r="W6470" i="2"/>
  <c r="W6471" i="2"/>
  <c r="W6472" i="2"/>
  <c r="W6473" i="2"/>
  <c r="W6474" i="2"/>
  <c r="W6475" i="2"/>
  <c r="W6476" i="2"/>
  <c r="W6477" i="2"/>
  <c r="W6478" i="2"/>
  <c r="W6479" i="2"/>
  <c r="W6480" i="2"/>
  <c r="W6481" i="2"/>
  <c r="W6482" i="2"/>
  <c r="W6483" i="2"/>
  <c r="W6484" i="2"/>
  <c r="W6485" i="2"/>
  <c r="W6486" i="2"/>
  <c r="W6487" i="2"/>
  <c r="W6488" i="2"/>
  <c r="W6489" i="2"/>
  <c r="W6490" i="2"/>
  <c r="W6491" i="2"/>
  <c r="W6492" i="2"/>
  <c r="W6493" i="2"/>
  <c r="W6494" i="2"/>
  <c r="W6495" i="2"/>
  <c r="W6496" i="2"/>
  <c r="W6497" i="2"/>
  <c r="W6498" i="2"/>
  <c r="W6499" i="2"/>
  <c r="W6500" i="2"/>
  <c r="W6501" i="2"/>
  <c r="W6502" i="2"/>
  <c r="W6503" i="2"/>
  <c r="W6504" i="2"/>
  <c r="W6505" i="2"/>
  <c r="W6506" i="2"/>
  <c r="W6507" i="2"/>
  <c r="W6508" i="2"/>
  <c r="W6509" i="2"/>
  <c r="W6510" i="2"/>
  <c r="W6511" i="2"/>
  <c r="W6512" i="2"/>
  <c r="W6513" i="2"/>
  <c r="W6514" i="2"/>
  <c r="W6515" i="2"/>
  <c r="W6516" i="2"/>
  <c r="W6517" i="2"/>
  <c r="W6518" i="2"/>
  <c r="W6519" i="2"/>
  <c r="W6520" i="2"/>
  <c r="W6521" i="2"/>
  <c r="W6522" i="2"/>
  <c r="W6523" i="2"/>
  <c r="W6524" i="2"/>
  <c r="W6525" i="2"/>
  <c r="W6526" i="2"/>
  <c r="W6527" i="2"/>
  <c r="W6528" i="2"/>
  <c r="W6529" i="2"/>
  <c r="W6530" i="2"/>
  <c r="W6531" i="2"/>
  <c r="W6532" i="2"/>
  <c r="W6533" i="2"/>
  <c r="W6534" i="2"/>
  <c r="W6535" i="2"/>
  <c r="W6536" i="2"/>
  <c r="W6537" i="2"/>
  <c r="W6538" i="2"/>
  <c r="W6539" i="2"/>
  <c r="W6540" i="2"/>
  <c r="W6541" i="2"/>
  <c r="W6542" i="2"/>
  <c r="W6543" i="2"/>
  <c r="W6544" i="2"/>
  <c r="W6545" i="2"/>
  <c r="W6546" i="2"/>
  <c r="W6547" i="2"/>
  <c r="W6548" i="2"/>
  <c r="W6549" i="2"/>
  <c r="W6550" i="2"/>
  <c r="W6551" i="2"/>
  <c r="W6552" i="2"/>
  <c r="W6553" i="2"/>
  <c r="W6554" i="2"/>
  <c r="W6555" i="2"/>
  <c r="W6556" i="2"/>
  <c r="W6557" i="2"/>
  <c r="W6558" i="2"/>
  <c r="W6559" i="2"/>
  <c r="W6560" i="2"/>
  <c r="W6561" i="2"/>
  <c r="W6562" i="2"/>
  <c r="W6563" i="2"/>
  <c r="W6564" i="2"/>
  <c r="W6565" i="2"/>
  <c r="W6566" i="2"/>
  <c r="W6567" i="2"/>
  <c r="W6568" i="2"/>
  <c r="W6569" i="2"/>
  <c r="W6570" i="2"/>
  <c r="W6571" i="2"/>
  <c r="W6572" i="2"/>
  <c r="W6573" i="2"/>
  <c r="W6574" i="2"/>
  <c r="W6575" i="2"/>
  <c r="W6576" i="2"/>
  <c r="W6577" i="2"/>
  <c r="W6578" i="2"/>
  <c r="W6579" i="2"/>
  <c r="W6580" i="2"/>
  <c r="W6581" i="2"/>
  <c r="W6582" i="2"/>
  <c r="W6583" i="2"/>
  <c r="W6584" i="2"/>
  <c r="W6585" i="2"/>
  <c r="W6586" i="2"/>
  <c r="W6587" i="2"/>
  <c r="W6588" i="2"/>
  <c r="W6589" i="2"/>
  <c r="W6590" i="2"/>
  <c r="W6591" i="2"/>
  <c r="W6592" i="2"/>
  <c r="W6593" i="2"/>
  <c r="W6594" i="2"/>
  <c r="W6595" i="2"/>
  <c r="W6596" i="2"/>
  <c r="W6597" i="2"/>
  <c r="W6598" i="2"/>
  <c r="W6599" i="2"/>
  <c r="W6600" i="2"/>
  <c r="W6601" i="2"/>
  <c r="W6602" i="2"/>
  <c r="W6603" i="2"/>
  <c r="W6604" i="2"/>
  <c r="W6605" i="2"/>
  <c r="W6606" i="2"/>
  <c r="W6607" i="2"/>
  <c r="W6608" i="2"/>
  <c r="W6609" i="2"/>
  <c r="W6610" i="2"/>
  <c r="W6611" i="2"/>
  <c r="W6612" i="2"/>
  <c r="W6613" i="2"/>
  <c r="W6614" i="2"/>
  <c r="W6615" i="2"/>
  <c r="W6616" i="2"/>
  <c r="W6617" i="2"/>
  <c r="W6618" i="2"/>
  <c r="W6619" i="2"/>
  <c r="W6620" i="2"/>
  <c r="W6621" i="2"/>
  <c r="W6622" i="2"/>
  <c r="W6623" i="2"/>
  <c r="W6624" i="2"/>
  <c r="W6625" i="2"/>
  <c r="W6626" i="2"/>
  <c r="W6627" i="2"/>
  <c r="W6628" i="2"/>
  <c r="W6629" i="2"/>
  <c r="W6630" i="2"/>
  <c r="W6631" i="2"/>
  <c r="W6632" i="2"/>
  <c r="W6633" i="2"/>
  <c r="W6634" i="2"/>
  <c r="W6635" i="2"/>
  <c r="W6636" i="2"/>
  <c r="W6637" i="2"/>
  <c r="W6638" i="2"/>
  <c r="W6639" i="2"/>
  <c r="W6640" i="2"/>
  <c r="W6641" i="2"/>
  <c r="W6642" i="2"/>
  <c r="W6643" i="2"/>
  <c r="W6644" i="2"/>
  <c r="W6645" i="2"/>
  <c r="W6646" i="2"/>
  <c r="W6647" i="2"/>
  <c r="W6648" i="2"/>
  <c r="W6649" i="2"/>
  <c r="W6650" i="2"/>
  <c r="W6651" i="2"/>
  <c r="W6652" i="2"/>
  <c r="W6653" i="2"/>
  <c r="W6654" i="2"/>
  <c r="W6655" i="2"/>
  <c r="W6656" i="2"/>
  <c r="W6657" i="2"/>
  <c r="W6658" i="2"/>
  <c r="W6659" i="2"/>
  <c r="W6660" i="2"/>
  <c r="W6661" i="2"/>
  <c r="W6662" i="2"/>
  <c r="W6663" i="2"/>
  <c r="W6664" i="2"/>
  <c r="W6665" i="2"/>
  <c r="W6666" i="2"/>
  <c r="W6667" i="2"/>
  <c r="W6668" i="2"/>
  <c r="W6669" i="2"/>
  <c r="W6670" i="2"/>
  <c r="W6671" i="2"/>
  <c r="W6672" i="2"/>
  <c r="W6673" i="2"/>
  <c r="W6674" i="2"/>
  <c r="W6675" i="2"/>
  <c r="W6676" i="2"/>
  <c r="W6677" i="2"/>
  <c r="W6678" i="2"/>
  <c r="W6679" i="2"/>
  <c r="W6680" i="2"/>
  <c r="W6681" i="2"/>
  <c r="W6682" i="2"/>
  <c r="W6683" i="2"/>
  <c r="W6684" i="2"/>
  <c r="W6685" i="2"/>
  <c r="W6686" i="2"/>
  <c r="W6687" i="2"/>
  <c r="W6688" i="2"/>
  <c r="W6689" i="2"/>
  <c r="W6690" i="2"/>
  <c r="W6691" i="2"/>
  <c r="W6692" i="2"/>
  <c r="W6693" i="2"/>
  <c r="W6694" i="2"/>
  <c r="W6695" i="2"/>
  <c r="W6696" i="2"/>
  <c r="W6697" i="2"/>
  <c r="W6698" i="2"/>
  <c r="W6699" i="2"/>
  <c r="W6700" i="2"/>
  <c r="W6701" i="2"/>
  <c r="W6702" i="2"/>
  <c r="W6703" i="2"/>
  <c r="W6704" i="2"/>
  <c r="W6705" i="2"/>
  <c r="W6706" i="2"/>
  <c r="W6707" i="2"/>
  <c r="W6708" i="2"/>
  <c r="W6709" i="2"/>
  <c r="W6710" i="2"/>
  <c r="W6711" i="2"/>
  <c r="W6712" i="2"/>
  <c r="W6713" i="2"/>
  <c r="W6714" i="2"/>
  <c r="W6715" i="2"/>
  <c r="W6716" i="2"/>
  <c r="W6717" i="2"/>
  <c r="W6718" i="2"/>
  <c r="W6719" i="2"/>
  <c r="W6720" i="2"/>
  <c r="W6721" i="2"/>
  <c r="W6722" i="2"/>
  <c r="W6723" i="2"/>
  <c r="W6724" i="2"/>
  <c r="W6725" i="2"/>
  <c r="W6726" i="2"/>
  <c r="W6727" i="2"/>
  <c r="W6728" i="2"/>
  <c r="W6729" i="2"/>
  <c r="W6730" i="2"/>
  <c r="W6731" i="2"/>
  <c r="W6732" i="2"/>
  <c r="W6733" i="2"/>
  <c r="W6734" i="2"/>
  <c r="W6735" i="2"/>
  <c r="W6736" i="2"/>
  <c r="W6737" i="2"/>
  <c r="W6738" i="2"/>
  <c r="W6739" i="2"/>
  <c r="W6740" i="2"/>
  <c r="W6741" i="2"/>
  <c r="W6742" i="2"/>
  <c r="W6743" i="2"/>
  <c r="W6744" i="2"/>
  <c r="W6745" i="2"/>
  <c r="W6746" i="2"/>
  <c r="W6747" i="2"/>
  <c r="W6748" i="2"/>
  <c r="W6749" i="2"/>
  <c r="W6750" i="2"/>
  <c r="W6751" i="2"/>
  <c r="W6752" i="2"/>
  <c r="W6753" i="2"/>
  <c r="W6754" i="2"/>
  <c r="W6755" i="2"/>
  <c r="W6756" i="2"/>
  <c r="W6757" i="2"/>
  <c r="W6758" i="2"/>
  <c r="W6759" i="2"/>
  <c r="W6760" i="2"/>
  <c r="W6761" i="2"/>
  <c r="W6762" i="2"/>
  <c r="W6763" i="2"/>
  <c r="W6764" i="2"/>
  <c r="W6765" i="2"/>
  <c r="W6766" i="2"/>
  <c r="W6767" i="2"/>
  <c r="W6768" i="2"/>
  <c r="W6769" i="2"/>
  <c r="W6770" i="2"/>
  <c r="W6771" i="2"/>
  <c r="W6772" i="2"/>
  <c r="W6773" i="2"/>
  <c r="W6774" i="2"/>
  <c r="W6775" i="2"/>
  <c r="W6776" i="2"/>
  <c r="W6777" i="2"/>
  <c r="W6778" i="2"/>
  <c r="W6779" i="2"/>
  <c r="W6780" i="2"/>
  <c r="W6781" i="2"/>
  <c r="W6782" i="2"/>
  <c r="W6783" i="2"/>
  <c r="W6784" i="2"/>
  <c r="W6785" i="2"/>
  <c r="W6786" i="2"/>
  <c r="W6787" i="2"/>
  <c r="W6788" i="2"/>
  <c r="W6789" i="2"/>
  <c r="W6790" i="2"/>
  <c r="W6791" i="2"/>
  <c r="W6792" i="2"/>
  <c r="W6793" i="2"/>
  <c r="W6794" i="2"/>
  <c r="W6795" i="2"/>
  <c r="W6796" i="2"/>
  <c r="W6797" i="2"/>
  <c r="W6798" i="2"/>
  <c r="W6799" i="2"/>
  <c r="W6800" i="2"/>
  <c r="W6801" i="2"/>
  <c r="W6802" i="2"/>
  <c r="W6803" i="2"/>
  <c r="W6804" i="2"/>
  <c r="W6805" i="2"/>
  <c r="W6806" i="2"/>
  <c r="W6807" i="2"/>
  <c r="W6808" i="2"/>
  <c r="W6809" i="2"/>
  <c r="W6810" i="2"/>
  <c r="W6811" i="2"/>
  <c r="W6812" i="2"/>
  <c r="W6813" i="2"/>
  <c r="W6814" i="2"/>
  <c r="W6815" i="2"/>
  <c r="W6816" i="2"/>
  <c r="W6817" i="2"/>
  <c r="W6818" i="2"/>
  <c r="W6819" i="2"/>
  <c r="W6820" i="2"/>
  <c r="W6821" i="2"/>
  <c r="W6822" i="2"/>
  <c r="W6823" i="2"/>
  <c r="W6824" i="2"/>
  <c r="W6825" i="2"/>
  <c r="W6826" i="2"/>
  <c r="W6827" i="2"/>
  <c r="W6828" i="2"/>
  <c r="W6829" i="2"/>
  <c r="W6830" i="2"/>
  <c r="W6831" i="2"/>
  <c r="W6832" i="2"/>
  <c r="W6833" i="2"/>
  <c r="W6834" i="2"/>
  <c r="W6835" i="2"/>
  <c r="W6836" i="2"/>
  <c r="W6837" i="2"/>
  <c r="W6838" i="2"/>
  <c r="W6839" i="2"/>
  <c r="W6840" i="2"/>
  <c r="W6841" i="2"/>
  <c r="W6842" i="2"/>
  <c r="W6843" i="2"/>
  <c r="W6844" i="2"/>
  <c r="W6845" i="2"/>
  <c r="W6846" i="2"/>
  <c r="W6847" i="2"/>
  <c r="W6848" i="2"/>
  <c r="W6849" i="2"/>
  <c r="W6850" i="2"/>
  <c r="W6851" i="2"/>
  <c r="W6852" i="2"/>
  <c r="W6853" i="2"/>
  <c r="W6854" i="2"/>
  <c r="W6855" i="2"/>
  <c r="W6856" i="2"/>
  <c r="W6857" i="2"/>
  <c r="W6858" i="2"/>
  <c r="W6859" i="2"/>
  <c r="W6860" i="2"/>
  <c r="W6861" i="2"/>
  <c r="W6862" i="2"/>
  <c r="W6863" i="2"/>
  <c r="W6864" i="2"/>
  <c r="W6865" i="2"/>
  <c r="W6866" i="2"/>
  <c r="W6867" i="2"/>
  <c r="W6868" i="2"/>
  <c r="W6869" i="2"/>
  <c r="W6870" i="2"/>
  <c r="W6871" i="2"/>
  <c r="W6872" i="2"/>
  <c r="W6873" i="2"/>
  <c r="W6874" i="2"/>
  <c r="W6875" i="2"/>
  <c r="W6876" i="2"/>
  <c r="W6877" i="2"/>
  <c r="W6878" i="2"/>
  <c r="W6879" i="2"/>
  <c r="W6880" i="2"/>
  <c r="W6881" i="2"/>
  <c r="W6882" i="2"/>
  <c r="W6883" i="2"/>
  <c r="W6884" i="2"/>
  <c r="W6885" i="2"/>
  <c r="W6886" i="2"/>
  <c r="W6887" i="2"/>
  <c r="W6888" i="2"/>
  <c r="W6889" i="2"/>
  <c r="W6890" i="2"/>
  <c r="W6891" i="2"/>
  <c r="W6892" i="2"/>
  <c r="W6893" i="2"/>
  <c r="W6894" i="2"/>
  <c r="W6895" i="2"/>
  <c r="W6896" i="2"/>
  <c r="W6897" i="2"/>
  <c r="W6898" i="2"/>
  <c r="W6899" i="2"/>
  <c r="W6900" i="2"/>
  <c r="W6901" i="2"/>
  <c r="W6902" i="2"/>
  <c r="W6903" i="2"/>
  <c r="W6904" i="2"/>
  <c r="W6905" i="2"/>
  <c r="W6906" i="2"/>
  <c r="W6907" i="2"/>
  <c r="W6908" i="2"/>
  <c r="W6909" i="2"/>
  <c r="W6910" i="2"/>
  <c r="W6911" i="2"/>
  <c r="W6912" i="2"/>
  <c r="W6913" i="2"/>
  <c r="W6914" i="2"/>
  <c r="W6915" i="2"/>
  <c r="W6916" i="2"/>
  <c r="W6917" i="2"/>
  <c r="W6918" i="2"/>
  <c r="W6919" i="2"/>
  <c r="W6920" i="2"/>
  <c r="W6921" i="2"/>
  <c r="W6922" i="2"/>
  <c r="W6923" i="2"/>
  <c r="W6924" i="2"/>
  <c r="W6925" i="2"/>
  <c r="W6926" i="2"/>
  <c r="W6927" i="2"/>
  <c r="W6928" i="2"/>
  <c r="W6929" i="2"/>
  <c r="W6930" i="2"/>
  <c r="W6931" i="2"/>
  <c r="W6932" i="2"/>
  <c r="W6933" i="2"/>
  <c r="W6934" i="2"/>
  <c r="W6935" i="2"/>
  <c r="W6936" i="2"/>
  <c r="W6937" i="2"/>
  <c r="W6938" i="2"/>
  <c r="W6939" i="2"/>
  <c r="W6940" i="2"/>
  <c r="W6941" i="2"/>
  <c r="W6942" i="2"/>
  <c r="W6943" i="2"/>
  <c r="W6944" i="2"/>
  <c r="W6945" i="2"/>
  <c r="W6946" i="2"/>
  <c r="W6947" i="2"/>
  <c r="W6948" i="2"/>
  <c r="W6949" i="2"/>
  <c r="W6950" i="2"/>
  <c r="W6951" i="2"/>
  <c r="W6952" i="2"/>
  <c r="W6953" i="2"/>
  <c r="W6954" i="2"/>
  <c r="W6955" i="2"/>
  <c r="W6956" i="2"/>
  <c r="W6957" i="2"/>
  <c r="W6958" i="2"/>
  <c r="W6959" i="2"/>
  <c r="W6960" i="2"/>
  <c r="W6961" i="2"/>
  <c r="W6962" i="2"/>
  <c r="W6963" i="2"/>
  <c r="W6964" i="2"/>
  <c r="W6965" i="2"/>
  <c r="W6966" i="2"/>
  <c r="W6967" i="2"/>
  <c r="W6968" i="2"/>
  <c r="W6969" i="2"/>
  <c r="W6970" i="2"/>
  <c r="W6971" i="2"/>
  <c r="W6972" i="2"/>
  <c r="W6973" i="2"/>
  <c r="W6974" i="2"/>
  <c r="W6975" i="2"/>
  <c r="W6976" i="2"/>
  <c r="W6977" i="2"/>
  <c r="W6978" i="2"/>
  <c r="W6979" i="2"/>
  <c r="W6980" i="2"/>
  <c r="W6981" i="2"/>
  <c r="W6982" i="2"/>
  <c r="W6983" i="2"/>
  <c r="W6984" i="2"/>
  <c r="W6985" i="2"/>
  <c r="W6986" i="2"/>
  <c r="W6987" i="2"/>
  <c r="W6988" i="2"/>
  <c r="W6989" i="2"/>
  <c r="W6990" i="2"/>
  <c r="W6991" i="2"/>
  <c r="W6992" i="2"/>
  <c r="W6993" i="2"/>
  <c r="W6994" i="2"/>
  <c r="W6995" i="2"/>
  <c r="W6996" i="2"/>
  <c r="W6997" i="2"/>
  <c r="W6998" i="2"/>
  <c r="W6999" i="2"/>
  <c r="W7000" i="2"/>
  <c r="W7001" i="2"/>
  <c r="W7002" i="2"/>
  <c r="W7003" i="2"/>
  <c r="W7004" i="2"/>
  <c r="W7005" i="2"/>
  <c r="W7006" i="2"/>
  <c r="W7007" i="2"/>
  <c r="W7008" i="2"/>
  <c r="W7009" i="2"/>
  <c r="W7010" i="2"/>
  <c r="W7011" i="2"/>
  <c r="W7012" i="2"/>
  <c r="W7013" i="2"/>
  <c r="W7014" i="2"/>
  <c r="W7015" i="2"/>
  <c r="W7016" i="2"/>
  <c r="W7017" i="2"/>
  <c r="W7018" i="2"/>
  <c r="W7019" i="2"/>
  <c r="W7020" i="2"/>
  <c r="W7021" i="2"/>
  <c r="W7022" i="2"/>
  <c r="W7023" i="2"/>
  <c r="W7024" i="2"/>
  <c r="W7025" i="2"/>
  <c r="W7026" i="2"/>
  <c r="W7027" i="2"/>
  <c r="W7028" i="2"/>
  <c r="W7029" i="2"/>
  <c r="W7030" i="2"/>
  <c r="W7031" i="2"/>
  <c r="W7032" i="2"/>
  <c r="W7033" i="2"/>
  <c r="W7034" i="2"/>
  <c r="W7035" i="2"/>
  <c r="W7036" i="2"/>
  <c r="W7037" i="2"/>
  <c r="W7038" i="2"/>
  <c r="W7039" i="2"/>
  <c r="W7040" i="2"/>
  <c r="W7041" i="2"/>
  <c r="W7042" i="2"/>
  <c r="W7043" i="2"/>
  <c r="W7044" i="2"/>
  <c r="W7045" i="2"/>
  <c r="W7046" i="2"/>
  <c r="W7047" i="2"/>
  <c r="W7048" i="2"/>
  <c r="W7049" i="2"/>
  <c r="W7050" i="2"/>
  <c r="W7051" i="2"/>
  <c r="W7052" i="2"/>
  <c r="W7053" i="2"/>
  <c r="W7054" i="2"/>
  <c r="W7055" i="2"/>
  <c r="W7056" i="2"/>
  <c r="W7057" i="2"/>
  <c r="W7058" i="2"/>
  <c r="W7059" i="2"/>
  <c r="W7060" i="2"/>
  <c r="W7061" i="2"/>
  <c r="W7062" i="2"/>
  <c r="W7063" i="2"/>
  <c r="W7064" i="2"/>
  <c r="W7065" i="2"/>
  <c r="W7066" i="2"/>
  <c r="W7067" i="2"/>
  <c r="W7068" i="2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1" i="2"/>
  <c r="W7092" i="2"/>
  <c r="W7093" i="2"/>
  <c r="W7094" i="2"/>
  <c r="W7095" i="2"/>
  <c r="W7096" i="2"/>
  <c r="W7097" i="2"/>
  <c r="W7098" i="2"/>
  <c r="W7099" i="2"/>
  <c r="W7100" i="2"/>
  <c r="W7101" i="2"/>
  <c r="W7102" i="2"/>
  <c r="W7103" i="2"/>
  <c r="W7104" i="2"/>
  <c r="W7105" i="2"/>
  <c r="W7106" i="2"/>
  <c r="W7107" i="2"/>
  <c r="W7108" i="2"/>
  <c r="W7109" i="2"/>
  <c r="W7110" i="2"/>
  <c r="W7111" i="2"/>
  <c r="W7112" i="2"/>
  <c r="W7113" i="2"/>
  <c r="W7114" i="2"/>
  <c r="W7115" i="2"/>
  <c r="W7116" i="2"/>
  <c r="W7117" i="2"/>
  <c r="W7118" i="2"/>
  <c r="W7119" i="2"/>
  <c r="W7120" i="2"/>
  <c r="W7121" i="2"/>
  <c r="W7122" i="2"/>
  <c r="W7123" i="2"/>
  <c r="W7124" i="2"/>
  <c r="W7125" i="2"/>
  <c r="W7126" i="2"/>
  <c r="W7127" i="2"/>
  <c r="W7128" i="2"/>
  <c r="W7129" i="2"/>
  <c r="W7130" i="2"/>
  <c r="W7131" i="2"/>
  <c r="W7132" i="2"/>
  <c r="W7133" i="2"/>
  <c r="W7134" i="2"/>
  <c r="W7135" i="2"/>
  <c r="W7136" i="2"/>
  <c r="W7137" i="2"/>
  <c r="W7138" i="2"/>
  <c r="W7139" i="2"/>
  <c r="W7140" i="2"/>
  <c r="W7141" i="2"/>
  <c r="W7142" i="2"/>
  <c r="W7143" i="2"/>
  <c r="W7144" i="2"/>
  <c r="W7145" i="2"/>
  <c r="W7146" i="2"/>
  <c r="W7147" i="2"/>
  <c r="W7148" i="2"/>
  <c r="W7149" i="2"/>
  <c r="W7150" i="2"/>
  <c r="W7151" i="2"/>
  <c r="W7152" i="2"/>
  <c r="W7153" i="2"/>
  <c r="W7154" i="2"/>
  <c r="W7155" i="2"/>
  <c r="W7156" i="2"/>
  <c r="W7157" i="2"/>
  <c r="W7158" i="2"/>
  <c r="W7159" i="2"/>
  <c r="W7160" i="2"/>
  <c r="W7161" i="2"/>
  <c r="W7162" i="2"/>
  <c r="W7163" i="2"/>
  <c r="W7164" i="2"/>
  <c r="W7165" i="2"/>
  <c r="W7166" i="2"/>
  <c r="W7167" i="2"/>
  <c r="W7168" i="2"/>
  <c r="W7169" i="2"/>
  <c r="W7170" i="2"/>
  <c r="W7171" i="2"/>
  <c r="W7172" i="2"/>
  <c r="W7173" i="2"/>
  <c r="W7174" i="2"/>
  <c r="W7175" i="2"/>
  <c r="W7176" i="2"/>
  <c r="W7177" i="2"/>
  <c r="W7178" i="2"/>
  <c r="W7179" i="2"/>
  <c r="W7180" i="2"/>
  <c r="W7181" i="2"/>
  <c r="W7182" i="2"/>
  <c r="W7183" i="2"/>
  <c r="W7184" i="2"/>
  <c r="W7185" i="2"/>
  <c r="W7186" i="2"/>
  <c r="W7187" i="2"/>
  <c r="W7188" i="2"/>
  <c r="W7189" i="2"/>
  <c r="W7190" i="2"/>
  <c r="W7191" i="2"/>
  <c r="W7192" i="2"/>
  <c r="W7193" i="2"/>
  <c r="W7194" i="2"/>
  <c r="W7195" i="2"/>
  <c r="W7196" i="2"/>
  <c r="W7197" i="2"/>
  <c r="W7198" i="2"/>
  <c r="W7199" i="2"/>
  <c r="W7200" i="2"/>
  <c r="W7201" i="2"/>
  <c r="W7202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5" i="2"/>
  <c r="W7216" i="2"/>
  <c r="W7217" i="2"/>
  <c r="W7218" i="2"/>
  <c r="W7219" i="2"/>
  <c r="W7220" i="2"/>
  <c r="W7221" i="2"/>
  <c r="W7222" i="2"/>
  <c r="W7223" i="2"/>
  <c r="W7224" i="2"/>
  <c r="W7225" i="2"/>
  <c r="W7226" i="2"/>
  <c r="W7227" i="2"/>
  <c r="W7228" i="2"/>
  <c r="W7229" i="2"/>
  <c r="W7230" i="2"/>
  <c r="W7231" i="2"/>
  <c r="W7232" i="2"/>
  <c r="W7233" i="2"/>
  <c r="W7234" i="2"/>
  <c r="W7235" i="2"/>
  <c r="W7236" i="2"/>
  <c r="W7237" i="2"/>
  <c r="W7238" i="2"/>
  <c r="W7239" i="2"/>
  <c r="W7240" i="2"/>
  <c r="W7241" i="2"/>
  <c r="W7242" i="2"/>
  <c r="W7243" i="2"/>
  <c r="W7244" i="2"/>
  <c r="W7245" i="2"/>
  <c r="W7246" i="2"/>
  <c r="W7247" i="2"/>
  <c r="W7248" i="2"/>
  <c r="W7249" i="2"/>
  <c r="W7250" i="2"/>
  <c r="W7251" i="2"/>
  <c r="W7252" i="2"/>
  <c r="W7253" i="2"/>
  <c r="W7254" i="2"/>
  <c r="W7255" i="2"/>
  <c r="W7256" i="2"/>
  <c r="W7257" i="2"/>
  <c r="W7258" i="2"/>
  <c r="W7259" i="2"/>
  <c r="W7260" i="2"/>
  <c r="W7261" i="2"/>
  <c r="W7262" i="2"/>
  <c r="W7263" i="2"/>
  <c r="W7264" i="2"/>
  <c r="W7265" i="2"/>
  <c r="W7266" i="2"/>
  <c r="W7267" i="2"/>
  <c r="W7268" i="2"/>
  <c r="W7269" i="2"/>
  <c r="W7270" i="2"/>
  <c r="W7271" i="2"/>
  <c r="W7272" i="2"/>
  <c r="W7273" i="2"/>
  <c r="W7274" i="2"/>
  <c r="W7275" i="2"/>
  <c r="W7276" i="2"/>
  <c r="W7277" i="2"/>
  <c r="W7278" i="2"/>
  <c r="W7279" i="2"/>
  <c r="W7280" i="2"/>
  <c r="W7281" i="2"/>
  <c r="W7282" i="2"/>
  <c r="W7283" i="2"/>
  <c r="W7284" i="2"/>
  <c r="W7285" i="2"/>
  <c r="W7286" i="2"/>
  <c r="W7287" i="2"/>
  <c r="W7288" i="2"/>
  <c r="W7289" i="2"/>
  <c r="W7290" i="2"/>
  <c r="W7291" i="2"/>
  <c r="W7292" i="2"/>
  <c r="W7293" i="2"/>
  <c r="W7294" i="2"/>
  <c r="W7295" i="2"/>
  <c r="W7296" i="2"/>
  <c r="W7297" i="2"/>
  <c r="W7298" i="2"/>
  <c r="W7299" i="2"/>
  <c r="W7300" i="2"/>
  <c r="W7301" i="2"/>
  <c r="W7302" i="2"/>
  <c r="W7303" i="2"/>
  <c r="W7304" i="2"/>
  <c r="W7305" i="2"/>
  <c r="W7306" i="2"/>
  <c r="W7307" i="2"/>
  <c r="W7308" i="2"/>
  <c r="W7309" i="2"/>
  <c r="W7310" i="2"/>
  <c r="W7311" i="2"/>
  <c r="W7312" i="2"/>
  <c r="W7313" i="2"/>
  <c r="W7314" i="2"/>
  <c r="W7315" i="2"/>
  <c r="W7316" i="2"/>
  <c r="W7317" i="2"/>
  <c r="W7318" i="2"/>
  <c r="W7319" i="2"/>
  <c r="W7320" i="2"/>
  <c r="W7321" i="2"/>
  <c r="W7322" i="2"/>
  <c r="W7323" i="2"/>
  <c r="W7324" i="2"/>
  <c r="W7325" i="2"/>
  <c r="W7326" i="2"/>
  <c r="W7327" i="2"/>
  <c r="W7328" i="2"/>
  <c r="W7329" i="2"/>
  <c r="W7330" i="2"/>
  <c r="W7331" i="2"/>
  <c r="W7332" i="2"/>
  <c r="W7333" i="2"/>
  <c r="W7334" i="2"/>
  <c r="W7335" i="2"/>
  <c r="W7336" i="2"/>
  <c r="W7337" i="2"/>
  <c r="W7338" i="2"/>
  <c r="W7339" i="2"/>
  <c r="W7340" i="2"/>
  <c r="W7341" i="2"/>
  <c r="W7342" i="2"/>
  <c r="W7343" i="2"/>
  <c r="W7344" i="2"/>
  <c r="W7345" i="2"/>
  <c r="W7346" i="2"/>
  <c r="W7347" i="2"/>
  <c r="W7348" i="2"/>
  <c r="W7349" i="2"/>
  <c r="W7350" i="2"/>
  <c r="W7351" i="2"/>
  <c r="W7352" i="2"/>
  <c r="W7353" i="2"/>
  <c r="W7354" i="2"/>
  <c r="W7355" i="2"/>
  <c r="W7356" i="2"/>
  <c r="W7357" i="2"/>
  <c r="W7358" i="2"/>
  <c r="W7359" i="2"/>
  <c r="W7360" i="2"/>
  <c r="W7361" i="2"/>
  <c r="W7362" i="2"/>
  <c r="W7363" i="2"/>
  <c r="W7364" i="2"/>
  <c r="W7365" i="2"/>
  <c r="W7366" i="2"/>
  <c r="W7367" i="2"/>
  <c r="W7368" i="2"/>
  <c r="W7369" i="2"/>
  <c r="W7370" i="2"/>
  <c r="W7371" i="2"/>
  <c r="W7372" i="2"/>
  <c r="W7373" i="2"/>
  <c r="W7374" i="2"/>
  <c r="W7375" i="2"/>
  <c r="W7376" i="2"/>
  <c r="W7377" i="2"/>
  <c r="W7378" i="2"/>
  <c r="W7379" i="2"/>
  <c r="W7380" i="2"/>
  <c r="W7381" i="2"/>
  <c r="W7382" i="2"/>
  <c r="W7383" i="2"/>
  <c r="W7384" i="2"/>
  <c r="W7385" i="2"/>
  <c r="W7386" i="2"/>
  <c r="W7387" i="2"/>
  <c r="W7388" i="2"/>
  <c r="W7389" i="2"/>
  <c r="W7390" i="2"/>
  <c r="W7391" i="2"/>
  <c r="W7392" i="2"/>
  <c r="W7393" i="2"/>
  <c r="W7394" i="2"/>
  <c r="W7395" i="2"/>
  <c r="W7396" i="2"/>
  <c r="W7397" i="2"/>
  <c r="W7398" i="2"/>
  <c r="W7399" i="2"/>
  <c r="W7400" i="2"/>
  <c r="W7401" i="2"/>
  <c r="W7402" i="2"/>
  <c r="W7403" i="2"/>
  <c r="W7404" i="2"/>
  <c r="W7405" i="2"/>
  <c r="W7406" i="2"/>
  <c r="W7407" i="2"/>
  <c r="W7408" i="2"/>
  <c r="W7409" i="2"/>
  <c r="W7410" i="2"/>
  <c r="W7411" i="2"/>
  <c r="W7412" i="2"/>
  <c r="W7413" i="2"/>
  <c r="W7414" i="2"/>
  <c r="W7415" i="2"/>
  <c r="W7416" i="2"/>
  <c r="W7417" i="2"/>
  <c r="W7418" i="2"/>
  <c r="W7419" i="2"/>
  <c r="W7420" i="2"/>
  <c r="W7421" i="2"/>
  <c r="W7422" i="2"/>
  <c r="W7423" i="2"/>
  <c r="W7424" i="2"/>
  <c r="W7425" i="2"/>
  <c r="W7426" i="2"/>
  <c r="W7427" i="2"/>
  <c r="W7428" i="2"/>
  <c r="W7429" i="2"/>
  <c r="W7430" i="2"/>
  <c r="W7431" i="2"/>
  <c r="W7432" i="2"/>
  <c r="W7433" i="2"/>
  <c r="W7434" i="2"/>
  <c r="W7435" i="2"/>
  <c r="W7436" i="2"/>
  <c r="W7437" i="2"/>
  <c r="W7438" i="2"/>
  <c r="W7439" i="2"/>
  <c r="W7440" i="2"/>
  <c r="W7441" i="2"/>
  <c r="W7442" i="2"/>
  <c r="W7443" i="2"/>
  <c r="W7444" i="2"/>
  <c r="W7445" i="2"/>
  <c r="W7446" i="2"/>
  <c r="W7447" i="2"/>
  <c r="W7448" i="2"/>
  <c r="W7449" i="2"/>
  <c r="W7450" i="2"/>
  <c r="W7451" i="2"/>
  <c r="W7452" i="2"/>
  <c r="W7453" i="2"/>
  <c r="W7454" i="2"/>
  <c r="W7455" i="2"/>
  <c r="W7456" i="2"/>
  <c r="W7457" i="2"/>
  <c r="W7458" i="2"/>
  <c r="W7459" i="2"/>
  <c r="W7460" i="2"/>
  <c r="W7461" i="2"/>
  <c r="W7462" i="2"/>
  <c r="W7463" i="2"/>
  <c r="W7464" i="2"/>
  <c r="W7465" i="2"/>
  <c r="W7466" i="2"/>
  <c r="W7467" i="2"/>
  <c r="W7468" i="2"/>
  <c r="W7469" i="2"/>
  <c r="W7470" i="2"/>
  <c r="W7471" i="2"/>
  <c r="W7472" i="2"/>
  <c r="W7473" i="2"/>
  <c r="W7474" i="2"/>
  <c r="W7475" i="2"/>
  <c r="W7476" i="2"/>
  <c r="W7477" i="2"/>
  <c r="W7478" i="2"/>
  <c r="W7479" i="2"/>
  <c r="W7480" i="2"/>
  <c r="W7481" i="2"/>
  <c r="W7482" i="2"/>
  <c r="W7483" i="2"/>
  <c r="W7484" i="2"/>
  <c r="W7485" i="2"/>
  <c r="W7486" i="2"/>
  <c r="W7487" i="2"/>
  <c r="W7488" i="2"/>
  <c r="W7489" i="2"/>
  <c r="W7490" i="2"/>
  <c r="W7491" i="2"/>
  <c r="W7492" i="2"/>
  <c r="W7493" i="2"/>
  <c r="W7494" i="2"/>
  <c r="W7495" i="2"/>
  <c r="W7496" i="2"/>
  <c r="W7497" i="2"/>
  <c r="W7498" i="2"/>
  <c r="W7499" i="2"/>
  <c r="W7500" i="2"/>
  <c r="W7501" i="2"/>
  <c r="W7502" i="2"/>
  <c r="W7503" i="2"/>
  <c r="W7504" i="2"/>
  <c r="W7505" i="2"/>
  <c r="W7506" i="2"/>
  <c r="W7507" i="2"/>
  <c r="W7508" i="2"/>
  <c r="W7509" i="2"/>
  <c r="W7510" i="2"/>
  <c r="W7511" i="2"/>
  <c r="W7512" i="2"/>
  <c r="W7513" i="2"/>
  <c r="W7514" i="2"/>
  <c r="W7515" i="2"/>
  <c r="W7516" i="2"/>
  <c r="W7517" i="2"/>
  <c r="W7518" i="2"/>
  <c r="W7519" i="2"/>
  <c r="W7520" i="2"/>
  <c r="W7521" i="2"/>
  <c r="W7522" i="2"/>
  <c r="W7523" i="2"/>
  <c r="W7524" i="2"/>
  <c r="W7525" i="2"/>
  <c r="W7526" i="2"/>
  <c r="W7527" i="2"/>
  <c r="W7528" i="2"/>
  <c r="W7529" i="2"/>
  <c r="W7530" i="2"/>
  <c r="W7531" i="2"/>
  <c r="W7532" i="2"/>
  <c r="W7533" i="2"/>
  <c r="W7534" i="2"/>
  <c r="W7535" i="2"/>
  <c r="W7536" i="2"/>
  <c r="W7537" i="2"/>
  <c r="W7538" i="2"/>
  <c r="W7539" i="2"/>
  <c r="W7540" i="2"/>
  <c r="W7541" i="2"/>
  <c r="W7542" i="2"/>
  <c r="W7543" i="2"/>
  <c r="W7544" i="2"/>
  <c r="W7545" i="2"/>
  <c r="W7546" i="2"/>
  <c r="W7547" i="2"/>
  <c r="W7548" i="2"/>
  <c r="W7549" i="2"/>
  <c r="W7550" i="2"/>
  <c r="W7551" i="2"/>
  <c r="W7552" i="2"/>
  <c r="W7553" i="2"/>
  <c r="W7554" i="2"/>
  <c r="W7555" i="2"/>
  <c r="W7556" i="2"/>
  <c r="W7557" i="2"/>
  <c r="W7558" i="2"/>
  <c r="W7559" i="2"/>
  <c r="W7560" i="2"/>
  <c r="W7561" i="2"/>
  <c r="W7562" i="2"/>
  <c r="W7563" i="2"/>
  <c r="W7564" i="2"/>
  <c r="W7565" i="2"/>
  <c r="W7566" i="2"/>
  <c r="W7567" i="2"/>
  <c r="W7568" i="2"/>
  <c r="W7569" i="2"/>
  <c r="W7570" i="2"/>
  <c r="W7571" i="2"/>
  <c r="W7572" i="2"/>
  <c r="W7573" i="2"/>
  <c r="W7574" i="2"/>
  <c r="W7575" i="2"/>
  <c r="W7576" i="2"/>
  <c r="W7577" i="2"/>
  <c r="W7578" i="2"/>
  <c r="W7579" i="2"/>
  <c r="W7580" i="2"/>
  <c r="W7581" i="2"/>
  <c r="W7582" i="2"/>
  <c r="W7583" i="2"/>
  <c r="W7584" i="2"/>
  <c r="W7585" i="2"/>
  <c r="W7586" i="2"/>
  <c r="W7587" i="2"/>
  <c r="W7588" i="2"/>
  <c r="W7589" i="2"/>
  <c r="W7590" i="2"/>
  <c r="W7591" i="2"/>
  <c r="W7592" i="2"/>
  <c r="W7593" i="2"/>
  <c r="W7594" i="2"/>
  <c r="W7595" i="2"/>
  <c r="W7596" i="2"/>
  <c r="W7597" i="2"/>
  <c r="W7598" i="2"/>
  <c r="W7599" i="2"/>
  <c r="W7600" i="2"/>
  <c r="W7601" i="2"/>
  <c r="W7602" i="2"/>
  <c r="W7603" i="2"/>
  <c r="W7604" i="2"/>
  <c r="W7605" i="2"/>
  <c r="W7606" i="2"/>
  <c r="W7607" i="2"/>
  <c r="W7608" i="2"/>
  <c r="W7609" i="2"/>
  <c r="W7610" i="2"/>
  <c r="W7611" i="2"/>
  <c r="W7612" i="2"/>
  <c r="W7613" i="2"/>
  <c r="W7614" i="2"/>
  <c r="W7615" i="2"/>
  <c r="W7616" i="2"/>
  <c r="W7617" i="2"/>
  <c r="W7618" i="2"/>
  <c r="W7619" i="2"/>
  <c r="W7620" i="2"/>
  <c r="W7621" i="2"/>
  <c r="W7622" i="2"/>
  <c r="W7623" i="2"/>
  <c r="W7624" i="2"/>
  <c r="W7625" i="2"/>
  <c r="W7626" i="2"/>
  <c r="W7627" i="2"/>
  <c r="W7628" i="2"/>
  <c r="W7629" i="2"/>
  <c r="W7630" i="2"/>
  <c r="W7631" i="2"/>
  <c r="W7632" i="2"/>
  <c r="W7633" i="2"/>
  <c r="W7634" i="2"/>
  <c r="W7635" i="2"/>
  <c r="W7636" i="2"/>
  <c r="W7637" i="2"/>
  <c r="W7638" i="2"/>
  <c r="W7639" i="2"/>
  <c r="W7640" i="2"/>
  <c r="W7641" i="2"/>
  <c r="W7642" i="2"/>
  <c r="W7643" i="2"/>
  <c r="W7644" i="2"/>
  <c r="W7645" i="2"/>
  <c r="W7646" i="2"/>
  <c r="W7647" i="2"/>
  <c r="W7648" i="2"/>
  <c r="W7649" i="2"/>
  <c r="W7650" i="2"/>
  <c r="W7651" i="2"/>
  <c r="W7652" i="2"/>
  <c r="W7653" i="2"/>
  <c r="W7654" i="2"/>
  <c r="W7655" i="2"/>
  <c r="W7656" i="2"/>
  <c r="W7657" i="2"/>
  <c r="W7658" i="2"/>
  <c r="W7659" i="2"/>
  <c r="W7660" i="2"/>
  <c r="W7661" i="2"/>
  <c r="W7662" i="2"/>
  <c r="W7663" i="2"/>
  <c r="W7664" i="2"/>
  <c r="W7665" i="2"/>
  <c r="W7666" i="2"/>
  <c r="W7667" i="2"/>
  <c r="W7668" i="2"/>
  <c r="W7669" i="2"/>
  <c r="W7670" i="2"/>
  <c r="W7671" i="2"/>
  <c r="W7672" i="2"/>
  <c r="W7673" i="2"/>
  <c r="W7674" i="2"/>
  <c r="W7675" i="2"/>
  <c r="W7676" i="2"/>
  <c r="W7677" i="2"/>
  <c r="W7678" i="2"/>
  <c r="W7679" i="2"/>
  <c r="W7680" i="2"/>
  <c r="W7681" i="2"/>
  <c r="W7682" i="2"/>
  <c r="W7683" i="2"/>
  <c r="W7684" i="2"/>
  <c r="W7685" i="2"/>
  <c r="W7686" i="2"/>
  <c r="W7687" i="2"/>
  <c r="W7688" i="2"/>
  <c r="W7689" i="2"/>
  <c r="W7690" i="2"/>
  <c r="W7691" i="2"/>
  <c r="W7692" i="2"/>
  <c r="W7693" i="2"/>
  <c r="W7694" i="2"/>
  <c r="W7695" i="2"/>
  <c r="W7696" i="2"/>
  <c r="W7697" i="2"/>
  <c r="W7698" i="2"/>
  <c r="W7699" i="2"/>
  <c r="W7700" i="2"/>
  <c r="W7701" i="2"/>
  <c r="W7702" i="2"/>
  <c r="W7703" i="2"/>
  <c r="W7704" i="2"/>
  <c r="W7705" i="2"/>
  <c r="W7706" i="2"/>
  <c r="W7707" i="2"/>
  <c r="W7708" i="2"/>
  <c r="W7709" i="2"/>
  <c r="W7710" i="2"/>
  <c r="W7711" i="2"/>
  <c r="W7712" i="2"/>
  <c r="W7713" i="2"/>
  <c r="W7714" i="2"/>
  <c r="W7715" i="2"/>
  <c r="W7716" i="2"/>
  <c r="W7717" i="2"/>
  <c r="W7718" i="2"/>
  <c r="W7719" i="2"/>
  <c r="W7720" i="2"/>
  <c r="W7721" i="2"/>
  <c r="W7722" i="2"/>
  <c r="W7723" i="2"/>
  <c r="W7724" i="2"/>
  <c r="W7725" i="2"/>
  <c r="W7726" i="2"/>
  <c r="W7727" i="2"/>
  <c r="W7728" i="2"/>
  <c r="W7729" i="2"/>
  <c r="W7730" i="2"/>
  <c r="W7731" i="2"/>
  <c r="W7732" i="2"/>
  <c r="W7733" i="2"/>
  <c r="W7734" i="2"/>
  <c r="W7735" i="2"/>
  <c r="W7736" i="2"/>
  <c r="W7737" i="2"/>
  <c r="W7738" i="2"/>
  <c r="W7739" i="2"/>
  <c r="W7740" i="2"/>
  <c r="W7741" i="2"/>
  <c r="W7742" i="2"/>
  <c r="W7743" i="2"/>
  <c r="W7744" i="2"/>
  <c r="W7745" i="2"/>
  <c r="W7746" i="2"/>
  <c r="W7747" i="2"/>
  <c r="W7748" i="2"/>
  <c r="W7749" i="2"/>
  <c r="W7750" i="2"/>
  <c r="W7751" i="2"/>
  <c r="W7752" i="2"/>
  <c r="W7753" i="2"/>
  <c r="W7754" i="2"/>
  <c r="W7755" i="2"/>
  <c r="W7756" i="2"/>
  <c r="W7757" i="2"/>
  <c r="W7758" i="2"/>
  <c r="W7759" i="2"/>
  <c r="W7760" i="2"/>
  <c r="W7761" i="2"/>
  <c r="W7762" i="2"/>
  <c r="W7763" i="2"/>
  <c r="W7764" i="2"/>
  <c r="W7765" i="2"/>
  <c r="W7766" i="2"/>
  <c r="W7767" i="2"/>
  <c r="W7768" i="2"/>
  <c r="W7769" i="2"/>
  <c r="W7770" i="2"/>
  <c r="W7771" i="2"/>
  <c r="W7772" i="2"/>
  <c r="W7773" i="2"/>
  <c r="W7774" i="2"/>
  <c r="W7775" i="2"/>
  <c r="W7776" i="2"/>
  <c r="W7777" i="2"/>
  <c r="W7778" i="2"/>
  <c r="W7779" i="2"/>
  <c r="W7780" i="2"/>
  <c r="W7781" i="2"/>
  <c r="W7782" i="2"/>
  <c r="W7783" i="2"/>
  <c r="W7784" i="2"/>
  <c r="W7785" i="2"/>
  <c r="W7786" i="2"/>
  <c r="W7787" i="2"/>
  <c r="W7788" i="2"/>
  <c r="W7789" i="2"/>
  <c r="W7790" i="2"/>
  <c r="W7791" i="2"/>
  <c r="W7792" i="2"/>
  <c r="W7793" i="2"/>
  <c r="W7794" i="2"/>
  <c r="W7795" i="2"/>
  <c r="W7796" i="2"/>
  <c r="W7797" i="2"/>
  <c r="W7798" i="2"/>
  <c r="W7799" i="2"/>
  <c r="W7800" i="2"/>
  <c r="W7801" i="2"/>
  <c r="W7802" i="2"/>
  <c r="W7803" i="2"/>
  <c r="W7804" i="2"/>
  <c r="W7805" i="2"/>
  <c r="W7806" i="2"/>
  <c r="W7807" i="2"/>
  <c r="W7808" i="2"/>
  <c r="W7809" i="2"/>
  <c r="W7810" i="2"/>
  <c r="W7811" i="2"/>
  <c r="W7812" i="2"/>
  <c r="W7813" i="2"/>
  <c r="W7814" i="2"/>
  <c r="W7815" i="2"/>
  <c r="W7816" i="2"/>
  <c r="W7817" i="2"/>
  <c r="W7818" i="2"/>
  <c r="W7819" i="2"/>
  <c r="W7820" i="2"/>
  <c r="W7821" i="2"/>
  <c r="W7822" i="2"/>
  <c r="W7823" i="2"/>
  <c r="W7824" i="2"/>
  <c r="W7825" i="2"/>
  <c r="W7826" i="2"/>
  <c r="W7827" i="2"/>
  <c r="W7828" i="2"/>
  <c r="W7829" i="2"/>
  <c r="W7830" i="2"/>
  <c r="W7831" i="2"/>
  <c r="W7832" i="2"/>
  <c r="W7833" i="2"/>
  <c r="W7834" i="2"/>
  <c r="W7835" i="2"/>
  <c r="W7836" i="2"/>
  <c r="W7837" i="2"/>
  <c r="W7838" i="2"/>
  <c r="W7839" i="2"/>
  <c r="W7840" i="2"/>
  <c r="W7841" i="2"/>
  <c r="W7842" i="2"/>
  <c r="W7843" i="2"/>
  <c r="W7844" i="2"/>
  <c r="W7845" i="2"/>
  <c r="W7846" i="2"/>
  <c r="W7847" i="2"/>
  <c r="W7848" i="2"/>
  <c r="W7849" i="2"/>
  <c r="W7850" i="2"/>
  <c r="W7851" i="2"/>
  <c r="W7852" i="2"/>
  <c r="W7853" i="2"/>
  <c r="W7854" i="2"/>
  <c r="W7855" i="2"/>
  <c r="W7856" i="2"/>
  <c r="W7857" i="2"/>
  <c r="W7858" i="2"/>
  <c r="W7859" i="2"/>
  <c r="W7860" i="2"/>
  <c r="W7861" i="2"/>
  <c r="W7862" i="2"/>
  <c r="W7863" i="2"/>
  <c r="W7864" i="2"/>
  <c r="W7865" i="2"/>
  <c r="W7866" i="2"/>
  <c r="W7867" i="2"/>
  <c r="W7868" i="2"/>
  <c r="W7869" i="2"/>
  <c r="W7870" i="2"/>
  <c r="W7871" i="2"/>
  <c r="W7872" i="2"/>
  <c r="W7873" i="2"/>
  <c r="W7874" i="2"/>
  <c r="W7875" i="2"/>
  <c r="W7876" i="2"/>
  <c r="W7877" i="2"/>
  <c r="W7878" i="2"/>
  <c r="W7879" i="2"/>
  <c r="W7880" i="2"/>
  <c r="W7881" i="2"/>
  <c r="W7882" i="2"/>
  <c r="W7883" i="2"/>
  <c r="W7884" i="2"/>
  <c r="W7885" i="2"/>
  <c r="W7886" i="2"/>
  <c r="W7887" i="2"/>
  <c r="W7888" i="2"/>
  <c r="W7889" i="2"/>
  <c r="W7890" i="2"/>
  <c r="W7891" i="2"/>
  <c r="W7892" i="2"/>
  <c r="W7893" i="2"/>
  <c r="W7894" i="2"/>
  <c r="W7895" i="2"/>
  <c r="W7896" i="2"/>
  <c r="W7897" i="2"/>
  <c r="W7898" i="2"/>
  <c r="W7899" i="2"/>
  <c r="W7900" i="2"/>
  <c r="W7901" i="2"/>
  <c r="W7902" i="2"/>
  <c r="W7903" i="2"/>
  <c r="W7904" i="2"/>
  <c r="W7905" i="2"/>
  <c r="W7906" i="2"/>
  <c r="W7907" i="2"/>
  <c r="W7908" i="2"/>
  <c r="W7909" i="2"/>
  <c r="W7910" i="2"/>
  <c r="W7911" i="2"/>
  <c r="W7912" i="2"/>
  <c r="W7913" i="2"/>
  <c r="W7914" i="2"/>
  <c r="W7915" i="2"/>
  <c r="W7916" i="2"/>
  <c r="W7917" i="2"/>
  <c r="W7918" i="2"/>
  <c r="W7919" i="2"/>
  <c r="W7920" i="2"/>
  <c r="W7921" i="2"/>
  <c r="W7922" i="2"/>
  <c r="W7923" i="2"/>
  <c r="W7924" i="2"/>
  <c r="W7925" i="2"/>
  <c r="W7926" i="2"/>
  <c r="W7927" i="2"/>
  <c r="W7928" i="2"/>
  <c r="W7929" i="2"/>
  <c r="W7930" i="2"/>
  <c r="W7931" i="2"/>
  <c r="W7932" i="2"/>
  <c r="W7933" i="2"/>
  <c r="W7934" i="2"/>
  <c r="W7935" i="2"/>
  <c r="W7936" i="2"/>
  <c r="W7937" i="2"/>
  <c r="W7938" i="2"/>
  <c r="W7939" i="2"/>
  <c r="W7940" i="2"/>
  <c r="W7941" i="2"/>
  <c r="W7942" i="2"/>
  <c r="W7943" i="2"/>
  <c r="W7944" i="2"/>
  <c r="W7945" i="2"/>
  <c r="W7946" i="2"/>
  <c r="W7947" i="2"/>
  <c r="W7948" i="2"/>
  <c r="W7949" i="2"/>
  <c r="W7950" i="2"/>
  <c r="W7951" i="2"/>
  <c r="W7952" i="2"/>
  <c r="W7953" i="2"/>
  <c r="W7954" i="2"/>
  <c r="W7955" i="2"/>
  <c r="W7956" i="2"/>
  <c r="W7957" i="2"/>
  <c r="W7958" i="2"/>
  <c r="W7959" i="2"/>
  <c r="W7960" i="2"/>
  <c r="W7961" i="2"/>
  <c r="W7962" i="2"/>
  <c r="W7963" i="2"/>
  <c r="W7964" i="2"/>
  <c r="W7965" i="2"/>
  <c r="W7966" i="2"/>
  <c r="W7967" i="2"/>
  <c r="W7968" i="2"/>
  <c r="W7969" i="2"/>
  <c r="W7970" i="2"/>
  <c r="W7971" i="2"/>
  <c r="W7972" i="2"/>
  <c r="W7973" i="2"/>
  <c r="W7974" i="2"/>
  <c r="W7975" i="2"/>
  <c r="W7976" i="2"/>
  <c r="W7977" i="2"/>
  <c r="W7978" i="2"/>
  <c r="W7979" i="2"/>
  <c r="W7980" i="2"/>
  <c r="W7981" i="2"/>
  <c r="W7982" i="2"/>
  <c r="W7983" i="2"/>
  <c r="W7984" i="2"/>
  <c r="W7985" i="2"/>
  <c r="W7986" i="2"/>
  <c r="W7987" i="2"/>
  <c r="W7988" i="2"/>
  <c r="W7989" i="2"/>
  <c r="W7990" i="2"/>
  <c r="W7991" i="2"/>
  <c r="W7992" i="2"/>
  <c r="W7993" i="2"/>
  <c r="W7994" i="2"/>
  <c r="W7995" i="2"/>
  <c r="W7996" i="2"/>
  <c r="W7997" i="2"/>
  <c r="W7998" i="2"/>
  <c r="W7999" i="2"/>
  <c r="W8000" i="2"/>
  <c r="W8001" i="2"/>
  <c r="W8002" i="2"/>
  <c r="W8003" i="2"/>
  <c r="W8004" i="2"/>
  <c r="W8005" i="2"/>
  <c r="W8006" i="2"/>
  <c r="W8007" i="2"/>
  <c r="W8008" i="2"/>
  <c r="W8009" i="2"/>
  <c r="W8010" i="2"/>
  <c r="W8011" i="2"/>
  <c r="W8012" i="2"/>
  <c r="W8013" i="2"/>
  <c r="W8014" i="2"/>
  <c r="W8015" i="2"/>
  <c r="W8016" i="2"/>
  <c r="W8017" i="2"/>
  <c r="W8018" i="2"/>
  <c r="W8019" i="2"/>
  <c r="W8020" i="2"/>
  <c r="W8021" i="2"/>
  <c r="W8022" i="2"/>
  <c r="W8023" i="2"/>
  <c r="W8024" i="2"/>
  <c r="W8025" i="2"/>
  <c r="W8026" i="2"/>
  <c r="W8027" i="2"/>
  <c r="W8028" i="2"/>
  <c r="W8029" i="2"/>
  <c r="W8030" i="2"/>
  <c r="W8031" i="2"/>
  <c r="W8032" i="2"/>
  <c r="W8033" i="2"/>
  <c r="W8034" i="2"/>
  <c r="W8035" i="2"/>
  <c r="W8036" i="2"/>
  <c r="W8037" i="2"/>
  <c r="W8038" i="2"/>
  <c r="W8039" i="2"/>
  <c r="W8040" i="2"/>
  <c r="W8041" i="2"/>
  <c r="W8042" i="2"/>
  <c r="W8043" i="2"/>
  <c r="W8044" i="2"/>
  <c r="W8045" i="2"/>
  <c r="W8046" i="2"/>
  <c r="W8047" i="2"/>
  <c r="W8048" i="2"/>
  <c r="W8049" i="2"/>
  <c r="W8050" i="2"/>
  <c r="W8051" i="2"/>
  <c r="W8052" i="2"/>
  <c r="W8053" i="2"/>
  <c r="W8054" i="2"/>
  <c r="W8055" i="2"/>
  <c r="W8056" i="2"/>
  <c r="W8057" i="2"/>
  <c r="W8058" i="2"/>
  <c r="W8059" i="2"/>
  <c r="W8060" i="2"/>
  <c r="W8061" i="2"/>
  <c r="W8062" i="2"/>
  <c r="W8063" i="2"/>
  <c r="W8064" i="2"/>
  <c r="W8065" i="2"/>
  <c r="W8066" i="2"/>
  <c r="W8067" i="2"/>
  <c r="W8068" i="2"/>
  <c r="W8069" i="2"/>
  <c r="W8070" i="2"/>
  <c r="W8071" i="2"/>
  <c r="W8072" i="2"/>
  <c r="W8073" i="2"/>
  <c r="W8074" i="2"/>
  <c r="W8075" i="2"/>
  <c r="W8076" i="2"/>
  <c r="W8077" i="2"/>
  <c r="W8078" i="2"/>
  <c r="W8079" i="2"/>
  <c r="W8080" i="2"/>
  <c r="W8081" i="2"/>
  <c r="W8082" i="2"/>
  <c r="W8083" i="2"/>
  <c r="W8084" i="2"/>
  <c r="W8085" i="2"/>
  <c r="W8086" i="2"/>
  <c r="W8087" i="2"/>
  <c r="W8088" i="2"/>
  <c r="W8089" i="2"/>
  <c r="W8090" i="2"/>
  <c r="W8091" i="2"/>
  <c r="W8092" i="2"/>
  <c r="W8093" i="2"/>
  <c r="W8094" i="2"/>
  <c r="W8095" i="2"/>
  <c r="W8096" i="2"/>
  <c r="W8097" i="2"/>
  <c r="W8098" i="2"/>
  <c r="W8099" i="2"/>
  <c r="W8100" i="2"/>
  <c r="W8101" i="2"/>
  <c r="W8102" i="2"/>
  <c r="W8103" i="2"/>
  <c r="W8104" i="2"/>
  <c r="W8105" i="2"/>
  <c r="W8106" i="2"/>
  <c r="W8107" i="2"/>
  <c r="W8108" i="2"/>
  <c r="W8109" i="2"/>
  <c r="W8110" i="2"/>
  <c r="W8111" i="2"/>
  <c r="W8112" i="2"/>
  <c r="W8113" i="2"/>
  <c r="W8114" i="2"/>
  <c r="W8115" i="2"/>
  <c r="W8116" i="2"/>
  <c r="W8117" i="2"/>
  <c r="W8118" i="2"/>
  <c r="W8119" i="2"/>
  <c r="W8120" i="2"/>
  <c r="W8121" i="2"/>
  <c r="W8122" i="2"/>
  <c r="W8123" i="2"/>
  <c r="W8124" i="2"/>
  <c r="W8125" i="2"/>
  <c r="W8126" i="2"/>
  <c r="W8127" i="2"/>
  <c r="W8128" i="2"/>
  <c r="W8129" i="2"/>
  <c r="W8130" i="2"/>
  <c r="W8131" i="2"/>
  <c r="W8132" i="2"/>
  <c r="W8133" i="2"/>
  <c r="W8134" i="2"/>
  <c r="W8135" i="2"/>
  <c r="W8136" i="2"/>
  <c r="W8137" i="2"/>
  <c r="W8138" i="2"/>
  <c r="W8139" i="2"/>
  <c r="W8140" i="2"/>
  <c r="W8141" i="2"/>
  <c r="W8142" i="2"/>
  <c r="W8143" i="2"/>
  <c r="W8144" i="2"/>
  <c r="W8145" i="2"/>
  <c r="W8146" i="2"/>
  <c r="W8147" i="2"/>
  <c r="W8148" i="2"/>
  <c r="W8149" i="2"/>
  <c r="W8150" i="2"/>
  <c r="W8151" i="2"/>
  <c r="W8152" i="2"/>
  <c r="W8153" i="2"/>
  <c r="W8154" i="2"/>
  <c r="W8155" i="2"/>
  <c r="W8156" i="2"/>
  <c r="W8157" i="2"/>
  <c r="W8158" i="2"/>
  <c r="W8159" i="2"/>
  <c r="W8160" i="2"/>
  <c r="W8161" i="2"/>
  <c r="W8162" i="2"/>
  <c r="W8163" i="2"/>
  <c r="W8164" i="2"/>
  <c r="W8165" i="2"/>
  <c r="W8166" i="2"/>
  <c r="W8167" i="2"/>
  <c r="W8168" i="2"/>
  <c r="W8169" i="2"/>
  <c r="W8170" i="2"/>
  <c r="W8171" i="2"/>
  <c r="W8172" i="2"/>
  <c r="W8173" i="2"/>
  <c r="W8174" i="2"/>
  <c r="W8175" i="2"/>
  <c r="W8176" i="2"/>
  <c r="W8177" i="2"/>
  <c r="W8178" i="2"/>
  <c r="W8179" i="2"/>
  <c r="W8180" i="2"/>
  <c r="W8181" i="2"/>
  <c r="W8182" i="2"/>
  <c r="W8183" i="2"/>
  <c r="W8184" i="2"/>
  <c r="W8185" i="2"/>
  <c r="W8186" i="2"/>
  <c r="W8187" i="2"/>
  <c r="W8188" i="2"/>
  <c r="W8189" i="2"/>
  <c r="W8190" i="2"/>
  <c r="W8191" i="2"/>
  <c r="W8192" i="2"/>
  <c r="W8193" i="2"/>
  <c r="W8194" i="2"/>
  <c r="W8195" i="2"/>
  <c r="W8196" i="2"/>
  <c r="W8197" i="2"/>
  <c r="W8198" i="2"/>
  <c r="W8199" i="2"/>
  <c r="W8200" i="2"/>
  <c r="W8201" i="2"/>
  <c r="W8202" i="2"/>
  <c r="W8203" i="2"/>
  <c r="W8204" i="2"/>
  <c r="W8205" i="2"/>
  <c r="W8206" i="2"/>
  <c r="W8207" i="2"/>
  <c r="W8208" i="2"/>
  <c r="W8209" i="2"/>
  <c r="W8210" i="2"/>
  <c r="W8211" i="2"/>
  <c r="W8212" i="2"/>
  <c r="W8213" i="2"/>
  <c r="W8214" i="2"/>
  <c r="W8215" i="2"/>
  <c r="W8216" i="2"/>
  <c r="W8217" i="2"/>
  <c r="W8218" i="2"/>
  <c r="W8219" i="2"/>
  <c r="W8220" i="2"/>
  <c r="W8221" i="2"/>
  <c r="W8222" i="2"/>
  <c r="W8223" i="2"/>
  <c r="W8224" i="2"/>
  <c r="W8225" i="2"/>
  <c r="W8226" i="2"/>
  <c r="W8227" i="2"/>
  <c r="W8228" i="2"/>
  <c r="W8229" i="2"/>
  <c r="W8230" i="2"/>
  <c r="W8231" i="2"/>
  <c r="W8232" i="2"/>
  <c r="W8233" i="2"/>
  <c r="W8234" i="2"/>
  <c r="W8235" i="2"/>
  <c r="W8236" i="2"/>
  <c r="W8237" i="2"/>
  <c r="W8238" i="2"/>
  <c r="W8239" i="2"/>
  <c r="W8240" i="2"/>
  <c r="W8241" i="2"/>
  <c r="W8242" i="2"/>
  <c r="W8243" i="2"/>
  <c r="W8244" i="2"/>
  <c r="W8245" i="2"/>
  <c r="W8246" i="2"/>
  <c r="W8247" i="2"/>
  <c r="W8248" i="2"/>
  <c r="W8249" i="2"/>
  <c r="W8250" i="2"/>
  <c r="W8251" i="2"/>
  <c r="W8252" i="2"/>
  <c r="W8253" i="2"/>
  <c r="W8254" i="2"/>
  <c r="W8255" i="2"/>
  <c r="W8256" i="2"/>
  <c r="W8257" i="2"/>
  <c r="W8258" i="2"/>
  <c r="W8259" i="2"/>
  <c r="W8260" i="2"/>
  <c r="W8261" i="2"/>
  <c r="W8262" i="2"/>
  <c r="W8263" i="2"/>
  <c r="W8264" i="2"/>
  <c r="W8265" i="2"/>
  <c r="W8266" i="2"/>
  <c r="W8267" i="2"/>
  <c r="W8268" i="2"/>
  <c r="W8269" i="2"/>
  <c r="W8270" i="2"/>
  <c r="W8271" i="2"/>
  <c r="W8272" i="2"/>
  <c r="W8273" i="2"/>
  <c r="W8274" i="2"/>
  <c r="W8275" i="2"/>
  <c r="W8276" i="2"/>
  <c r="W8277" i="2"/>
  <c r="W8278" i="2"/>
  <c r="W8279" i="2"/>
  <c r="W8280" i="2"/>
  <c r="W8281" i="2"/>
  <c r="W8282" i="2"/>
  <c r="W8283" i="2"/>
  <c r="W8284" i="2"/>
  <c r="W8285" i="2"/>
  <c r="W8286" i="2"/>
  <c r="W8287" i="2"/>
  <c r="W8288" i="2"/>
  <c r="W8289" i="2"/>
  <c r="W8290" i="2"/>
  <c r="W8291" i="2"/>
  <c r="W8292" i="2"/>
  <c r="W8293" i="2"/>
  <c r="W8294" i="2"/>
  <c r="W8295" i="2"/>
  <c r="W8296" i="2"/>
  <c r="W8297" i="2"/>
  <c r="W8298" i="2"/>
  <c r="W8299" i="2"/>
  <c r="W8300" i="2"/>
  <c r="W8301" i="2"/>
  <c r="W8302" i="2"/>
  <c r="W8303" i="2"/>
  <c r="W8304" i="2"/>
  <c r="W8305" i="2"/>
  <c r="W8306" i="2"/>
  <c r="W8307" i="2"/>
  <c r="W8308" i="2"/>
  <c r="W8309" i="2"/>
  <c r="W8310" i="2"/>
  <c r="W8311" i="2"/>
  <c r="W8312" i="2"/>
  <c r="W8313" i="2"/>
  <c r="W8314" i="2"/>
  <c r="W8315" i="2"/>
  <c r="W8316" i="2"/>
  <c r="W8317" i="2"/>
  <c r="W8318" i="2"/>
  <c r="W8319" i="2"/>
  <c r="W8320" i="2"/>
  <c r="W8321" i="2"/>
  <c r="W8322" i="2"/>
  <c r="W8323" i="2"/>
  <c r="W8324" i="2"/>
  <c r="W8325" i="2"/>
  <c r="W8326" i="2"/>
  <c r="W8327" i="2"/>
  <c r="W8328" i="2"/>
  <c r="W8329" i="2"/>
  <c r="W8330" i="2"/>
  <c r="W8331" i="2"/>
  <c r="W8332" i="2"/>
  <c r="W8333" i="2"/>
  <c r="W8334" i="2"/>
  <c r="W8335" i="2"/>
  <c r="W8336" i="2"/>
  <c r="W8337" i="2"/>
  <c r="W8338" i="2"/>
  <c r="W8339" i="2"/>
  <c r="W8340" i="2"/>
  <c r="W8341" i="2"/>
  <c r="W8342" i="2"/>
  <c r="W8343" i="2"/>
  <c r="W8344" i="2"/>
  <c r="W8345" i="2"/>
  <c r="W8346" i="2"/>
  <c r="W8347" i="2"/>
  <c r="W8348" i="2"/>
  <c r="W8349" i="2"/>
  <c r="W8350" i="2"/>
  <c r="W8351" i="2"/>
  <c r="W8352" i="2"/>
  <c r="W8353" i="2"/>
  <c r="W8354" i="2"/>
  <c r="W8355" i="2"/>
  <c r="W8356" i="2"/>
  <c r="W8357" i="2"/>
  <c r="W8358" i="2"/>
  <c r="W8359" i="2"/>
  <c r="W8360" i="2"/>
  <c r="W8361" i="2"/>
  <c r="W8362" i="2"/>
  <c r="W8363" i="2"/>
  <c r="W8364" i="2"/>
  <c r="W8365" i="2"/>
  <c r="W8366" i="2"/>
  <c r="W8367" i="2"/>
  <c r="W8368" i="2"/>
  <c r="W8369" i="2"/>
  <c r="W8370" i="2"/>
  <c r="W8371" i="2"/>
  <c r="W8372" i="2"/>
  <c r="W8373" i="2"/>
  <c r="W8374" i="2"/>
  <c r="W8375" i="2"/>
  <c r="W8376" i="2"/>
  <c r="W8377" i="2"/>
  <c r="W8378" i="2"/>
  <c r="W8379" i="2"/>
  <c r="W8380" i="2"/>
  <c r="W8381" i="2"/>
  <c r="W8382" i="2"/>
  <c r="W8383" i="2"/>
  <c r="W8384" i="2"/>
  <c r="W8385" i="2"/>
  <c r="W8386" i="2"/>
  <c r="W8387" i="2"/>
  <c r="W8388" i="2"/>
  <c r="W8389" i="2"/>
  <c r="W8390" i="2"/>
  <c r="W8391" i="2"/>
  <c r="W8392" i="2"/>
  <c r="W8393" i="2"/>
  <c r="W8394" i="2"/>
  <c r="W8395" i="2"/>
  <c r="W8396" i="2"/>
  <c r="W8397" i="2"/>
  <c r="W8398" i="2"/>
  <c r="W8399" i="2"/>
  <c r="W8400" i="2"/>
  <c r="W8401" i="2"/>
  <c r="W8402" i="2"/>
  <c r="W8403" i="2"/>
  <c r="W8404" i="2"/>
  <c r="W8405" i="2"/>
  <c r="W8406" i="2"/>
  <c r="W8407" i="2"/>
  <c r="W8408" i="2"/>
  <c r="W8409" i="2"/>
  <c r="W8410" i="2"/>
  <c r="W8411" i="2"/>
  <c r="W8412" i="2"/>
  <c r="W8413" i="2"/>
  <c r="W8414" i="2"/>
  <c r="W8415" i="2"/>
  <c r="W8416" i="2"/>
  <c r="W8417" i="2"/>
  <c r="W8418" i="2"/>
  <c r="W8419" i="2"/>
  <c r="W8420" i="2"/>
  <c r="W8421" i="2"/>
  <c r="W8422" i="2"/>
  <c r="W8423" i="2"/>
  <c r="W8424" i="2"/>
  <c r="W8425" i="2"/>
  <c r="W8426" i="2"/>
  <c r="W8427" i="2"/>
  <c r="W8428" i="2"/>
  <c r="W8429" i="2"/>
  <c r="W8430" i="2"/>
  <c r="W8431" i="2"/>
  <c r="W8432" i="2"/>
  <c r="W8433" i="2"/>
  <c r="W8434" i="2"/>
  <c r="W8435" i="2"/>
  <c r="W8436" i="2"/>
  <c r="W8437" i="2"/>
  <c r="W8438" i="2"/>
  <c r="W8439" i="2"/>
  <c r="W8440" i="2"/>
  <c r="W8441" i="2"/>
  <c r="W8442" i="2"/>
  <c r="W8443" i="2"/>
  <c r="W8444" i="2"/>
  <c r="W8445" i="2"/>
  <c r="W8446" i="2"/>
  <c r="W8447" i="2"/>
  <c r="W8448" i="2"/>
  <c r="W8449" i="2"/>
  <c r="W8450" i="2"/>
  <c r="W8451" i="2"/>
  <c r="W8452" i="2"/>
  <c r="W8453" i="2"/>
  <c r="W8454" i="2"/>
  <c r="W8455" i="2"/>
  <c r="W8456" i="2"/>
  <c r="W8457" i="2"/>
  <c r="W8458" i="2"/>
  <c r="W8459" i="2"/>
  <c r="W8460" i="2"/>
  <c r="W8461" i="2"/>
  <c r="W8462" i="2"/>
  <c r="W8463" i="2"/>
  <c r="W8464" i="2"/>
  <c r="W8465" i="2"/>
  <c r="W8466" i="2"/>
  <c r="W8467" i="2"/>
  <c r="W8468" i="2"/>
  <c r="W8469" i="2"/>
  <c r="W8470" i="2"/>
  <c r="W8471" i="2"/>
  <c r="W8472" i="2"/>
  <c r="W8473" i="2"/>
  <c r="W8474" i="2"/>
  <c r="W8475" i="2"/>
  <c r="W8476" i="2"/>
  <c r="W8477" i="2"/>
  <c r="W8478" i="2"/>
  <c r="W8479" i="2"/>
  <c r="W8480" i="2"/>
  <c r="W8481" i="2"/>
  <c r="W8482" i="2"/>
  <c r="W8483" i="2"/>
  <c r="W8484" i="2"/>
  <c r="W8485" i="2"/>
  <c r="W8486" i="2"/>
  <c r="W8487" i="2"/>
  <c r="W8488" i="2"/>
  <c r="W8489" i="2"/>
  <c r="W8490" i="2"/>
  <c r="W8491" i="2"/>
  <c r="W8492" i="2"/>
  <c r="W8493" i="2"/>
  <c r="W8494" i="2"/>
  <c r="W8495" i="2"/>
  <c r="W8496" i="2"/>
  <c r="W8497" i="2"/>
  <c r="W8498" i="2"/>
  <c r="W8499" i="2"/>
  <c r="W8500" i="2"/>
  <c r="W8501" i="2"/>
  <c r="W8502" i="2"/>
  <c r="W8503" i="2"/>
  <c r="W8504" i="2"/>
  <c r="W8505" i="2"/>
  <c r="W8506" i="2"/>
  <c r="W8507" i="2"/>
  <c r="W8508" i="2"/>
  <c r="W8509" i="2"/>
  <c r="W8510" i="2"/>
  <c r="W8511" i="2"/>
  <c r="W8512" i="2"/>
  <c r="W8513" i="2"/>
  <c r="W8514" i="2"/>
  <c r="W8515" i="2"/>
  <c r="W8516" i="2"/>
  <c r="W8517" i="2"/>
  <c r="W8518" i="2"/>
  <c r="W8519" i="2"/>
  <c r="W8520" i="2"/>
  <c r="W8521" i="2"/>
  <c r="W8522" i="2"/>
  <c r="W8523" i="2"/>
  <c r="W8524" i="2"/>
  <c r="W8525" i="2"/>
  <c r="W8526" i="2"/>
  <c r="W8527" i="2"/>
  <c r="W8528" i="2"/>
  <c r="W8529" i="2"/>
  <c r="W8530" i="2"/>
  <c r="W8531" i="2"/>
  <c r="W8532" i="2"/>
  <c r="W8533" i="2"/>
  <c r="W8534" i="2"/>
  <c r="W8535" i="2"/>
  <c r="W8536" i="2"/>
  <c r="W8537" i="2"/>
  <c r="W8538" i="2"/>
  <c r="W8539" i="2"/>
  <c r="W8540" i="2"/>
  <c r="W8541" i="2"/>
  <c r="W8542" i="2"/>
  <c r="W8543" i="2"/>
  <c r="W8544" i="2"/>
  <c r="W8545" i="2"/>
  <c r="W8546" i="2"/>
  <c r="W8547" i="2"/>
  <c r="W8548" i="2"/>
  <c r="W8549" i="2"/>
  <c r="W8550" i="2"/>
  <c r="W8551" i="2"/>
  <c r="W8552" i="2"/>
  <c r="W8553" i="2"/>
  <c r="W8554" i="2"/>
  <c r="W8555" i="2"/>
  <c r="W8556" i="2"/>
  <c r="W8557" i="2"/>
  <c r="W8558" i="2"/>
  <c r="W8559" i="2"/>
  <c r="W8560" i="2"/>
  <c r="W8561" i="2"/>
  <c r="W8562" i="2"/>
  <c r="W8563" i="2"/>
  <c r="W8564" i="2"/>
  <c r="W8565" i="2"/>
  <c r="W8566" i="2"/>
  <c r="W8567" i="2"/>
  <c r="W8568" i="2"/>
  <c r="W8569" i="2"/>
  <c r="W8570" i="2"/>
  <c r="W8571" i="2"/>
  <c r="W8572" i="2"/>
  <c r="W8573" i="2"/>
  <c r="W8574" i="2"/>
  <c r="W8575" i="2"/>
  <c r="W8576" i="2"/>
  <c r="W8577" i="2"/>
  <c r="W8578" i="2"/>
  <c r="W8579" i="2"/>
  <c r="W8580" i="2"/>
  <c r="W8581" i="2"/>
  <c r="W8582" i="2"/>
  <c r="W8583" i="2"/>
  <c r="W8584" i="2"/>
  <c r="W8585" i="2"/>
  <c r="W8586" i="2"/>
  <c r="W8587" i="2"/>
  <c r="W8588" i="2"/>
  <c r="W8589" i="2"/>
  <c r="W8590" i="2"/>
  <c r="W8591" i="2"/>
  <c r="W8592" i="2"/>
  <c r="W8593" i="2"/>
  <c r="W8594" i="2"/>
  <c r="W8595" i="2"/>
  <c r="W8596" i="2"/>
  <c r="W8597" i="2"/>
  <c r="W8598" i="2"/>
  <c r="W8599" i="2"/>
  <c r="W8600" i="2"/>
  <c r="W8601" i="2"/>
  <c r="W8602" i="2"/>
  <c r="W8603" i="2"/>
  <c r="W8604" i="2"/>
  <c r="W8605" i="2"/>
  <c r="W8606" i="2"/>
  <c r="W8607" i="2"/>
  <c r="W8608" i="2"/>
  <c r="W8609" i="2"/>
  <c r="W8610" i="2"/>
  <c r="W8611" i="2"/>
  <c r="W8612" i="2"/>
  <c r="W8613" i="2"/>
  <c r="W8614" i="2"/>
  <c r="W8615" i="2"/>
  <c r="W8616" i="2"/>
  <c r="W8617" i="2"/>
  <c r="W8618" i="2"/>
  <c r="W8619" i="2"/>
  <c r="W8620" i="2"/>
  <c r="W8621" i="2"/>
  <c r="W8622" i="2"/>
  <c r="W8623" i="2"/>
  <c r="W8624" i="2"/>
  <c r="W8625" i="2"/>
  <c r="W8626" i="2"/>
  <c r="W8627" i="2"/>
  <c r="W8628" i="2"/>
  <c r="W8629" i="2"/>
  <c r="W8630" i="2"/>
  <c r="W8631" i="2"/>
  <c r="W8632" i="2"/>
  <c r="W8633" i="2"/>
  <c r="W8634" i="2"/>
  <c r="W8635" i="2"/>
  <c r="W8636" i="2"/>
  <c r="W8637" i="2"/>
  <c r="W8638" i="2"/>
  <c r="W8639" i="2"/>
  <c r="W8640" i="2"/>
  <c r="W8641" i="2"/>
  <c r="W8642" i="2"/>
  <c r="W8643" i="2"/>
  <c r="W8644" i="2"/>
  <c r="W8645" i="2"/>
  <c r="W8646" i="2"/>
  <c r="W8647" i="2"/>
  <c r="W8648" i="2"/>
  <c r="W8649" i="2"/>
  <c r="W8650" i="2"/>
  <c r="W8651" i="2"/>
  <c r="W8652" i="2"/>
  <c r="W8653" i="2"/>
  <c r="W8654" i="2"/>
  <c r="W8655" i="2"/>
  <c r="W8656" i="2"/>
  <c r="W8657" i="2"/>
  <c r="W8658" i="2"/>
  <c r="W8659" i="2"/>
  <c r="W8660" i="2"/>
  <c r="W8661" i="2"/>
  <c r="W8662" i="2"/>
  <c r="W8663" i="2"/>
  <c r="W8664" i="2"/>
  <c r="W8665" i="2"/>
  <c r="W8666" i="2"/>
  <c r="W8667" i="2"/>
  <c r="W8668" i="2"/>
  <c r="W8669" i="2"/>
  <c r="W8670" i="2"/>
  <c r="W8671" i="2"/>
  <c r="W8672" i="2"/>
  <c r="W8673" i="2"/>
  <c r="W8674" i="2"/>
  <c r="W8675" i="2"/>
  <c r="W8676" i="2"/>
  <c r="W8677" i="2"/>
  <c r="W8678" i="2"/>
  <c r="W8679" i="2"/>
  <c r="W8680" i="2"/>
  <c r="W8681" i="2"/>
  <c r="W8682" i="2"/>
  <c r="W8683" i="2"/>
  <c r="W8684" i="2"/>
  <c r="W8685" i="2"/>
  <c r="W8686" i="2"/>
  <c r="W8687" i="2"/>
  <c r="W8688" i="2"/>
  <c r="W8689" i="2"/>
  <c r="W8690" i="2"/>
  <c r="W8691" i="2"/>
  <c r="W8692" i="2"/>
  <c r="W8693" i="2"/>
  <c r="W8694" i="2"/>
  <c r="W8695" i="2"/>
  <c r="W8696" i="2"/>
  <c r="W8697" i="2"/>
  <c r="W8698" i="2"/>
  <c r="W8699" i="2"/>
  <c r="W8700" i="2"/>
  <c r="W8701" i="2"/>
  <c r="W8702" i="2"/>
  <c r="W8703" i="2"/>
  <c r="W8704" i="2"/>
  <c r="W8705" i="2"/>
  <c r="W8706" i="2"/>
  <c r="W8707" i="2"/>
  <c r="W8708" i="2"/>
  <c r="W8709" i="2"/>
  <c r="W8710" i="2"/>
  <c r="W8711" i="2"/>
  <c r="W8712" i="2"/>
  <c r="W8713" i="2"/>
  <c r="W8714" i="2"/>
  <c r="W8715" i="2"/>
  <c r="W8716" i="2"/>
  <c r="W8717" i="2"/>
  <c r="W8718" i="2"/>
  <c r="W8719" i="2"/>
  <c r="W8720" i="2"/>
  <c r="W8721" i="2"/>
  <c r="W8722" i="2"/>
  <c r="W8723" i="2"/>
  <c r="W8724" i="2"/>
  <c r="W8725" i="2"/>
  <c r="W8726" i="2"/>
  <c r="W8727" i="2"/>
  <c r="W8728" i="2"/>
  <c r="W8729" i="2"/>
  <c r="W8730" i="2"/>
  <c r="W8731" i="2"/>
  <c r="W8732" i="2"/>
  <c r="W8733" i="2"/>
  <c r="W8734" i="2"/>
  <c r="W8735" i="2"/>
  <c r="W8736" i="2"/>
  <c r="W8737" i="2"/>
  <c r="W8738" i="2"/>
  <c r="W8739" i="2"/>
  <c r="W8740" i="2"/>
  <c r="W8741" i="2"/>
  <c r="W8742" i="2"/>
  <c r="W8743" i="2"/>
  <c r="W8744" i="2"/>
  <c r="W8745" i="2"/>
  <c r="W8746" i="2"/>
  <c r="W8747" i="2"/>
  <c r="W8748" i="2"/>
  <c r="W8749" i="2"/>
  <c r="W8750" i="2"/>
  <c r="W8751" i="2"/>
  <c r="W8752" i="2"/>
  <c r="W8753" i="2"/>
  <c r="W8754" i="2"/>
  <c r="W8755" i="2"/>
  <c r="W8756" i="2"/>
  <c r="W8757" i="2"/>
  <c r="W8758" i="2"/>
  <c r="W8759" i="2"/>
  <c r="W8760" i="2"/>
  <c r="W8761" i="2"/>
  <c r="W8762" i="2"/>
  <c r="W8763" i="2"/>
  <c r="W8764" i="2"/>
  <c r="W8765" i="2"/>
  <c r="W8766" i="2"/>
  <c r="W8767" i="2"/>
  <c r="W8768" i="2"/>
  <c r="W8769" i="2"/>
  <c r="W8770" i="2"/>
  <c r="W8771" i="2"/>
  <c r="W8772" i="2"/>
  <c r="W8773" i="2"/>
  <c r="W8774" i="2"/>
  <c r="W8775" i="2"/>
  <c r="W8776" i="2"/>
  <c r="W8777" i="2"/>
  <c r="W8778" i="2"/>
  <c r="W8779" i="2"/>
  <c r="W8780" i="2"/>
  <c r="W8781" i="2"/>
  <c r="W8782" i="2"/>
  <c r="W8783" i="2"/>
  <c r="W8784" i="2"/>
  <c r="W8785" i="2"/>
  <c r="W8786" i="2"/>
  <c r="W8787" i="2"/>
  <c r="W8788" i="2"/>
  <c r="W8789" i="2"/>
  <c r="W8790" i="2"/>
  <c r="W8791" i="2"/>
  <c r="W8792" i="2"/>
  <c r="W8793" i="2"/>
  <c r="W8794" i="2"/>
  <c r="W8795" i="2"/>
  <c r="W8796" i="2"/>
  <c r="W8797" i="2"/>
  <c r="W8798" i="2"/>
  <c r="W8799" i="2"/>
  <c r="W8800" i="2"/>
  <c r="W8801" i="2"/>
  <c r="W8802" i="2"/>
  <c r="W8803" i="2"/>
  <c r="W8804" i="2"/>
  <c r="W8805" i="2"/>
  <c r="W8806" i="2"/>
  <c r="W8807" i="2"/>
  <c r="W8808" i="2"/>
  <c r="W8809" i="2"/>
  <c r="W8810" i="2"/>
  <c r="W8811" i="2"/>
  <c r="W8812" i="2"/>
  <c r="W8813" i="2"/>
  <c r="W8814" i="2"/>
  <c r="W8815" i="2"/>
  <c r="W8816" i="2"/>
  <c r="W8817" i="2"/>
  <c r="W8818" i="2"/>
  <c r="W8819" i="2"/>
  <c r="W8820" i="2"/>
  <c r="W8821" i="2"/>
  <c r="W8822" i="2"/>
  <c r="W8823" i="2"/>
  <c r="W8824" i="2"/>
  <c r="W8825" i="2"/>
  <c r="W8826" i="2"/>
  <c r="W8827" i="2"/>
  <c r="W8828" i="2"/>
  <c r="W8829" i="2"/>
  <c r="W8830" i="2"/>
  <c r="W8831" i="2"/>
  <c r="W8832" i="2"/>
  <c r="W8833" i="2"/>
  <c r="W8834" i="2"/>
  <c r="W8835" i="2"/>
  <c r="W8836" i="2"/>
  <c r="W8837" i="2"/>
  <c r="W8838" i="2"/>
  <c r="W8839" i="2"/>
  <c r="W8840" i="2"/>
  <c r="W8841" i="2"/>
  <c r="W8842" i="2"/>
  <c r="W8843" i="2"/>
  <c r="W8844" i="2"/>
  <c r="W8845" i="2"/>
  <c r="W8846" i="2"/>
  <c r="W8847" i="2"/>
  <c r="W8848" i="2"/>
  <c r="W8849" i="2"/>
  <c r="W8850" i="2"/>
  <c r="W8851" i="2"/>
  <c r="W8852" i="2"/>
  <c r="W8853" i="2"/>
  <c r="W8854" i="2"/>
  <c r="W8855" i="2"/>
  <c r="W8856" i="2"/>
  <c r="W8857" i="2"/>
  <c r="W8858" i="2"/>
  <c r="W8859" i="2"/>
  <c r="W8860" i="2"/>
  <c r="W8861" i="2"/>
  <c r="W8862" i="2"/>
  <c r="W8863" i="2"/>
  <c r="W8864" i="2"/>
  <c r="W8865" i="2"/>
  <c r="W8866" i="2"/>
  <c r="W8867" i="2"/>
  <c r="W8868" i="2"/>
  <c r="W8869" i="2"/>
  <c r="W8870" i="2"/>
  <c r="W8871" i="2"/>
  <c r="W8872" i="2"/>
  <c r="W8873" i="2"/>
  <c r="W8874" i="2"/>
  <c r="W8875" i="2"/>
  <c r="W8876" i="2"/>
  <c r="W8877" i="2"/>
  <c r="W8878" i="2"/>
  <c r="W8879" i="2"/>
  <c r="W8880" i="2"/>
  <c r="W8881" i="2"/>
  <c r="W8882" i="2"/>
  <c r="W8883" i="2"/>
  <c r="W8884" i="2"/>
  <c r="W8885" i="2"/>
  <c r="W8886" i="2"/>
  <c r="W8887" i="2"/>
  <c r="W8888" i="2"/>
  <c r="W8889" i="2"/>
  <c r="W8890" i="2"/>
  <c r="W8891" i="2"/>
  <c r="W8892" i="2"/>
  <c r="W8893" i="2"/>
  <c r="W8894" i="2"/>
  <c r="W8895" i="2"/>
  <c r="W8896" i="2"/>
  <c r="W8897" i="2"/>
  <c r="W8898" i="2"/>
  <c r="W8899" i="2"/>
  <c r="W8900" i="2"/>
  <c r="W8901" i="2"/>
  <c r="W8902" i="2"/>
  <c r="W8903" i="2"/>
  <c r="W8904" i="2"/>
  <c r="W8905" i="2"/>
  <c r="W8906" i="2"/>
  <c r="W8907" i="2"/>
  <c r="W8908" i="2"/>
  <c r="W8909" i="2"/>
  <c r="W8910" i="2"/>
  <c r="W8911" i="2"/>
  <c r="W8912" i="2"/>
  <c r="W8913" i="2"/>
  <c r="W8914" i="2"/>
  <c r="W8915" i="2"/>
  <c r="W8916" i="2"/>
  <c r="W8917" i="2"/>
  <c r="W8918" i="2"/>
  <c r="W8919" i="2"/>
  <c r="W8920" i="2"/>
  <c r="W8921" i="2"/>
  <c r="W8922" i="2"/>
  <c r="W8923" i="2"/>
  <c r="W8924" i="2"/>
  <c r="W8925" i="2"/>
  <c r="W8926" i="2"/>
  <c r="W8927" i="2"/>
  <c r="W8928" i="2"/>
  <c r="W8929" i="2"/>
  <c r="W8930" i="2"/>
  <c r="W8931" i="2"/>
  <c r="W8932" i="2"/>
  <c r="W8933" i="2"/>
  <c r="W8934" i="2"/>
  <c r="W8935" i="2"/>
  <c r="W8936" i="2"/>
  <c r="W8937" i="2"/>
  <c r="W8938" i="2"/>
  <c r="W8939" i="2"/>
  <c r="W8940" i="2"/>
  <c r="W8941" i="2"/>
  <c r="W8942" i="2"/>
  <c r="W8943" i="2"/>
  <c r="W8944" i="2"/>
  <c r="W8945" i="2"/>
  <c r="W8946" i="2"/>
  <c r="W8947" i="2"/>
  <c r="W8948" i="2"/>
  <c r="W8949" i="2"/>
  <c r="W8950" i="2"/>
  <c r="W8951" i="2"/>
  <c r="W8952" i="2"/>
  <c r="W8953" i="2"/>
  <c r="W8954" i="2"/>
  <c r="W8955" i="2"/>
  <c r="W8956" i="2"/>
  <c r="W8957" i="2"/>
  <c r="W8958" i="2"/>
  <c r="W8959" i="2"/>
  <c r="W8960" i="2"/>
  <c r="W8961" i="2"/>
  <c r="W8962" i="2"/>
  <c r="W8963" i="2"/>
  <c r="W8964" i="2"/>
  <c r="W8965" i="2"/>
  <c r="W8966" i="2"/>
  <c r="W8967" i="2"/>
  <c r="W8968" i="2"/>
  <c r="W8969" i="2"/>
  <c r="W8970" i="2"/>
  <c r="W8971" i="2"/>
  <c r="W8972" i="2"/>
  <c r="W8973" i="2"/>
  <c r="W8974" i="2"/>
  <c r="W8975" i="2"/>
  <c r="W8976" i="2"/>
  <c r="W8977" i="2"/>
  <c r="W8978" i="2"/>
  <c r="W8979" i="2"/>
  <c r="W8980" i="2"/>
  <c r="W8981" i="2"/>
  <c r="W8982" i="2"/>
  <c r="W8983" i="2"/>
  <c r="W8984" i="2"/>
  <c r="W8985" i="2"/>
  <c r="W8986" i="2"/>
  <c r="W8987" i="2"/>
  <c r="W8988" i="2"/>
  <c r="W8989" i="2"/>
  <c r="W8990" i="2"/>
  <c r="W8991" i="2"/>
  <c r="W8992" i="2"/>
  <c r="W8993" i="2"/>
  <c r="W8994" i="2"/>
  <c r="W8995" i="2"/>
  <c r="W8996" i="2"/>
  <c r="W8997" i="2"/>
  <c r="W8998" i="2"/>
  <c r="W8999" i="2"/>
  <c r="W9000" i="2"/>
  <c r="W9001" i="2"/>
  <c r="W9002" i="2"/>
  <c r="W9003" i="2"/>
  <c r="W9004" i="2"/>
  <c r="W9005" i="2"/>
  <c r="W9006" i="2"/>
  <c r="W9007" i="2"/>
  <c r="W9008" i="2"/>
  <c r="W9009" i="2"/>
  <c r="W9010" i="2"/>
  <c r="W9011" i="2"/>
  <c r="W9012" i="2"/>
  <c r="W9013" i="2"/>
  <c r="W9014" i="2"/>
  <c r="W9015" i="2"/>
  <c r="W9016" i="2"/>
  <c r="W9017" i="2"/>
  <c r="W9018" i="2"/>
  <c r="W9019" i="2"/>
  <c r="W9020" i="2"/>
  <c r="W9021" i="2"/>
  <c r="W9022" i="2"/>
  <c r="W9023" i="2"/>
  <c r="W9024" i="2"/>
  <c r="W9025" i="2"/>
  <c r="W9026" i="2"/>
  <c r="W9027" i="2"/>
  <c r="W9028" i="2"/>
  <c r="W9029" i="2"/>
  <c r="W9030" i="2"/>
  <c r="W9031" i="2"/>
  <c r="W9032" i="2"/>
  <c r="W9033" i="2"/>
  <c r="W9034" i="2"/>
  <c r="W9035" i="2"/>
  <c r="W9036" i="2"/>
  <c r="W9037" i="2"/>
  <c r="W9038" i="2"/>
  <c r="W9039" i="2"/>
  <c r="W9040" i="2"/>
  <c r="W9041" i="2"/>
  <c r="W9042" i="2"/>
  <c r="W9043" i="2"/>
  <c r="W9044" i="2"/>
  <c r="W9045" i="2"/>
  <c r="W9046" i="2"/>
  <c r="W9047" i="2"/>
  <c r="W9048" i="2"/>
  <c r="W9049" i="2"/>
  <c r="W9050" i="2"/>
  <c r="W9051" i="2"/>
  <c r="W9052" i="2"/>
  <c r="W9053" i="2"/>
  <c r="W9054" i="2"/>
  <c r="W9055" i="2"/>
  <c r="W9056" i="2"/>
  <c r="W9057" i="2"/>
  <c r="W9058" i="2"/>
  <c r="W9059" i="2"/>
  <c r="W9060" i="2"/>
  <c r="W9061" i="2"/>
  <c r="W9062" i="2"/>
  <c r="W9063" i="2"/>
  <c r="W9064" i="2"/>
  <c r="W9065" i="2"/>
  <c r="W9066" i="2"/>
  <c r="W9067" i="2"/>
  <c r="W9068" i="2"/>
  <c r="W9069" i="2"/>
  <c r="W9070" i="2"/>
  <c r="W9071" i="2"/>
  <c r="W9072" i="2"/>
  <c r="W9073" i="2"/>
  <c r="W9074" i="2"/>
  <c r="W9075" i="2"/>
  <c r="W9076" i="2"/>
  <c r="W9077" i="2"/>
  <c r="W9078" i="2"/>
  <c r="W9079" i="2"/>
  <c r="W9080" i="2"/>
  <c r="W9081" i="2"/>
  <c r="W9082" i="2"/>
  <c r="W9083" i="2"/>
  <c r="W9084" i="2"/>
  <c r="W9085" i="2"/>
  <c r="W9086" i="2"/>
  <c r="W9087" i="2"/>
  <c r="W9088" i="2"/>
  <c r="W9089" i="2"/>
  <c r="W9090" i="2"/>
  <c r="W9091" i="2"/>
  <c r="W9092" i="2"/>
  <c r="W9093" i="2"/>
  <c r="W9094" i="2"/>
  <c r="W9095" i="2"/>
  <c r="W9096" i="2"/>
  <c r="W9097" i="2"/>
  <c r="W9098" i="2"/>
  <c r="W9099" i="2"/>
  <c r="W9100" i="2"/>
  <c r="W9101" i="2"/>
  <c r="W9102" i="2"/>
  <c r="W9103" i="2"/>
  <c r="W9104" i="2"/>
  <c r="W9105" i="2"/>
  <c r="W9106" i="2"/>
  <c r="W9107" i="2"/>
  <c r="W9108" i="2"/>
  <c r="W9109" i="2"/>
  <c r="W9110" i="2"/>
  <c r="W9111" i="2"/>
  <c r="W9112" i="2"/>
  <c r="W9113" i="2"/>
  <c r="W9114" i="2"/>
  <c r="W9115" i="2"/>
  <c r="W9116" i="2"/>
  <c r="W9117" i="2"/>
  <c r="W9118" i="2"/>
  <c r="W9119" i="2"/>
  <c r="W9120" i="2"/>
  <c r="W9121" i="2"/>
  <c r="W9122" i="2"/>
  <c r="W9123" i="2"/>
  <c r="W9124" i="2"/>
  <c r="W9125" i="2"/>
  <c r="W9126" i="2"/>
  <c r="W9127" i="2"/>
  <c r="W9128" i="2"/>
  <c r="W9129" i="2"/>
  <c r="W9130" i="2"/>
  <c r="W9131" i="2"/>
  <c r="W9132" i="2"/>
  <c r="W9133" i="2"/>
  <c r="W9134" i="2"/>
  <c r="W9135" i="2"/>
  <c r="W9136" i="2"/>
  <c r="W9137" i="2"/>
  <c r="W9138" i="2"/>
  <c r="W9139" i="2"/>
  <c r="W9140" i="2"/>
  <c r="W9141" i="2"/>
  <c r="W9142" i="2"/>
  <c r="W9143" i="2"/>
  <c r="W9144" i="2"/>
  <c r="W9145" i="2"/>
  <c r="W9146" i="2"/>
  <c r="W9147" i="2"/>
  <c r="W9148" i="2"/>
  <c r="W9149" i="2"/>
  <c r="W9150" i="2"/>
  <c r="W9151" i="2"/>
  <c r="W9152" i="2"/>
  <c r="W9153" i="2"/>
  <c r="W9154" i="2"/>
  <c r="W9155" i="2"/>
  <c r="W9156" i="2"/>
  <c r="W9157" i="2"/>
  <c r="W9158" i="2"/>
  <c r="W9159" i="2"/>
  <c r="W9160" i="2"/>
  <c r="W9161" i="2"/>
  <c r="W9162" i="2"/>
  <c r="W9163" i="2"/>
  <c r="W9164" i="2"/>
  <c r="W9165" i="2"/>
  <c r="W9166" i="2"/>
  <c r="W9167" i="2"/>
  <c r="W9168" i="2"/>
  <c r="W9169" i="2"/>
  <c r="W9170" i="2"/>
  <c r="W9171" i="2"/>
  <c r="W9172" i="2"/>
  <c r="W9173" i="2"/>
  <c r="W9174" i="2"/>
  <c r="W9175" i="2"/>
  <c r="W9176" i="2"/>
  <c r="W9177" i="2"/>
  <c r="W9178" i="2"/>
  <c r="W9179" i="2"/>
  <c r="W9180" i="2"/>
  <c r="W9181" i="2"/>
  <c r="W9182" i="2"/>
  <c r="W9183" i="2"/>
  <c r="W9184" i="2"/>
  <c r="W9185" i="2"/>
  <c r="W9186" i="2"/>
  <c r="W9187" i="2"/>
  <c r="W9188" i="2"/>
  <c r="W9189" i="2"/>
  <c r="W9190" i="2"/>
  <c r="W9191" i="2"/>
  <c r="W9192" i="2"/>
  <c r="W9193" i="2"/>
  <c r="W9194" i="2"/>
  <c r="W9195" i="2"/>
  <c r="W9196" i="2"/>
  <c r="W9197" i="2"/>
  <c r="W9198" i="2"/>
  <c r="W9199" i="2"/>
  <c r="W9200" i="2"/>
  <c r="W9201" i="2"/>
  <c r="W9202" i="2"/>
  <c r="W9203" i="2"/>
  <c r="W9204" i="2"/>
  <c r="W9205" i="2"/>
  <c r="W9206" i="2"/>
  <c r="W9207" i="2"/>
  <c r="W9208" i="2"/>
  <c r="W9209" i="2"/>
  <c r="W9210" i="2"/>
  <c r="W9211" i="2"/>
  <c r="W9212" i="2"/>
  <c r="W9213" i="2"/>
  <c r="W9214" i="2"/>
  <c r="W9215" i="2"/>
  <c r="W9216" i="2"/>
  <c r="W9217" i="2"/>
  <c r="W9218" i="2"/>
  <c r="W9219" i="2"/>
  <c r="W9220" i="2"/>
  <c r="W9221" i="2"/>
  <c r="W9222" i="2"/>
  <c r="W9223" i="2"/>
  <c r="W9224" i="2"/>
  <c r="W9225" i="2"/>
  <c r="W9226" i="2"/>
  <c r="W9227" i="2"/>
  <c r="W9228" i="2"/>
  <c r="W9229" i="2"/>
  <c r="W9230" i="2"/>
  <c r="W9231" i="2"/>
  <c r="W9232" i="2"/>
  <c r="W9233" i="2"/>
  <c r="W9234" i="2"/>
  <c r="W9235" i="2"/>
  <c r="W9236" i="2"/>
  <c r="W9237" i="2"/>
  <c r="W9238" i="2"/>
  <c r="W9239" i="2"/>
  <c r="W9240" i="2"/>
  <c r="W9241" i="2"/>
  <c r="W9242" i="2"/>
  <c r="W9243" i="2"/>
  <c r="W9244" i="2"/>
  <c r="W9245" i="2"/>
  <c r="W9246" i="2"/>
  <c r="W9247" i="2"/>
  <c r="W9248" i="2"/>
  <c r="W9249" i="2"/>
  <c r="W9250" i="2"/>
  <c r="W9251" i="2"/>
  <c r="W9252" i="2"/>
  <c r="W9253" i="2"/>
  <c r="W9254" i="2"/>
  <c r="W9255" i="2"/>
  <c r="W9256" i="2"/>
  <c r="W9257" i="2"/>
  <c r="W9258" i="2"/>
  <c r="W9259" i="2"/>
  <c r="W9260" i="2"/>
  <c r="W9261" i="2"/>
  <c r="W9262" i="2"/>
  <c r="W9263" i="2"/>
  <c r="W9264" i="2"/>
  <c r="W9265" i="2"/>
  <c r="W9266" i="2"/>
  <c r="W9267" i="2"/>
  <c r="W9268" i="2"/>
  <c r="W9269" i="2"/>
  <c r="W9270" i="2"/>
  <c r="W9271" i="2"/>
  <c r="W9272" i="2"/>
  <c r="W9273" i="2"/>
  <c r="W9274" i="2"/>
  <c r="W9275" i="2"/>
  <c r="W9276" i="2"/>
  <c r="W9277" i="2"/>
  <c r="W9278" i="2"/>
  <c r="W9279" i="2"/>
  <c r="W9280" i="2"/>
  <c r="W9281" i="2"/>
  <c r="W9282" i="2"/>
  <c r="W9283" i="2"/>
  <c r="W9284" i="2"/>
  <c r="W9285" i="2"/>
  <c r="W9286" i="2"/>
  <c r="W9287" i="2"/>
  <c r="W9288" i="2"/>
  <c r="W9289" i="2"/>
  <c r="W9290" i="2"/>
  <c r="W9291" i="2"/>
  <c r="W9292" i="2"/>
  <c r="W9293" i="2"/>
  <c r="W9294" i="2"/>
  <c r="W9295" i="2"/>
  <c r="W9296" i="2"/>
  <c r="W9297" i="2"/>
  <c r="W9298" i="2"/>
  <c r="W9299" i="2"/>
  <c r="W9300" i="2"/>
  <c r="W9301" i="2"/>
  <c r="W9302" i="2"/>
  <c r="W9303" i="2"/>
  <c r="W9304" i="2"/>
  <c r="W9305" i="2"/>
  <c r="W9306" i="2"/>
  <c r="W9307" i="2"/>
  <c r="W9308" i="2"/>
  <c r="W9309" i="2"/>
  <c r="W9310" i="2"/>
  <c r="W9311" i="2"/>
  <c r="W9312" i="2"/>
  <c r="W9313" i="2"/>
  <c r="W9314" i="2"/>
  <c r="W9315" i="2"/>
  <c r="W9316" i="2"/>
  <c r="W9317" i="2"/>
  <c r="W9318" i="2"/>
  <c r="W9319" i="2"/>
  <c r="W9320" i="2"/>
  <c r="W9321" i="2"/>
  <c r="W9322" i="2"/>
  <c r="W9323" i="2"/>
  <c r="W9324" i="2"/>
  <c r="W9325" i="2"/>
  <c r="W9326" i="2"/>
  <c r="W9327" i="2"/>
  <c r="W9328" i="2"/>
  <c r="W9329" i="2"/>
  <c r="W9330" i="2"/>
  <c r="W9331" i="2"/>
  <c r="W9332" i="2"/>
  <c r="W9333" i="2"/>
  <c r="W9334" i="2"/>
  <c r="W9335" i="2"/>
  <c r="W9336" i="2"/>
  <c r="W9337" i="2"/>
  <c r="W9338" i="2"/>
  <c r="W9339" i="2"/>
  <c r="W9340" i="2"/>
  <c r="W9341" i="2"/>
  <c r="W9342" i="2"/>
  <c r="W9343" i="2"/>
  <c r="W9344" i="2"/>
  <c r="W9345" i="2"/>
  <c r="W9346" i="2"/>
  <c r="W9347" i="2"/>
  <c r="W9348" i="2"/>
  <c r="W9349" i="2"/>
  <c r="W9350" i="2"/>
  <c r="W9351" i="2"/>
  <c r="W9352" i="2"/>
  <c r="W9353" i="2"/>
  <c r="W9354" i="2"/>
  <c r="W9355" i="2"/>
  <c r="W9356" i="2"/>
  <c r="W9357" i="2"/>
  <c r="W9358" i="2"/>
  <c r="W9359" i="2"/>
  <c r="W9360" i="2"/>
  <c r="W9361" i="2"/>
  <c r="W9362" i="2"/>
  <c r="W9363" i="2"/>
  <c r="W9364" i="2"/>
  <c r="W9365" i="2"/>
  <c r="W9366" i="2"/>
  <c r="W9367" i="2"/>
  <c r="W9368" i="2"/>
  <c r="W9369" i="2"/>
  <c r="W9370" i="2"/>
  <c r="W9371" i="2"/>
  <c r="W9372" i="2"/>
  <c r="W9373" i="2"/>
  <c r="W9374" i="2"/>
  <c r="W9375" i="2"/>
  <c r="W9376" i="2"/>
  <c r="W9377" i="2"/>
  <c r="W9378" i="2"/>
  <c r="W9379" i="2"/>
  <c r="W9380" i="2"/>
  <c r="W9381" i="2"/>
  <c r="W9382" i="2"/>
  <c r="W9383" i="2"/>
  <c r="W9384" i="2"/>
  <c r="W9385" i="2"/>
  <c r="W9386" i="2"/>
  <c r="W9387" i="2"/>
  <c r="W9388" i="2"/>
  <c r="W9389" i="2"/>
  <c r="W9390" i="2"/>
  <c r="W9391" i="2"/>
  <c r="W9392" i="2"/>
  <c r="W9393" i="2"/>
  <c r="W9394" i="2"/>
  <c r="W9395" i="2"/>
  <c r="W9396" i="2"/>
  <c r="W9397" i="2"/>
  <c r="W9398" i="2"/>
  <c r="W9399" i="2"/>
  <c r="W9400" i="2"/>
  <c r="W9401" i="2"/>
  <c r="W9402" i="2"/>
  <c r="W9403" i="2"/>
  <c r="W9404" i="2"/>
  <c r="W9405" i="2"/>
  <c r="W9406" i="2"/>
  <c r="W9407" i="2"/>
  <c r="W9408" i="2"/>
  <c r="W9409" i="2"/>
  <c r="W9410" i="2"/>
  <c r="W9411" i="2"/>
  <c r="W9412" i="2"/>
  <c r="W9413" i="2"/>
  <c r="W9414" i="2"/>
  <c r="W9415" i="2"/>
  <c r="W9416" i="2"/>
  <c r="W9417" i="2"/>
  <c r="W9418" i="2"/>
  <c r="W9419" i="2"/>
  <c r="W9420" i="2"/>
  <c r="W9421" i="2"/>
  <c r="W9422" i="2"/>
  <c r="W9423" i="2"/>
  <c r="W9424" i="2"/>
  <c r="W9425" i="2"/>
  <c r="W9426" i="2"/>
  <c r="W9427" i="2"/>
  <c r="W9428" i="2"/>
  <c r="W9429" i="2"/>
  <c r="W9430" i="2"/>
  <c r="W9431" i="2"/>
  <c r="W9432" i="2"/>
  <c r="W9433" i="2"/>
  <c r="W9434" i="2"/>
  <c r="W9435" i="2"/>
  <c r="W9436" i="2"/>
  <c r="W9437" i="2"/>
  <c r="W9438" i="2"/>
  <c r="W9439" i="2"/>
  <c r="W9440" i="2"/>
  <c r="W9441" i="2"/>
  <c r="W9442" i="2"/>
  <c r="W9443" i="2"/>
  <c r="W9444" i="2"/>
  <c r="W9445" i="2"/>
  <c r="W9446" i="2"/>
  <c r="W9447" i="2"/>
  <c r="W9448" i="2"/>
  <c r="W9449" i="2"/>
  <c r="W9450" i="2"/>
  <c r="W9451" i="2"/>
  <c r="W9452" i="2"/>
  <c r="W9453" i="2"/>
  <c r="W9454" i="2"/>
  <c r="W9455" i="2"/>
  <c r="W9456" i="2"/>
  <c r="W9457" i="2"/>
  <c r="W9458" i="2"/>
  <c r="W9459" i="2"/>
  <c r="W9460" i="2"/>
  <c r="W9461" i="2"/>
  <c r="W9462" i="2"/>
  <c r="W9463" i="2"/>
  <c r="W9464" i="2"/>
  <c r="W9465" i="2"/>
  <c r="W9466" i="2"/>
  <c r="W9467" i="2"/>
  <c r="W9468" i="2"/>
  <c r="W9469" i="2"/>
  <c r="W9470" i="2"/>
  <c r="W9471" i="2"/>
  <c r="W9472" i="2"/>
  <c r="W9473" i="2"/>
  <c r="W9474" i="2"/>
  <c r="W9475" i="2"/>
  <c r="W9476" i="2"/>
  <c r="W9477" i="2"/>
  <c r="W9478" i="2"/>
  <c r="W9479" i="2"/>
  <c r="W9480" i="2"/>
  <c r="W9481" i="2"/>
  <c r="W9482" i="2"/>
  <c r="W9483" i="2"/>
  <c r="W9484" i="2"/>
  <c r="W9485" i="2"/>
  <c r="W9486" i="2"/>
  <c r="W9487" i="2"/>
  <c r="W9488" i="2"/>
  <c r="W9489" i="2"/>
  <c r="W9490" i="2"/>
  <c r="W9491" i="2"/>
  <c r="W9492" i="2"/>
  <c r="W9493" i="2"/>
  <c r="W9494" i="2"/>
  <c r="W9495" i="2"/>
  <c r="W9496" i="2"/>
  <c r="W9497" i="2"/>
  <c r="W9498" i="2"/>
  <c r="W9499" i="2"/>
  <c r="W9500" i="2"/>
  <c r="W9501" i="2"/>
  <c r="W9502" i="2"/>
  <c r="W9503" i="2"/>
  <c r="W9504" i="2"/>
  <c r="W9505" i="2"/>
  <c r="W9506" i="2"/>
  <c r="W9507" i="2"/>
  <c r="W9508" i="2"/>
  <c r="W9509" i="2"/>
  <c r="W9510" i="2"/>
  <c r="W9511" i="2"/>
  <c r="W9512" i="2"/>
  <c r="W9513" i="2"/>
  <c r="W9514" i="2"/>
  <c r="W9515" i="2"/>
  <c r="W9516" i="2"/>
  <c r="W9517" i="2"/>
  <c r="W9518" i="2"/>
  <c r="W9519" i="2"/>
  <c r="W9520" i="2"/>
  <c r="W9521" i="2"/>
  <c r="W9522" i="2"/>
  <c r="W9523" i="2"/>
  <c r="W9524" i="2"/>
  <c r="W9525" i="2"/>
  <c r="W9526" i="2"/>
  <c r="W9527" i="2"/>
  <c r="W9528" i="2"/>
  <c r="W9529" i="2"/>
  <c r="W9530" i="2"/>
  <c r="W9531" i="2"/>
  <c r="W9532" i="2"/>
  <c r="W9533" i="2"/>
  <c r="W9534" i="2"/>
  <c r="W9535" i="2"/>
  <c r="W9536" i="2"/>
  <c r="W9537" i="2"/>
  <c r="W9538" i="2"/>
  <c r="W9539" i="2"/>
  <c r="W9540" i="2"/>
  <c r="W9541" i="2"/>
  <c r="W9542" i="2"/>
  <c r="W9543" i="2"/>
  <c r="W9544" i="2"/>
  <c r="W9545" i="2"/>
  <c r="W9546" i="2"/>
  <c r="W9547" i="2"/>
  <c r="W9548" i="2"/>
  <c r="W9549" i="2"/>
  <c r="W9550" i="2"/>
  <c r="W9551" i="2"/>
  <c r="W9552" i="2"/>
  <c r="W9553" i="2"/>
  <c r="W9554" i="2"/>
  <c r="W9555" i="2"/>
  <c r="W9556" i="2"/>
  <c r="W9557" i="2"/>
  <c r="W9558" i="2"/>
  <c r="W9559" i="2"/>
  <c r="W9560" i="2"/>
  <c r="W9561" i="2"/>
  <c r="W9562" i="2"/>
  <c r="W9563" i="2"/>
  <c r="W9564" i="2"/>
  <c r="W9565" i="2"/>
  <c r="W9566" i="2"/>
  <c r="W9567" i="2"/>
  <c r="W9568" i="2"/>
  <c r="W9569" i="2"/>
  <c r="W9570" i="2"/>
  <c r="W9571" i="2"/>
  <c r="W9572" i="2"/>
  <c r="W9573" i="2"/>
  <c r="W9574" i="2"/>
  <c r="W9575" i="2"/>
  <c r="W9576" i="2"/>
  <c r="W9577" i="2"/>
  <c r="W9578" i="2"/>
  <c r="W9579" i="2"/>
  <c r="W9580" i="2"/>
  <c r="W9581" i="2"/>
  <c r="W9582" i="2"/>
  <c r="W9583" i="2"/>
  <c r="W9584" i="2"/>
  <c r="W9585" i="2"/>
  <c r="W9586" i="2"/>
  <c r="W9587" i="2"/>
  <c r="W9588" i="2"/>
  <c r="W9589" i="2"/>
  <c r="W9590" i="2"/>
  <c r="W9591" i="2"/>
  <c r="W9592" i="2"/>
  <c r="W9593" i="2"/>
  <c r="W9594" i="2"/>
  <c r="W9595" i="2"/>
  <c r="W9596" i="2"/>
  <c r="W9597" i="2"/>
  <c r="W9598" i="2"/>
  <c r="W9599" i="2"/>
  <c r="W9600" i="2"/>
  <c r="W9601" i="2"/>
  <c r="W9602" i="2"/>
  <c r="W9603" i="2"/>
  <c r="W9604" i="2"/>
  <c r="W9605" i="2"/>
  <c r="W9606" i="2"/>
  <c r="W9607" i="2"/>
  <c r="W9608" i="2"/>
  <c r="W9609" i="2"/>
  <c r="W9610" i="2"/>
  <c r="W9611" i="2"/>
  <c r="W9612" i="2"/>
  <c r="W9613" i="2"/>
  <c r="W9614" i="2"/>
  <c r="W9615" i="2"/>
  <c r="W9616" i="2"/>
  <c r="W9617" i="2"/>
  <c r="W9618" i="2"/>
  <c r="W9619" i="2"/>
  <c r="W9620" i="2"/>
  <c r="W9621" i="2"/>
  <c r="W9622" i="2"/>
  <c r="W9623" i="2"/>
  <c r="W9624" i="2"/>
  <c r="W9625" i="2"/>
  <c r="W9626" i="2"/>
  <c r="W9627" i="2"/>
  <c r="W9628" i="2"/>
  <c r="W9629" i="2"/>
  <c r="W9630" i="2"/>
  <c r="W9631" i="2"/>
  <c r="W9632" i="2"/>
  <c r="W9633" i="2"/>
  <c r="W9634" i="2"/>
  <c r="W9635" i="2"/>
  <c r="W9636" i="2"/>
  <c r="W9637" i="2"/>
  <c r="W9638" i="2"/>
  <c r="W9639" i="2"/>
  <c r="W9640" i="2"/>
  <c r="W9641" i="2"/>
  <c r="W9642" i="2"/>
  <c r="W9643" i="2"/>
  <c r="W9644" i="2"/>
  <c r="W9645" i="2"/>
  <c r="W9646" i="2"/>
  <c r="W9647" i="2"/>
  <c r="W9648" i="2"/>
  <c r="W9649" i="2"/>
  <c r="W9650" i="2"/>
  <c r="W9651" i="2"/>
  <c r="W9652" i="2"/>
  <c r="W9653" i="2"/>
  <c r="W9654" i="2"/>
  <c r="W9655" i="2"/>
  <c r="W9656" i="2"/>
  <c r="W9657" i="2"/>
  <c r="W9658" i="2"/>
  <c r="W9659" i="2"/>
  <c r="W9660" i="2"/>
  <c r="W9661" i="2"/>
  <c r="W9662" i="2"/>
  <c r="W9663" i="2"/>
  <c r="W9664" i="2"/>
  <c r="W9665" i="2"/>
  <c r="W9666" i="2"/>
  <c r="W9667" i="2"/>
  <c r="W9668" i="2"/>
  <c r="W9669" i="2"/>
  <c r="W9670" i="2"/>
  <c r="W9671" i="2"/>
  <c r="W9672" i="2"/>
  <c r="W9673" i="2"/>
  <c r="W9674" i="2"/>
  <c r="W9675" i="2"/>
  <c r="W9676" i="2"/>
  <c r="W9677" i="2"/>
  <c r="W9678" i="2"/>
  <c r="W9679" i="2"/>
  <c r="W9680" i="2"/>
  <c r="W9681" i="2"/>
  <c r="W9682" i="2"/>
  <c r="W9683" i="2"/>
  <c r="W9684" i="2"/>
  <c r="W9685" i="2"/>
  <c r="W9686" i="2"/>
  <c r="W9687" i="2"/>
  <c r="W9688" i="2"/>
  <c r="W9689" i="2"/>
  <c r="W9690" i="2"/>
  <c r="W9691" i="2"/>
  <c r="W9692" i="2"/>
  <c r="W9693" i="2"/>
  <c r="W9694" i="2"/>
  <c r="W9695" i="2"/>
  <c r="W9696" i="2"/>
  <c r="W9697" i="2"/>
  <c r="W9698" i="2"/>
  <c r="W9699" i="2"/>
  <c r="W9700" i="2"/>
  <c r="W9701" i="2"/>
  <c r="W9702" i="2"/>
  <c r="W9703" i="2"/>
  <c r="W9704" i="2"/>
  <c r="W9705" i="2"/>
  <c r="W9706" i="2"/>
  <c r="W9707" i="2"/>
  <c r="W9708" i="2"/>
  <c r="W9709" i="2"/>
  <c r="W9710" i="2"/>
  <c r="W9711" i="2"/>
  <c r="W9712" i="2"/>
  <c r="W9713" i="2"/>
  <c r="W9714" i="2"/>
  <c r="W9715" i="2"/>
  <c r="W9716" i="2"/>
  <c r="W9717" i="2"/>
  <c r="W9718" i="2"/>
  <c r="W9719" i="2"/>
  <c r="W9720" i="2"/>
  <c r="W9721" i="2"/>
  <c r="W9722" i="2"/>
  <c r="W9723" i="2"/>
  <c r="W9724" i="2"/>
  <c r="W9725" i="2"/>
  <c r="W9726" i="2"/>
  <c r="W9727" i="2"/>
  <c r="W9728" i="2"/>
  <c r="W9729" i="2"/>
  <c r="W9730" i="2"/>
  <c r="W9731" i="2"/>
  <c r="W9732" i="2"/>
  <c r="W9733" i="2"/>
  <c r="W9734" i="2"/>
  <c r="W9735" i="2"/>
  <c r="W9736" i="2"/>
  <c r="W9737" i="2"/>
  <c r="W9738" i="2"/>
  <c r="W9739" i="2"/>
  <c r="W9740" i="2"/>
  <c r="W9741" i="2"/>
  <c r="W9742" i="2"/>
  <c r="W9743" i="2"/>
  <c r="W9744" i="2"/>
  <c r="W9745" i="2"/>
  <c r="W9746" i="2"/>
  <c r="W9747" i="2"/>
  <c r="W9748" i="2"/>
  <c r="W9749" i="2"/>
  <c r="W9750" i="2"/>
  <c r="W9751" i="2"/>
  <c r="W9752" i="2"/>
  <c r="W9753" i="2"/>
  <c r="W9754" i="2"/>
  <c r="W9755" i="2"/>
  <c r="W9756" i="2"/>
  <c r="W9757" i="2"/>
  <c r="W9758" i="2"/>
  <c r="W9759" i="2"/>
  <c r="W9760" i="2"/>
  <c r="W9761" i="2"/>
  <c r="W9762" i="2"/>
  <c r="W9763" i="2"/>
  <c r="W9764" i="2"/>
  <c r="W9765" i="2"/>
  <c r="W9766" i="2"/>
  <c r="W9767" i="2"/>
  <c r="W9768" i="2"/>
  <c r="W9769" i="2"/>
  <c r="W9770" i="2"/>
  <c r="W9771" i="2"/>
  <c r="W9772" i="2"/>
  <c r="W9773" i="2"/>
  <c r="W9774" i="2"/>
  <c r="W9775" i="2"/>
  <c r="W9776" i="2"/>
  <c r="W9777" i="2"/>
  <c r="W9778" i="2"/>
  <c r="W9779" i="2"/>
  <c r="W9780" i="2"/>
  <c r="W9781" i="2"/>
  <c r="W9782" i="2"/>
  <c r="W9783" i="2"/>
  <c r="W9784" i="2"/>
  <c r="W9785" i="2"/>
  <c r="W9786" i="2"/>
  <c r="W9787" i="2"/>
  <c r="W9788" i="2"/>
  <c r="W9789" i="2"/>
  <c r="W9790" i="2"/>
  <c r="W9791" i="2"/>
  <c r="W9792" i="2"/>
  <c r="W9793" i="2"/>
  <c r="W9794" i="2"/>
  <c r="W9795" i="2"/>
  <c r="W9796" i="2"/>
  <c r="W9797" i="2"/>
  <c r="W9798" i="2"/>
  <c r="W9799" i="2"/>
  <c r="W9800" i="2"/>
  <c r="W9801" i="2"/>
  <c r="W9802" i="2"/>
  <c r="W9803" i="2"/>
  <c r="W9804" i="2"/>
  <c r="W9805" i="2"/>
  <c r="W9806" i="2"/>
  <c r="W9807" i="2"/>
  <c r="W9808" i="2"/>
  <c r="W9809" i="2"/>
  <c r="W9810" i="2"/>
  <c r="W9811" i="2"/>
  <c r="W9812" i="2"/>
  <c r="W9813" i="2"/>
  <c r="W9814" i="2"/>
  <c r="W9815" i="2"/>
  <c r="W9816" i="2"/>
  <c r="W9817" i="2"/>
  <c r="W9818" i="2"/>
  <c r="W9819" i="2"/>
  <c r="W9820" i="2"/>
  <c r="W9821" i="2"/>
  <c r="W9822" i="2"/>
  <c r="W9823" i="2"/>
  <c r="W9824" i="2"/>
  <c r="W9825" i="2"/>
  <c r="W9826" i="2"/>
  <c r="W9827" i="2"/>
  <c r="W9828" i="2"/>
  <c r="W9829" i="2"/>
  <c r="W9830" i="2"/>
  <c r="W9831" i="2"/>
  <c r="W9832" i="2"/>
  <c r="W9833" i="2"/>
  <c r="W9834" i="2"/>
  <c r="W9835" i="2"/>
  <c r="W9836" i="2"/>
  <c r="W9837" i="2"/>
  <c r="W9838" i="2"/>
  <c r="W9839" i="2"/>
  <c r="W9840" i="2"/>
  <c r="W9841" i="2"/>
  <c r="W9842" i="2"/>
  <c r="W9843" i="2"/>
  <c r="W9844" i="2"/>
  <c r="W9845" i="2"/>
  <c r="W9846" i="2"/>
  <c r="W9847" i="2"/>
  <c r="W9848" i="2"/>
  <c r="W9849" i="2"/>
  <c r="W9850" i="2"/>
  <c r="W9851" i="2"/>
  <c r="W9852" i="2"/>
  <c r="W9853" i="2"/>
  <c r="W9854" i="2"/>
  <c r="W9855" i="2"/>
  <c r="W9856" i="2"/>
  <c r="W9857" i="2"/>
  <c r="W9858" i="2"/>
  <c r="W9859" i="2"/>
  <c r="W9860" i="2"/>
  <c r="W9861" i="2"/>
  <c r="W9862" i="2"/>
  <c r="W9863" i="2"/>
  <c r="W9864" i="2"/>
  <c r="W9865" i="2"/>
  <c r="W9866" i="2"/>
  <c r="W9867" i="2"/>
  <c r="W9868" i="2"/>
  <c r="W9869" i="2"/>
  <c r="W9870" i="2"/>
  <c r="W9871" i="2"/>
  <c r="W9872" i="2"/>
  <c r="W9873" i="2"/>
  <c r="W9874" i="2"/>
  <c r="W9875" i="2"/>
  <c r="W9876" i="2"/>
  <c r="W9877" i="2"/>
  <c r="W9878" i="2"/>
  <c r="W9879" i="2"/>
  <c r="W9880" i="2"/>
  <c r="W9881" i="2"/>
  <c r="W9882" i="2"/>
  <c r="W9883" i="2"/>
  <c r="W9884" i="2"/>
  <c r="W9885" i="2"/>
  <c r="W9886" i="2"/>
  <c r="W9887" i="2"/>
  <c r="W9888" i="2"/>
  <c r="W9889" i="2"/>
  <c r="W9890" i="2"/>
  <c r="W9891" i="2"/>
  <c r="W9892" i="2"/>
  <c r="W9893" i="2"/>
  <c r="W9894" i="2"/>
  <c r="W9895" i="2"/>
  <c r="W9896" i="2"/>
  <c r="W9897" i="2"/>
  <c r="W9898" i="2"/>
  <c r="W9899" i="2"/>
  <c r="W9900" i="2"/>
  <c r="W9901" i="2"/>
  <c r="W9902" i="2"/>
  <c r="W9903" i="2"/>
  <c r="W9904" i="2"/>
  <c r="W9905" i="2"/>
  <c r="W9906" i="2"/>
  <c r="W9907" i="2"/>
  <c r="W9908" i="2"/>
  <c r="W9909" i="2"/>
  <c r="W9910" i="2"/>
  <c r="W9911" i="2"/>
  <c r="W9912" i="2"/>
  <c r="W9913" i="2"/>
  <c r="W9914" i="2"/>
  <c r="W9915" i="2"/>
  <c r="W9916" i="2"/>
  <c r="W9917" i="2"/>
  <c r="W9918" i="2"/>
  <c r="W9919" i="2"/>
  <c r="W9920" i="2"/>
  <c r="W9921" i="2"/>
  <c r="W9922" i="2"/>
  <c r="W9923" i="2"/>
  <c r="W9924" i="2"/>
  <c r="W9925" i="2"/>
  <c r="W9926" i="2"/>
  <c r="W9927" i="2"/>
  <c r="W9928" i="2"/>
  <c r="W9929" i="2"/>
  <c r="W9930" i="2"/>
  <c r="W9931" i="2"/>
  <c r="W9932" i="2"/>
  <c r="W9933" i="2"/>
  <c r="W9934" i="2"/>
  <c r="W9935" i="2"/>
  <c r="W9936" i="2"/>
  <c r="W9937" i="2"/>
  <c r="W9938" i="2"/>
  <c r="W9939" i="2"/>
  <c r="W9940" i="2"/>
  <c r="W9941" i="2"/>
  <c r="W9942" i="2"/>
  <c r="W9943" i="2"/>
  <c r="W9944" i="2"/>
  <c r="W9945" i="2"/>
  <c r="W9946" i="2"/>
  <c r="W9947" i="2"/>
  <c r="W9948" i="2"/>
  <c r="W9949" i="2"/>
  <c r="W9950" i="2"/>
  <c r="W9951" i="2"/>
  <c r="W9952" i="2"/>
  <c r="W9953" i="2"/>
  <c r="W9954" i="2"/>
  <c r="W9955" i="2"/>
  <c r="W9956" i="2"/>
  <c r="W9957" i="2"/>
  <c r="W9958" i="2"/>
  <c r="W9959" i="2"/>
  <c r="W9960" i="2"/>
  <c r="W9961" i="2"/>
  <c r="W9962" i="2"/>
  <c r="W9963" i="2"/>
  <c r="W9964" i="2"/>
  <c r="W9965" i="2"/>
  <c r="W9966" i="2"/>
  <c r="W9967" i="2"/>
  <c r="W9968" i="2"/>
  <c r="W9969" i="2"/>
  <c r="W9970" i="2"/>
  <c r="W9971" i="2"/>
  <c r="W9972" i="2"/>
  <c r="W9973" i="2"/>
  <c r="W9974" i="2"/>
  <c r="W9975" i="2"/>
  <c r="W9976" i="2"/>
  <c r="W9977" i="2"/>
  <c r="W9978" i="2"/>
  <c r="W9979" i="2"/>
  <c r="W9980" i="2"/>
  <c r="W9981" i="2"/>
  <c r="W9982" i="2"/>
  <c r="W9983" i="2"/>
  <c r="W9984" i="2"/>
  <c r="W9985" i="2"/>
  <c r="W9986" i="2"/>
  <c r="W9987" i="2"/>
  <c r="W9988" i="2"/>
  <c r="W9989" i="2"/>
  <c r="W9990" i="2"/>
  <c r="W9991" i="2"/>
  <c r="W9992" i="2"/>
  <c r="W9993" i="2"/>
  <c r="W9994" i="2"/>
  <c r="W9995" i="2"/>
  <c r="W9996" i="2"/>
  <c r="W9997" i="2"/>
  <c r="W9998" i="2"/>
  <c r="W9999" i="2"/>
  <c r="W10000" i="2"/>
  <c r="W10001" i="2"/>
  <c r="W10002" i="2"/>
  <c r="W10003" i="2"/>
  <c r="W10004" i="2"/>
  <c r="W10005" i="2"/>
  <c r="W10006" i="2"/>
  <c r="W10007" i="2"/>
  <c r="W10008" i="2"/>
  <c r="W10009" i="2"/>
  <c r="W10010" i="2"/>
  <c r="W10011" i="2"/>
  <c r="W10012" i="2"/>
  <c r="W10013" i="2"/>
  <c r="W10014" i="2"/>
  <c r="W10015" i="2"/>
  <c r="W10016" i="2"/>
  <c r="W10017" i="2"/>
  <c r="W10018" i="2"/>
  <c r="W10019" i="2"/>
  <c r="W10020" i="2"/>
  <c r="W10021" i="2"/>
  <c r="W10022" i="2"/>
  <c r="W10023" i="2"/>
  <c r="W10024" i="2"/>
  <c r="W10025" i="2"/>
  <c r="W10026" i="2"/>
  <c r="W10027" i="2"/>
  <c r="W10028" i="2"/>
  <c r="W10029" i="2"/>
  <c r="W10030" i="2"/>
  <c r="W10031" i="2"/>
  <c r="W10032" i="2"/>
  <c r="W10033" i="2"/>
  <c r="W10034" i="2"/>
  <c r="W10035" i="2"/>
  <c r="W10036" i="2"/>
  <c r="W10037" i="2"/>
  <c r="W10038" i="2"/>
  <c r="W10039" i="2"/>
  <c r="W10040" i="2"/>
  <c r="W10041" i="2"/>
  <c r="W10042" i="2"/>
  <c r="W10043" i="2"/>
  <c r="W10044" i="2"/>
  <c r="W10045" i="2"/>
  <c r="W10046" i="2"/>
  <c r="W10047" i="2"/>
  <c r="W10048" i="2"/>
  <c r="W10049" i="2"/>
  <c r="W10050" i="2"/>
  <c r="W10051" i="2"/>
  <c r="W10052" i="2"/>
  <c r="W10053" i="2"/>
  <c r="W10054" i="2"/>
  <c r="W10055" i="2"/>
  <c r="W10056" i="2"/>
  <c r="W10057" i="2"/>
  <c r="W10058" i="2"/>
  <c r="W10059" i="2"/>
  <c r="W10060" i="2"/>
  <c r="W10061" i="2"/>
  <c r="W10062" i="2"/>
  <c r="W10063" i="2"/>
  <c r="W10064" i="2"/>
  <c r="W10065" i="2"/>
  <c r="W10066" i="2"/>
  <c r="W10067" i="2"/>
  <c r="W10068" i="2"/>
  <c r="W10069" i="2"/>
  <c r="W10070" i="2"/>
  <c r="W10071" i="2"/>
  <c r="W10072" i="2"/>
  <c r="W10073" i="2"/>
  <c r="W10074" i="2"/>
  <c r="W10075" i="2"/>
  <c r="W10076" i="2"/>
  <c r="W10077" i="2"/>
  <c r="W10078" i="2"/>
  <c r="W10079" i="2"/>
  <c r="W10080" i="2"/>
  <c r="W10081" i="2"/>
  <c r="W10082" i="2"/>
  <c r="W10083" i="2"/>
  <c r="W10084" i="2"/>
  <c r="W10085" i="2"/>
  <c r="W10086" i="2"/>
  <c r="W10087" i="2"/>
  <c r="W10088" i="2"/>
  <c r="W10089" i="2"/>
  <c r="W10090" i="2"/>
  <c r="W10091" i="2"/>
  <c r="W10092" i="2"/>
  <c r="W10093" i="2"/>
  <c r="W10094" i="2"/>
  <c r="W10095" i="2"/>
  <c r="W10096" i="2"/>
  <c r="W10097" i="2"/>
  <c r="W10098" i="2"/>
  <c r="W10099" i="2"/>
  <c r="W10100" i="2"/>
  <c r="W10101" i="2"/>
  <c r="W10102" i="2"/>
  <c r="W10103" i="2"/>
  <c r="W10104" i="2"/>
  <c r="W10105" i="2"/>
  <c r="W10106" i="2"/>
  <c r="W10107" i="2"/>
  <c r="W10108" i="2"/>
  <c r="W10109" i="2"/>
  <c r="W10110" i="2"/>
  <c r="W10111" i="2"/>
  <c r="W10112" i="2"/>
  <c r="W10113" i="2"/>
  <c r="W10114" i="2"/>
  <c r="W10115" i="2"/>
  <c r="W10116" i="2"/>
  <c r="W10117" i="2"/>
  <c r="W10118" i="2"/>
  <c r="W10119" i="2"/>
  <c r="W10120" i="2"/>
  <c r="W10121" i="2"/>
  <c r="W10122" i="2"/>
  <c r="W10123" i="2"/>
  <c r="W10124" i="2"/>
  <c r="W10125" i="2"/>
  <c r="W10126" i="2"/>
  <c r="W10127" i="2"/>
  <c r="W10128" i="2"/>
  <c r="W10129" i="2"/>
  <c r="W10130" i="2"/>
  <c r="W10131" i="2"/>
  <c r="W10132" i="2"/>
  <c r="W10133" i="2"/>
  <c r="W10134" i="2"/>
  <c r="W10135" i="2"/>
  <c r="W10136" i="2"/>
  <c r="W10137" i="2"/>
  <c r="W10138" i="2"/>
  <c r="W10139" i="2"/>
  <c r="W10140" i="2"/>
  <c r="W10141" i="2"/>
  <c r="W10142" i="2"/>
  <c r="W10143" i="2"/>
  <c r="W10144" i="2"/>
  <c r="W10145" i="2"/>
  <c r="W10146" i="2"/>
  <c r="W10147" i="2"/>
  <c r="W10148" i="2"/>
  <c r="W10149" i="2"/>
  <c r="W10150" i="2"/>
  <c r="W10151" i="2"/>
  <c r="W10152" i="2"/>
  <c r="W10153" i="2"/>
  <c r="W10154" i="2"/>
  <c r="W10155" i="2"/>
  <c r="W10156" i="2"/>
  <c r="W10157" i="2"/>
  <c r="W10158" i="2"/>
  <c r="W10159" i="2"/>
  <c r="W10160" i="2"/>
  <c r="W10161" i="2"/>
  <c r="W10162" i="2"/>
  <c r="W10163" i="2"/>
  <c r="W10164" i="2"/>
  <c r="W10165" i="2"/>
  <c r="W10166" i="2"/>
  <c r="W10167" i="2"/>
  <c r="W10168" i="2"/>
  <c r="W10169" i="2"/>
  <c r="W10170" i="2"/>
  <c r="W10171" i="2"/>
  <c r="W10172" i="2"/>
  <c r="W10173" i="2"/>
  <c r="W10174" i="2"/>
  <c r="W10175" i="2"/>
  <c r="W10176" i="2"/>
  <c r="W10177" i="2"/>
  <c r="W10178" i="2"/>
  <c r="W10179" i="2"/>
  <c r="W10180" i="2"/>
  <c r="W10181" i="2"/>
  <c r="W10182" i="2"/>
  <c r="W10183" i="2"/>
  <c r="W10184" i="2"/>
  <c r="W10185" i="2"/>
  <c r="W10186" i="2"/>
  <c r="W10187" i="2"/>
  <c r="W10188" i="2"/>
  <c r="W10189" i="2"/>
  <c r="W10190" i="2"/>
  <c r="W10191" i="2"/>
  <c r="W10192" i="2"/>
  <c r="W10193" i="2"/>
  <c r="W10194" i="2"/>
  <c r="W10195" i="2"/>
  <c r="W10196" i="2"/>
  <c r="W10197" i="2"/>
  <c r="W10198" i="2"/>
  <c r="W10199" i="2"/>
  <c r="W10200" i="2"/>
  <c r="W10201" i="2"/>
  <c r="W10202" i="2"/>
  <c r="W10203" i="2"/>
  <c r="W10204" i="2"/>
  <c r="W10205" i="2"/>
  <c r="W10206" i="2"/>
  <c r="W10207" i="2"/>
  <c r="W10208" i="2"/>
  <c r="W10209" i="2"/>
  <c r="W10210" i="2"/>
  <c r="W10211" i="2"/>
  <c r="W10212" i="2"/>
  <c r="W10213" i="2"/>
  <c r="W10214" i="2"/>
  <c r="W10215" i="2"/>
  <c r="W10216" i="2"/>
  <c r="W10217" i="2"/>
  <c r="W10218" i="2"/>
  <c r="W10219" i="2"/>
  <c r="W10220" i="2"/>
  <c r="W10221" i="2"/>
  <c r="W10222" i="2"/>
  <c r="W10223" i="2"/>
  <c r="W10224" i="2"/>
  <c r="W10225" i="2"/>
  <c r="W10226" i="2"/>
  <c r="W10227" i="2"/>
  <c r="W10228" i="2"/>
  <c r="W10229" i="2"/>
  <c r="W10230" i="2"/>
  <c r="W10231" i="2"/>
  <c r="W10232" i="2"/>
  <c r="W10233" i="2"/>
  <c r="W10234" i="2"/>
  <c r="W10235" i="2"/>
  <c r="W10236" i="2"/>
  <c r="W10237" i="2"/>
  <c r="W10238" i="2"/>
  <c r="W10239" i="2"/>
  <c r="W10240" i="2"/>
  <c r="W10241" i="2"/>
  <c r="W10242" i="2"/>
  <c r="W10243" i="2"/>
  <c r="W10244" i="2"/>
  <c r="W10245" i="2"/>
  <c r="W10246" i="2"/>
  <c r="W10247" i="2"/>
  <c r="W10248" i="2"/>
  <c r="W10249" i="2"/>
  <c r="W10250" i="2"/>
  <c r="W10251" i="2"/>
  <c r="W10252" i="2"/>
  <c r="W10253" i="2"/>
  <c r="W10254" i="2"/>
  <c r="W10255" i="2"/>
  <c r="W10256" i="2"/>
  <c r="W10257" i="2"/>
  <c r="W10258" i="2"/>
  <c r="W10259" i="2"/>
  <c r="W10260" i="2"/>
  <c r="W10261" i="2"/>
  <c r="W10262" i="2"/>
  <c r="W10263" i="2"/>
  <c r="W10264" i="2"/>
  <c r="W10265" i="2"/>
  <c r="W10266" i="2"/>
  <c r="W10267" i="2"/>
  <c r="W10268" i="2"/>
  <c r="W10269" i="2"/>
  <c r="W10270" i="2"/>
  <c r="W10271" i="2"/>
  <c r="W10272" i="2"/>
  <c r="W10273" i="2"/>
  <c r="W10274" i="2"/>
  <c r="W10275" i="2"/>
  <c r="W10276" i="2"/>
  <c r="W10277" i="2"/>
  <c r="W10278" i="2"/>
  <c r="W10279" i="2"/>
  <c r="W10280" i="2"/>
  <c r="W10281" i="2"/>
  <c r="W10282" i="2"/>
  <c r="W10283" i="2"/>
  <c r="W10284" i="2"/>
  <c r="W10285" i="2"/>
  <c r="W10286" i="2"/>
  <c r="W10287" i="2"/>
  <c r="W10288" i="2"/>
  <c r="W10289" i="2"/>
  <c r="W10290" i="2"/>
  <c r="W10291" i="2"/>
  <c r="W10292" i="2"/>
  <c r="W10293" i="2"/>
  <c r="W10294" i="2"/>
  <c r="W10295" i="2"/>
  <c r="W10296" i="2"/>
  <c r="W10297" i="2"/>
  <c r="W10298" i="2"/>
  <c r="W10299" i="2"/>
  <c r="W10300" i="2"/>
  <c r="W10301" i="2"/>
  <c r="W10302" i="2"/>
  <c r="W10303" i="2"/>
  <c r="W10304" i="2"/>
  <c r="W10305" i="2"/>
  <c r="W10306" i="2"/>
  <c r="W10307" i="2"/>
  <c r="W10308" i="2"/>
  <c r="W10309" i="2"/>
  <c r="W10310" i="2"/>
  <c r="W10311" i="2"/>
  <c r="W10312" i="2"/>
  <c r="W10313" i="2"/>
  <c r="W10314" i="2"/>
  <c r="W10315" i="2"/>
  <c r="W10316" i="2"/>
  <c r="W10317" i="2"/>
  <c r="W10318" i="2"/>
  <c r="W10319" i="2"/>
  <c r="W10320" i="2"/>
  <c r="W10321" i="2"/>
  <c r="W10322" i="2"/>
  <c r="W10323" i="2"/>
  <c r="W10324" i="2"/>
  <c r="W10325" i="2"/>
  <c r="W10326" i="2"/>
  <c r="W10327" i="2"/>
  <c r="W10328" i="2"/>
  <c r="W10329" i="2"/>
  <c r="W10330" i="2"/>
  <c r="W10331" i="2"/>
  <c r="W10332" i="2"/>
  <c r="W10333" i="2"/>
  <c r="W10334" i="2"/>
  <c r="W10335" i="2"/>
  <c r="W10336" i="2"/>
  <c r="W10337" i="2"/>
  <c r="W10338" i="2"/>
  <c r="W10339" i="2"/>
  <c r="W10340" i="2"/>
  <c r="W10341" i="2"/>
  <c r="W10342" i="2"/>
  <c r="W10343" i="2"/>
  <c r="W10344" i="2"/>
  <c r="W10345" i="2"/>
  <c r="W10346" i="2"/>
  <c r="W10347" i="2"/>
  <c r="W10348" i="2"/>
  <c r="W10349" i="2"/>
  <c r="W10350" i="2"/>
  <c r="W10351" i="2"/>
  <c r="W10352" i="2"/>
  <c r="W10353" i="2"/>
  <c r="W10354" i="2"/>
  <c r="W10355" i="2"/>
  <c r="W10356" i="2"/>
  <c r="W10357" i="2"/>
  <c r="W10358" i="2"/>
  <c r="W10359" i="2"/>
  <c r="W10360" i="2"/>
  <c r="W10361" i="2"/>
  <c r="W10362" i="2"/>
  <c r="W10363" i="2"/>
  <c r="W10364" i="2"/>
  <c r="W10365" i="2"/>
  <c r="W10366" i="2"/>
  <c r="W10367" i="2"/>
  <c r="W10368" i="2"/>
  <c r="W10369" i="2"/>
  <c r="W10370" i="2"/>
  <c r="W10371" i="2"/>
  <c r="W10372" i="2"/>
  <c r="W10373" i="2"/>
  <c r="W10374" i="2"/>
  <c r="W10375" i="2"/>
  <c r="W10376" i="2"/>
  <c r="W10377" i="2"/>
  <c r="W10378" i="2"/>
  <c r="W10379" i="2"/>
  <c r="W10380" i="2"/>
  <c r="W10381" i="2"/>
  <c r="W10382" i="2"/>
  <c r="W10383" i="2"/>
  <c r="W10384" i="2"/>
  <c r="W10385" i="2"/>
  <c r="W10386" i="2"/>
  <c r="W10387" i="2"/>
  <c r="W10388" i="2"/>
  <c r="W10389" i="2"/>
  <c r="W10390" i="2"/>
  <c r="W10391" i="2"/>
  <c r="W10392" i="2"/>
  <c r="W10393" i="2"/>
  <c r="W10394" i="2"/>
  <c r="W10395" i="2"/>
  <c r="W10396" i="2"/>
  <c r="W10397" i="2"/>
  <c r="W10398" i="2"/>
  <c r="W10399" i="2"/>
  <c r="W10400" i="2"/>
  <c r="W10401" i="2"/>
  <c r="W10402" i="2"/>
  <c r="W10403" i="2"/>
  <c r="W10404" i="2"/>
  <c r="W10405" i="2"/>
  <c r="W10406" i="2"/>
  <c r="W10407" i="2"/>
  <c r="W10408" i="2"/>
  <c r="W10409" i="2"/>
  <c r="W10410" i="2"/>
  <c r="W10411" i="2"/>
  <c r="W10412" i="2"/>
  <c r="W10413" i="2"/>
  <c r="W10414" i="2"/>
  <c r="W10415" i="2"/>
  <c r="W10416" i="2"/>
  <c r="W10417" i="2"/>
  <c r="W10418" i="2"/>
  <c r="W10419" i="2"/>
  <c r="W10420" i="2"/>
  <c r="W10421" i="2"/>
  <c r="W10422" i="2"/>
  <c r="W10423" i="2"/>
  <c r="W10424" i="2"/>
  <c r="W10425" i="2"/>
  <c r="W10426" i="2"/>
  <c r="W10427" i="2"/>
  <c r="W10428" i="2"/>
  <c r="W10429" i="2"/>
  <c r="W10430" i="2"/>
  <c r="W10431" i="2"/>
  <c r="W10432" i="2"/>
  <c r="W10433" i="2"/>
  <c r="W10434" i="2"/>
  <c r="W10435" i="2"/>
  <c r="W10436" i="2"/>
  <c r="W10437" i="2"/>
  <c r="W10438" i="2"/>
  <c r="W10439" i="2"/>
  <c r="W10440" i="2"/>
  <c r="W10441" i="2"/>
  <c r="W10442" i="2"/>
  <c r="W10443" i="2"/>
  <c r="W10444" i="2"/>
  <c r="W10445" i="2"/>
  <c r="W10446" i="2"/>
  <c r="W10447" i="2"/>
  <c r="W10448" i="2"/>
  <c r="W10449" i="2"/>
  <c r="W10450" i="2"/>
  <c r="W10451" i="2"/>
  <c r="W10452" i="2"/>
  <c r="W10453" i="2"/>
  <c r="W10454" i="2"/>
  <c r="W10455" i="2"/>
  <c r="W10456" i="2"/>
  <c r="W10457" i="2"/>
  <c r="W10458" i="2"/>
  <c r="W10459" i="2"/>
  <c r="W10460" i="2"/>
  <c r="W10461" i="2"/>
  <c r="W10462" i="2"/>
  <c r="W10463" i="2"/>
  <c r="W10464" i="2"/>
  <c r="W10465" i="2"/>
  <c r="W10466" i="2"/>
  <c r="W10467" i="2"/>
  <c r="W10468" i="2"/>
  <c r="W10469" i="2"/>
  <c r="W10470" i="2"/>
  <c r="W10471" i="2"/>
  <c r="W10472" i="2"/>
  <c r="W10473" i="2"/>
  <c r="W10474" i="2"/>
  <c r="W10475" i="2"/>
  <c r="W10476" i="2"/>
  <c r="W10477" i="2"/>
  <c r="W10478" i="2"/>
  <c r="W10479" i="2"/>
  <c r="W10480" i="2"/>
  <c r="W10481" i="2"/>
  <c r="W10482" i="2"/>
  <c r="W10483" i="2"/>
  <c r="W10484" i="2"/>
  <c r="W10485" i="2"/>
  <c r="W10486" i="2"/>
  <c r="W10487" i="2"/>
  <c r="W10488" i="2"/>
  <c r="W10489" i="2"/>
  <c r="W10490" i="2"/>
  <c r="W10491" i="2"/>
  <c r="W10492" i="2"/>
  <c r="W10493" i="2"/>
  <c r="W10494" i="2"/>
  <c r="W10495" i="2"/>
  <c r="W10496" i="2"/>
  <c r="W10497" i="2"/>
  <c r="W10498" i="2"/>
  <c r="W10499" i="2"/>
  <c r="W10500" i="2"/>
  <c r="W10501" i="2"/>
  <c r="W10502" i="2"/>
  <c r="W10503" i="2"/>
  <c r="W10504" i="2"/>
  <c r="W10505" i="2"/>
  <c r="W10506" i="2"/>
  <c r="W10507" i="2"/>
  <c r="W10508" i="2"/>
  <c r="W10509" i="2"/>
  <c r="W10510" i="2"/>
  <c r="W10511" i="2"/>
  <c r="W10512" i="2"/>
  <c r="W10513" i="2"/>
  <c r="W10514" i="2"/>
  <c r="W10515" i="2"/>
  <c r="W10516" i="2"/>
  <c r="W10517" i="2"/>
  <c r="W10518" i="2"/>
  <c r="W10519" i="2"/>
  <c r="W10520" i="2"/>
  <c r="W10521" i="2"/>
  <c r="W10522" i="2"/>
  <c r="W10523" i="2"/>
  <c r="W10524" i="2"/>
  <c r="W10525" i="2"/>
  <c r="W10526" i="2"/>
  <c r="W10527" i="2"/>
  <c r="W10528" i="2"/>
  <c r="W10529" i="2"/>
  <c r="W10530" i="2"/>
  <c r="W10531" i="2"/>
  <c r="W10532" i="2"/>
  <c r="W10533" i="2"/>
  <c r="W10534" i="2"/>
  <c r="W10535" i="2"/>
  <c r="W10536" i="2"/>
  <c r="W10537" i="2"/>
  <c r="W10538" i="2"/>
  <c r="W10539" i="2"/>
  <c r="W10540" i="2"/>
  <c r="W10541" i="2"/>
  <c r="W10542" i="2"/>
  <c r="W10543" i="2"/>
  <c r="W10544" i="2"/>
  <c r="W10545" i="2"/>
  <c r="W10546" i="2"/>
  <c r="W10547" i="2"/>
  <c r="W10548" i="2"/>
  <c r="W10549" i="2"/>
  <c r="W10550" i="2"/>
  <c r="W10551" i="2"/>
  <c r="W10552" i="2"/>
  <c r="W10553" i="2"/>
  <c r="W10554" i="2"/>
  <c r="W10555" i="2"/>
  <c r="W10556" i="2"/>
  <c r="W10557" i="2"/>
  <c r="W10558" i="2"/>
  <c r="W10559" i="2"/>
  <c r="W10560" i="2"/>
  <c r="W10561" i="2"/>
  <c r="W10562" i="2"/>
  <c r="W10563" i="2"/>
  <c r="W10564" i="2"/>
  <c r="W10565" i="2"/>
  <c r="W10566" i="2"/>
  <c r="W10567" i="2"/>
  <c r="W10568" i="2"/>
  <c r="W10569" i="2"/>
  <c r="W10570" i="2"/>
  <c r="W10571" i="2"/>
  <c r="W10572" i="2"/>
  <c r="W10573" i="2"/>
  <c r="W10574" i="2"/>
  <c r="W10575" i="2"/>
  <c r="W10576" i="2"/>
  <c r="W10577" i="2"/>
  <c r="W10578" i="2"/>
  <c r="W10579" i="2"/>
  <c r="W10580" i="2"/>
  <c r="W10581" i="2"/>
  <c r="W10582" i="2"/>
  <c r="W10583" i="2"/>
  <c r="W10584" i="2"/>
  <c r="W10585" i="2"/>
  <c r="W10586" i="2"/>
  <c r="W10587" i="2"/>
  <c r="W10588" i="2"/>
  <c r="W10589" i="2"/>
  <c r="W10590" i="2"/>
  <c r="W10591" i="2"/>
  <c r="W10592" i="2"/>
  <c r="W10593" i="2"/>
  <c r="W10594" i="2"/>
  <c r="W10595" i="2"/>
  <c r="W10596" i="2"/>
  <c r="W10597" i="2"/>
  <c r="W10598" i="2"/>
  <c r="W10599" i="2"/>
  <c r="W10600" i="2"/>
  <c r="W10601" i="2"/>
  <c r="W10602" i="2"/>
  <c r="W10603" i="2"/>
  <c r="W10604" i="2"/>
  <c r="W10605" i="2"/>
  <c r="W10606" i="2"/>
  <c r="W10607" i="2"/>
  <c r="W10608" i="2"/>
  <c r="W10609" i="2"/>
  <c r="W10610" i="2"/>
  <c r="W10611" i="2"/>
  <c r="W10612" i="2"/>
  <c r="W10613" i="2"/>
  <c r="W10614" i="2"/>
  <c r="W10615" i="2"/>
  <c r="W10616" i="2"/>
  <c r="W10617" i="2"/>
  <c r="W10618" i="2"/>
  <c r="W10619" i="2"/>
  <c r="W10620" i="2"/>
  <c r="W10621" i="2"/>
  <c r="W10622" i="2"/>
  <c r="W10623" i="2"/>
  <c r="W10624" i="2"/>
  <c r="W10625" i="2"/>
  <c r="W10626" i="2"/>
  <c r="W10627" i="2"/>
  <c r="W10628" i="2"/>
  <c r="W10629" i="2"/>
  <c r="W10630" i="2"/>
  <c r="W10631" i="2"/>
  <c r="W10632" i="2"/>
  <c r="W10633" i="2"/>
  <c r="W10634" i="2"/>
  <c r="W10635" i="2"/>
  <c r="W10636" i="2"/>
  <c r="W10637" i="2"/>
  <c r="W10638" i="2"/>
  <c r="W10639" i="2"/>
  <c r="W10640" i="2"/>
  <c r="W10641" i="2"/>
  <c r="W10642" i="2"/>
  <c r="W10643" i="2"/>
  <c r="W10644" i="2"/>
  <c r="W10645" i="2"/>
  <c r="W10646" i="2"/>
  <c r="W10647" i="2"/>
  <c r="W10648" i="2"/>
  <c r="W10649" i="2"/>
  <c r="W10650" i="2"/>
  <c r="W10651" i="2"/>
  <c r="W10652" i="2"/>
  <c r="W10653" i="2"/>
  <c r="W10654" i="2"/>
  <c r="W10655" i="2"/>
  <c r="W10656" i="2"/>
  <c r="W10657" i="2"/>
  <c r="W10658" i="2"/>
  <c r="W10659" i="2"/>
  <c r="W10660" i="2"/>
  <c r="W10661" i="2"/>
  <c r="W10662" i="2"/>
  <c r="W10663" i="2"/>
  <c r="W10664" i="2"/>
  <c r="W10665" i="2"/>
  <c r="W10666" i="2"/>
  <c r="W10667" i="2"/>
  <c r="W10668" i="2"/>
  <c r="W10669" i="2"/>
  <c r="W10670" i="2"/>
  <c r="W10671" i="2"/>
  <c r="W10672" i="2"/>
  <c r="W10673" i="2"/>
  <c r="W10674" i="2"/>
  <c r="W10675" i="2"/>
  <c r="W10676" i="2"/>
  <c r="W10677" i="2"/>
  <c r="W10678" i="2"/>
  <c r="W10679" i="2"/>
  <c r="W10680" i="2"/>
  <c r="W10681" i="2"/>
  <c r="W10682" i="2"/>
  <c r="W10683" i="2"/>
  <c r="W10684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7" i="2"/>
  <c r="X4428" i="2"/>
  <c r="X4429" i="2"/>
  <c r="X4430" i="2"/>
  <c r="X4431" i="2"/>
  <c r="X4432" i="2"/>
  <c r="X4433" i="2"/>
  <c r="X4434" i="2"/>
  <c r="X4435" i="2"/>
  <c r="X4436" i="2"/>
  <c r="X4437" i="2"/>
  <c r="X4438" i="2"/>
  <c r="X4439" i="2"/>
  <c r="X4440" i="2"/>
  <c r="X4441" i="2"/>
  <c r="X4442" i="2"/>
  <c r="X4443" i="2"/>
  <c r="X4444" i="2"/>
  <c r="X4445" i="2"/>
  <c r="X4446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4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2" i="2"/>
  <c r="X4483" i="2"/>
  <c r="X4484" i="2"/>
  <c r="X4485" i="2"/>
  <c r="X4486" i="2"/>
  <c r="X4487" i="2"/>
  <c r="X4488" i="2"/>
  <c r="X4489" i="2"/>
  <c r="X4490" i="2"/>
  <c r="X4491" i="2"/>
  <c r="X4492" i="2"/>
  <c r="X4493" i="2"/>
  <c r="X4494" i="2"/>
  <c r="X4495" i="2"/>
  <c r="X4496" i="2"/>
  <c r="X4497" i="2"/>
  <c r="X4498" i="2"/>
  <c r="X4499" i="2"/>
  <c r="X4500" i="2"/>
  <c r="X4501" i="2"/>
  <c r="X4502" i="2"/>
  <c r="X4503" i="2"/>
  <c r="X4504" i="2"/>
  <c r="X4505" i="2"/>
  <c r="X4506" i="2"/>
  <c r="X4507" i="2"/>
  <c r="X4508" i="2"/>
  <c r="X4509" i="2"/>
  <c r="X4510" i="2"/>
  <c r="X4511" i="2"/>
  <c r="X4512" i="2"/>
  <c r="X4513" i="2"/>
  <c r="X4514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1" i="2"/>
  <c r="X4532" i="2"/>
  <c r="X4533" i="2"/>
  <c r="X4534" i="2"/>
  <c r="X4535" i="2"/>
  <c r="X4536" i="2"/>
  <c r="X4537" i="2"/>
  <c r="X4538" i="2"/>
  <c r="X4539" i="2"/>
  <c r="X4540" i="2"/>
  <c r="X4541" i="2"/>
  <c r="X4542" i="2"/>
  <c r="X4543" i="2"/>
  <c r="X4544" i="2"/>
  <c r="X4545" i="2"/>
  <c r="X4546" i="2"/>
  <c r="X4547" i="2"/>
  <c r="X4548" i="2"/>
  <c r="X4549" i="2"/>
  <c r="X4550" i="2"/>
  <c r="X4551" i="2"/>
  <c r="X4552" i="2"/>
  <c r="X4553" i="2"/>
  <c r="X4554" i="2"/>
  <c r="X4555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75" i="2"/>
  <c r="X4576" i="2"/>
  <c r="X4577" i="2"/>
  <c r="X4578" i="2"/>
  <c r="X4579" i="2"/>
  <c r="X4580" i="2"/>
  <c r="X4581" i="2"/>
  <c r="X4582" i="2"/>
  <c r="X4583" i="2"/>
  <c r="X4584" i="2"/>
  <c r="X4585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19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7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4" i="2"/>
  <c r="X4735" i="2"/>
  <c r="X4736" i="2"/>
  <c r="X4737" i="2"/>
  <c r="X4738" i="2"/>
  <c r="X4739" i="2"/>
  <c r="X4740" i="2"/>
  <c r="X4741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0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89" i="2"/>
  <c r="X4790" i="2"/>
  <c r="X4791" i="2"/>
  <c r="X4792" i="2"/>
  <c r="X4793" i="2"/>
  <c r="X4794" i="2"/>
  <c r="X4795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09" i="2"/>
  <c r="X4810" i="2"/>
  <c r="X4811" i="2"/>
  <c r="X4812" i="2"/>
  <c r="X4813" i="2"/>
  <c r="X4814" i="2"/>
  <c r="X4815" i="2"/>
  <c r="X4816" i="2"/>
  <c r="X4817" i="2"/>
  <c r="X4818" i="2"/>
  <c r="X4819" i="2"/>
  <c r="X4820" i="2"/>
  <c r="X4821" i="2"/>
  <c r="X4822" i="2"/>
  <c r="X4823" i="2"/>
  <c r="X4824" i="2"/>
  <c r="X4825" i="2"/>
  <c r="X4826" i="2"/>
  <c r="X4827" i="2"/>
  <c r="X4828" i="2"/>
  <c r="X4829" i="2"/>
  <c r="X4830" i="2"/>
  <c r="X4831" i="2"/>
  <c r="X4832" i="2"/>
  <c r="X4833" i="2"/>
  <c r="X4834" i="2"/>
  <c r="X4835" i="2"/>
  <c r="X4836" i="2"/>
  <c r="X4837" i="2"/>
  <c r="X4838" i="2"/>
  <c r="X4839" i="2"/>
  <c r="X4840" i="2"/>
  <c r="X4841" i="2"/>
  <c r="X4842" i="2"/>
  <c r="X4843" i="2"/>
  <c r="X4844" i="2"/>
  <c r="X4845" i="2"/>
  <c r="X4846" i="2"/>
  <c r="X4847" i="2"/>
  <c r="X4848" i="2"/>
  <c r="X4849" i="2"/>
  <c r="X4850" i="2"/>
  <c r="X4851" i="2"/>
  <c r="X4852" i="2"/>
  <c r="X4853" i="2"/>
  <c r="X4854" i="2"/>
  <c r="X4855" i="2"/>
  <c r="X4856" i="2"/>
  <c r="X4857" i="2"/>
  <c r="X4858" i="2"/>
  <c r="X4859" i="2"/>
  <c r="X4860" i="2"/>
  <c r="X4861" i="2"/>
  <c r="X4862" i="2"/>
  <c r="X4863" i="2"/>
  <c r="X4864" i="2"/>
  <c r="X4865" i="2"/>
  <c r="X4866" i="2"/>
  <c r="X4867" i="2"/>
  <c r="X4868" i="2"/>
  <c r="X4869" i="2"/>
  <c r="X4870" i="2"/>
  <c r="X4871" i="2"/>
  <c r="X4872" i="2"/>
  <c r="X4873" i="2"/>
  <c r="X4874" i="2"/>
  <c r="X4875" i="2"/>
  <c r="X4876" i="2"/>
  <c r="X4877" i="2"/>
  <c r="X4878" i="2"/>
  <c r="X4879" i="2"/>
  <c r="X4880" i="2"/>
  <c r="X4881" i="2"/>
  <c r="X4882" i="2"/>
  <c r="X4883" i="2"/>
  <c r="X4884" i="2"/>
  <c r="X4885" i="2"/>
  <c r="X4886" i="2"/>
  <c r="X4887" i="2"/>
  <c r="X4888" i="2"/>
  <c r="X4889" i="2"/>
  <c r="X4890" i="2"/>
  <c r="X4891" i="2"/>
  <c r="X4892" i="2"/>
  <c r="X4893" i="2"/>
  <c r="X4894" i="2"/>
  <c r="X4895" i="2"/>
  <c r="X4896" i="2"/>
  <c r="X4897" i="2"/>
  <c r="X4898" i="2"/>
  <c r="X4899" i="2"/>
  <c r="X4900" i="2"/>
  <c r="X4901" i="2"/>
  <c r="X4902" i="2"/>
  <c r="X4903" i="2"/>
  <c r="X4904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0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8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2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5" i="2"/>
  <c r="X5766" i="2"/>
  <c r="X5767" i="2"/>
  <c r="X5768" i="2"/>
  <c r="X5769" i="2"/>
  <c r="X5770" i="2"/>
  <c r="X5771" i="2"/>
  <c r="X5772" i="2"/>
  <c r="X5773" i="2"/>
  <c r="X5774" i="2"/>
  <c r="X5775" i="2"/>
  <c r="X5776" i="2"/>
  <c r="X5777" i="2"/>
  <c r="X5778" i="2"/>
  <c r="X5779" i="2"/>
  <c r="X5780" i="2"/>
  <c r="X5781" i="2"/>
  <c r="X5782" i="2"/>
  <c r="X5783" i="2"/>
  <c r="X5784" i="2"/>
  <c r="X5785" i="2"/>
  <c r="X5786" i="2"/>
  <c r="X5787" i="2"/>
  <c r="X5788" i="2"/>
  <c r="X5789" i="2"/>
  <c r="X5790" i="2"/>
  <c r="X5791" i="2"/>
  <c r="X5792" i="2"/>
  <c r="X5793" i="2"/>
  <c r="X5794" i="2"/>
  <c r="X5795" i="2"/>
  <c r="X5796" i="2"/>
  <c r="X5797" i="2"/>
  <c r="X5798" i="2"/>
  <c r="X5799" i="2"/>
  <c r="X5800" i="2"/>
  <c r="X5801" i="2"/>
  <c r="X5802" i="2"/>
  <c r="X5803" i="2"/>
  <c r="X5804" i="2"/>
  <c r="X5805" i="2"/>
  <c r="X5806" i="2"/>
  <c r="X5807" i="2"/>
  <c r="X5808" i="2"/>
  <c r="X5809" i="2"/>
  <c r="X5810" i="2"/>
  <c r="X5811" i="2"/>
  <c r="X5812" i="2"/>
  <c r="X5813" i="2"/>
  <c r="X5814" i="2"/>
  <c r="X5815" i="2"/>
  <c r="X5816" i="2"/>
  <c r="X5817" i="2"/>
  <c r="X5818" i="2"/>
  <c r="X5819" i="2"/>
  <c r="X5820" i="2"/>
  <c r="X5821" i="2"/>
  <c r="X5822" i="2"/>
  <c r="X5823" i="2"/>
  <c r="X5824" i="2"/>
  <c r="X5825" i="2"/>
  <c r="X5826" i="2"/>
  <c r="X5827" i="2"/>
  <c r="X5828" i="2"/>
  <c r="X5829" i="2"/>
  <c r="X5830" i="2"/>
  <c r="X5831" i="2"/>
  <c r="X5832" i="2"/>
  <c r="X5833" i="2"/>
  <c r="X5834" i="2"/>
  <c r="X5835" i="2"/>
  <c r="X5836" i="2"/>
  <c r="X5837" i="2"/>
  <c r="X5838" i="2"/>
  <c r="X5839" i="2"/>
  <c r="X5840" i="2"/>
  <c r="X5841" i="2"/>
  <c r="X5842" i="2"/>
  <c r="X5843" i="2"/>
  <c r="X5844" i="2"/>
  <c r="X5845" i="2"/>
  <c r="X5846" i="2"/>
  <c r="X5847" i="2"/>
  <c r="X5848" i="2"/>
  <c r="X5849" i="2"/>
  <c r="X5850" i="2"/>
  <c r="X5851" i="2"/>
  <c r="X5852" i="2"/>
  <c r="X5853" i="2"/>
  <c r="X5854" i="2"/>
  <c r="X5855" i="2"/>
  <c r="X5856" i="2"/>
  <c r="X5857" i="2"/>
  <c r="X5858" i="2"/>
  <c r="X5859" i="2"/>
  <c r="X5860" i="2"/>
  <c r="X5861" i="2"/>
  <c r="X5862" i="2"/>
  <c r="X5863" i="2"/>
  <c r="X5864" i="2"/>
  <c r="X5865" i="2"/>
  <c r="X5866" i="2"/>
  <c r="X5867" i="2"/>
  <c r="X5868" i="2"/>
  <c r="X5869" i="2"/>
  <c r="X5870" i="2"/>
  <c r="X5871" i="2"/>
  <c r="X5872" i="2"/>
  <c r="X5873" i="2"/>
  <c r="X5874" i="2"/>
  <c r="X5875" i="2"/>
  <c r="X5876" i="2"/>
  <c r="X5877" i="2"/>
  <c r="X5878" i="2"/>
  <c r="X5879" i="2"/>
  <c r="X5880" i="2"/>
  <c r="X5881" i="2"/>
  <c r="X5882" i="2"/>
  <c r="X5883" i="2"/>
  <c r="X5884" i="2"/>
  <c r="X5885" i="2"/>
  <c r="X5886" i="2"/>
  <c r="X5887" i="2"/>
  <c r="X5888" i="2"/>
  <c r="X5889" i="2"/>
  <c r="X5890" i="2"/>
  <c r="X5891" i="2"/>
  <c r="X5892" i="2"/>
  <c r="X5893" i="2"/>
  <c r="X5894" i="2"/>
  <c r="X5895" i="2"/>
  <c r="X5896" i="2"/>
  <c r="X5897" i="2"/>
  <c r="X5898" i="2"/>
  <c r="X5899" i="2"/>
  <c r="X5900" i="2"/>
  <c r="X5901" i="2"/>
  <c r="X5902" i="2"/>
  <c r="X5903" i="2"/>
  <c r="X5904" i="2"/>
  <c r="X5905" i="2"/>
  <c r="X5906" i="2"/>
  <c r="X5907" i="2"/>
  <c r="X5908" i="2"/>
  <c r="X5909" i="2"/>
  <c r="X5910" i="2"/>
  <c r="X5911" i="2"/>
  <c r="X5912" i="2"/>
  <c r="X5913" i="2"/>
  <c r="X5914" i="2"/>
  <c r="X5915" i="2"/>
  <c r="X5916" i="2"/>
  <c r="X5917" i="2"/>
  <c r="X5918" i="2"/>
  <c r="X5919" i="2"/>
  <c r="X5920" i="2"/>
  <c r="X5921" i="2"/>
  <c r="X5922" i="2"/>
  <c r="X5923" i="2"/>
  <c r="X5924" i="2"/>
  <c r="X5925" i="2"/>
  <c r="X5926" i="2"/>
  <c r="X5927" i="2"/>
  <c r="X5928" i="2"/>
  <c r="X5929" i="2"/>
  <c r="X5930" i="2"/>
  <c r="X5931" i="2"/>
  <c r="X5932" i="2"/>
  <c r="X5933" i="2"/>
  <c r="X5934" i="2"/>
  <c r="X5935" i="2"/>
  <c r="X5936" i="2"/>
  <c r="X5937" i="2"/>
  <c r="X5938" i="2"/>
  <c r="X5939" i="2"/>
  <c r="X5940" i="2"/>
  <c r="X5941" i="2"/>
  <c r="X5942" i="2"/>
  <c r="X5943" i="2"/>
  <c r="X5944" i="2"/>
  <c r="X5945" i="2"/>
  <c r="X5946" i="2"/>
  <c r="X5947" i="2"/>
  <c r="X5948" i="2"/>
  <c r="X5949" i="2"/>
  <c r="X5950" i="2"/>
  <c r="X5951" i="2"/>
  <c r="X5952" i="2"/>
  <c r="X5953" i="2"/>
  <c r="X5954" i="2"/>
  <c r="X5955" i="2"/>
  <c r="X5956" i="2"/>
  <c r="X5957" i="2"/>
  <c r="X5958" i="2"/>
  <c r="X5959" i="2"/>
  <c r="X5960" i="2"/>
  <c r="X5961" i="2"/>
  <c r="X5962" i="2"/>
  <c r="X5963" i="2"/>
  <c r="X5964" i="2"/>
  <c r="X5965" i="2"/>
  <c r="X5966" i="2"/>
  <c r="X5967" i="2"/>
  <c r="X5968" i="2"/>
  <c r="X5969" i="2"/>
  <c r="X5970" i="2"/>
  <c r="X5971" i="2"/>
  <c r="X5972" i="2"/>
  <c r="X5973" i="2"/>
  <c r="X5974" i="2"/>
  <c r="X5975" i="2"/>
  <c r="X5976" i="2"/>
  <c r="X5977" i="2"/>
  <c r="X5978" i="2"/>
  <c r="X5979" i="2"/>
  <c r="X5980" i="2"/>
  <c r="X5981" i="2"/>
  <c r="X5982" i="2"/>
  <c r="X5983" i="2"/>
  <c r="X5984" i="2"/>
  <c r="X5985" i="2"/>
  <c r="X5986" i="2"/>
  <c r="X5987" i="2"/>
  <c r="X5988" i="2"/>
  <c r="X5989" i="2"/>
  <c r="X5990" i="2"/>
  <c r="X5991" i="2"/>
  <c r="X5992" i="2"/>
  <c r="X5993" i="2"/>
  <c r="X5994" i="2"/>
  <c r="X5995" i="2"/>
  <c r="X5996" i="2"/>
  <c r="X5997" i="2"/>
  <c r="X5998" i="2"/>
  <c r="X5999" i="2"/>
  <c r="X6000" i="2"/>
  <c r="X6001" i="2"/>
  <c r="X6002" i="2"/>
  <c r="X6003" i="2"/>
  <c r="X6004" i="2"/>
  <c r="X6005" i="2"/>
  <c r="X6006" i="2"/>
  <c r="X6007" i="2"/>
  <c r="X6008" i="2"/>
  <c r="X6009" i="2"/>
  <c r="X6010" i="2"/>
  <c r="X6011" i="2"/>
  <c r="X6012" i="2"/>
  <c r="X6013" i="2"/>
  <c r="X6014" i="2"/>
  <c r="X6015" i="2"/>
  <c r="X6016" i="2"/>
  <c r="X6017" i="2"/>
  <c r="X6018" i="2"/>
  <c r="X6019" i="2"/>
  <c r="X6020" i="2"/>
  <c r="X6021" i="2"/>
  <c r="X6022" i="2"/>
  <c r="X6023" i="2"/>
  <c r="X6024" i="2"/>
  <c r="X6025" i="2"/>
  <c r="X6026" i="2"/>
  <c r="X6027" i="2"/>
  <c r="X6028" i="2"/>
  <c r="X6029" i="2"/>
  <c r="X6030" i="2"/>
  <c r="X6031" i="2"/>
  <c r="X6032" i="2"/>
  <c r="X6033" i="2"/>
  <c r="X6034" i="2"/>
  <c r="X6035" i="2"/>
  <c r="X6036" i="2"/>
  <c r="X6037" i="2"/>
  <c r="X6038" i="2"/>
  <c r="X6039" i="2"/>
  <c r="X6040" i="2"/>
  <c r="X6041" i="2"/>
  <c r="X6042" i="2"/>
  <c r="X6043" i="2"/>
  <c r="X6044" i="2"/>
  <c r="X6045" i="2"/>
  <c r="X6046" i="2"/>
  <c r="X6047" i="2"/>
  <c r="X6048" i="2"/>
  <c r="X6049" i="2"/>
  <c r="X6050" i="2"/>
  <c r="X6051" i="2"/>
  <c r="X6052" i="2"/>
  <c r="X6053" i="2"/>
  <c r="X6054" i="2"/>
  <c r="X6055" i="2"/>
  <c r="X6056" i="2"/>
  <c r="X6057" i="2"/>
  <c r="X6058" i="2"/>
  <c r="X6059" i="2"/>
  <c r="X6060" i="2"/>
  <c r="X6061" i="2"/>
  <c r="X6062" i="2"/>
  <c r="X6063" i="2"/>
  <c r="X6064" i="2"/>
  <c r="X6065" i="2"/>
  <c r="X6066" i="2"/>
  <c r="X6067" i="2"/>
  <c r="X6068" i="2"/>
  <c r="X6069" i="2"/>
  <c r="X6070" i="2"/>
  <c r="X6071" i="2"/>
  <c r="X6072" i="2"/>
  <c r="X6073" i="2"/>
  <c r="X6074" i="2"/>
  <c r="X6075" i="2"/>
  <c r="X6076" i="2"/>
  <c r="X6077" i="2"/>
  <c r="X6078" i="2"/>
  <c r="X6079" i="2"/>
  <c r="X6080" i="2"/>
  <c r="X6081" i="2"/>
  <c r="X6082" i="2"/>
  <c r="X6083" i="2"/>
  <c r="X6084" i="2"/>
  <c r="X6085" i="2"/>
  <c r="X6086" i="2"/>
  <c r="X6087" i="2"/>
  <c r="X6088" i="2"/>
  <c r="X6089" i="2"/>
  <c r="X6090" i="2"/>
  <c r="X6091" i="2"/>
  <c r="X6092" i="2"/>
  <c r="X6093" i="2"/>
  <c r="X6094" i="2"/>
  <c r="X6095" i="2"/>
  <c r="X6096" i="2"/>
  <c r="X6097" i="2"/>
  <c r="X6098" i="2"/>
  <c r="X6099" i="2"/>
  <c r="X6100" i="2"/>
  <c r="X6101" i="2"/>
  <c r="X6102" i="2"/>
  <c r="X6103" i="2"/>
  <c r="X6104" i="2"/>
  <c r="X6105" i="2"/>
  <c r="X6106" i="2"/>
  <c r="X6107" i="2"/>
  <c r="X6108" i="2"/>
  <c r="X6109" i="2"/>
  <c r="X6110" i="2"/>
  <c r="X6111" i="2"/>
  <c r="X6112" i="2"/>
  <c r="X6113" i="2"/>
  <c r="X6114" i="2"/>
  <c r="X6115" i="2"/>
  <c r="X6116" i="2"/>
  <c r="X6117" i="2"/>
  <c r="X6118" i="2"/>
  <c r="X6119" i="2"/>
  <c r="X6120" i="2"/>
  <c r="X6121" i="2"/>
  <c r="X6122" i="2"/>
  <c r="X6123" i="2"/>
  <c r="X6124" i="2"/>
  <c r="X6125" i="2"/>
  <c r="X6126" i="2"/>
  <c r="X6127" i="2"/>
  <c r="X6128" i="2"/>
  <c r="X6129" i="2"/>
  <c r="X6130" i="2"/>
  <c r="X6131" i="2"/>
  <c r="X6132" i="2"/>
  <c r="X6133" i="2"/>
  <c r="X6134" i="2"/>
  <c r="X6135" i="2"/>
  <c r="X6136" i="2"/>
  <c r="X6137" i="2"/>
  <c r="X6138" i="2"/>
  <c r="X6139" i="2"/>
  <c r="X6140" i="2"/>
  <c r="X6141" i="2"/>
  <c r="X6142" i="2"/>
  <c r="X6143" i="2"/>
  <c r="X6144" i="2"/>
  <c r="X6145" i="2"/>
  <c r="X6146" i="2"/>
  <c r="X6147" i="2"/>
  <c r="X6148" i="2"/>
  <c r="X6149" i="2"/>
  <c r="X6150" i="2"/>
  <c r="X6151" i="2"/>
  <c r="X6152" i="2"/>
  <c r="X6153" i="2"/>
  <c r="X6154" i="2"/>
  <c r="X6155" i="2"/>
  <c r="X6156" i="2"/>
  <c r="X6157" i="2"/>
  <c r="X6158" i="2"/>
  <c r="X6159" i="2"/>
  <c r="X6160" i="2"/>
  <c r="X6161" i="2"/>
  <c r="X6162" i="2"/>
  <c r="X6163" i="2"/>
  <c r="X6164" i="2"/>
  <c r="X6165" i="2"/>
  <c r="X6166" i="2"/>
  <c r="X6167" i="2"/>
  <c r="X6168" i="2"/>
  <c r="X6169" i="2"/>
  <c r="X6170" i="2"/>
  <c r="X6171" i="2"/>
  <c r="X6172" i="2"/>
  <c r="X6173" i="2"/>
  <c r="X6174" i="2"/>
  <c r="X6175" i="2"/>
  <c r="X6176" i="2"/>
  <c r="X6177" i="2"/>
  <c r="X6178" i="2"/>
  <c r="X6179" i="2"/>
  <c r="X6180" i="2"/>
  <c r="X6181" i="2"/>
  <c r="X6182" i="2"/>
  <c r="X6183" i="2"/>
  <c r="X6184" i="2"/>
  <c r="X6185" i="2"/>
  <c r="X6186" i="2"/>
  <c r="X6187" i="2"/>
  <c r="X6188" i="2"/>
  <c r="X6189" i="2"/>
  <c r="X6190" i="2"/>
  <c r="X6191" i="2"/>
  <c r="X6192" i="2"/>
  <c r="X6193" i="2"/>
  <c r="X6194" i="2"/>
  <c r="X6195" i="2"/>
  <c r="X6196" i="2"/>
  <c r="X6197" i="2"/>
  <c r="X6198" i="2"/>
  <c r="X6199" i="2"/>
  <c r="X6200" i="2"/>
  <c r="X6201" i="2"/>
  <c r="X6202" i="2"/>
  <c r="X6203" i="2"/>
  <c r="X6204" i="2"/>
  <c r="X6205" i="2"/>
  <c r="X6206" i="2"/>
  <c r="X6207" i="2"/>
  <c r="X6208" i="2"/>
  <c r="X6209" i="2"/>
  <c r="X6210" i="2"/>
  <c r="X6211" i="2"/>
  <c r="X6212" i="2"/>
  <c r="X6213" i="2"/>
  <c r="X6214" i="2"/>
  <c r="X6215" i="2"/>
  <c r="X6216" i="2"/>
  <c r="X6217" i="2"/>
  <c r="X6218" i="2"/>
  <c r="X6219" i="2"/>
  <c r="X6220" i="2"/>
  <c r="X6221" i="2"/>
  <c r="X6222" i="2"/>
  <c r="X6223" i="2"/>
  <c r="X6224" i="2"/>
  <c r="X6225" i="2"/>
  <c r="X6226" i="2"/>
  <c r="X6227" i="2"/>
  <c r="X6228" i="2"/>
  <c r="X6229" i="2"/>
  <c r="X6230" i="2"/>
  <c r="X6231" i="2"/>
  <c r="X6232" i="2"/>
  <c r="X6233" i="2"/>
  <c r="X6234" i="2"/>
  <c r="X6235" i="2"/>
  <c r="X6236" i="2"/>
  <c r="X6237" i="2"/>
  <c r="X6238" i="2"/>
  <c r="X6239" i="2"/>
  <c r="X6240" i="2"/>
  <c r="X6241" i="2"/>
  <c r="X6242" i="2"/>
  <c r="X6243" i="2"/>
  <c r="X6244" i="2"/>
  <c r="X6245" i="2"/>
  <c r="X6246" i="2"/>
  <c r="X6247" i="2"/>
  <c r="X6248" i="2"/>
  <c r="X6249" i="2"/>
  <c r="X6250" i="2"/>
  <c r="X6251" i="2"/>
  <c r="X6252" i="2"/>
  <c r="X6253" i="2"/>
  <c r="X6254" i="2"/>
  <c r="X6255" i="2"/>
  <c r="X6256" i="2"/>
  <c r="X6257" i="2"/>
  <c r="X6258" i="2"/>
  <c r="X6259" i="2"/>
  <c r="X6260" i="2"/>
  <c r="X6261" i="2"/>
  <c r="X6262" i="2"/>
  <c r="X6263" i="2"/>
  <c r="X6264" i="2"/>
  <c r="X6265" i="2"/>
  <c r="X6266" i="2"/>
  <c r="X6267" i="2"/>
  <c r="X6268" i="2"/>
  <c r="X6269" i="2"/>
  <c r="X6270" i="2"/>
  <c r="X6271" i="2"/>
  <c r="X6272" i="2"/>
  <c r="X6273" i="2"/>
  <c r="X6274" i="2"/>
  <c r="X6275" i="2"/>
  <c r="X6276" i="2"/>
  <c r="X6277" i="2"/>
  <c r="X6278" i="2"/>
  <c r="X6279" i="2"/>
  <c r="X6280" i="2"/>
  <c r="X6281" i="2"/>
  <c r="X6282" i="2"/>
  <c r="X6283" i="2"/>
  <c r="X6284" i="2"/>
  <c r="X6285" i="2"/>
  <c r="X6286" i="2"/>
  <c r="X6287" i="2"/>
  <c r="X6288" i="2"/>
  <c r="X6289" i="2"/>
  <c r="X6290" i="2"/>
  <c r="X6291" i="2"/>
  <c r="X6292" i="2"/>
  <c r="X6293" i="2"/>
  <c r="X6294" i="2"/>
  <c r="X6295" i="2"/>
  <c r="X6296" i="2"/>
  <c r="X6297" i="2"/>
  <c r="X6298" i="2"/>
  <c r="X6299" i="2"/>
  <c r="X6300" i="2"/>
  <c r="X6301" i="2"/>
  <c r="X6302" i="2"/>
  <c r="X6303" i="2"/>
  <c r="X6304" i="2"/>
  <c r="X6305" i="2"/>
  <c r="X6306" i="2"/>
  <c r="X6307" i="2"/>
  <c r="X6308" i="2"/>
  <c r="X6309" i="2"/>
  <c r="X6310" i="2"/>
  <c r="X6311" i="2"/>
  <c r="X6312" i="2"/>
  <c r="X6313" i="2"/>
  <c r="X6314" i="2"/>
  <c r="X6315" i="2"/>
  <c r="X6316" i="2"/>
  <c r="X6317" i="2"/>
  <c r="X6318" i="2"/>
  <c r="X6319" i="2"/>
  <c r="X6320" i="2"/>
  <c r="X6321" i="2"/>
  <c r="X6322" i="2"/>
  <c r="X6323" i="2"/>
  <c r="X6324" i="2"/>
  <c r="X6325" i="2"/>
  <c r="X6326" i="2"/>
  <c r="X6327" i="2"/>
  <c r="X6328" i="2"/>
  <c r="X6329" i="2"/>
  <c r="X6330" i="2"/>
  <c r="X6331" i="2"/>
  <c r="X6332" i="2"/>
  <c r="X6333" i="2"/>
  <c r="X6334" i="2"/>
  <c r="X6335" i="2"/>
  <c r="X6336" i="2"/>
  <c r="X6337" i="2"/>
  <c r="X6338" i="2"/>
  <c r="X6339" i="2"/>
  <c r="X6340" i="2"/>
  <c r="X6341" i="2"/>
  <c r="X6342" i="2"/>
  <c r="X6343" i="2"/>
  <c r="X6344" i="2"/>
  <c r="X6345" i="2"/>
  <c r="X6346" i="2"/>
  <c r="X6347" i="2"/>
  <c r="X6348" i="2"/>
  <c r="X6349" i="2"/>
  <c r="X6350" i="2"/>
  <c r="X6351" i="2"/>
  <c r="X6352" i="2"/>
  <c r="X6353" i="2"/>
  <c r="X6354" i="2"/>
  <c r="X6355" i="2"/>
  <c r="X6356" i="2"/>
  <c r="X6357" i="2"/>
  <c r="X6358" i="2"/>
  <c r="X6359" i="2"/>
  <c r="X6360" i="2"/>
  <c r="X6361" i="2"/>
  <c r="X6362" i="2"/>
  <c r="X6363" i="2"/>
  <c r="X6364" i="2"/>
  <c r="X6365" i="2"/>
  <c r="X6366" i="2"/>
  <c r="X6367" i="2"/>
  <c r="X6368" i="2"/>
  <c r="X6369" i="2"/>
  <c r="X6370" i="2"/>
  <c r="X6371" i="2"/>
  <c r="X6372" i="2"/>
  <c r="X6373" i="2"/>
  <c r="X6374" i="2"/>
  <c r="X6375" i="2"/>
  <c r="X6376" i="2"/>
  <c r="X6377" i="2"/>
  <c r="X6378" i="2"/>
  <c r="X6379" i="2"/>
  <c r="X6380" i="2"/>
  <c r="X6381" i="2"/>
  <c r="X6382" i="2"/>
  <c r="X6383" i="2"/>
  <c r="X6384" i="2"/>
  <c r="X6385" i="2"/>
  <c r="X6386" i="2"/>
  <c r="X6387" i="2"/>
  <c r="X6388" i="2"/>
  <c r="X6389" i="2"/>
  <c r="X6390" i="2"/>
  <c r="X6391" i="2"/>
  <c r="X6392" i="2"/>
  <c r="X6393" i="2"/>
  <c r="X6394" i="2"/>
  <c r="X6395" i="2"/>
  <c r="X6396" i="2"/>
  <c r="X6397" i="2"/>
  <c r="X6398" i="2"/>
  <c r="X6399" i="2"/>
  <c r="X6400" i="2"/>
  <c r="X6401" i="2"/>
  <c r="X6402" i="2"/>
  <c r="X6403" i="2"/>
  <c r="X6404" i="2"/>
  <c r="X6405" i="2"/>
  <c r="X6406" i="2"/>
  <c r="X6407" i="2"/>
  <c r="X6408" i="2"/>
  <c r="X6409" i="2"/>
  <c r="X6410" i="2"/>
  <c r="X6411" i="2"/>
  <c r="X6412" i="2"/>
  <c r="X6413" i="2"/>
  <c r="X6414" i="2"/>
  <c r="X6415" i="2"/>
  <c r="X6416" i="2"/>
  <c r="X6417" i="2"/>
  <c r="X6418" i="2"/>
  <c r="X6419" i="2"/>
  <c r="X6420" i="2"/>
  <c r="X6421" i="2"/>
  <c r="X6422" i="2"/>
  <c r="X6423" i="2"/>
  <c r="X6424" i="2"/>
  <c r="X6425" i="2"/>
  <c r="X6426" i="2"/>
  <c r="X6427" i="2"/>
  <c r="X6428" i="2"/>
  <c r="X6429" i="2"/>
  <c r="X6430" i="2"/>
  <c r="X6431" i="2"/>
  <c r="X6432" i="2"/>
  <c r="X6433" i="2"/>
  <c r="X6434" i="2"/>
  <c r="X6435" i="2"/>
  <c r="X6436" i="2"/>
  <c r="X6437" i="2"/>
  <c r="X6438" i="2"/>
  <c r="X6439" i="2"/>
  <c r="X6440" i="2"/>
  <c r="X6441" i="2"/>
  <c r="X6442" i="2"/>
  <c r="X6443" i="2"/>
  <c r="X6444" i="2"/>
  <c r="X6445" i="2"/>
  <c r="X6446" i="2"/>
  <c r="X6447" i="2"/>
  <c r="X6448" i="2"/>
  <c r="X6449" i="2"/>
  <c r="X6450" i="2"/>
  <c r="X6451" i="2"/>
  <c r="X6452" i="2"/>
  <c r="X6453" i="2"/>
  <c r="X6454" i="2"/>
  <c r="X6455" i="2"/>
  <c r="X6456" i="2"/>
  <c r="X6457" i="2"/>
  <c r="X6458" i="2"/>
  <c r="X6459" i="2"/>
  <c r="X6460" i="2"/>
  <c r="X6461" i="2"/>
  <c r="X6462" i="2"/>
  <c r="X6463" i="2"/>
  <c r="X6464" i="2"/>
  <c r="X6465" i="2"/>
  <c r="X6466" i="2"/>
  <c r="X6467" i="2"/>
  <c r="X6468" i="2"/>
  <c r="X6469" i="2"/>
  <c r="X6470" i="2"/>
  <c r="X6471" i="2"/>
  <c r="X6472" i="2"/>
  <c r="X6473" i="2"/>
  <c r="X6474" i="2"/>
  <c r="X6475" i="2"/>
  <c r="X6476" i="2"/>
  <c r="X6477" i="2"/>
  <c r="X6478" i="2"/>
  <c r="X6479" i="2"/>
  <c r="X6480" i="2"/>
  <c r="X6481" i="2"/>
  <c r="X6482" i="2"/>
  <c r="X6483" i="2"/>
  <c r="X6484" i="2"/>
  <c r="X6485" i="2"/>
  <c r="X6486" i="2"/>
  <c r="X6487" i="2"/>
  <c r="X6488" i="2"/>
  <c r="X6489" i="2"/>
  <c r="X6490" i="2"/>
  <c r="X6491" i="2"/>
  <c r="X6492" i="2"/>
  <c r="X6493" i="2"/>
  <c r="X6494" i="2"/>
  <c r="X6495" i="2"/>
  <c r="X6496" i="2"/>
  <c r="X6497" i="2"/>
  <c r="X6498" i="2"/>
  <c r="X6499" i="2"/>
  <c r="X6500" i="2"/>
  <c r="X6501" i="2"/>
  <c r="X6502" i="2"/>
  <c r="X6503" i="2"/>
  <c r="X6504" i="2"/>
  <c r="X6505" i="2"/>
  <c r="X6506" i="2"/>
  <c r="X6507" i="2"/>
  <c r="X6508" i="2"/>
  <c r="X6509" i="2"/>
  <c r="X6510" i="2"/>
  <c r="X6511" i="2"/>
  <c r="X6512" i="2"/>
  <c r="X6513" i="2"/>
  <c r="X6514" i="2"/>
  <c r="X6515" i="2"/>
  <c r="X6516" i="2"/>
  <c r="X6517" i="2"/>
  <c r="X6518" i="2"/>
  <c r="X6519" i="2"/>
  <c r="X6520" i="2"/>
  <c r="X6521" i="2"/>
  <c r="X6522" i="2"/>
  <c r="X6523" i="2"/>
  <c r="X6524" i="2"/>
  <c r="X6525" i="2"/>
  <c r="X6526" i="2"/>
  <c r="X6527" i="2"/>
  <c r="X6528" i="2"/>
  <c r="X6529" i="2"/>
  <c r="X6530" i="2"/>
  <c r="X6531" i="2"/>
  <c r="X6532" i="2"/>
  <c r="X6533" i="2"/>
  <c r="X6534" i="2"/>
  <c r="X6535" i="2"/>
  <c r="X6536" i="2"/>
  <c r="X6537" i="2"/>
  <c r="X6538" i="2"/>
  <c r="X6539" i="2"/>
  <c r="X6540" i="2"/>
  <c r="X6541" i="2"/>
  <c r="X6542" i="2"/>
  <c r="X6543" i="2"/>
  <c r="X6544" i="2"/>
  <c r="X6545" i="2"/>
  <c r="X6546" i="2"/>
  <c r="X6547" i="2"/>
  <c r="X6548" i="2"/>
  <c r="X6549" i="2"/>
  <c r="X6550" i="2"/>
  <c r="X6551" i="2"/>
  <c r="X6552" i="2"/>
  <c r="X6553" i="2"/>
  <c r="X6554" i="2"/>
  <c r="X6555" i="2"/>
  <c r="X6556" i="2"/>
  <c r="X6557" i="2"/>
  <c r="X6558" i="2"/>
  <c r="X6559" i="2"/>
  <c r="X6560" i="2"/>
  <c r="X6561" i="2"/>
  <c r="X6562" i="2"/>
  <c r="X6563" i="2"/>
  <c r="X6564" i="2"/>
  <c r="X6565" i="2"/>
  <c r="X6566" i="2"/>
  <c r="X6567" i="2"/>
  <c r="X6568" i="2"/>
  <c r="X6569" i="2"/>
  <c r="X6570" i="2"/>
  <c r="X6571" i="2"/>
  <c r="X6572" i="2"/>
  <c r="X6573" i="2"/>
  <c r="X6574" i="2"/>
  <c r="X6575" i="2"/>
  <c r="X6576" i="2"/>
  <c r="X6577" i="2"/>
  <c r="X6578" i="2"/>
  <c r="X6579" i="2"/>
  <c r="X6580" i="2"/>
  <c r="X6581" i="2"/>
  <c r="X6582" i="2"/>
  <c r="X6583" i="2"/>
  <c r="X6584" i="2"/>
  <c r="X6585" i="2"/>
  <c r="X6586" i="2"/>
  <c r="X6587" i="2"/>
  <c r="X6588" i="2"/>
  <c r="X6589" i="2"/>
  <c r="X6590" i="2"/>
  <c r="X6591" i="2"/>
  <c r="X6592" i="2"/>
  <c r="X6593" i="2"/>
  <c r="X6594" i="2"/>
  <c r="X6595" i="2"/>
  <c r="X6596" i="2"/>
  <c r="X6597" i="2"/>
  <c r="X6598" i="2"/>
  <c r="X6599" i="2"/>
  <c r="X6600" i="2"/>
  <c r="X6601" i="2"/>
  <c r="X6602" i="2"/>
  <c r="X6603" i="2"/>
  <c r="X6604" i="2"/>
  <c r="X6605" i="2"/>
  <c r="X6606" i="2"/>
  <c r="X6607" i="2"/>
  <c r="X6608" i="2"/>
  <c r="X6609" i="2"/>
  <c r="X6610" i="2"/>
  <c r="X6611" i="2"/>
  <c r="X6612" i="2"/>
  <c r="X6613" i="2"/>
  <c r="X6614" i="2"/>
  <c r="X6615" i="2"/>
  <c r="X6616" i="2"/>
  <c r="X6617" i="2"/>
  <c r="X6618" i="2"/>
  <c r="X6619" i="2"/>
  <c r="X6620" i="2"/>
  <c r="X6621" i="2"/>
  <c r="X6622" i="2"/>
  <c r="X6623" i="2"/>
  <c r="X6624" i="2"/>
  <c r="X6625" i="2"/>
  <c r="X6626" i="2"/>
  <c r="X6627" i="2"/>
  <c r="X6628" i="2"/>
  <c r="X6629" i="2"/>
  <c r="X6630" i="2"/>
  <c r="X6631" i="2"/>
  <c r="X6632" i="2"/>
  <c r="X6633" i="2"/>
  <c r="X6634" i="2"/>
  <c r="X6635" i="2"/>
  <c r="X6636" i="2"/>
  <c r="X6637" i="2"/>
  <c r="X6638" i="2"/>
  <c r="X6639" i="2"/>
  <c r="X6640" i="2"/>
  <c r="X6641" i="2"/>
  <c r="X6642" i="2"/>
  <c r="X6643" i="2"/>
  <c r="X6644" i="2"/>
  <c r="X6645" i="2"/>
  <c r="X6646" i="2"/>
  <c r="X6647" i="2"/>
  <c r="X6648" i="2"/>
  <c r="X6649" i="2"/>
  <c r="X6650" i="2"/>
  <c r="X6651" i="2"/>
  <c r="X6652" i="2"/>
  <c r="X6653" i="2"/>
  <c r="X6654" i="2"/>
  <c r="X6655" i="2"/>
  <c r="X6656" i="2"/>
  <c r="X6657" i="2"/>
  <c r="X6658" i="2"/>
  <c r="X6659" i="2"/>
  <c r="X6660" i="2"/>
  <c r="X6661" i="2"/>
  <c r="X6662" i="2"/>
  <c r="X6663" i="2"/>
  <c r="X6664" i="2"/>
  <c r="X6665" i="2"/>
  <c r="X6666" i="2"/>
  <c r="X6667" i="2"/>
  <c r="X6668" i="2"/>
  <c r="X6669" i="2"/>
  <c r="X6670" i="2"/>
  <c r="X6671" i="2"/>
  <c r="X6672" i="2"/>
  <c r="X6673" i="2"/>
  <c r="X6674" i="2"/>
  <c r="X6675" i="2"/>
  <c r="X6676" i="2"/>
  <c r="X6677" i="2"/>
  <c r="X6678" i="2"/>
  <c r="X6679" i="2"/>
  <c r="X6680" i="2"/>
  <c r="X6681" i="2"/>
  <c r="X6682" i="2"/>
  <c r="X6683" i="2"/>
  <c r="X6684" i="2"/>
  <c r="X6685" i="2"/>
  <c r="X6686" i="2"/>
  <c r="X6687" i="2"/>
  <c r="X6688" i="2"/>
  <c r="X6689" i="2"/>
  <c r="X6690" i="2"/>
  <c r="X6691" i="2"/>
  <c r="X6692" i="2"/>
  <c r="X6693" i="2"/>
  <c r="X6694" i="2"/>
  <c r="X6695" i="2"/>
  <c r="X6696" i="2"/>
  <c r="X6697" i="2"/>
  <c r="X6698" i="2"/>
  <c r="X6699" i="2"/>
  <c r="X6700" i="2"/>
  <c r="X6701" i="2"/>
  <c r="X6702" i="2"/>
  <c r="X6703" i="2"/>
  <c r="X6704" i="2"/>
  <c r="X6705" i="2"/>
  <c r="X6706" i="2"/>
  <c r="X6707" i="2"/>
  <c r="X6708" i="2"/>
  <c r="X6709" i="2"/>
  <c r="X6710" i="2"/>
  <c r="X6711" i="2"/>
  <c r="X6712" i="2"/>
  <c r="X6713" i="2"/>
  <c r="X6714" i="2"/>
  <c r="X6715" i="2"/>
  <c r="X6716" i="2"/>
  <c r="X6717" i="2"/>
  <c r="X6718" i="2"/>
  <c r="X6719" i="2"/>
  <c r="X6720" i="2"/>
  <c r="X6721" i="2"/>
  <c r="X6722" i="2"/>
  <c r="X6723" i="2"/>
  <c r="X6724" i="2"/>
  <c r="X6725" i="2"/>
  <c r="X6726" i="2"/>
  <c r="X6727" i="2"/>
  <c r="X6728" i="2"/>
  <c r="X6729" i="2"/>
  <c r="X6730" i="2"/>
  <c r="X6731" i="2"/>
  <c r="X6732" i="2"/>
  <c r="X6733" i="2"/>
  <c r="X6734" i="2"/>
  <c r="X6735" i="2"/>
  <c r="X6736" i="2"/>
  <c r="X6737" i="2"/>
  <c r="X6738" i="2"/>
  <c r="X6739" i="2"/>
  <c r="X6740" i="2"/>
  <c r="X6741" i="2"/>
  <c r="X6742" i="2"/>
  <c r="X6743" i="2"/>
  <c r="X6744" i="2"/>
  <c r="X6745" i="2"/>
  <c r="X6746" i="2"/>
  <c r="X6747" i="2"/>
  <c r="X6748" i="2"/>
  <c r="X6749" i="2"/>
  <c r="X6750" i="2"/>
  <c r="X6751" i="2"/>
  <c r="X6752" i="2"/>
  <c r="X6753" i="2"/>
  <c r="X6754" i="2"/>
  <c r="X6755" i="2"/>
  <c r="X6756" i="2"/>
  <c r="X6757" i="2"/>
  <c r="X6758" i="2"/>
  <c r="X6759" i="2"/>
  <c r="X6760" i="2"/>
  <c r="X6761" i="2"/>
  <c r="X6762" i="2"/>
  <c r="X6763" i="2"/>
  <c r="X6764" i="2"/>
  <c r="X6765" i="2"/>
  <c r="X6766" i="2"/>
  <c r="X6767" i="2"/>
  <c r="X6768" i="2"/>
  <c r="X6769" i="2"/>
  <c r="X6770" i="2"/>
  <c r="X6771" i="2"/>
  <c r="X6772" i="2"/>
  <c r="X6773" i="2"/>
  <c r="X6774" i="2"/>
  <c r="X6775" i="2"/>
  <c r="X6776" i="2"/>
  <c r="X6777" i="2"/>
  <c r="X6778" i="2"/>
  <c r="X6779" i="2"/>
  <c r="X6780" i="2"/>
  <c r="X6781" i="2"/>
  <c r="X6782" i="2"/>
  <c r="X6783" i="2"/>
  <c r="X6784" i="2"/>
  <c r="X6785" i="2"/>
  <c r="X6786" i="2"/>
  <c r="X6787" i="2"/>
  <c r="X6788" i="2"/>
  <c r="X6789" i="2"/>
  <c r="X6790" i="2"/>
  <c r="X6791" i="2"/>
  <c r="X6792" i="2"/>
  <c r="X6793" i="2"/>
  <c r="X6794" i="2"/>
  <c r="X6795" i="2"/>
  <c r="X6796" i="2"/>
  <c r="X6797" i="2"/>
  <c r="X6798" i="2"/>
  <c r="X6799" i="2"/>
  <c r="X6800" i="2"/>
  <c r="X6801" i="2"/>
  <c r="X6802" i="2"/>
  <c r="X6803" i="2"/>
  <c r="X6804" i="2"/>
  <c r="X6805" i="2"/>
  <c r="X6806" i="2"/>
  <c r="X6807" i="2"/>
  <c r="X6808" i="2"/>
  <c r="X6809" i="2"/>
  <c r="X6810" i="2"/>
  <c r="X6811" i="2"/>
  <c r="X6812" i="2"/>
  <c r="X6813" i="2"/>
  <c r="X6814" i="2"/>
  <c r="X6815" i="2"/>
  <c r="X6816" i="2"/>
  <c r="X6817" i="2"/>
  <c r="X6818" i="2"/>
  <c r="X6819" i="2"/>
  <c r="X6820" i="2"/>
  <c r="X6821" i="2"/>
  <c r="X6822" i="2"/>
  <c r="X6823" i="2"/>
  <c r="X6824" i="2"/>
  <c r="X6825" i="2"/>
  <c r="X6826" i="2"/>
  <c r="X6827" i="2"/>
  <c r="X6828" i="2"/>
  <c r="X6829" i="2"/>
  <c r="X6830" i="2"/>
  <c r="X6831" i="2"/>
  <c r="X6832" i="2"/>
  <c r="X6833" i="2"/>
  <c r="X6834" i="2"/>
  <c r="X6835" i="2"/>
  <c r="X6836" i="2"/>
  <c r="X6837" i="2"/>
  <c r="X6838" i="2"/>
  <c r="X6839" i="2"/>
  <c r="X6840" i="2"/>
  <c r="X6841" i="2"/>
  <c r="X6842" i="2"/>
  <c r="X6843" i="2"/>
  <c r="X6844" i="2"/>
  <c r="X6845" i="2"/>
  <c r="X6846" i="2"/>
  <c r="X6847" i="2"/>
  <c r="X6848" i="2"/>
  <c r="X6849" i="2"/>
  <c r="X6850" i="2"/>
  <c r="X6851" i="2"/>
  <c r="X6852" i="2"/>
  <c r="X6853" i="2"/>
  <c r="X6854" i="2"/>
  <c r="X6855" i="2"/>
  <c r="X6856" i="2"/>
  <c r="X6857" i="2"/>
  <c r="X6858" i="2"/>
  <c r="X6859" i="2"/>
  <c r="X6860" i="2"/>
  <c r="X6861" i="2"/>
  <c r="X6862" i="2"/>
  <c r="X6863" i="2"/>
  <c r="X6864" i="2"/>
  <c r="X6865" i="2"/>
  <c r="X6866" i="2"/>
  <c r="X6867" i="2"/>
  <c r="X6868" i="2"/>
  <c r="X6869" i="2"/>
  <c r="X6870" i="2"/>
  <c r="X6871" i="2"/>
  <c r="X6872" i="2"/>
  <c r="X6873" i="2"/>
  <c r="X6874" i="2"/>
  <c r="X6875" i="2"/>
  <c r="X6876" i="2"/>
  <c r="X6877" i="2"/>
  <c r="X6878" i="2"/>
  <c r="X6879" i="2"/>
  <c r="X6880" i="2"/>
  <c r="X6881" i="2"/>
  <c r="X6882" i="2"/>
  <c r="X6883" i="2"/>
  <c r="X6884" i="2"/>
  <c r="X6885" i="2"/>
  <c r="X6886" i="2"/>
  <c r="X6887" i="2"/>
  <c r="X6888" i="2"/>
  <c r="X6889" i="2"/>
  <c r="X6890" i="2"/>
  <c r="X6891" i="2"/>
  <c r="X6892" i="2"/>
  <c r="X6893" i="2"/>
  <c r="X6894" i="2"/>
  <c r="X6895" i="2"/>
  <c r="X6896" i="2"/>
  <c r="X6897" i="2"/>
  <c r="X6898" i="2"/>
  <c r="X6899" i="2"/>
  <c r="X6900" i="2"/>
  <c r="X6901" i="2"/>
  <c r="X6902" i="2"/>
  <c r="X6903" i="2"/>
  <c r="X6904" i="2"/>
  <c r="X6905" i="2"/>
  <c r="X6906" i="2"/>
  <c r="X6907" i="2"/>
  <c r="X6908" i="2"/>
  <c r="X6909" i="2"/>
  <c r="X6910" i="2"/>
  <c r="X6911" i="2"/>
  <c r="X6912" i="2"/>
  <c r="X6913" i="2"/>
  <c r="X6914" i="2"/>
  <c r="X6915" i="2"/>
  <c r="X6916" i="2"/>
  <c r="X6917" i="2"/>
  <c r="X6918" i="2"/>
  <c r="X6919" i="2"/>
  <c r="X6920" i="2"/>
  <c r="X6921" i="2"/>
  <c r="X6922" i="2"/>
  <c r="X6923" i="2"/>
  <c r="X6924" i="2"/>
  <c r="X6925" i="2"/>
  <c r="X6926" i="2"/>
  <c r="X6927" i="2"/>
  <c r="X6928" i="2"/>
  <c r="X6929" i="2"/>
  <c r="X6930" i="2"/>
  <c r="X6931" i="2"/>
  <c r="X6932" i="2"/>
  <c r="X6933" i="2"/>
  <c r="X6934" i="2"/>
  <c r="X6935" i="2"/>
  <c r="X6936" i="2"/>
  <c r="X6937" i="2"/>
  <c r="X6938" i="2"/>
  <c r="X6939" i="2"/>
  <c r="X6940" i="2"/>
  <c r="X6941" i="2"/>
  <c r="X6942" i="2"/>
  <c r="X6943" i="2"/>
  <c r="X6944" i="2"/>
  <c r="X6945" i="2"/>
  <c r="X6946" i="2"/>
  <c r="X6947" i="2"/>
  <c r="X6948" i="2"/>
  <c r="X6949" i="2"/>
  <c r="X6950" i="2"/>
  <c r="X6951" i="2"/>
  <c r="X6952" i="2"/>
  <c r="X6953" i="2"/>
  <c r="X6954" i="2"/>
  <c r="X6955" i="2"/>
  <c r="X6956" i="2"/>
  <c r="X6957" i="2"/>
  <c r="X6958" i="2"/>
  <c r="X6959" i="2"/>
  <c r="X6960" i="2"/>
  <c r="X6961" i="2"/>
  <c r="X6962" i="2"/>
  <c r="X6963" i="2"/>
  <c r="X6964" i="2"/>
  <c r="X6965" i="2"/>
  <c r="X6966" i="2"/>
  <c r="X6967" i="2"/>
  <c r="X6968" i="2"/>
  <c r="X6969" i="2"/>
  <c r="X6970" i="2"/>
  <c r="X6971" i="2"/>
  <c r="X6972" i="2"/>
  <c r="X6973" i="2"/>
  <c r="X6974" i="2"/>
  <c r="X6975" i="2"/>
  <c r="X6976" i="2"/>
  <c r="X6977" i="2"/>
  <c r="X6978" i="2"/>
  <c r="X6979" i="2"/>
  <c r="X6980" i="2"/>
  <c r="X6981" i="2"/>
  <c r="X6982" i="2"/>
  <c r="X6983" i="2"/>
  <c r="X6984" i="2"/>
  <c r="X6985" i="2"/>
  <c r="X6986" i="2"/>
  <c r="X6987" i="2"/>
  <c r="X6988" i="2"/>
  <c r="X6989" i="2"/>
  <c r="X6990" i="2"/>
  <c r="X6991" i="2"/>
  <c r="X6992" i="2"/>
  <c r="X6993" i="2"/>
  <c r="X6994" i="2"/>
  <c r="X6995" i="2"/>
  <c r="X6996" i="2"/>
  <c r="X6997" i="2"/>
  <c r="X6998" i="2"/>
  <c r="X6999" i="2"/>
  <c r="X7000" i="2"/>
  <c r="X7001" i="2"/>
  <c r="X7002" i="2"/>
  <c r="X7003" i="2"/>
  <c r="X7004" i="2"/>
  <c r="X7005" i="2"/>
  <c r="X7006" i="2"/>
  <c r="X7007" i="2"/>
  <c r="X7008" i="2"/>
  <c r="X7009" i="2"/>
  <c r="X7010" i="2"/>
  <c r="X7011" i="2"/>
  <c r="X7012" i="2"/>
  <c r="X7013" i="2"/>
  <c r="X7014" i="2"/>
  <c r="X7015" i="2"/>
  <c r="X7016" i="2"/>
  <c r="X7017" i="2"/>
  <c r="X7018" i="2"/>
  <c r="X7019" i="2"/>
  <c r="X7020" i="2"/>
  <c r="X7021" i="2"/>
  <c r="X7022" i="2"/>
  <c r="X7023" i="2"/>
  <c r="X7024" i="2"/>
  <c r="X7025" i="2"/>
  <c r="X7026" i="2"/>
  <c r="X7027" i="2"/>
  <c r="X7028" i="2"/>
  <c r="X7029" i="2"/>
  <c r="X7030" i="2"/>
  <c r="X7031" i="2"/>
  <c r="X7032" i="2"/>
  <c r="X7033" i="2"/>
  <c r="X7034" i="2"/>
  <c r="X7035" i="2"/>
  <c r="X7036" i="2"/>
  <c r="X7037" i="2"/>
  <c r="X7038" i="2"/>
  <c r="X7039" i="2"/>
  <c r="X7040" i="2"/>
  <c r="X7041" i="2"/>
  <c r="X7042" i="2"/>
  <c r="X7043" i="2"/>
  <c r="X7044" i="2"/>
  <c r="X7045" i="2"/>
  <c r="X7046" i="2"/>
  <c r="X7047" i="2"/>
  <c r="X7048" i="2"/>
  <c r="X7049" i="2"/>
  <c r="X7050" i="2"/>
  <c r="X7051" i="2"/>
  <c r="X7052" i="2"/>
  <c r="X7053" i="2"/>
  <c r="X7054" i="2"/>
  <c r="X7055" i="2"/>
  <c r="X7056" i="2"/>
  <c r="X7057" i="2"/>
  <c r="X7058" i="2"/>
  <c r="X7059" i="2"/>
  <c r="X7060" i="2"/>
  <c r="X7061" i="2"/>
  <c r="X7062" i="2"/>
  <c r="X7063" i="2"/>
  <c r="X7064" i="2"/>
  <c r="X7065" i="2"/>
  <c r="X7066" i="2"/>
  <c r="X7067" i="2"/>
  <c r="X7068" i="2"/>
  <c r="X7069" i="2"/>
  <c r="X7070" i="2"/>
  <c r="X7071" i="2"/>
  <c r="X7072" i="2"/>
  <c r="X7073" i="2"/>
  <c r="X7074" i="2"/>
  <c r="X7075" i="2"/>
  <c r="X7076" i="2"/>
  <c r="X7077" i="2"/>
  <c r="X7078" i="2"/>
  <c r="X7079" i="2"/>
  <c r="X7080" i="2"/>
  <c r="X7081" i="2"/>
  <c r="X7082" i="2"/>
  <c r="X7083" i="2"/>
  <c r="X7084" i="2"/>
  <c r="X7085" i="2"/>
  <c r="X7086" i="2"/>
  <c r="X7087" i="2"/>
  <c r="X7088" i="2"/>
  <c r="X7089" i="2"/>
  <c r="X7090" i="2"/>
  <c r="X7091" i="2"/>
  <c r="X7092" i="2"/>
  <c r="X7093" i="2"/>
  <c r="X7094" i="2"/>
  <c r="X7095" i="2"/>
  <c r="X7096" i="2"/>
  <c r="X7097" i="2"/>
  <c r="X7098" i="2"/>
  <c r="X7099" i="2"/>
  <c r="X7100" i="2"/>
  <c r="X7101" i="2"/>
  <c r="X7102" i="2"/>
  <c r="X7103" i="2"/>
  <c r="X7104" i="2"/>
  <c r="X7105" i="2"/>
  <c r="X7106" i="2"/>
  <c r="X7107" i="2"/>
  <c r="X7108" i="2"/>
  <c r="X7109" i="2"/>
  <c r="X7110" i="2"/>
  <c r="X7111" i="2"/>
  <c r="X7112" i="2"/>
  <c r="X7113" i="2"/>
  <c r="X7114" i="2"/>
  <c r="X7115" i="2"/>
  <c r="X7116" i="2"/>
  <c r="X7117" i="2"/>
  <c r="X7118" i="2"/>
  <c r="X7119" i="2"/>
  <c r="X7120" i="2"/>
  <c r="X7121" i="2"/>
  <c r="X7122" i="2"/>
  <c r="X7123" i="2"/>
  <c r="X7124" i="2"/>
  <c r="X7125" i="2"/>
  <c r="X7126" i="2"/>
  <c r="X7127" i="2"/>
  <c r="X7128" i="2"/>
  <c r="X7129" i="2"/>
  <c r="X7130" i="2"/>
  <c r="X7131" i="2"/>
  <c r="X7132" i="2"/>
  <c r="X7133" i="2"/>
  <c r="X7134" i="2"/>
  <c r="X7135" i="2"/>
  <c r="X7136" i="2"/>
  <c r="X7137" i="2"/>
  <c r="X7138" i="2"/>
  <c r="X7139" i="2"/>
  <c r="X7140" i="2"/>
  <c r="X7141" i="2"/>
  <c r="X7142" i="2"/>
  <c r="X7143" i="2"/>
  <c r="X7144" i="2"/>
  <c r="X7145" i="2"/>
  <c r="X7146" i="2"/>
  <c r="X7147" i="2"/>
  <c r="X7148" i="2"/>
  <c r="X7149" i="2"/>
  <c r="X7150" i="2"/>
  <c r="X7151" i="2"/>
  <c r="X7152" i="2"/>
  <c r="X7153" i="2"/>
  <c r="X7154" i="2"/>
  <c r="X7155" i="2"/>
  <c r="X7156" i="2"/>
  <c r="X7157" i="2"/>
  <c r="X7158" i="2"/>
  <c r="X7159" i="2"/>
  <c r="X7160" i="2"/>
  <c r="X7161" i="2"/>
  <c r="X7162" i="2"/>
  <c r="X7163" i="2"/>
  <c r="X7164" i="2"/>
  <c r="X7165" i="2"/>
  <c r="X7166" i="2"/>
  <c r="X7167" i="2"/>
  <c r="X7168" i="2"/>
  <c r="X7169" i="2"/>
  <c r="X7170" i="2"/>
  <c r="X7171" i="2"/>
  <c r="X7172" i="2"/>
  <c r="X7173" i="2"/>
  <c r="X7174" i="2"/>
  <c r="X7175" i="2"/>
  <c r="X7176" i="2"/>
  <c r="X7177" i="2"/>
  <c r="X7178" i="2"/>
  <c r="X7179" i="2"/>
  <c r="X7180" i="2"/>
  <c r="X7181" i="2"/>
  <c r="X7182" i="2"/>
  <c r="X7183" i="2"/>
  <c r="X7184" i="2"/>
  <c r="X7185" i="2"/>
  <c r="X7186" i="2"/>
  <c r="X7187" i="2"/>
  <c r="X7188" i="2"/>
  <c r="X7189" i="2"/>
  <c r="X7190" i="2"/>
  <c r="X7191" i="2"/>
  <c r="X7192" i="2"/>
  <c r="X7193" i="2"/>
  <c r="X7194" i="2"/>
  <c r="X7195" i="2"/>
  <c r="X7196" i="2"/>
  <c r="X7197" i="2"/>
  <c r="X7198" i="2"/>
  <c r="X7199" i="2"/>
  <c r="X7200" i="2"/>
  <c r="X7201" i="2"/>
  <c r="X7202" i="2"/>
  <c r="X7203" i="2"/>
  <c r="X7204" i="2"/>
  <c r="X7205" i="2"/>
  <c r="X7206" i="2"/>
  <c r="X7207" i="2"/>
  <c r="X7208" i="2"/>
  <c r="X7209" i="2"/>
  <c r="X7210" i="2"/>
  <c r="X7211" i="2"/>
  <c r="X7212" i="2"/>
  <c r="X7213" i="2"/>
  <c r="X7214" i="2"/>
  <c r="X7215" i="2"/>
  <c r="X7216" i="2"/>
  <c r="X7217" i="2"/>
  <c r="X7218" i="2"/>
  <c r="X7219" i="2"/>
  <c r="X7220" i="2"/>
  <c r="X7221" i="2"/>
  <c r="X7222" i="2"/>
  <c r="X7223" i="2"/>
  <c r="X7224" i="2"/>
  <c r="X7225" i="2"/>
  <c r="X7226" i="2"/>
  <c r="X7227" i="2"/>
  <c r="X7228" i="2"/>
  <c r="X7229" i="2"/>
  <c r="X7230" i="2"/>
  <c r="X7231" i="2"/>
  <c r="X7232" i="2"/>
  <c r="X7233" i="2"/>
  <c r="X7234" i="2"/>
  <c r="X7235" i="2"/>
  <c r="X7236" i="2"/>
  <c r="X7237" i="2"/>
  <c r="X7238" i="2"/>
  <c r="X7239" i="2"/>
  <c r="X7240" i="2"/>
  <c r="X7241" i="2"/>
  <c r="X7242" i="2"/>
  <c r="X7243" i="2"/>
  <c r="X7244" i="2"/>
  <c r="X7245" i="2"/>
  <c r="X7246" i="2"/>
  <c r="X7247" i="2"/>
  <c r="X7248" i="2"/>
  <c r="X7249" i="2"/>
  <c r="X7250" i="2"/>
  <c r="X7251" i="2"/>
  <c r="X7252" i="2"/>
  <c r="X7253" i="2"/>
  <c r="X7254" i="2"/>
  <c r="X7255" i="2"/>
  <c r="X7256" i="2"/>
  <c r="X7257" i="2"/>
  <c r="X7258" i="2"/>
  <c r="X7259" i="2"/>
  <c r="X7260" i="2"/>
  <c r="X7261" i="2"/>
  <c r="X7262" i="2"/>
  <c r="X7263" i="2"/>
  <c r="X7264" i="2"/>
  <c r="X7265" i="2"/>
  <c r="X7266" i="2"/>
  <c r="X7267" i="2"/>
  <c r="X7268" i="2"/>
  <c r="X7269" i="2"/>
  <c r="X7270" i="2"/>
  <c r="X7271" i="2"/>
  <c r="X7272" i="2"/>
  <c r="X7273" i="2"/>
  <c r="X7274" i="2"/>
  <c r="X7275" i="2"/>
  <c r="X7276" i="2"/>
  <c r="X7277" i="2"/>
  <c r="X7278" i="2"/>
  <c r="X7279" i="2"/>
  <c r="X7280" i="2"/>
  <c r="X7281" i="2"/>
  <c r="X7282" i="2"/>
  <c r="X7283" i="2"/>
  <c r="X7284" i="2"/>
  <c r="X7285" i="2"/>
  <c r="X7286" i="2"/>
  <c r="X7287" i="2"/>
  <c r="X7288" i="2"/>
  <c r="X7289" i="2"/>
  <c r="X7290" i="2"/>
  <c r="X7291" i="2"/>
  <c r="X7292" i="2"/>
  <c r="X7293" i="2"/>
  <c r="X7294" i="2"/>
  <c r="X7295" i="2"/>
  <c r="X7296" i="2"/>
  <c r="X7297" i="2"/>
  <c r="X7298" i="2"/>
  <c r="X7299" i="2"/>
  <c r="X7300" i="2"/>
  <c r="X7301" i="2"/>
  <c r="X7302" i="2"/>
  <c r="X7303" i="2"/>
  <c r="X7304" i="2"/>
  <c r="X7305" i="2"/>
  <c r="X7306" i="2"/>
  <c r="X7307" i="2"/>
  <c r="X7308" i="2"/>
  <c r="X7309" i="2"/>
  <c r="X7310" i="2"/>
  <c r="X7311" i="2"/>
  <c r="X7312" i="2"/>
  <c r="X7313" i="2"/>
  <c r="X7314" i="2"/>
  <c r="X7315" i="2"/>
  <c r="X7316" i="2"/>
  <c r="X7317" i="2"/>
  <c r="X7318" i="2"/>
  <c r="X7319" i="2"/>
  <c r="X7320" i="2"/>
  <c r="X7321" i="2"/>
  <c r="X7322" i="2"/>
  <c r="X7323" i="2"/>
  <c r="X7324" i="2"/>
  <c r="X7325" i="2"/>
  <c r="X7326" i="2"/>
  <c r="X7327" i="2"/>
  <c r="X7328" i="2"/>
  <c r="X7329" i="2"/>
  <c r="X7330" i="2"/>
  <c r="X7331" i="2"/>
  <c r="X7332" i="2"/>
  <c r="X7333" i="2"/>
  <c r="X7334" i="2"/>
  <c r="X7335" i="2"/>
  <c r="X7336" i="2"/>
  <c r="X7337" i="2"/>
  <c r="X7338" i="2"/>
  <c r="X7339" i="2"/>
  <c r="X7340" i="2"/>
  <c r="X7341" i="2"/>
  <c r="X7342" i="2"/>
  <c r="X7343" i="2"/>
  <c r="X7344" i="2"/>
  <c r="X7345" i="2"/>
  <c r="X7346" i="2"/>
  <c r="X7347" i="2"/>
  <c r="X7348" i="2"/>
  <c r="X7349" i="2"/>
  <c r="X7350" i="2"/>
  <c r="X7351" i="2"/>
  <c r="X7352" i="2"/>
  <c r="X7353" i="2"/>
  <c r="X7354" i="2"/>
  <c r="X7355" i="2"/>
  <c r="X7356" i="2"/>
  <c r="X7357" i="2"/>
  <c r="X7358" i="2"/>
  <c r="X7359" i="2"/>
  <c r="X7360" i="2"/>
  <c r="X7361" i="2"/>
  <c r="X7362" i="2"/>
  <c r="X7363" i="2"/>
  <c r="X7364" i="2"/>
  <c r="X7365" i="2"/>
  <c r="X7366" i="2"/>
  <c r="X7367" i="2"/>
  <c r="X7368" i="2"/>
  <c r="X7369" i="2"/>
  <c r="X7370" i="2"/>
  <c r="X7371" i="2"/>
  <c r="X7372" i="2"/>
  <c r="X7373" i="2"/>
  <c r="X7374" i="2"/>
  <c r="X7375" i="2"/>
  <c r="X7376" i="2"/>
  <c r="X7377" i="2"/>
  <c r="X7378" i="2"/>
  <c r="X7379" i="2"/>
  <c r="X7380" i="2"/>
  <c r="X7381" i="2"/>
  <c r="X7382" i="2"/>
  <c r="X7383" i="2"/>
  <c r="X7384" i="2"/>
  <c r="X7385" i="2"/>
  <c r="X7386" i="2"/>
  <c r="X7387" i="2"/>
  <c r="X7388" i="2"/>
  <c r="X7389" i="2"/>
  <c r="X7390" i="2"/>
  <c r="X7391" i="2"/>
  <c r="X7392" i="2"/>
  <c r="X7393" i="2"/>
  <c r="X7394" i="2"/>
  <c r="X7395" i="2"/>
  <c r="X7396" i="2"/>
  <c r="X7397" i="2"/>
  <c r="X7398" i="2"/>
  <c r="X7399" i="2"/>
  <c r="X7400" i="2"/>
  <c r="X7401" i="2"/>
  <c r="X7402" i="2"/>
  <c r="X7403" i="2"/>
  <c r="X7404" i="2"/>
  <c r="X7405" i="2"/>
  <c r="X7406" i="2"/>
  <c r="X7407" i="2"/>
  <c r="X7408" i="2"/>
  <c r="X7409" i="2"/>
  <c r="X7410" i="2"/>
  <c r="X7411" i="2"/>
  <c r="X7412" i="2"/>
  <c r="X7413" i="2"/>
  <c r="X7414" i="2"/>
  <c r="X7415" i="2"/>
  <c r="X7416" i="2"/>
  <c r="X7417" i="2"/>
  <c r="X7418" i="2"/>
  <c r="X7419" i="2"/>
  <c r="X7420" i="2"/>
  <c r="X7421" i="2"/>
  <c r="X7422" i="2"/>
  <c r="X7423" i="2"/>
  <c r="X7424" i="2"/>
  <c r="X7425" i="2"/>
  <c r="X7426" i="2"/>
  <c r="X7427" i="2"/>
  <c r="X7428" i="2"/>
  <c r="X7429" i="2"/>
  <c r="X7430" i="2"/>
  <c r="X7431" i="2"/>
  <c r="X7432" i="2"/>
  <c r="X7433" i="2"/>
  <c r="X7434" i="2"/>
  <c r="X7435" i="2"/>
  <c r="X7436" i="2"/>
  <c r="X7437" i="2"/>
  <c r="X7438" i="2"/>
  <c r="X7439" i="2"/>
  <c r="X7440" i="2"/>
  <c r="X7441" i="2"/>
  <c r="X7442" i="2"/>
  <c r="X7443" i="2"/>
  <c r="X7444" i="2"/>
  <c r="X7445" i="2"/>
  <c r="X7446" i="2"/>
  <c r="X7447" i="2"/>
  <c r="X7448" i="2"/>
  <c r="X7449" i="2"/>
  <c r="X7450" i="2"/>
  <c r="X7451" i="2"/>
  <c r="X7452" i="2"/>
  <c r="X7453" i="2"/>
  <c r="X7454" i="2"/>
  <c r="X7455" i="2"/>
  <c r="X7456" i="2"/>
  <c r="X7457" i="2"/>
  <c r="X7458" i="2"/>
  <c r="X7459" i="2"/>
  <c r="X7460" i="2"/>
  <c r="X7461" i="2"/>
  <c r="X7462" i="2"/>
  <c r="X7463" i="2"/>
  <c r="X7464" i="2"/>
  <c r="X7465" i="2"/>
  <c r="X7466" i="2"/>
  <c r="X7467" i="2"/>
  <c r="X7468" i="2"/>
  <c r="X7469" i="2"/>
  <c r="X7470" i="2"/>
  <c r="X7471" i="2"/>
  <c r="X7472" i="2"/>
  <c r="X7473" i="2"/>
  <c r="X7474" i="2"/>
  <c r="X7475" i="2"/>
  <c r="X7476" i="2"/>
  <c r="X7477" i="2"/>
  <c r="X7478" i="2"/>
  <c r="X7479" i="2"/>
  <c r="X7480" i="2"/>
  <c r="X7481" i="2"/>
  <c r="X7482" i="2"/>
  <c r="X7483" i="2"/>
  <c r="X7484" i="2"/>
  <c r="X7485" i="2"/>
  <c r="X7486" i="2"/>
  <c r="X7487" i="2"/>
  <c r="X7488" i="2"/>
  <c r="X7489" i="2"/>
  <c r="X7490" i="2"/>
  <c r="X7491" i="2"/>
  <c r="X7492" i="2"/>
  <c r="X7493" i="2"/>
  <c r="X7494" i="2"/>
  <c r="X7495" i="2"/>
  <c r="X7496" i="2"/>
  <c r="X7497" i="2"/>
  <c r="X7498" i="2"/>
  <c r="X7499" i="2"/>
  <c r="X7500" i="2"/>
  <c r="X7501" i="2"/>
  <c r="X7502" i="2"/>
  <c r="X7503" i="2"/>
  <c r="X7504" i="2"/>
  <c r="X7505" i="2"/>
  <c r="X7506" i="2"/>
  <c r="X7507" i="2"/>
  <c r="X7508" i="2"/>
  <c r="X7509" i="2"/>
  <c r="X7510" i="2"/>
  <c r="X7511" i="2"/>
  <c r="X7512" i="2"/>
  <c r="X7513" i="2"/>
  <c r="X7514" i="2"/>
  <c r="X7515" i="2"/>
  <c r="X7516" i="2"/>
  <c r="X7517" i="2"/>
  <c r="X7518" i="2"/>
  <c r="X7519" i="2"/>
  <c r="X7520" i="2"/>
  <c r="X7521" i="2"/>
  <c r="X7522" i="2"/>
  <c r="X7523" i="2"/>
  <c r="X7524" i="2"/>
  <c r="X7525" i="2"/>
  <c r="X7526" i="2"/>
  <c r="X7527" i="2"/>
  <c r="X7528" i="2"/>
  <c r="X7529" i="2"/>
  <c r="X7530" i="2"/>
  <c r="X7531" i="2"/>
  <c r="X7532" i="2"/>
  <c r="X7533" i="2"/>
  <c r="X7534" i="2"/>
  <c r="X7535" i="2"/>
  <c r="X7536" i="2"/>
  <c r="X7537" i="2"/>
  <c r="X7538" i="2"/>
  <c r="X7539" i="2"/>
  <c r="X7540" i="2"/>
  <c r="X7541" i="2"/>
  <c r="X7542" i="2"/>
  <c r="X7543" i="2"/>
  <c r="X7544" i="2"/>
  <c r="X7545" i="2"/>
  <c r="X7546" i="2"/>
  <c r="X7547" i="2"/>
  <c r="X7548" i="2"/>
  <c r="X7549" i="2"/>
  <c r="X7550" i="2"/>
  <c r="X7551" i="2"/>
  <c r="X7552" i="2"/>
  <c r="X7553" i="2"/>
  <c r="X7554" i="2"/>
  <c r="X7555" i="2"/>
  <c r="X7556" i="2"/>
  <c r="X7557" i="2"/>
  <c r="X7558" i="2"/>
  <c r="X7559" i="2"/>
  <c r="X7560" i="2"/>
  <c r="X7561" i="2"/>
  <c r="X7562" i="2"/>
  <c r="X7563" i="2"/>
  <c r="X7564" i="2"/>
  <c r="X7565" i="2"/>
  <c r="X7566" i="2"/>
  <c r="X7567" i="2"/>
  <c r="X7568" i="2"/>
  <c r="X7569" i="2"/>
  <c r="X7570" i="2"/>
  <c r="X7571" i="2"/>
  <c r="X7572" i="2"/>
  <c r="X7573" i="2"/>
  <c r="X7574" i="2"/>
  <c r="X7575" i="2"/>
  <c r="X7576" i="2"/>
  <c r="X7577" i="2"/>
  <c r="X7578" i="2"/>
  <c r="X7579" i="2"/>
  <c r="X7580" i="2"/>
  <c r="X7581" i="2"/>
  <c r="X7582" i="2"/>
  <c r="X7583" i="2"/>
  <c r="X7584" i="2"/>
  <c r="X7585" i="2"/>
  <c r="X7586" i="2"/>
  <c r="X7587" i="2"/>
  <c r="X7588" i="2"/>
  <c r="X7589" i="2"/>
  <c r="X7590" i="2"/>
  <c r="X7591" i="2"/>
  <c r="X7592" i="2"/>
  <c r="X7593" i="2"/>
  <c r="X7594" i="2"/>
  <c r="X7595" i="2"/>
  <c r="X7596" i="2"/>
  <c r="X7597" i="2"/>
  <c r="X7598" i="2"/>
  <c r="X7599" i="2"/>
  <c r="X7600" i="2"/>
  <c r="X7601" i="2"/>
  <c r="X7602" i="2"/>
  <c r="X7603" i="2"/>
  <c r="X7604" i="2"/>
  <c r="X7605" i="2"/>
  <c r="X7606" i="2"/>
  <c r="X7607" i="2"/>
  <c r="X7608" i="2"/>
  <c r="X7609" i="2"/>
  <c r="X7610" i="2"/>
  <c r="X7611" i="2"/>
  <c r="X7612" i="2"/>
  <c r="X7613" i="2"/>
  <c r="X7614" i="2"/>
  <c r="X7615" i="2"/>
  <c r="X7616" i="2"/>
  <c r="X7617" i="2"/>
  <c r="X7618" i="2"/>
  <c r="X7619" i="2"/>
  <c r="X7620" i="2"/>
  <c r="X7621" i="2"/>
  <c r="X7622" i="2"/>
  <c r="X7623" i="2"/>
  <c r="X7624" i="2"/>
  <c r="X7625" i="2"/>
  <c r="X7626" i="2"/>
  <c r="X7627" i="2"/>
  <c r="X7628" i="2"/>
  <c r="X7629" i="2"/>
  <c r="X7630" i="2"/>
  <c r="X7631" i="2"/>
  <c r="X7632" i="2"/>
  <c r="X7633" i="2"/>
  <c r="X7634" i="2"/>
  <c r="X7635" i="2"/>
  <c r="X7636" i="2"/>
  <c r="X7637" i="2"/>
  <c r="X7638" i="2"/>
  <c r="X7639" i="2"/>
  <c r="X7640" i="2"/>
  <c r="X7641" i="2"/>
  <c r="X7642" i="2"/>
  <c r="X7643" i="2"/>
  <c r="X7644" i="2"/>
  <c r="X7645" i="2"/>
  <c r="X7646" i="2"/>
  <c r="X7647" i="2"/>
  <c r="X7648" i="2"/>
  <c r="X7649" i="2"/>
  <c r="X7650" i="2"/>
  <c r="X7651" i="2"/>
  <c r="X7652" i="2"/>
  <c r="X7653" i="2"/>
  <c r="X7654" i="2"/>
  <c r="X7655" i="2"/>
  <c r="X7656" i="2"/>
  <c r="X7657" i="2"/>
  <c r="X7658" i="2"/>
  <c r="X7659" i="2"/>
  <c r="X7660" i="2"/>
  <c r="X7661" i="2"/>
  <c r="X7662" i="2"/>
  <c r="X7663" i="2"/>
  <c r="X7664" i="2"/>
  <c r="X7665" i="2"/>
  <c r="X7666" i="2"/>
  <c r="X7667" i="2"/>
  <c r="X7668" i="2"/>
  <c r="X7669" i="2"/>
  <c r="X7670" i="2"/>
  <c r="X7671" i="2"/>
  <c r="X7672" i="2"/>
  <c r="X7673" i="2"/>
  <c r="X7674" i="2"/>
  <c r="X7675" i="2"/>
  <c r="X7676" i="2"/>
  <c r="X7677" i="2"/>
  <c r="X7678" i="2"/>
  <c r="X7679" i="2"/>
  <c r="X7680" i="2"/>
  <c r="X7681" i="2"/>
  <c r="X7682" i="2"/>
  <c r="X7683" i="2"/>
  <c r="X7684" i="2"/>
  <c r="X7685" i="2"/>
  <c r="X7686" i="2"/>
  <c r="X7687" i="2"/>
  <c r="X7688" i="2"/>
  <c r="X7689" i="2"/>
  <c r="X7690" i="2"/>
  <c r="X7691" i="2"/>
  <c r="X7692" i="2"/>
  <c r="X7693" i="2"/>
  <c r="X7694" i="2"/>
  <c r="X7695" i="2"/>
  <c r="X7696" i="2"/>
  <c r="X7697" i="2"/>
  <c r="X7698" i="2"/>
  <c r="X7699" i="2"/>
  <c r="X7700" i="2"/>
  <c r="X7701" i="2"/>
  <c r="X7702" i="2"/>
  <c r="X7703" i="2"/>
  <c r="X7704" i="2"/>
  <c r="X7705" i="2"/>
  <c r="X7706" i="2"/>
  <c r="X7707" i="2"/>
  <c r="X7708" i="2"/>
  <c r="X7709" i="2"/>
  <c r="X7710" i="2"/>
  <c r="X7711" i="2"/>
  <c r="X7712" i="2"/>
  <c r="X7713" i="2"/>
  <c r="X7714" i="2"/>
  <c r="X7715" i="2"/>
  <c r="X7716" i="2"/>
  <c r="X7717" i="2"/>
  <c r="X7718" i="2"/>
  <c r="X7719" i="2"/>
  <c r="X7720" i="2"/>
  <c r="X7721" i="2"/>
  <c r="X7722" i="2"/>
  <c r="X7723" i="2"/>
  <c r="X7724" i="2"/>
  <c r="X7725" i="2"/>
  <c r="X7726" i="2"/>
  <c r="X7727" i="2"/>
  <c r="X7728" i="2"/>
  <c r="X7729" i="2"/>
  <c r="X7730" i="2"/>
  <c r="X7731" i="2"/>
  <c r="X7732" i="2"/>
  <c r="X7733" i="2"/>
  <c r="X7734" i="2"/>
  <c r="X7735" i="2"/>
  <c r="X7736" i="2"/>
  <c r="X7737" i="2"/>
  <c r="X7738" i="2"/>
  <c r="X7739" i="2"/>
  <c r="X7740" i="2"/>
  <c r="X7741" i="2"/>
  <c r="X7742" i="2"/>
  <c r="X7743" i="2"/>
  <c r="X7744" i="2"/>
  <c r="X7745" i="2"/>
  <c r="X7746" i="2"/>
  <c r="X7747" i="2"/>
  <c r="X7748" i="2"/>
  <c r="X7749" i="2"/>
  <c r="X7750" i="2"/>
  <c r="X7751" i="2"/>
  <c r="X7752" i="2"/>
  <c r="X7753" i="2"/>
  <c r="X7754" i="2"/>
  <c r="X7755" i="2"/>
  <c r="X7756" i="2"/>
  <c r="X7757" i="2"/>
  <c r="X7758" i="2"/>
  <c r="X7759" i="2"/>
  <c r="X7760" i="2"/>
  <c r="X7761" i="2"/>
  <c r="X7762" i="2"/>
  <c r="X7763" i="2"/>
  <c r="X7764" i="2"/>
  <c r="X7765" i="2"/>
  <c r="X7766" i="2"/>
  <c r="X7767" i="2"/>
  <c r="X7768" i="2"/>
  <c r="X7769" i="2"/>
  <c r="X7770" i="2"/>
  <c r="X7771" i="2"/>
  <c r="X7772" i="2"/>
  <c r="X7773" i="2"/>
  <c r="X7774" i="2"/>
  <c r="X7775" i="2"/>
  <c r="X7776" i="2"/>
  <c r="X7777" i="2"/>
  <c r="X7778" i="2"/>
  <c r="X7779" i="2"/>
  <c r="X7780" i="2"/>
  <c r="X7781" i="2"/>
  <c r="X7782" i="2"/>
  <c r="X7783" i="2"/>
  <c r="X7784" i="2"/>
  <c r="X7785" i="2"/>
  <c r="X7786" i="2"/>
  <c r="X7787" i="2"/>
  <c r="X7788" i="2"/>
  <c r="X7789" i="2"/>
  <c r="X7790" i="2"/>
  <c r="X7791" i="2"/>
  <c r="X7792" i="2"/>
  <c r="X7793" i="2"/>
  <c r="X7794" i="2"/>
  <c r="X7795" i="2"/>
  <c r="X7796" i="2"/>
  <c r="X7797" i="2"/>
  <c r="X7798" i="2"/>
  <c r="X7799" i="2"/>
  <c r="X7800" i="2"/>
  <c r="X7801" i="2"/>
  <c r="X7802" i="2"/>
  <c r="X7803" i="2"/>
  <c r="X7804" i="2"/>
  <c r="X7805" i="2"/>
  <c r="X7806" i="2"/>
  <c r="X7807" i="2"/>
  <c r="X7808" i="2"/>
  <c r="X7809" i="2"/>
  <c r="X7810" i="2"/>
  <c r="X7811" i="2"/>
  <c r="X7812" i="2"/>
  <c r="X7813" i="2"/>
  <c r="X7814" i="2"/>
  <c r="X7815" i="2"/>
  <c r="X7816" i="2"/>
  <c r="X7817" i="2"/>
  <c r="X7818" i="2"/>
  <c r="X7819" i="2"/>
  <c r="X7820" i="2"/>
  <c r="X7821" i="2"/>
  <c r="X7822" i="2"/>
  <c r="X7823" i="2"/>
  <c r="X7824" i="2"/>
  <c r="X7825" i="2"/>
  <c r="X7826" i="2"/>
  <c r="X7827" i="2"/>
  <c r="X7828" i="2"/>
  <c r="X7829" i="2"/>
  <c r="X7830" i="2"/>
  <c r="X7831" i="2"/>
  <c r="X7832" i="2"/>
  <c r="X7833" i="2"/>
  <c r="X7834" i="2"/>
  <c r="X7835" i="2"/>
  <c r="X7836" i="2"/>
  <c r="X7837" i="2"/>
  <c r="X7838" i="2"/>
  <c r="X7839" i="2"/>
  <c r="X7840" i="2"/>
  <c r="X7841" i="2"/>
  <c r="X7842" i="2"/>
  <c r="X7843" i="2"/>
  <c r="X7844" i="2"/>
  <c r="X7845" i="2"/>
  <c r="X7846" i="2"/>
  <c r="X7847" i="2"/>
  <c r="X7848" i="2"/>
  <c r="X7849" i="2"/>
  <c r="X7850" i="2"/>
  <c r="X7851" i="2"/>
  <c r="X7852" i="2"/>
  <c r="X7853" i="2"/>
  <c r="X7854" i="2"/>
  <c r="X7855" i="2"/>
  <c r="X7856" i="2"/>
  <c r="X7857" i="2"/>
  <c r="X7858" i="2"/>
  <c r="X7859" i="2"/>
  <c r="X7860" i="2"/>
  <c r="X7861" i="2"/>
  <c r="X7862" i="2"/>
  <c r="X7863" i="2"/>
  <c r="X7864" i="2"/>
  <c r="X7865" i="2"/>
  <c r="X7866" i="2"/>
  <c r="X7867" i="2"/>
  <c r="X7868" i="2"/>
  <c r="X7869" i="2"/>
  <c r="X7870" i="2"/>
  <c r="X7871" i="2"/>
  <c r="X7872" i="2"/>
  <c r="X7873" i="2"/>
  <c r="X7874" i="2"/>
  <c r="X7875" i="2"/>
  <c r="X7876" i="2"/>
  <c r="X7877" i="2"/>
  <c r="X7878" i="2"/>
  <c r="X7879" i="2"/>
  <c r="X7880" i="2"/>
  <c r="X7881" i="2"/>
  <c r="X7882" i="2"/>
  <c r="X7883" i="2"/>
  <c r="X7884" i="2"/>
  <c r="X7885" i="2"/>
  <c r="X7886" i="2"/>
  <c r="X7887" i="2"/>
  <c r="X7888" i="2"/>
  <c r="X7889" i="2"/>
  <c r="X7890" i="2"/>
  <c r="X7891" i="2"/>
  <c r="X7892" i="2"/>
  <c r="X7893" i="2"/>
  <c r="X7894" i="2"/>
  <c r="X7895" i="2"/>
  <c r="X7896" i="2"/>
  <c r="X7897" i="2"/>
  <c r="X7898" i="2"/>
  <c r="X7899" i="2"/>
  <c r="X7900" i="2"/>
  <c r="X7901" i="2"/>
  <c r="X7902" i="2"/>
  <c r="X7903" i="2"/>
  <c r="X7904" i="2"/>
  <c r="X7905" i="2"/>
  <c r="X7906" i="2"/>
  <c r="X7907" i="2"/>
  <c r="X7908" i="2"/>
  <c r="X7909" i="2"/>
  <c r="X7910" i="2"/>
  <c r="X7911" i="2"/>
  <c r="X7912" i="2"/>
  <c r="X7913" i="2"/>
  <c r="X7914" i="2"/>
  <c r="X7915" i="2"/>
  <c r="X7916" i="2"/>
  <c r="X7917" i="2"/>
  <c r="X7918" i="2"/>
  <c r="X7919" i="2"/>
  <c r="X7920" i="2"/>
  <c r="X7921" i="2"/>
  <c r="X7922" i="2"/>
  <c r="X7923" i="2"/>
  <c r="X7924" i="2"/>
  <c r="X7925" i="2"/>
  <c r="X7926" i="2"/>
  <c r="X7927" i="2"/>
  <c r="X7928" i="2"/>
  <c r="X7929" i="2"/>
  <c r="X7930" i="2"/>
  <c r="X7931" i="2"/>
  <c r="X7932" i="2"/>
  <c r="X7933" i="2"/>
  <c r="X7934" i="2"/>
  <c r="X7935" i="2"/>
  <c r="X7936" i="2"/>
  <c r="X7937" i="2"/>
  <c r="X7938" i="2"/>
  <c r="X7939" i="2"/>
  <c r="X7940" i="2"/>
  <c r="X7941" i="2"/>
  <c r="X7942" i="2"/>
  <c r="X7943" i="2"/>
  <c r="X7944" i="2"/>
  <c r="X7945" i="2"/>
  <c r="X7946" i="2"/>
  <c r="X7947" i="2"/>
  <c r="X7948" i="2"/>
  <c r="X7949" i="2"/>
  <c r="X7950" i="2"/>
  <c r="X7951" i="2"/>
  <c r="X7952" i="2"/>
  <c r="X7953" i="2"/>
  <c r="X7954" i="2"/>
  <c r="X7955" i="2"/>
  <c r="X7956" i="2"/>
  <c r="X7957" i="2"/>
  <c r="X7958" i="2"/>
  <c r="X7959" i="2"/>
  <c r="X7960" i="2"/>
  <c r="X7961" i="2"/>
  <c r="X7962" i="2"/>
  <c r="X7963" i="2"/>
  <c r="X7964" i="2"/>
  <c r="X7965" i="2"/>
  <c r="X7966" i="2"/>
  <c r="X7967" i="2"/>
  <c r="X7968" i="2"/>
  <c r="X7969" i="2"/>
  <c r="X7970" i="2"/>
  <c r="X7971" i="2"/>
  <c r="X7972" i="2"/>
  <c r="X7973" i="2"/>
  <c r="X7974" i="2"/>
  <c r="X7975" i="2"/>
  <c r="X7976" i="2"/>
  <c r="X7977" i="2"/>
  <c r="X7978" i="2"/>
  <c r="X7979" i="2"/>
  <c r="X7980" i="2"/>
  <c r="X7981" i="2"/>
  <c r="X7982" i="2"/>
  <c r="X7983" i="2"/>
  <c r="X7984" i="2"/>
  <c r="X7985" i="2"/>
  <c r="X7986" i="2"/>
  <c r="X7987" i="2"/>
  <c r="X7988" i="2"/>
  <c r="X7989" i="2"/>
  <c r="X7990" i="2"/>
  <c r="X7991" i="2"/>
  <c r="X7992" i="2"/>
  <c r="X7993" i="2"/>
  <c r="X7994" i="2"/>
  <c r="X7995" i="2"/>
  <c r="X7996" i="2"/>
  <c r="X7997" i="2"/>
  <c r="X7998" i="2"/>
  <c r="X7999" i="2"/>
  <c r="X8000" i="2"/>
  <c r="X8001" i="2"/>
  <c r="X8002" i="2"/>
  <c r="X8003" i="2"/>
  <c r="X8004" i="2"/>
  <c r="X8005" i="2"/>
  <c r="X8006" i="2"/>
  <c r="X8007" i="2"/>
  <c r="X8008" i="2"/>
  <c r="X8009" i="2"/>
  <c r="X8010" i="2"/>
  <c r="X8011" i="2"/>
  <c r="X8012" i="2"/>
  <c r="X8013" i="2"/>
  <c r="X8014" i="2"/>
  <c r="X8015" i="2"/>
  <c r="X8016" i="2"/>
  <c r="X8017" i="2"/>
  <c r="X8018" i="2"/>
  <c r="X8019" i="2"/>
  <c r="X8020" i="2"/>
  <c r="X8021" i="2"/>
  <c r="X8022" i="2"/>
  <c r="X8023" i="2"/>
  <c r="X8024" i="2"/>
  <c r="X8025" i="2"/>
  <c r="X8026" i="2"/>
  <c r="X8027" i="2"/>
  <c r="X8028" i="2"/>
  <c r="X8029" i="2"/>
  <c r="X8030" i="2"/>
  <c r="X8031" i="2"/>
  <c r="X8032" i="2"/>
  <c r="X8033" i="2"/>
  <c r="X8034" i="2"/>
  <c r="X8035" i="2"/>
  <c r="X8036" i="2"/>
  <c r="X8037" i="2"/>
  <c r="X8038" i="2"/>
  <c r="X8039" i="2"/>
  <c r="X8040" i="2"/>
  <c r="X8041" i="2"/>
  <c r="X8042" i="2"/>
  <c r="X8043" i="2"/>
  <c r="X8044" i="2"/>
  <c r="X8045" i="2"/>
  <c r="X8046" i="2"/>
  <c r="X8047" i="2"/>
  <c r="X8048" i="2"/>
  <c r="X8049" i="2"/>
  <c r="X8050" i="2"/>
  <c r="X8051" i="2"/>
  <c r="X8052" i="2"/>
  <c r="X8053" i="2"/>
  <c r="X8054" i="2"/>
  <c r="X8055" i="2"/>
  <c r="X8056" i="2"/>
  <c r="X8057" i="2"/>
  <c r="X8058" i="2"/>
  <c r="X8059" i="2"/>
  <c r="X8060" i="2"/>
  <c r="X8061" i="2"/>
  <c r="X8062" i="2"/>
  <c r="X8063" i="2"/>
  <c r="X8064" i="2"/>
  <c r="X8065" i="2"/>
  <c r="X8066" i="2"/>
  <c r="X8067" i="2"/>
  <c r="X8068" i="2"/>
  <c r="X8069" i="2"/>
  <c r="X8070" i="2"/>
  <c r="X8071" i="2"/>
  <c r="X8072" i="2"/>
  <c r="X8073" i="2"/>
  <c r="X8074" i="2"/>
  <c r="X8075" i="2"/>
  <c r="X8076" i="2"/>
  <c r="X8077" i="2"/>
  <c r="X8078" i="2"/>
  <c r="X8079" i="2"/>
  <c r="X8080" i="2"/>
  <c r="X8081" i="2"/>
  <c r="X8082" i="2"/>
  <c r="X8083" i="2"/>
  <c r="X8084" i="2"/>
  <c r="X8085" i="2"/>
  <c r="X8086" i="2"/>
  <c r="X8087" i="2"/>
  <c r="X8088" i="2"/>
  <c r="X8089" i="2"/>
  <c r="X8090" i="2"/>
  <c r="X8091" i="2"/>
  <c r="X8092" i="2"/>
  <c r="X8093" i="2"/>
  <c r="X8094" i="2"/>
  <c r="X8095" i="2"/>
  <c r="X8096" i="2"/>
  <c r="X8097" i="2"/>
  <c r="X8098" i="2"/>
  <c r="X8099" i="2"/>
  <c r="X8100" i="2"/>
  <c r="X8101" i="2"/>
  <c r="X8102" i="2"/>
  <c r="X8103" i="2"/>
  <c r="X8104" i="2"/>
  <c r="X8105" i="2"/>
  <c r="X8106" i="2"/>
  <c r="X8107" i="2"/>
  <c r="X8108" i="2"/>
  <c r="X8109" i="2"/>
  <c r="X8110" i="2"/>
  <c r="X8111" i="2"/>
  <c r="X8112" i="2"/>
  <c r="X8113" i="2"/>
  <c r="X8114" i="2"/>
  <c r="X8115" i="2"/>
  <c r="X8116" i="2"/>
  <c r="X8117" i="2"/>
  <c r="X8118" i="2"/>
  <c r="X8119" i="2"/>
  <c r="X8120" i="2"/>
  <c r="X8121" i="2"/>
  <c r="X8122" i="2"/>
  <c r="X8123" i="2"/>
  <c r="X8124" i="2"/>
  <c r="X8125" i="2"/>
  <c r="X8126" i="2"/>
  <c r="X8127" i="2"/>
  <c r="X8128" i="2"/>
  <c r="X8129" i="2"/>
  <c r="X8130" i="2"/>
  <c r="X8131" i="2"/>
  <c r="X8132" i="2"/>
  <c r="X8133" i="2"/>
  <c r="X8134" i="2"/>
  <c r="X8135" i="2"/>
  <c r="X8136" i="2"/>
  <c r="X8137" i="2"/>
  <c r="X8138" i="2"/>
  <c r="X8139" i="2"/>
  <c r="X8140" i="2"/>
  <c r="X8141" i="2"/>
  <c r="X8142" i="2"/>
  <c r="X8143" i="2"/>
  <c r="X8144" i="2"/>
  <c r="X8145" i="2"/>
  <c r="X8146" i="2"/>
  <c r="X8147" i="2"/>
  <c r="X8148" i="2"/>
  <c r="X8149" i="2"/>
  <c r="X8150" i="2"/>
  <c r="X8151" i="2"/>
  <c r="X8152" i="2"/>
  <c r="X8153" i="2"/>
  <c r="X8154" i="2"/>
  <c r="X8155" i="2"/>
  <c r="X8156" i="2"/>
  <c r="X8157" i="2"/>
  <c r="X8158" i="2"/>
  <c r="X8159" i="2"/>
  <c r="X8160" i="2"/>
  <c r="X8161" i="2"/>
  <c r="X8162" i="2"/>
  <c r="X8163" i="2"/>
  <c r="X8164" i="2"/>
  <c r="X8165" i="2"/>
  <c r="X8166" i="2"/>
  <c r="X8167" i="2"/>
  <c r="X8168" i="2"/>
  <c r="X8169" i="2"/>
  <c r="X8170" i="2"/>
  <c r="X8171" i="2"/>
  <c r="X8172" i="2"/>
  <c r="X8173" i="2"/>
  <c r="X8174" i="2"/>
  <c r="X8175" i="2"/>
  <c r="X8176" i="2"/>
  <c r="X8177" i="2"/>
  <c r="X8178" i="2"/>
  <c r="X8179" i="2"/>
  <c r="X8180" i="2"/>
  <c r="X8181" i="2"/>
  <c r="X8182" i="2"/>
  <c r="X8183" i="2"/>
  <c r="X8184" i="2"/>
  <c r="X8185" i="2"/>
  <c r="X8186" i="2"/>
  <c r="X8187" i="2"/>
  <c r="X8188" i="2"/>
  <c r="X8189" i="2"/>
  <c r="X8190" i="2"/>
  <c r="X8191" i="2"/>
  <c r="X8192" i="2"/>
  <c r="X8193" i="2"/>
  <c r="X8194" i="2"/>
  <c r="X8195" i="2"/>
  <c r="X8196" i="2"/>
  <c r="X8197" i="2"/>
  <c r="X8198" i="2"/>
  <c r="X8199" i="2"/>
  <c r="X8200" i="2"/>
  <c r="X8201" i="2"/>
  <c r="X8202" i="2"/>
  <c r="X8203" i="2"/>
  <c r="X8204" i="2"/>
  <c r="X8205" i="2"/>
  <c r="X8206" i="2"/>
  <c r="X8207" i="2"/>
  <c r="X8208" i="2"/>
  <c r="X8209" i="2"/>
  <c r="X8210" i="2"/>
  <c r="X8211" i="2"/>
  <c r="X8212" i="2"/>
  <c r="X8213" i="2"/>
  <c r="X8214" i="2"/>
  <c r="X8215" i="2"/>
  <c r="X8216" i="2"/>
  <c r="X8217" i="2"/>
  <c r="X8218" i="2"/>
  <c r="X8219" i="2"/>
  <c r="X8220" i="2"/>
  <c r="X8221" i="2"/>
  <c r="X8222" i="2"/>
  <c r="X8223" i="2"/>
  <c r="X8224" i="2"/>
  <c r="X8225" i="2"/>
  <c r="X8226" i="2"/>
  <c r="X8227" i="2"/>
  <c r="X8228" i="2"/>
  <c r="X8229" i="2"/>
  <c r="X8230" i="2"/>
  <c r="X8231" i="2"/>
  <c r="X8232" i="2"/>
  <c r="X8233" i="2"/>
  <c r="X8234" i="2"/>
  <c r="X8235" i="2"/>
  <c r="X8236" i="2"/>
  <c r="X8237" i="2"/>
  <c r="X8238" i="2"/>
  <c r="X8239" i="2"/>
  <c r="X8240" i="2"/>
  <c r="X8241" i="2"/>
  <c r="X8242" i="2"/>
  <c r="X8243" i="2"/>
  <c r="X8244" i="2"/>
  <c r="X8245" i="2"/>
  <c r="X8246" i="2"/>
  <c r="X8247" i="2"/>
  <c r="X8248" i="2"/>
  <c r="X8249" i="2"/>
  <c r="X8250" i="2"/>
  <c r="X8251" i="2"/>
  <c r="X8252" i="2"/>
  <c r="X8253" i="2"/>
  <c r="X8254" i="2"/>
  <c r="X8255" i="2"/>
  <c r="X8256" i="2"/>
  <c r="X8257" i="2"/>
  <c r="X8258" i="2"/>
  <c r="X8259" i="2"/>
  <c r="X8260" i="2"/>
  <c r="X8261" i="2"/>
  <c r="X8262" i="2"/>
  <c r="X8263" i="2"/>
  <c r="X8264" i="2"/>
  <c r="X8265" i="2"/>
  <c r="X8266" i="2"/>
  <c r="X8267" i="2"/>
  <c r="X8268" i="2"/>
  <c r="X8269" i="2"/>
  <c r="X8270" i="2"/>
  <c r="X8271" i="2"/>
  <c r="X8272" i="2"/>
  <c r="X8273" i="2"/>
  <c r="X8274" i="2"/>
  <c r="X8275" i="2"/>
  <c r="X8276" i="2"/>
  <c r="X8277" i="2"/>
  <c r="X8278" i="2"/>
  <c r="X8279" i="2"/>
  <c r="X8280" i="2"/>
  <c r="X8281" i="2"/>
  <c r="X8282" i="2"/>
  <c r="X8283" i="2"/>
  <c r="X8284" i="2"/>
  <c r="X8285" i="2"/>
  <c r="X8286" i="2"/>
  <c r="X8287" i="2"/>
  <c r="X8288" i="2"/>
  <c r="X8289" i="2"/>
  <c r="X8290" i="2"/>
  <c r="X8291" i="2"/>
  <c r="X8292" i="2"/>
  <c r="X8293" i="2"/>
  <c r="X8294" i="2"/>
  <c r="X8295" i="2"/>
  <c r="X8296" i="2"/>
  <c r="X8297" i="2"/>
  <c r="X8298" i="2"/>
  <c r="X8299" i="2"/>
  <c r="X8300" i="2"/>
  <c r="X8301" i="2"/>
  <c r="X8302" i="2"/>
  <c r="X8303" i="2"/>
  <c r="X8304" i="2"/>
  <c r="X8305" i="2"/>
  <c r="X8306" i="2"/>
  <c r="X8307" i="2"/>
  <c r="X8308" i="2"/>
  <c r="X8309" i="2"/>
  <c r="X8310" i="2"/>
  <c r="X8311" i="2"/>
  <c r="X8312" i="2"/>
  <c r="X8313" i="2"/>
  <c r="X8314" i="2"/>
  <c r="X8315" i="2"/>
  <c r="X8316" i="2"/>
  <c r="X8317" i="2"/>
  <c r="X8318" i="2"/>
  <c r="X8319" i="2"/>
  <c r="X8320" i="2"/>
  <c r="X8321" i="2"/>
  <c r="X8322" i="2"/>
  <c r="X8323" i="2"/>
  <c r="X8324" i="2"/>
  <c r="X8325" i="2"/>
  <c r="X8326" i="2"/>
  <c r="X8327" i="2"/>
  <c r="X8328" i="2"/>
  <c r="X8329" i="2"/>
  <c r="X8330" i="2"/>
  <c r="X8331" i="2"/>
  <c r="X8332" i="2"/>
  <c r="X8333" i="2"/>
  <c r="X8334" i="2"/>
  <c r="X8335" i="2"/>
  <c r="X8336" i="2"/>
  <c r="X8337" i="2"/>
  <c r="X8338" i="2"/>
  <c r="X8339" i="2"/>
  <c r="X8340" i="2"/>
  <c r="X8341" i="2"/>
  <c r="X8342" i="2"/>
  <c r="X8343" i="2"/>
  <c r="X8344" i="2"/>
  <c r="X8345" i="2"/>
  <c r="X8346" i="2"/>
  <c r="X8347" i="2"/>
  <c r="X8348" i="2"/>
  <c r="X8349" i="2"/>
  <c r="X8350" i="2"/>
  <c r="X8351" i="2"/>
  <c r="X8352" i="2"/>
  <c r="X8353" i="2"/>
  <c r="X8354" i="2"/>
  <c r="X8355" i="2"/>
  <c r="X8356" i="2"/>
  <c r="X8357" i="2"/>
  <c r="X8358" i="2"/>
  <c r="X8359" i="2"/>
  <c r="X8360" i="2"/>
  <c r="X8361" i="2"/>
  <c r="X8362" i="2"/>
  <c r="X8363" i="2"/>
  <c r="X8364" i="2"/>
  <c r="X8365" i="2"/>
  <c r="X8366" i="2"/>
  <c r="X8367" i="2"/>
  <c r="X8368" i="2"/>
  <c r="X8369" i="2"/>
  <c r="X8370" i="2"/>
  <c r="X8371" i="2"/>
  <c r="X8372" i="2"/>
  <c r="X8373" i="2"/>
  <c r="X8374" i="2"/>
  <c r="X8375" i="2"/>
  <c r="X8376" i="2"/>
  <c r="X8377" i="2"/>
  <c r="X8378" i="2"/>
  <c r="X8379" i="2"/>
  <c r="X8380" i="2"/>
  <c r="X8381" i="2"/>
  <c r="X8382" i="2"/>
  <c r="X8383" i="2"/>
  <c r="X8384" i="2"/>
  <c r="X8385" i="2"/>
  <c r="X8386" i="2"/>
  <c r="X8387" i="2"/>
  <c r="X8388" i="2"/>
  <c r="X8389" i="2"/>
  <c r="X8390" i="2"/>
  <c r="X8391" i="2"/>
  <c r="X8392" i="2"/>
  <c r="X8393" i="2"/>
  <c r="X8394" i="2"/>
  <c r="X8395" i="2"/>
  <c r="X8396" i="2"/>
  <c r="X8397" i="2"/>
  <c r="X8398" i="2"/>
  <c r="X8399" i="2"/>
  <c r="X8400" i="2"/>
  <c r="X8401" i="2"/>
  <c r="X8402" i="2"/>
  <c r="X8403" i="2"/>
  <c r="X8404" i="2"/>
  <c r="X8405" i="2"/>
  <c r="X8406" i="2"/>
  <c r="X8407" i="2"/>
  <c r="X8408" i="2"/>
  <c r="X8409" i="2"/>
  <c r="X8410" i="2"/>
  <c r="X8411" i="2"/>
  <c r="X8412" i="2"/>
  <c r="X8413" i="2"/>
  <c r="X8414" i="2"/>
  <c r="X8415" i="2"/>
  <c r="X8416" i="2"/>
  <c r="X8417" i="2"/>
  <c r="X8418" i="2"/>
  <c r="X8419" i="2"/>
  <c r="X8420" i="2"/>
  <c r="X8421" i="2"/>
  <c r="X8422" i="2"/>
  <c r="X8423" i="2"/>
  <c r="X8424" i="2"/>
  <c r="X8425" i="2"/>
  <c r="X8426" i="2"/>
  <c r="X8427" i="2"/>
  <c r="X8428" i="2"/>
  <c r="X8429" i="2"/>
  <c r="X8430" i="2"/>
  <c r="X8431" i="2"/>
  <c r="X8432" i="2"/>
  <c r="X8433" i="2"/>
  <c r="X8434" i="2"/>
  <c r="X8435" i="2"/>
  <c r="X8436" i="2"/>
  <c r="X8437" i="2"/>
  <c r="X8438" i="2"/>
  <c r="X8439" i="2"/>
  <c r="X8440" i="2"/>
  <c r="X8441" i="2"/>
  <c r="X8442" i="2"/>
  <c r="X8443" i="2"/>
  <c r="X8444" i="2"/>
  <c r="X8445" i="2"/>
  <c r="X8446" i="2"/>
  <c r="X8447" i="2"/>
  <c r="X8448" i="2"/>
  <c r="X8449" i="2"/>
  <c r="X8450" i="2"/>
  <c r="X8451" i="2"/>
  <c r="X8452" i="2"/>
  <c r="X8453" i="2"/>
  <c r="X8454" i="2"/>
  <c r="X8455" i="2"/>
  <c r="X8456" i="2"/>
  <c r="X8457" i="2"/>
  <c r="X8458" i="2"/>
  <c r="X8459" i="2"/>
  <c r="X8460" i="2"/>
  <c r="X8461" i="2"/>
  <c r="X8462" i="2"/>
  <c r="X8463" i="2"/>
  <c r="X8464" i="2"/>
  <c r="X8465" i="2"/>
  <c r="X8466" i="2"/>
  <c r="X8467" i="2"/>
  <c r="X8468" i="2"/>
  <c r="X8469" i="2"/>
  <c r="X8470" i="2"/>
  <c r="X8471" i="2"/>
  <c r="X8472" i="2"/>
  <c r="X8473" i="2"/>
  <c r="X8474" i="2"/>
  <c r="X8475" i="2"/>
  <c r="X8476" i="2"/>
  <c r="X8477" i="2"/>
  <c r="X8478" i="2"/>
  <c r="X8479" i="2"/>
  <c r="X8480" i="2"/>
  <c r="X8481" i="2"/>
  <c r="X8482" i="2"/>
  <c r="X8483" i="2"/>
  <c r="X8484" i="2"/>
  <c r="X8485" i="2"/>
  <c r="X8486" i="2"/>
  <c r="X8487" i="2"/>
  <c r="X8488" i="2"/>
  <c r="X8489" i="2"/>
  <c r="X8490" i="2"/>
  <c r="X8491" i="2"/>
  <c r="X8492" i="2"/>
  <c r="X8493" i="2"/>
  <c r="X8494" i="2"/>
  <c r="X8495" i="2"/>
  <c r="X8496" i="2"/>
  <c r="X8497" i="2"/>
  <c r="X8498" i="2"/>
  <c r="X8499" i="2"/>
  <c r="X8500" i="2"/>
  <c r="X8501" i="2"/>
  <c r="X8502" i="2"/>
  <c r="X8503" i="2"/>
  <c r="X8504" i="2"/>
  <c r="X8505" i="2"/>
  <c r="X8506" i="2"/>
  <c r="X8507" i="2"/>
  <c r="X8508" i="2"/>
  <c r="X8509" i="2"/>
  <c r="X8510" i="2"/>
  <c r="X8511" i="2"/>
  <c r="X8512" i="2"/>
  <c r="X8513" i="2"/>
  <c r="X8514" i="2"/>
  <c r="X8515" i="2"/>
  <c r="X8516" i="2"/>
  <c r="X8517" i="2"/>
  <c r="X8518" i="2"/>
  <c r="X8519" i="2"/>
  <c r="X8520" i="2"/>
  <c r="X8521" i="2"/>
  <c r="X8522" i="2"/>
  <c r="X8523" i="2"/>
  <c r="X8524" i="2"/>
  <c r="X8525" i="2"/>
  <c r="X8526" i="2"/>
  <c r="X8527" i="2"/>
  <c r="X8528" i="2"/>
  <c r="X8529" i="2"/>
  <c r="X8530" i="2"/>
  <c r="X8531" i="2"/>
  <c r="X8532" i="2"/>
  <c r="X8533" i="2"/>
  <c r="X8534" i="2"/>
  <c r="X8535" i="2"/>
  <c r="X8536" i="2"/>
  <c r="X8537" i="2"/>
  <c r="X8538" i="2"/>
  <c r="X8539" i="2"/>
  <c r="X8540" i="2"/>
  <c r="X8541" i="2"/>
  <c r="X8542" i="2"/>
  <c r="X8543" i="2"/>
  <c r="X8544" i="2"/>
  <c r="X8545" i="2"/>
  <c r="X8546" i="2"/>
  <c r="X8547" i="2"/>
  <c r="X8548" i="2"/>
  <c r="X8549" i="2"/>
  <c r="X8550" i="2"/>
  <c r="X8551" i="2"/>
  <c r="X8552" i="2"/>
  <c r="X8553" i="2"/>
  <c r="X8554" i="2"/>
  <c r="X8555" i="2"/>
  <c r="X8556" i="2"/>
  <c r="X8557" i="2"/>
  <c r="X8558" i="2"/>
  <c r="X8559" i="2"/>
  <c r="X8560" i="2"/>
  <c r="X8561" i="2"/>
  <c r="X8562" i="2"/>
  <c r="X8563" i="2"/>
  <c r="X8564" i="2"/>
  <c r="X8565" i="2"/>
  <c r="X8566" i="2"/>
  <c r="X8567" i="2"/>
  <c r="X8568" i="2"/>
  <c r="X8569" i="2"/>
  <c r="X8570" i="2"/>
  <c r="X8571" i="2"/>
  <c r="X8572" i="2"/>
  <c r="X8573" i="2"/>
  <c r="X8574" i="2"/>
  <c r="X8575" i="2"/>
  <c r="X8576" i="2"/>
  <c r="X8577" i="2"/>
  <c r="X8578" i="2"/>
  <c r="X8579" i="2"/>
  <c r="X8580" i="2"/>
  <c r="X8581" i="2"/>
  <c r="X8582" i="2"/>
  <c r="X8583" i="2"/>
  <c r="X8584" i="2"/>
  <c r="X8585" i="2"/>
  <c r="X8586" i="2"/>
  <c r="X8587" i="2"/>
  <c r="X8588" i="2"/>
  <c r="X8589" i="2"/>
  <c r="X8590" i="2"/>
  <c r="X8591" i="2"/>
  <c r="X8592" i="2"/>
  <c r="X8593" i="2"/>
  <c r="X8594" i="2"/>
  <c r="X8595" i="2"/>
  <c r="X8596" i="2"/>
  <c r="X8597" i="2"/>
  <c r="X8598" i="2"/>
  <c r="X8599" i="2"/>
  <c r="X8600" i="2"/>
  <c r="X8601" i="2"/>
  <c r="X8602" i="2"/>
  <c r="X8603" i="2"/>
  <c r="X8604" i="2"/>
  <c r="X8605" i="2"/>
  <c r="X8606" i="2"/>
  <c r="X8607" i="2"/>
  <c r="X8608" i="2"/>
  <c r="X8609" i="2"/>
  <c r="X8610" i="2"/>
  <c r="X8611" i="2"/>
  <c r="X8612" i="2"/>
  <c r="X8613" i="2"/>
  <c r="X8614" i="2"/>
  <c r="X8615" i="2"/>
  <c r="X8616" i="2"/>
  <c r="X8617" i="2"/>
  <c r="X8618" i="2"/>
  <c r="X8619" i="2"/>
  <c r="X8620" i="2"/>
  <c r="X8621" i="2"/>
  <c r="X8622" i="2"/>
  <c r="X8623" i="2"/>
  <c r="X8624" i="2"/>
  <c r="X8625" i="2"/>
  <c r="X8626" i="2"/>
  <c r="X8627" i="2"/>
  <c r="X8628" i="2"/>
  <c r="X8629" i="2"/>
  <c r="X8630" i="2"/>
  <c r="X8631" i="2"/>
  <c r="X8632" i="2"/>
  <c r="X8633" i="2"/>
  <c r="X8634" i="2"/>
  <c r="X8635" i="2"/>
  <c r="X8636" i="2"/>
  <c r="X8637" i="2"/>
  <c r="X8638" i="2"/>
  <c r="X8639" i="2"/>
  <c r="X8640" i="2"/>
  <c r="X8641" i="2"/>
  <c r="X8642" i="2"/>
  <c r="X8643" i="2"/>
  <c r="X8644" i="2"/>
  <c r="X8645" i="2"/>
  <c r="X8646" i="2"/>
  <c r="X8647" i="2"/>
  <c r="X8648" i="2"/>
  <c r="X8649" i="2"/>
  <c r="X8650" i="2"/>
  <c r="X8651" i="2"/>
  <c r="X8652" i="2"/>
  <c r="X8653" i="2"/>
  <c r="X8654" i="2"/>
  <c r="X8655" i="2"/>
  <c r="X8656" i="2"/>
  <c r="X8657" i="2"/>
  <c r="X8658" i="2"/>
  <c r="X8659" i="2"/>
  <c r="X8660" i="2"/>
  <c r="X8661" i="2"/>
  <c r="X8662" i="2"/>
  <c r="X8663" i="2"/>
  <c r="X8664" i="2"/>
  <c r="X8665" i="2"/>
  <c r="X8666" i="2"/>
  <c r="X8667" i="2"/>
  <c r="X8668" i="2"/>
  <c r="X8669" i="2"/>
  <c r="X8670" i="2"/>
  <c r="X8671" i="2"/>
  <c r="X8672" i="2"/>
  <c r="X8673" i="2"/>
  <c r="X8674" i="2"/>
  <c r="X8675" i="2"/>
  <c r="X8676" i="2"/>
  <c r="X8677" i="2"/>
  <c r="X8678" i="2"/>
  <c r="X8679" i="2"/>
  <c r="X8680" i="2"/>
  <c r="X8681" i="2"/>
  <c r="X8682" i="2"/>
  <c r="X8683" i="2"/>
  <c r="X8684" i="2"/>
  <c r="X8685" i="2"/>
  <c r="X8686" i="2"/>
  <c r="X8687" i="2"/>
  <c r="X8688" i="2"/>
  <c r="X8689" i="2"/>
  <c r="X8690" i="2"/>
  <c r="X8691" i="2"/>
  <c r="X8692" i="2"/>
  <c r="X8693" i="2"/>
  <c r="X8694" i="2"/>
  <c r="X8695" i="2"/>
  <c r="X8696" i="2"/>
  <c r="X8697" i="2"/>
  <c r="X8698" i="2"/>
  <c r="X8699" i="2"/>
  <c r="X8700" i="2"/>
  <c r="X8701" i="2"/>
  <c r="X8702" i="2"/>
  <c r="X8703" i="2"/>
  <c r="X8704" i="2"/>
  <c r="X8705" i="2"/>
  <c r="X8706" i="2"/>
  <c r="X8707" i="2"/>
  <c r="X8708" i="2"/>
  <c r="X8709" i="2"/>
  <c r="X8710" i="2"/>
  <c r="X8711" i="2"/>
  <c r="X8712" i="2"/>
  <c r="X8713" i="2"/>
  <c r="X8714" i="2"/>
  <c r="X8715" i="2"/>
  <c r="X8716" i="2"/>
  <c r="X8717" i="2"/>
  <c r="X8718" i="2"/>
  <c r="X8719" i="2"/>
  <c r="X8720" i="2"/>
  <c r="X8721" i="2"/>
  <c r="X8722" i="2"/>
  <c r="X8723" i="2"/>
  <c r="X8724" i="2"/>
  <c r="X8725" i="2"/>
  <c r="X8726" i="2"/>
  <c r="X8727" i="2"/>
  <c r="X8728" i="2"/>
  <c r="X8729" i="2"/>
  <c r="X8730" i="2"/>
  <c r="X8731" i="2"/>
  <c r="X8732" i="2"/>
  <c r="X8733" i="2"/>
  <c r="X8734" i="2"/>
  <c r="X8735" i="2"/>
  <c r="X8736" i="2"/>
  <c r="X8737" i="2"/>
  <c r="X8738" i="2"/>
  <c r="X8739" i="2"/>
  <c r="X8740" i="2"/>
  <c r="X8741" i="2"/>
  <c r="X8742" i="2"/>
  <c r="X8743" i="2"/>
  <c r="X8744" i="2"/>
  <c r="X8745" i="2"/>
  <c r="X8746" i="2"/>
  <c r="X8747" i="2"/>
  <c r="X8748" i="2"/>
  <c r="X8749" i="2"/>
  <c r="X8750" i="2"/>
  <c r="X8751" i="2"/>
  <c r="X8752" i="2"/>
  <c r="X8753" i="2"/>
  <c r="X8754" i="2"/>
  <c r="X8755" i="2"/>
  <c r="X8756" i="2"/>
  <c r="X8757" i="2"/>
  <c r="X8758" i="2"/>
  <c r="X8759" i="2"/>
  <c r="X8760" i="2"/>
  <c r="X8761" i="2"/>
  <c r="X8762" i="2"/>
  <c r="X8763" i="2"/>
  <c r="X8764" i="2"/>
  <c r="X8765" i="2"/>
  <c r="X8766" i="2"/>
  <c r="X8767" i="2"/>
  <c r="X8768" i="2"/>
  <c r="X8769" i="2"/>
  <c r="X8770" i="2"/>
  <c r="X8771" i="2"/>
  <c r="X8772" i="2"/>
  <c r="X8773" i="2"/>
  <c r="X8774" i="2"/>
  <c r="X8775" i="2"/>
  <c r="X8776" i="2"/>
  <c r="X8777" i="2"/>
  <c r="X8778" i="2"/>
  <c r="X8779" i="2"/>
  <c r="X8780" i="2"/>
  <c r="X8781" i="2"/>
  <c r="X8782" i="2"/>
  <c r="X8783" i="2"/>
  <c r="X8784" i="2"/>
  <c r="X8785" i="2"/>
  <c r="X8786" i="2"/>
  <c r="X8787" i="2"/>
  <c r="X8788" i="2"/>
  <c r="X8789" i="2"/>
  <c r="X8790" i="2"/>
  <c r="X8791" i="2"/>
  <c r="X8792" i="2"/>
  <c r="X8793" i="2"/>
  <c r="X8794" i="2"/>
  <c r="X8795" i="2"/>
  <c r="X8796" i="2"/>
  <c r="X8797" i="2"/>
  <c r="X8798" i="2"/>
  <c r="X8799" i="2"/>
  <c r="X8800" i="2"/>
  <c r="X8801" i="2"/>
  <c r="X8802" i="2"/>
  <c r="X8803" i="2"/>
  <c r="X8804" i="2"/>
  <c r="X8805" i="2"/>
  <c r="X8806" i="2"/>
  <c r="X8807" i="2"/>
  <c r="X8808" i="2"/>
  <c r="X8809" i="2"/>
  <c r="X8810" i="2"/>
  <c r="X8811" i="2"/>
  <c r="X8812" i="2"/>
  <c r="X8813" i="2"/>
  <c r="X8814" i="2"/>
  <c r="X8815" i="2"/>
  <c r="X8816" i="2"/>
  <c r="X8817" i="2"/>
  <c r="X8818" i="2"/>
  <c r="X8819" i="2"/>
  <c r="X8820" i="2"/>
  <c r="X8821" i="2"/>
  <c r="X8822" i="2"/>
  <c r="X8823" i="2"/>
  <c r="X8824" i="2"/>
  <c r="X8825" i="2"/>
  <c r="X8826" i="2"/>
  <c r="X8827" i="2"/>
  <c r="X8828" i="2"/>
  <c r="X8829" i="2"/>
  <c r="X8830" i="2"/>
  <c r="X8831" i="2"/>
  <c r="X8832" i="2"/>
  <c r="X8833" i="2"/>
  <c r="X8834" i="2"/>
  <c r="X8835" i="2"/>
  <c r="X8836" i="2"/>
  <c r="X8837" i="2"/>
  <c r="X8838" i="2"/>
  <c r="X8839" i="2"/>
  <c r="X8840" i="2"/>
  <c r="X8841" i="2"/>
  <c r="X8842" i="2"/>
  <c r="X8843" i="2"/>
  <c r="X8844" i="2"/>
  <c r="X8845" i="2"/>
  <c r="X8846" i="2"/>
  <c r="X8847" i="2"/>
  <c r="X8848" i="2"/>
  <c r="X8849" i="2"/>
  <c r="X8850" i="2"/>
  <c r="X8851" i="2"/>
  <c r="X8852" i="2"/>
  <c r="X8853" i="2"/>
  <c r="X8854" i="2"/>
  <c r="X8855" i="2"/>
  <c r="X8856" i="2"/>
  <c r="X8857" i="2"/>
  <c r="X8858" i="2"/>
  <c r="X8859" i="2"/>
  <c r="X8860" i="2"/>
  <c r="X8861" i="2"/>
  <c r="X8862" i="2"/>
  <c r="X8863" i="2"/>
  <c r="X8864" i="2"/>
  <c r="X8865" i="2"/>
  <c r="X8866" i="2"/>
  <c r="X8867" i="2"/>
  <c r="X8868" i="2"/>
  <c r="X8869" i="2"/>
  <c r="X8870" i="2"/>
  <c r="X8871" i="2"/>
  <c r="X8872" i="2"/>
  <c r="X8873" i="2"/>
  <c r="X8874" i="2"/>
  <c r="X8875" i="2"/>
  <c r="X8876" i="2"/>
  <c r="X8877" i="2"/>
  <c r="X8878" i="2"/>
  <c r="X8879" i="2"/>
  <c r="X8880" i="2"/>
  <c r="X8881" i="2"/>
  <c r="X8882" i="2"/>
  <c r="X8883" i="2"/>
  <c r="X8884" i="2"/>
  <c r="X8885" i="2"/>
  <c r="X8886" i="2"/>
  <c r="X8887" i="2"/>
  <c r="X8888" i="2"/>
  <c r="X8889" i="2"/>
  <c r="X8890" i="2"/>
  <c r="X8891" i="2"/>
  <c r="X8892" i="2"/>
  <c r="X8893" i="2"/>
  <c r="X8894" i="2"/>
  <c r="X8895" i="2"/>
  <c r="X8896" i="2"/>
  <c r="X8897" i="2"/>
  <c r="X8898" i="2"/>
  <c r="X8899" i="2"/>
  <c r="X8900" i="2"/>
  <c r="X8901" i="2"/>
  <c r="X8902" i="2"/>
  <c r="X8903" i="2"/>
  <c r="X8904" i="2"/>
  <c r="X8905" i="2"/>
  <c r="X8906" i="2"/>
  <c r="X8907" i="2"/>
  <c r="X8908" i="2"/>
  <c r="X8909" i="2"/>
  <c r="X8910" i="2"/>
  <c r="X8911" i="2"/>
  <c r="X8912" i="2"/>
  <c r="X8913" i="2"/>
  <c r="X8914" i="2"/>
  <c r="X8915" i="2"/>
  <c r="X8916" i="2"/>
  <c r="X8917" i="2"/>
  <c r="X8918" i="2"/>
  <c r="X8919" i="2"/>
  <c r="X8920" i="2"/>
  <c r="X8921" i="2"/>
  <c r="X8922" i="2"/>
  <c r="X8923" i="2"/>
  <c r="X8924" i="2"/>
  <c r="X8925" i="2"/>
  <c r="X8926" i="2"/>
  <c r="X8927" i="2"/>
  <c r="X8928" i="2"/>
  <c r="X8929" i="2"/>
  <c r="X8930" i="2"/>
  <c r="X8931" i="2"/>
  <c r="X8932" i="2"/>
  <c r="X8933" i="2"/>
  <c r="X8934" i="2"/>
  <c r="X8935" i="2"/>
  <c r="X8936" i="2"/>
  <c r="X8937" i="2"/>
  <c r="X8938" i="2"/>
  <c r="X8939" i="2"/>
  <c r="X8940" i="2"/>
  <c r="X8941" i="2"/>
  <c r="X8942" i="2"/>
  <c r="X8943" i="2"/>
  <c r="X8944" i="2"/>
  <c r="X8945" i="2"/>
  <c r="X8946" i="2"/>
  <c r="X8947" i="2"/>
  <c r="X8948" i="2"/>
  <c r="X8949" i="2"/>
  <c r="X8950" i="2"/>
  <c r="X8951" i="2"/>
  <c r="X8952" i="2"/>
  <c r="X8953" i="2"/>
  <c r="X8954" i="2"/>
  <c r="X8955" i="2"/>
  <c r="X8956" i="2"/>
  <c r="X8957" i="2"/>
  <c r="X8958" i="2"/>
  <c r="X8959" i="2"/>
  <c r="X8960" i="2"/>
  <c r="X8961" i="2"/>
  <c r="X8962" i="2"/>
  <c r="X8963" i="2"/>
  <c r="X8964" i="2"/>
  <c r="X8965" i="2"/>
  <c r="X8966" i="2"/>
  <c r="X8967" i="2"/>
  <c r="X8968" i="2"/>
  <c r="X8969" i="2"/>
  <c r="X8970" i="2"/>
  <c r="X8971" i="2"/>
  <c r="X8972" i="2"/>
  <c r="X8973" i="2"/>
  <c r="X8974" i="2"/>
  <c r="X8975" i="2"/>
  <c r="X8976" i="2"/>
  <c r="X8977" i="2"/>
  <c r="X8978" i="2"/>
  <c r="X8979" i="2"/>
  <c r="X8980" i="2"/>
  <c r="X8981" i="2"/>
  <c r="X8982" i="2"/>
  <c r="X8983" i="2"/>
  <c r="X8984" i="2"/>
  <c r="X8985" i="2"/>
  <c r="X8986" i="2"/>
  <c r="X8987" i="2"/>
  <c r="X8988" i="2"/>
  <c r="X8989" i="2"/>
  <c r="X8990" i="2"/>
  <c r="X8991" i="2"/>
  <c r="X8992" i="2"/>
  <c r="X8993" i="2"/>
  <c r="X8994" i="2"/>
  <c r="X8995" i="2"/>
  <c r="X8996" i="2"/>
  <c r="X8997" i="2"/>
  <c r="X8998" i="2"/>
  <c r="X8999" i="2"/>
  <c r="X9000" i="2"/>
  <c r="X9001" i="2"/>
  <c r="X9002" i="2"/>
  <c r="X9003" i="2"/>
  <c r="X9004" i="2"/>
  <c r="X9005" i="2"/>
  <c r="X9006" i="2"/>
  <c r="X9007" i="2"/>
  <c r="X9008" i="2"/>
  <c r="X9009" i="2"/>
  <c r="X9010" i="2"/>
  <c r="X9011" i="2"/>
  <c r="X9012" i="2"/>
  <c r="X9013" i="2"/>
  <c r="X9014" i="2"/>
  <c r="X9015" i="2"/>
  <c r="X9016" i="2"/>
  <c r="X9017" i="2"/>
  <c r="X9018" i="2"/>
  <c r="X9019" i="2"/>
  <c r="X9020" i="2"/>
  <c r="X9021" i="2"/>
  <c r="X9022" i="2"/>
  <c r="X9023" i="2"/>
  <c r="X9024" i="2"/>
  <c r="X9025" i="2"/>
  <c r="X9026" i="2"/>
  <c r="X9027" i="2"/>
  <c r="X9028" i="2"/>
  <c r="X9029" i="2"/>
  <c r="X9030" i="2"/>
  <c r="X9031" i="2"/>
  <c r="X9032" i="2"/>
  <c r="X9033" i="2"/>
  <c r="X9034" i="2"/>
  <c r="X9035" i="2"/>
  <c r="X9036" i="2"/>
  <c r="X9037" i="2"/>
  <c r="X9038" i="2"/>
  <c r="X9039" i="2"/>
  <c r="X9040" i="2"/>
  <c r="X9041" i="2"/>
  <c r="X9042" i="2"/>
  <c r="X9043" i="2"/>
  <c r="X9044" i="2"/>
  <c r="X9045" i="2"/>
  <c r="X9046" i="2"/>
  <c r="X9047" i="2"/>
  <c r="X9048" i="2"/>
  <c r="X9049" i="2"/>
  <c r="X9050" i="2"/>
  <c r="X9051" i="2"/>
  <c r="X9052" i="2"/>
  <c r="X9053" i="2"/>
  <c r="X9054" i="2"/>
  <c r="X9055" i="2"/>
  <c r="X9056" i="2"/>
  <c r="X9057" i="2"/>
  <c r="X9058" i="2"/>
  <c r="X9059" i="2"/>
  <c r="X9060" i="2"/>
  <c r="X9061" i="2"/>
  <c r="X9062" i="2"/>
  <c r="X9063" i="2"/>
  <c r="X9064" i="2"/>
  <c r="X9065" i="2"/>
  <c r="X9066" i="2"/>
  <c r="X9067" i="2"/>
  <c r="X9068" i="2"/>
  <c r="X9069" i="2"/>
  <c r="X9070" i="2"/>
  <c r="X9071" i="2"/>
  <c r="X9072" i="2"/>
  <c r="X9073" i="2"/>
  <c r="X9074" i="2"/>
  <c r="X9075" i="2"/>
  <c r="X9076" i="2"/>
  <c r="X9077" i="2"/>
  <c r="X9078" i="2"/>
  <c r="X9079" i="2"/>
  <c r="X9080" i="2"/>
  <c r="X9081" i="2"/>
  <c r="X9082" i="2"/>
  <c r="X9083" i="2"/>
  <c r="X9084" i="2"/>
  <c r="X9085" i="2"/>
  <c r="X9086" i="2"/>
  <c r="X9087" i="2"/>
  <c r="X9088" i="2"/>
  <c r="X9089" i="2"/>
  <c r="X9090" i="2"/>
  <c r="X9091" i="2"/>
  <c r="X9092" i="2"/>
  <c r="X9093" i="2"/>
  <c r="X9094" i="2"/>
  <c r="X9095" i="2"/>
  <c r="X9096" i="2"/>
  <c r="X9097" i="2"/>
  <c r="X9098" i="2"/>
  <c r="X9099" i="2"/>
  <c r="X9100" i="2"/>
  <c r="X9101" i="2"/>
  <c r="X9102" i="2"/>
  <c r="X9103" i="2"/>
  <c r="X9104" i="2"/>
  <c r="X9105" i="2"/>
  <c r="X9106" i="2"/>
  <c r="X9107" i="2"/>
  <c r="X9108" i="2"/>
  <c r="X9109" i="2"/>
  <c r="X9110" i="2"/>
  <c r="X9111" i="2"/>
  <c r="X9112" i="2"/>
  <c r="X9113" i="2"/>
  <c r="X9114" i="2"/>
  <c r="X9115" i="2"/>
  <c r="X9116" i="2"/>
  <c r="X9117" i="2"/>
  <c r="X9118" i="2"/>
  <c r="X9119" i="2"/>
  <c r="X9120" i="2"/>
  <c r="X9121" i="2"/>
  <c r="X9122" i="2"/>
  <c r="X9123" i="2"/>
  <c r="X9124" i="2"/>
  <c r="X9125" i="2"/>
  <c r="X9126" i="2"/>
  <c r="X9127" i="2"/>
  <c r="X9128" i="2"/>
  <c r="X9129" i="2"/>
  <c r="X9130" i="2"/>
  <c r="X9131" i="2"/>
  <c r="X9132" i="2"/>
  <c r="X9133" i="2"/>
  <c r="X9134" i="2"/>
  <c r="X9135" i="2"/>
  <c r="X9136" i="2"/>
  <c r="X9137" i="2"/>
  <c r="X9138" i="2"/>
  <c r="X9139" i="2"/>
  <c r="X9140" i="2"/>
  <c r="X9141" i="2"/>
  <c r="X9142" i="2"/>
  <c r="X9143" i="2"/>
  <c r="X9144" i="2"/>
  <c r="X9145" i="2"/>
  <c r="X9146" i="2"/>
  <c r="X9147" i="2"/>
  <c r="X9148" i="2"/>
  <c r="X9149" i="2"/>
  <c r="X9150" i="2"/>
  <c r="X9151" i="2"/>
  <c r="X9152" i="2"/>
  <c r="X9153" i="2"/>
  <c r="X9154" i="2"/>
  <c r="X9155" i="2"/>
  <c r="X9156" i="2"/>
  <c r="X9157" i="2"/>
  <c r="X9158" i="2"/>
  <c r="X9159" i="2"/>
  <c r="X9160" i="2"/>
  <c r="X9161" i="2"/>
  <c r="X9162" i="2"/>
  <c r="X9163" i="2"/>
  <c r="X9164" i="2"/>
  <c r="X9165" i="2"/>
  <c r="X9166" i="2"/>
  <c r="X9167" i="2"/>
  <c r="X9168" i="2"/>
  <c r="X9169" i="2"/>
  <c r="X9170" i="2"/>
  <c r="X9171" i="2"/>
  <c r="X9172" i="2"/>
  <c r="X9173" i="2"/>
  <c r="X9174" i="2"/>
  <c r="X9175" i="2"/>
  <c r="X9176" i="2"/>
  <c r="X9177" i="2"/>
  <c r="X9178" i="2"/>
  <c r="X9179" i="2"/>
  <c r="X9180" i="2"/>
  <c r="X9181" i="2"/>
  <c r="X9182" i="2"/>
  <c r="X9183" i="2"/>
  <c r="X9184" i="2"/>
  <c r="X9185" i="2"/>
  <c r="X9186" i="2"/>
  <c r="X9187" i="2"/>
  <c r="X9188" i="2"/>
  <c r="X9189" i="2"/>
  <c r="X9190" i="2"/>
  <c r="X9191" i="2"/>
  <c r="X9192" i="2"/>
  <c r="X9193" i="2"/>
  <c r="X9194" i="2"/>
  <c r="X9195" i="2"/>
  <c r="X9196" i="2"/>
  <c r="X9197" i="2"/>
  <c r="X9198" i="2"/>
  <c r="X9199" i="2"/>
  <c r="X9200" i="2"/>
  <c r="X9201" i="2"/>
  <c r="X9202" i="2"/>
  <c r="X9203" i="2"/>
  <c r="X9204" i="2"/>
  <c r="X9205" i="2"/>
  <c r="X9206" i="2"/>
  <c r="X9207" i="2"/>
  <c r="X9208" i="2"/>
  <c r="X9209" i="2"/>
  <c r="X9210" i="2"/>
  <c r="X9211" i="2"/>
  <c r="X9212" i="2"/>
  <c r="X9213" i="2"/>
  <c r="X9214" i="2"/>
  <c r="X9215" i="2"/>
  <c r="X9216" i="2"/>
  <c r="X9217" i="2"/>
  <c r="X9218" i="2"/>
  <c r="X9219" i="2"/>
  <c r="X9220" i="2"/>
  <c r="X9221" i="2"/>
  <c r="X9222" i="2"/>
  <c r="X9223" i="2"/>
  <c r="X9224" i="2"/>
  <c r="X9225" i="2"/>
  <c r="X9226" i="2"/>
  <c r="X9227" i="2"/>
  <c r="X9228" i="2"/>
  <c r="X9229" i="2"/>
  <c r="X9230" i="2"/>
  <c r="X9231" i="2"/>
  <c r="X9232" i="2"/>
  <c r="X9233" i="2"/>
  <c r="X9234" i="2"/>
  <c r="X9235" i="2"/>
  <c r="X9236" i="2"/>
  <c r="X9237" i="2"/>
  <c r="X9238" i="2"/>
  <c r="X9239" i="2"/>
  <c r="X9240" i="2"/>
  <c r="X9241" i="2"/>
  <c r="X9242" i="2"/>
  <c r="X9243" i="2"/>
  <c r="X9244" i="2"/>
  <c r="X9245" i="2"/>
  <c r="X9246" i="2"/>
  <c r="X9247" i="2"/>
  <c r="X9248" i="2"/>
  <c r="X9249" i="2"/>
  <c r="X9250" i="2"/>
  <c r="X9251" i="2"/>
  <c r="X9252" i="2"/>
  <c r="X9253" i="2"/>
  <c r="X9254" i="2"/>
  <c r="X9255" i="2"/>
  <c r="X9256" i="2"/>
  <c r="X9257" i="2"/>
  <c r="X9258" i="2"/>
  <c r="X9259" i="2"/>
  <c r="X9260" i="2"/>
  <c r="X9261" i="2"/>
  <c r="X9262" i="2"/>
  <c r="X9263" i="2"/>
  <c r="X9264" i="2"/>
  <c r="X9265" i="2"/>
  <c r="X9266" i="2"/>
  <c r="X9267" i="2"/>
  <c r="X9268" i="2"/>
  <c r="X9269" i="2"/>
  <c r="X9270" i="2"/>
  <c r="X9271" i="2"/>
  <c r="X9272" i="2"/>
  <c r="X9273" i="2"/>
  <c r="X9274" i="2"/>
  <c r="X9275" i="2"/>
  <c r="X9276" i="2"/>
  <c r="X9277" i="2"/>
  <c r="X9278" i="2"/>
  <c r="X9279" i="2"/>
  <c r="X9280" i="2"/>
  <c r="X9281" i="2"/>
  <c r="X9282" i="2"/>
  <c r="X9283" i="2"/>
  <c r="X9284" i="2"/>
  <c r="X9285" i="2"/>
  <c r="X9286" i="2"/>
  <c r="X9287" i="2"/>
  <c r="X9288" i="2"/>
  <c r="X9289" i="2"/>
  <c r="X9290" i="2"/>
  <c r="X9291" i="2"/>
  <c r="X9292" i="2"/>
  <c r="X9293" i="2"/>
  <c r="X9294" i="2"/>
  <c r="X9295" i="2"/>
  <c r="X9296" i="2"/>
  <c r="X9297" i="2"/>
  <c r="X9298" i="2"/>
  <c r="X9299" i="2"/>
  <c r="X9300" i="2"/>
  <c r="X9301" i="2"/>
  <c r="X9302" i="2"/>
  <c r="X9303" i="2"/>
  <c r="X9304" i="2"/>
  <c r="X9305" i="2"/>
  <c r="X9306" i="2"/>
  <c r="X9307" i="2"/>
  <c r="X9308" i="2"/>
  <c r="X9309" i="2"/>
  <c r="X9310" i="2"/>
  <c r="X9311" i="2"/>
  <c r="X9312" i="2"/>
  <c r="X9313" i="2"/>
  <c r="X9314" i="2"/>
  <c r="X9315" i="2"/>
  <c r="X9316" i="2"/>
  <c r="X9317" i="2"/>
  <c r="X9318" i="2"/>
  <c r="X9319" i="2"/>
  <c r="X9320" i="2"/>
  <c r="X9321" i="2"/>
  <c r="X9322" i="2"/>
  <c r="X9323" i="2"/>
  <c r="X9324" i="2"/>
  <c r="X9325" i="2"/>
  <c r="X9326" i="2"/>
  <c r="X9327" i="2"/>
  <c r="X9328" i="2"/>
  <c r="X9329" i="2"/>
  <c r="X9330" i="2"/>
  <c r="X9331" i="2"/>
  <c r="X9332" i="2"/>
  <c r="X9333" i="2"/>
  <c r="X9334" i="2"/>
  <c r="X9335" i="2"/>
  <c r="X9336" i="2"/>
  <c r="X9337" i="2"/>
  <c r="X9338" i="2"/>
  <c r="X9339" i="2"/>
  <c r="X9340" i="2"/>
  <c r="X9341" i="2"/>
  <c r="X9342" i="2"/>
  <c r="X9343" i="2"/>
  <c r="X9344" i="2"/>
  <c r="X9345" i="2"/>
  <c r="X9346" i="2"/>
  <c r="X9347" i="2"/>
  <c r="X9348" i="2"/>
  <c r="X9349" i="2"/>
  <c r="X9350" i="2"/>
  <c r="X9351" i="2"/>
  <c r="X9352" i="2"/>
  <c r="X9353" i="2"/>
  <c r="X9354" i="2"/>
  <c r="X9355" i="2"/>
  <c r="X9356" i="2"/>
  <c r="X9357" i="2"/>
  <c r="X9358" i="2"/>
  <c r="X9359" i="2"/>
  <c r="X9360" i="2"/>
  <c r="X9361" i="2"/>
  <c r="X9362" i="2"/>
  <c r="X9363" i="2"/>
  <c r="X9364" i="2"/>
  <c r="X9365" i="2"/>
  <c r="X9366" i="2"/>
  <c r="X9367" i="2"/>
  <c r="X9368" i="2"/>
  <c r="X9369" i="2"/>
  <c r="X9370" i="2"/>
  <c r="X9371" i="2"/>
  <c r="X9372" i="2"/>
  <c r="X9373" i="2"/>
  <c r="X9374" i="2"/>
  <c r="X9375" i="2"/>
  <c r="X9376" i="2"/>
  <c r="X9377" i="2"/>
  <c r="X9378" i="2"/>
  <c r="X9379" i="2"/>
  <c r="X9380" i="2"/>
  <c r="X9381" i="2"/>
  <c r="X9382" i="2"/>
  <c r="X9383" i="2"/>
  <c r="X9384" i="2"/>
  <c r="X9385" i="2"/>
  <c r="X9386" i="2"/>
  <c r="X9387" i="2"/>
  <c r="X9388" i="2"/>
  <c r="X9389" i="2"/>
  <c r="X9390" i="2"/>
  <c r="X9391" i="2"/>
  <c r="X9392" i="2"/>
  <c r="X9393" i="2"/>
  <c r="X9394" i="2"/>
  <c r="X9395" i="2"/>
  <c r="X9396" i="2"/>
  <c r="X9397" i="2"/>
  <c r="X9398" i="2"/>
  <c r="X9399" i="2"/>
  <c r="X9400" i="2"/>
  <c r="X9401" i="2"/>
  <c r="X9402" i="2"/>
  <c r="X9403" i="2"/>
  <c r="X9404" i="2"/>
  <c r="X9405" i="2"/>
  <c r="X9406" i="2"/>
  <c r="X9407" i="2"/>
  <c r="X9408" i="2"/>
  <c r="X9409" i="2"/>
  <c r="X9410" i="2"/>
  <c r="X9411" i="2"/>
  <c r="X9412" i="2"/>
  <c r="X9413" i="2"/>
  <c r="X9414" i="2"/>
  <c r="X9415" i="2"/>
  <c r="X9416" i="2"/>
  <c r="X9417" i="2"/>
  <c r="X9418" i="2"/>
  <c r="X9419" i="2"/>
  <c r="X9420" i="2"/>
  <c r="X9421" i="2"/>
  <c r="X9422" i="2"/>
  <c r="X9423" i="2"/>
  <c r="X9424" i="2"/>
  <c r="X9425" i="2"/>
  <c r="X9426" i="2"/>
  <c r="X9427" i="2"/>
  <c r="X9428" i="2"/>
  <c r="X9429" i="2"/>
  <c r="X9430" i="2"/>
  <c r="X9431" i="2"/>
  <c r="X9432" i="2"/>
  <c r="X9433" i="2"/>
  <c r="X9434" i="2"/>
  <c r="X9435" i="2"/>
  <c r="X9436" i="2"/>
  <c r="X9437" i="2"/>
  <c r="X9438" i="2"/>
  <c r="X9439" i="2"/>
  <c r="X9440" i="2"/>
  <c r="X9441" i="2"/>
  <c r="X9442" i="2"/>
  <c r="X9443" i="2"/>
  <c r="X9444" i="2"/>
  <c r="X9445" i="2"/>
  <c r="X9446" i="2"/>
  <c r="X9447" i="2"/>
  <c r="X9448" i="2"/>
  <c r="X9449" i="2"/>
  <c r="X9450" i="2"/>
  <c r="X9451" i="2"/>
  <c r="X9452" i="2"/>
  <c r="X9453" i="2"/>
  <c r="X9454" i="2"/>
  <c r="X9455" i="2"/>
  <c r="X9456" i="2"/>
  <c r="X9457" i="2"/>
  <c r="X9458" i="2"/>
  <c r="X9459" i="2"/>
  <c r="X9460" i="2"/>
  <c r="X9461" i="2"/>
  <c r="X9462" i="2"/>
  <c r="X9463" i="2"/>
  <c r="X9464" i="2"/>
  <c r="X9465" i="2"/>
  <c r="X9466" i="2"/>
  <c r="X9467" i="2"/>
  <c r="X9468" i="2"/>
  <c r="X9469" i="2"/>
  <c r="X9470" i="2"/>
  <c r="X9471" i="2"/>
  <c r="X9472" i="2"/>
  <c r="X9473" i="2"/>
  <c r="X9474" i="2"/>
  <c r="X9475" i="2"/>
  <c r="X9476" i="2"/>
  <c r="X9477" i="2"/>
  <c r="X9478" i="2"/>
  <c r="X9479" i="2"/>
  <c r="X9480" i="2"/>
  <c r="X9481" i="2"/>
  <c r="X9482" i="2"/>
  <c r="X9483" i="2"/>
  <c r="X9484" i="2"/>
  <c r="X9485" i="2"/>
  <c r="X9486" i="2"/>
  <c r="X9487" i="2"/>
  <c r="X9488" i="2"/>
  <c r="X9489" i="2"/>
  <c r="X9490" i="2"/>
  <c r="X9491" i="2"/>
  <c r="X9492" i="2"/>
  <c r="X9493" i="2"/>
  <c r="X9494" i="2"/>
  <c r="X9495" i="2"/>
  <c r="X9496" i="2"/>
  <c r="X9497" i="2"/>
  <c r="X9498" i="2"/>
  <c r="X9499" i="2"/>
  <c r="X9500" i="2"/>
  <c r="X9501" i="2"/>
  <c r="X9502" i="2"/>
  <c r="X9503" i="2"/>
  <c r="X9504" i="2"/>
  <c r="X9505" i="2"/>
  <c r="X9506" i="2"/>
  <c r="X9507" i="2"/>
  <c r="X9508" i="2"/>
  <c r="X9509" i="2"/>
  <c r="X9510" i="2"/>
  <c r="X9511" i="2"/>
  <c r="X9512" i="2"/>
  <c r="X9513" i="2"/>
  <c r="X9514" i="2"/>
  <c r="X9515" i="2"/>
  <c r="X9516" i="2"/>
  <c r="X9517" i="2"/>
  <c r="X9518" i="2"/>
  <c r="X9519" i="2"/>
  <c r="X9520" i="2"/>
  <c r="X9521" i="2"/>
  <c r="X9522" i="2"/>
  <c r="X9523" i="2"/>
  <c r="X9524" i="2"/>
  <c r="X9525" i="2"/>
  <c r="X9526" i="2"/>
  <c r="X9527" i="2"/>
  <c r="X9528" i="2"/>
  <c r="X9529" i="2"/>
  <c r="X9530" i="2"/>
  <c r="X9531" i="2"/>
  <c r="X9532" i="2"/>
  <c r="X9533" i="2"/>
  <c r="X9534" i="2"/>
  <c r="X9535" i="2"/>
  <c r="X9536" i="2"/>
  <c r="X9537" i="2"/>
  <c r="X9538" i="2"/>
  <c r="X9539" i="2"/>
  <c r="X9540" i="2"/>
  <c r="X9541" i="2"/>
  <c r="X9542" i="2"/>
  <c r="X9543" i="2"/>
  <c r="X9544" i="2"/>
  <c r="X9545" i="2"/>
  <c r="X9546" i="2"/>
  <c r="X9547" i="2"/>
  <c r="X9548" i="2"/>
  <c r="X9549" i="2"/>
  <c r="X9550" i="2"/>
  <c r="X9551" i="2"/>
  <c r="X9552" i="2"/>
  <c r="X9553" i="2"/>
  <c r="X9554" i="2"/>
  <c r="X9555" i="2"/>
  <c r="X9556" i="2"/>
  <c r="X9557" i="2"/>
  <c r="X9558" i="2"/>
  <c r="X9559" i="2"/>
  <c r="X9560" i="2"/>
  <c r="X9561" i="2"/>
  <c r="X9562" i="2"/>
  <c r="X9563" i="2"/>
  <c r="X9564" i="2"/>
  <c r="X9565" i="2"/>
  <c r="X9566" i="2"/>
  <c r="X9567" i="2"/>
  <c r="X9568" i="2"/>
  <c r="X9569" i="2"/>
  <c r="X9570" i="2"/>
  <c r="X9571" i="2"/>
  <c r="X9572" i="2"/>
  <c r="X9573" i="2"/>
  <c r="X9574" i="2"/>
  <c r="X9575" i="2"/>
  <c r="X9576" i="2"/>
  <c r="X9577" i="2"/>
  <c r="X9578" i="2"/>
  <c r="X9579" i="2"/>
  <c r="X9580" i="2"/>
  <c r="X9581" i="2"/>
  <c r="X9582" i="2"/>
  <c r="X9583" i="2"/>
  <c r="X9584" i="2"/>
  <c r="X9585" i="2"/>
  <c r="X9586" i="2"/>
  <c r="X9587" i="2"/>
  <c r="X9588" i="2"/>
  <c r="X9589" i="2"/>
  <c r="X9590" i="2"/>
  <c r="X9591" i="2"/>
  <c r="X9592" i="2"/>
  <c r="X9593" i="2"/>
  <c r="X9594" i="2"/>
  <c r="X9595" i="2"/>
  <c r="X9596" i="2"/>
  <c r="X9597" i="2"/>
  <c r="X9598" i="2"/>
  <c r="X9599" i="2"/>
  <c r="X9600" i="2"/>
  <c r="X9601" i="2"/>
  <c r="X9602" i="2"/>
  <c r="X9603" i="2"/>
  <c r="X9604" i="2"/>
  <c r="X9605" i="2"/>
  <c r="X9606" i="2"/>
  <c r="X9607" i="2"/>
  <c r="X9608" i="2"/>
  <c r="X9609" i="2"/>
  <c r="X9610" i="2"/>
  <c r="X9611" i="2"/>
  <c r="X9612" i="2"/>
  <c r="X9613" i="2"/>
  <c r="X9614" i="2"/>
  <c r="X9615" i="2"/>
  <c r="X9616" i="2"/>
  <c r="X9617" i="2"/>
  <c r="X9618" i="2"/>
  <c r="X9619" i="2"/>
  <c r="X9620" i="2"/>
  <c r="X9621" i="2"/>
  <c r="X9622" i="2"/>
  <c r="X9623" i="2"/>
  <c r="X9624" i="2"/>
  <c r="X9625" i="2"/>
  <c r="X9626" i="2"/>
  <c r="X9627" i="2"/>
  <c r="X9628" i="2"/>
  <c r="X9629" i="2"/>
  <c r="X9630" i="2"/>
  <c r="X9631" i="2"/>
  <c r="X9632" i="2"/>
  <c r="X9633" i="2"/>
  <c r="X9634" i="2"/>
  <c r="X9635" i="2"/>
  <c r="X9636" i="2"/>
  <c r="X9637" i="2"/>
  <c r="X9638" i="2"/>
  <c r="X9639" i="2"/>
  <c r="X9640" i="2"/>
  <c r="X9641" i="2"/>
  <c r="X9642" i="2"/>
  <c r="X9643" i="2"/>
  <c r="X9644" i="2"/>
  <c r="X9645" i="2"/>
  <c r="X9646" i="2"/>
  <c r="X9647" i="2"/>
  <c r="X9648" i="2"/>
  <c r="X9649" i="2"/>
  <c r="X9650" i="2"/>
  <c r="X9651" i="2"/>
  <c r="X9652" i="2"/>
  <c r="X9653" i="2"/>
  <c r="X9654" i="2"/>
  <c r="X9655" i="2"/>
  <c r="X9656" i="2"/>
  <c r="X9657" i="2"/>
  <c r="X9658" i="2"/>
  <c r="X9659" i="2"/>
  <c r="X9660" i="2"/>
  <c r="X9661" i="2"/>
  <c r="X9662" i="2"/>
  <c r="X9663" i="2"/>
  <c r="X9664" i="2"/>
  <c r="X9665" i="2"/>
  <c r="X9666" i="2"/>
  <c r="X9667" i="2"/>
  <c r="X9668" i="2"/>
  <c r="X9669" i="2"/>
  <c r="X9670" i="2"/>
  <c r="X9671" i="2"/>
  <c r="X9672" i="2"/>
  <c r="X9673" i="2"/>
  <c r="X9674" i="2"/>
  <c r="X9675" i="2"/>
  <c r="X9676" i="2"/>
  <c r="X9677" i="2"/>
  <c r="X9678" i="2"/>
  <c r="X9679" i="2"/>
  <c r="X9680" i="2"/>
  <c r="X9681" i="2"/>
  <c r="X9682" i="2"/>
  <c r="X9683" i="2"/>
  <c r="X9684" i="2"/>
  <c r="X9685" i="2"/>
  <c r="X9686" i="2"/>
  <c r="X9687" i="2"/>
  <c r="X9688" i="2"/>
  <c r="X9689" i="2"/>
  <c r="X9690" i="2"/>
  <c r="X9691" i="2"/>
  <c r="X9692" i="2"/>
  <c r="X9693" i="2"/>
  <c r="X9694" i="2"/>
  <c r="X9695" i="2"/>
  <c r="X9696" i="2"/>
  <c r="X9697" i="2"/>
  <c r="X9698" i="2"/>
  <c r="X9699" i="2"/>
  <c r="X9700" i="2"/>
  <c r="X9701" i="2"/>
  <c r="X9702" i="2"/>
  <c r="X9703" i="2"/>
  <c r="X9704" i="2"/>
  <c r="X9705" i="2"/>
  <c r="X9706" i="2"/>
  <c r="X9707" i="2"/>
  <c r="X9708" i="2"/>
  <c r="X9709" i="2"/>
  <c r="X9710" i="2"/>
  <c r="X9711" i="2"/>
  <c r="X9712" i="2"/>
  <c r="X9713" i="2"/>
  <c r="X9714" i="2"/>
  <c r="X9715" i="2"/>
  <c r="X9716" i="2"/>
  <c r="X9717" i="2"/>
  <c r="X9718" i="2"/>
  <c r="X9719" i="2"/>
  <c r="X9720" i="2"/>
  <c r="X9721" i="2"/>
  <c r="X9722" i="2"/>
  <c r="X9723" i="2"/>
  <c r="X9724" i="2"/>
  <c r="X9725" i="2"/>
  <c r="X9726" i="2"/>
  <c r="X9727" i="2"/>
  <c r="X9728" i="2"/>
  <c r="X9729" i="2"/>
  <c r="X9730" i="2"/>
  <c r="X9731" i="2"/>
  <c r="X9732" i="2"/>
  <c r="X9733" i="2"/>
  <c r="X9734" i="2"/>
  <c r="X9735" i="2"/>
  <c r="X9736" i="2"/>
  <c r="X9737" i="2"/>
  <c r="X9738" i="2"/>
  <c r="X9739" i="2"/>
  <c r="X9740" i="2"/>
  <c r="X9741" i="2"/>
  <c r="X9742" i="2"/>
  <c r="X9743" i="2"/>
  <c r="X9744" i="2"/>
  <c r="X9745" i="2"/>
  <c r="X9746" i="2"/>
  <c r="X9747" i="2"/>
  <c r="X9748" i="2"/>
  <c r="X9749" i="2"/>
  <c r="X9750" i="2"/>
  <c r="X9751" i="2"/>
  <c r="X9752" i="2"/>
  <c r="X9753" i="2"/>
  <c r="X9754" i="2"/>
  <c r="X9755" i="2"/>
  <c r="X9756" i="2"/>
  <c r="X9757" i="2"/>
  <c r="X9758" i="2"/>
  <c r="X9759" i="2"/>
  <c r="X9760" i="2"/>
  <c r="X9761" i="2"/>
  <c r="X9762" i="2"/>
  <c r="X9763" i="2"/>
  <c r="X9764" i="2"/>
  <c r="X9765" i="2"/>
  <c r="X9766" i="2"/>
  <c r="X9767" i="2"/>
  <c r="X9768" i="2"/>
  <c r="X9769" i="2"/>
  <c r="X9770" i="2"/>
  <c r="X9771" i="2"/>
  <c r="X9772" i="2"/>
  <c r="X9773" i="2"/>
  <c r="X9774" i="2"/>
  <c r="X9775" i="2"/>
  <c r="X9776" i="2"/>
  <c r="X9777" i="2"/>
  <c r="X9778" i="2"/>
  <c r="X9779" i="2"/>
  <c r="X9780" i="2"/>
  <c r="X9781" i="2"/>
  <c r="X9782" i="2"/>
  <c r="X9783" i="2"/>
  <c r="X9784" i="2"/>
  <c r="X9785" i="2"/>
  <c r="X9786" i="2"/>
  <c r="X9787" i="2"/>
  <c r="X9788" i="2"/>
  <c r="X9789" i="2"/>
  <c r="X9790" i="2"/>
  <c r="X9791" i="2"/>
  <c r="X9792" i="2"/>
  <c r="X9793" i="2"/>
  <c r="X9794" i="2"/>
  <c r="X9795" i="2"/>
  <c r="X9796" i="2"/>
  <c r="X9797" i="2"/>
  <c r="X9798" i="2"/>
  <c r="X9799" i="2"/>
  <c r="X9800" i="2"/>
  <c r="X9801" i="2"/>
  <c r="X9802" i="2"/>
  <c r="X9803" i="2"/>
  <c r="X9804" i="2"/>
  <c r="X9805" i="2"/>
  <c r="X9806" i="2"/>
  <c r="X9807" i="2"/>
  <c r="X9808" i="2"/>
  <c r="X9809" i="2"/>
  <c r="X9810" i="2"/>
  <c r="X9811" i="2"/>
  <c r="X9812" i="2"/>
  <c r="X9813" i="2"/>
  <c r="X9814" i="2"/>
  <c r="X9815" i="2"/>
  <c r="X9816" i="2"/>
  <c r="X9817" i="2"/>
  <c r="X9818" i="2"/>
  <c r="X9819" i="2"/>
  <c r="X9820" i="2"/>
  <c r="X9821" i="2"/>
  <c r="X9822" i="2"/>
  <c r="X9823" i="2"/>
  <c r="X9824" i="2"/>
  <c r="X9825" i="2"/>
  <c r="X9826" i="2"/>
  <c r="X9827" i="2"/>
  <c r="X9828" i="2"/>
  <c r="X9829" i="2"/>
  <c r="X9830" i="2"/>
  <c r="X9831" i="2"/>
  <c r="X9832" i="2"/>
  <c r="X9833" i="2"/>
  <c r="X9834" i="2"/>
  <c r="X9835" i="2"/>
  <c r="X9836" i="2"/>
  <c r="X9837" i="2"/>
  <c r="X9838" i="2"/>
  <c r="X9839" i="2"/>
  <c r="X9840" i="2"/>
  <c r="X9841" i="2"/>
  <c r="X9842" i="2"/>
  <c r="X9843" i="2"/>
  <c r="X9844" i="2"/>
  <c r="X9845" i="2"/>
  <c r="X9846" i="2"/>
  <c r="X9847" i="2"/>
  <c r="X9848" i="2"/>
  <c r="X9849" i="2"/>
  <c r="X9850" i="2"/>
  <c r="X9851" i="2"/>
  <c r="X9852" i="2"/>
  <c r="X9853" i="2"/>
  <c r="X9854" i="2"/>
  <c r="X9855" i="2"/>
  <c r="X9856" i="2"/>
  <c r="X9857" i="2"/>
  <c r="X9858" i="2"/>
  <c r="X9859" i="2"/>
  <c r="X9860" i="2"/>
  <c r="X9861" i="2"/>
  <c r="X9862" i="2"/>
  <c r="X9863" i="2"/>
  <c r="X9864" i="2"/>
  <c r="X9865" i="2"/>
  <c r="X9866" i="2"/>
  <c r="X9867" i="2"/>
  <c r="X9868" i="2"/>
  <c r="X9869" i="2"/>
  <c r="X9870" i="2"/>
  <c r="X9871" i="2"/>
  <c r="X9872" i="2"/>
  <c r="X9873" i="2"/>
  <c r="X9874" i="2"/>
  <c r="X9875" i="2"/>
  <c r="X9876" i="2"/>
  <c r="X9877" i="2"/>
  <c r="X9878" i="2"/>
  <c r="X9879" i="2"/>
  <c r="X9880" i="2"/>
  <c r="X9881" i="2"/>
  <c r="X9882" i="2"/>
  <c r="X9883" i="2"/>
  <c r="X9884" i="2"/>
  <c r="X9885" i="2"/>
  <c r="X9886" i="2"/>
  <c r="X9887" i="2"/>
  <c r="X9888" i="2"/>
  <c r="X9889" i="2"/>
  <c r="X9890" i="2"/>
  <c r="X9891" i="2"/>
  <c r="X9892" i="2"/>
  <c r="X9893" i="2"/>
  <c r="X9894" i="2"/>
  <c r="X9895" i="2"/>
  <c r="X9896" i="2"/>
  <c r="X9897" i="2"/>
  <c r="X9898" i="2"/>
  <c r="X9899" i="2"/>
  <c r="X9900" i="2"/>
  <c r="X9901" i="2"/>
  <c r="X9902" i="2"/>
  <c r="X9903" i="2"/>
  <c r="X9904" i="2"/>
  <c r="X9905" i="2"/>
  <c r="X9906" i="2"/>
  <c r="X9907" i="2"/>
  <c r="X9908" i="2"/>
  <c r="X9909" i="2"/>
  <c r="X9910" i="2"/>
  <c r="X9911" i="2"/>
  <c r="X9912" i="2"/>
  <c r="X9913" i="2"/>
  <c r="X9914" i="2"/>
  <c r="X9915" i="2"/>
  <c r="X9916" i="2"/>
  <c r="X9917" i="2"/>
  <c r="X9918" i="2"/>
  <c r="X9919" i="2"/>
  <c r="X9920" i="2"/>
  <c r="X9921" i="2"/>
  <c r="X9922" i="2"/>
  <c r="X9923" i="2"/>
  <c r="X9924" i="2"/>
  <c r="X9925" i="2"/>
  <c r="X9926" i="2"/>
  <c r="X9927" i="2"/>
  <c r="X9928" i="2"/>
  <c r="X9929" i="2"/>
  <c r="X9930" i="2"/>
  <c r="X9931" i="2"/>
  <c r="X9932" i="2"/>
  <c r="X9933" i="2"/>
  <c r="X9934" i="2"/>
  <c r="X9935" i="2"/>
  <c r="X9936" i="2"/>
  <c r="X9937" i="2"/>
  <c r="X9938" i="2"/>
  <c r="X9939" i="2"/>
  <c r="X9940" i="2"/>
  <c r="X9941" i="2"/>
  <c r="X9942" i="2"/>
  <c r="X9943" i="2"/>
  <c r="X9944" i="2"/>
  <c r="X9945" i="2"/>
  <c r="X9946" i="2"/>
  <c r="X9947" i="2"/>
  <c r="X9948" i="2"/>
  <c r="X9949" i="2"/>
  <c r="X9950" i="2"/>
  <c r="X9951" i="2"/>
  <c r="X9952" i="2"/>
  <c r="X9953" i="2"/>
  <c r="X9954" i="2"/>
  <c r="X9955" i="2"/>
  <c r="X9956" i="2"/>
  <c r="X9957" i="2"/>
  <c r="X9958" i="2"/>
  <c r="X9959" i="2"/>
  <c r="X9960" i="2"/>
  <c r="X9961" i="2"/>
  <c r="X9962" i="2"/>
  <c r="X9963" i="2"/>
  <c r="X9964" i="2"/>
  <c r="X9965" i="2"/>
  <c r="X9966" i="2"/>
  <c r="X9967" i="2"/>
  <c r="X9968" i="2"/>
  <c r="X9969" i="2"/>
  <c r="X9970" i="2"/>
  <c r="X9971" i="2"/>
  <c r="X9972" i="2"/>
  <c r="X9973" i="2"/>
  <c r="X9974" i="2"/>
  <c r="X9975" i="2"/>
  <c r="X9976" i="2"/>
  <c r="X9977" i="2"/>
  <c r="X9978" i="2"/>
  <c r="X9979" i="2"/>
  <c r="X9980" i="2"/>
  <c r="X9981" i="2"/>
  <c r="X9982" i="2"/>
  <c r="X9983" i="2"/>
  <c r="X9984" i="2"/>
  <c r="X9985" i="2"/>
  <c r="X9986" i="2"/>
  <c r="X9987" i="2"/>
  <c r="X9988" i="2"/>
  <c r="X9989" i="2"/>
  <c r="X9990" i="2"/>
  <c r="X9991" i="2"/>
  <c r="X9992" i="2"/>
  <c r="X9993" i="2"/>
  <c r="X9994" i="2"/>
  <c r="X9995" i="2"/>
  <c r="X9996" i="2"/>
  <c r="X9997" i="2"/>
  <c r="X9998" i="2"/>
  <c r="X9999" i="2"/>
  <c r="X10000" i="2"/>
  <c r="X10001" i="2"/>
  <c r="X10002" i="2"/>
  <c r="X10003" i="2"/>
  <c r="X10004" i="2"/>
  <c r="X10005" i="2"/>
  <c r="X10006" i="2"/>
  <c r="X10007" i="2"/>
  <c r="X10008" i="2"/>
  <c r="X10009" i="2"/>
  <c r="X10010" i="2"/>
  <c r="X10011" i="2"/>
  <c r="X10012" i="2"/>
  <c r="X10013" i="2"/>
  <c r="X10014" i="2"/>
  <c r="X10015" i="2"/>
  <c r="X10016" i="2"/>
  <c r="X10017" i="2"/>
  <c r="X10018" i="2"/>
  <c r="X10019" i="2"/>
  <c r="X10020" i="2"/>
  <c r="X10021" i="2"/>
  <c r="X10022" i="2"/>
  <c r="X10023" i="2"/>
  <c r="X10024" i="2"/>
  <c r="X10025" i="2"/>
  <c r="X10026" i="2"/>
  <c r="X10027" i="2"/>
  <c r="X10028" i="2"/>
  <c r="X10029" i="2"/>
  <c r="X10030" i="2"/>
  <c r="X10031" i="2"/>
  <c r="X10032" i="2"/>
  <c r="X10033" i="2"/>
  <c r="X10034" i="2"/>
  <c r="X10035" i="2"/>
  <c r="X10036" i="2"/>
  <c r="X10037" i="2"/>
  <c r="X10038" i="2"/>
  <c r="X10039" i="2"/>
  <c r="X10040" i="2"/>
  <c r="X10041" i="2"/>
  <c r="X10042" i="2"/>
  <c r="X10043" i="2"/>
  <c r="X10044" i="2"/>
  <c r="X10045" i="2"/>
  <c r="X10046" i="2"/>
  <c r="X10047" i="2"/>
  <c r="X10048" i="2"/>
  <c r="X10049" i="2"/>
  <c r="X10050" i="2"/>
  <c r="X10051" i="2"/>
  <c r="X10052" i="2"/>
  <c r="X10053" i="2"/>
  <c r="X10054" i="2"/>
  <c r="X10055" i="2"/>
  <c r="X10056" i="2"/>
  <c r="X10057" i="2"/>
  <c r="X10058" i="2"/>
  <c r="X10059" i="2"/>
  <c r="X10060" i="2"/>
  <c r="X10061" i="2"/>
  <c r="X10062" i="2"/>
  <c r="X10063" i="2"/>
  <c r="X10064" i="2"/>
  <c r="X10065" i="2"/>
  <c r="X10066" i="2"/>
  <c r="X10067" i="2"/>
  <c r="X10068" i="2"/>
  <c r="X10069" i="2"/>
  <c r="X10070" i="2"/>
  <c r="X10071" i="2"/>
  <c r="X10072" i="2"/>
  <c r="X10073" i="2"/>
  <c r="X10074" i="2"/>
  <c r="X10075" i="2"/>
  <c r="X10076" i="2"/>
  <c r="X10077" i="2"/>
  <c r="X10078" i="2"/>
  <c r="X10079" i="2"/>
  <c r="X10080" i="2"/>
  <c r="X10081" i="2"/>
  <c r="X10082" i="2"/>
  <c r="X10083" i="2"/>
  <c r="X10084" i="2"/>
  <c r="X10085" i="2"/>
  <c r="X10086" i="2"/>
  <c r="X10087" i="2"/>
  <c r="X10088" i="2"/>
  <c r="X10089" i="2"/>
  <c r="X10090" i="2"/>
  <c r="X10091" i="2"/>
  <c r="X10092" i="2"/>
  <c r="X10093" i="2"/>
  <c r="X10094" i="2"/>
  <c r="X10095" i="2"/>
  <c r="X10096" i="2"/>
  <c r="X10097" i="2"/>
  <c r="X10098" i="2"/>
  <c r="X10099" i="2"/>
  <c r="X10100" i="2"/>
  <c r="X10101" i="2"/>
  <c r="X10102" i="2"/>
  <c r="X10103" i="2"/>
  <c r="X10104" i="2"/>
  <c r="X10105" i="2"/>
  <c r="X10106" i="2"/>
  <c r="X10107" i="2"/>
  <c r="X10108" i="2"/>
  <c r="X10109" i="2"/>
  <c r="X10110" i="2"/>
  <c r="X10111" i="2"/>
  <c r="X10112" i="2"/>
  <c r="X10113" i="2"/>
  <c r="X10114" i="2"/>
  <c r="X10115" i="2"/>
  <c r="X10116" i="2"/>
  <c r="X10117" i="2"/>
  <c r="X10118" i="2"/>
  <c r="X10119" i="2"/>
  <c r="X10120" i="2"/>
  <c r="X10121" i="2"/>
  <c r="X10122" i="2"/>
  <c r="X10123" i="2"/>
  <c r="X10124" i="2"/>
  <c r="X10125" i="2"/>
  <c r="X10126" i="2"/>
  <c r="X10127" i="2"/>
  <c r="X10128" i="2"/>
  <c r="X10129" i="2"/>
  <c r="X10130" i="2"/>
  <c r="X10131" i="2"/>
  <c r="X10132" i="2"/>
  <c r="X10133" i="2"/>
  <c r="X10134" i="2"/>
  <c r="X10135" i="2"/>
  <c r="X10136" i="2"/>
  <c r="X10137" i="2"/>
  <c r="X10138" i="2"/>
  <c r="X10139" i="2"/>
  <c r="X10140" i="2"/>
  <c r="X10141" i="2"/>
  <c r="X10142" i="2"/>
  <c r="X10143" i="2"/>
  <c r="X10144" i="2"/>
  <c r="X10145" i="2"/>
  <c r="X10146" i="2"/>
  <c r="X10147" i="2"/>
  <c r="X10148" i="2"/>
  <c r="X10149" i="2"/>
  <c r="X10150" i="2"/>
  <c r="X10151" i="2"/>
  <c r="X10152" i="2"/>
  <c r="X10153" i="2"/>
  <c r="X10154" i="2"/>
  <c r="X10155" i="2"/>
  <c r="X10156" i="2"/>
  <c r="X10157" i="2"/>
  <c r="X10158" i="2"/>
  <c r="X10159" i="2"/>
  <c r="X10160" i="2"/>
  <c r="X10161" i="2"/>
  <c r="X10162" i="2"/>
  <c r="X10163" i="2"/>
  <c r="X10164" i="2"/>
  <c r="X10165" i="2"/>
  <c r="X10166" i="2"/>
  <c r="X10167" i="2"/>
  <c r="X10168" i="2"/>
  <c r="X10169" i="2"/>
  <c r="X10170" i="2"/>
  <c r="X10171" i="2"/>
  <c r="X10172" i="2"/>
  <c r="X10173" i="2"/>
  <c r="X10174" i="2"/>
  <c r="X10175" i="2"/>
  <c r="X10176" i="2"/>
  <c r="X10177" i="2"/>
  <c r="X10178" i="2"/>
  <c r="X10179" i="2"/>
  <c r="X10180" i="2"/>
  <c r="X10181" i="2"/>
  <c r="X10182" i="2"/>
  <c r="X10183" i="2"/>
  <c r="X10184" i="2"/>
  <c r="X10185" i="2"/>
  <c r="X10186" i="2"/>
  <c r="X10187" i="2"/>
  <c r="X10188" i="2"/>
  <c r="X10189" i="2"/>
  <c r="X10190" i="2"/>
  <c r="X10191" i="2"/>
  <c r="X10192" i="2"/>
  <c r="X10193" i="2"/>
  <c r="X10194" i="2"/>
  <c r="X10195" i="2"/>
  <c r="X10196" i="2"/>
  <c r="X10197" i="2"/>
  <c r="X10198" i="2"/>
  <c r="X10199" i="2"/>
  <c r="X10200" i="2"/>
  <c r="X10201" i="2"/>
  <c r="X10202" i="2"/>
  <c r="X10203" i="2"/>
  <c r="X10204" i="2"/>
  <c r="X10205" i="2"/>
  <c r="X10206" i="2"/>
  <c r="X10207" i="2"/>
  <c r="X10208" i="2"/>
  <c r="X10209" i="2"/>
  <c r="X10210" i="2"/>
  <c r="X10211" i="2"/>
  <c r="X10212" i="2"/>
  <c r="X10213" i="2"/>
  <c r="X10214" i="2"/>
  <c r="X10215" i="2"/>
  <c r="X10216" i="2"/>
  <c r="X10217" i="2"/>
  <c r="X10218" i="2"/>
  <c r="X10219" i="2"/>
  <c r="X10220" i="2"/>
  <c r="X10221" i="2"/>
  <c r="X10222" i="2"/>
  <c r="X10223" i="2"/>
  <c r="X10224" i="2"/>
  <c r="X10225" i="2"/>
  <c r="X10226" i="2"/>
  <c r="X10227" i="2"/>
  <c r="X10228" i="2"/>
  <c r="X10229" i="2"/>
  <c r="X10230" i="2"/>
  <c r="X10231" i="2"/>
  <c r="X10232" i="2"/>
  <c r="X10233" i="2"/>
  <c r="X10234" i="2"/>
  <c r="X10235" i="2"/>
  <c r="X10236" i="2"/>
  <c r="X10237" i="2"/>
  <c r="X10238" i="2"/>
  <c r="X10239" i="2"/>
  <c r="X10240" i="2"/>
  <c r="X10241" i="2"/>
  <c r="X10242" i="2"/>
  <c r="X10243" i="2"/>
  <c r="X10244" i="2"/>
  <c r="X10245" i="2"/>
  <c r="X10246" i="2"/>
  <c r="X10247" i="2"/>
  <c r="X10248" i="2"/>
  <c r="X10249" i="2"/>
  <c r="X10250" i="2"/>
  <c r="X10251" i="2"/>
  <c r="X10252" i="2"/>
  <c r="X10253" i="2"/>
  <c r="X10254" i="2"/>
  <c r="X10255" i="2"/>
  <c r="X10256" i="2"/>
  <c r="X10257" i="2"/>
  <c r="X10258" i="2"/>
  <c r="X10259" i="2"/>
  <c r="X10260" i="2"/>
  <c r="X10261" i="2"/>
  <c r="X10262" i="2"/>
  <c r="X10263" i="2"/>
  <c r="X10264" i="2"/>
  <c r="X10265" i="2"/>
  <c r="X10266" i="2"/>
  <c r="X10267" i="2"/>
  <c r="X10268" i="2"/>
  <c r="X10269" i="2"/>
  <c r="X10270" i="2"/>
  <c r="X10271" i="2"/>
  <c r="X10272" i="2"/>
  <c r="X10273" i="2"/>
  <c r="X10274" i="2"/>
  <c r="X10275" i="2"/>
  <c r="X10276" i="2"/>
  <c r="X10277" i="2"/>
  <c r="X10278" i="2"/>
  <c r="X10279" i="2"/>
  <c r="X10280" i="2"/>
  <c r="X10281" i="2"/>
  <c r="X10282" i="2"/>
  <c r="X10283" i="2"/>
  <c r="X10284" i="2"/>
  <c r="X10285" i="2"/>
  <c r="X10286" i="2"/>
  <c r="X10287" i="2"/>
  <c r="X10288" i="2"/>
  <c r="X10289" i="2"/>
  <c r="X10290" i="2"/>
  <c r="X10291" i="2"/>
  <c r="X10292" i="2"/>
  <c r="X10293" i="2"/>
  <c r="X10294" i="2"/>
  <c r="X10295" i="2"/>
  <c r="X10296" i="2"/>
  <c r="X10297" i="2"/>
  <c r="X10298" i="2"/>
  <c r="X10299" i="2"/>
  <c r="X10300" i="2"/>
  <c r="X10301" i="2"/>
  <c r="X10302" i="2"/>
  <c r="X10303" i="2"/>
  <c r="X10304" i="2"/>
  <c r="X10305" i="2"/>
  <c r="X10306" i="2"/>
  <c r="X10307" i="2"/>
  <c r="X10308" i="2"/>
  <c r="X10309" i="2"/>
  <c r="X10310" i="2"/>
  <c r="X10311" i="2"/>
  <c r="X10312" i="2"/>
  <c r="X10313" i="2"/>
  <c r="X10314" i="2"/>
  <c r="X10315" i="2"/>
  <c r="X10316" i="2"/>
  <c r="X10317" i="2"/>
  <c r="X10318" i="2"/>
  <c r="X10319" i="2"/>
  <c r="X10320" i="2"/>
  <c r="X10321" i="2"/>
  <c r="X10322" i="2"/>
  <c r="X10323" i="2"/>
  <c r="X10324" i="2"/>
  <c r="X10325" i="2"/>
  <c r="X10326" i="2"/>
  <c r="X10327" i="2"/>
  <c r="X10328" i="2"/>
  <c r="X10329" i="2"/>
  <c r="X10330" i="2"/>
  <c r="X10331" i="2"/>
  <c r="X10332" i="2"/>
  <c r="X10333" i="2"/>
  <c r="X10334" i="2"/>
  <c r="X10335" i="2"/>
  <c r="X10336" i="2"/>
  <c r="X10337" i="2"/>
  <c r="X10338" i="2"/>
  <c r="X10339" i="2"/>
  <c r="X10340" i="2"/>
  <c r="X10341" i="2"/>
  <c r="X10342" i="2"/>
  <c r="X10343" i="2"/>
  <c r="X10344" i="2"/>
  <c r="X10345" i="2"/>
  <c r="X10346" i="2"/>
  <c r="X10347" i="2"/>
  <c r="X10348" i="2"/>
  <c r="X10349" i="2"/>
  <c r="X10350" i="2"/>
  <c r="X10351" i="2"/>
  <c r="X10352" i="2"/>
  <c r="X10353" i="2"/>
  <c r="X10354" i="2"/>
  <c r="X10355" i="2"/>
  <c r="X10356" i="2"/>
  <c r="X10357" i="2"/>
  <c r="X10358" i="2"/>
  <c r="X10359" i="2"/>
  <c r="X10360" i="2"/>
  <c r="X10361" i="2"/>
  <c r="X10362" i="2"/>
  <c r="X10363" i="2"/>
  <c r="X10364" i="2"/>
  <c r="X10365" i="2"/>
  <c r="X10366" i="2"/>
  <c r="X10367" i="2"/>
  <c r="X10368" i="2"/>
  <c r="X10369" i="2"/>
  <c r="X10370" i="2"/>
  <c r="X10371" i="2"/>
  <c r="X10372" i="2"/>
  <c r="X10373" i="2"/>
  <c r="X10374" i="2"/>
  <c r="X10375" i="2"/>
  <c r="X10376" i="2"/>
  <c r="X10377" i="2"/>
  <c r="X10378" i="2"/>
  <c r="X10379" i="2"/>
  <c r="X10380" i="2"/>
  <c r="X10381" i="2"/>
  <c r="X10382" i="2"/>
  <c r="X10383" i="2"/>
  <c r="X10384" i="2"/>
  <c r="X10385" i="2"/>
  <c r="X10386" i="2"/>
  <c r="X10387" i="2"/>
  <c r="X10388" i="2"/>
  <c r="X10389" i="2"/>
  <c r="X10390" i="2"/>
  <c r="X10391" i="2"/>
  <c r="X10392" i="2"/>
  <c r="X10393" i="2"/>
  <c r="X10394" i="2"/>
  <c r="X10395" i="2"/>
  <c r="X10396" i="2"/>
  <c r="X10397" i="2"/>
  <c r="X10398" i="2"/>
  <c r="X10399" i="2"/>
  <c r="X10400" i="2"/>
  <c r="X10401" i="2"/>
  <c r="X10402" i="2"/>
  <c r="X10403" i="2"/>
  <c r="X10404" i="2"/>
  <c r="X10405" i="2"/>
  <c r="X10406" i="2"/>
  <c r="X10407" i="2"/>
  <c r="X10408" i="2"/>
  <c r="X10409" i="2"/>
  <c r="X10410" i="2"/>
  <c r="X10411" i="2"/>
  <c r="X10412" i="2"/>
  <c r="X10413" i="2"/>
  <c r="X10414" i="2"/>
  <c r="X10415" i="2"/>
  <c r="X10416" i="2"/>
  <c r="X10417" i="2"/>
  <c r="X10418" i="2"/>
  <c r="X10419" i="2"/>
  <c r="X10420" i="2"/>
  <c r="X10421" i="2"/>
  <c r="X10422" i="2"/>
  <c r="X10423" i="2"/>
  <c r="X10424" i="2"/>
  <c r="X10425" i="2"/>
  <c r="X10426" i="2"/>
  <c r="X10427" i="2"/>
  <c r="X10428" i="2"/>
  <c r="X10429" i="2"/>
  <c r="X10430" i="2"/>
  <c r="X10431" i="2"/>
  <c r="X10432" i="2"/>
  <c r="X10433" i="2"/>
  <c r="X10434" i="2"/>
  <c r="X10435" i="2"/>
  <c r="X10436" i="2"/>
  <c r="X10437" i="2"/>
  <c r="X10438" i="2"/>
  <c r="X10439" i="2"/>
  <c r="X10440" i="2"/>
  <c r="X10441" i="2"/>
  <c r="X10442" i="2"/>
  <c r="X10443" i="2"/>
  <c r="X10444" i="2"/>
  <c r="X10445" i="2"/>
  <c r="X10446" i="2"/>
  <c r="X10447" i="2"/>
  <c r="X10448" i="2"/>
  <c r="X10449" i="2"/>
  <c r="X10450" i="2"/>
  <c r="X10451" i="2"/>
  <c r="X10452" i="2"/>
  <c r="X10453" i="2"/>
  <c r="X10454" i="2"/>
  <c r="X10455" i="2"/>
  <c r="X10456" i="2"/>
  <c r="X10457" i="2"/>
  <c r="X10458" i="2"/>
  <c r="X10459" i="2"/>
  <c r="X10460" i="2"/>
  <c r="X10461" i="2"/>
  <c r="X10462" i="2"/>
  <c r="X10463" i="2"/>
  <c r="X10464" i="2"/>
  <c r="X10465" i="2"/>
  <c r="X10466" i="2"/>
  <c r="X10467" i="2"/>
  <c r="X10468" i="2"/>
  <c r="X10469" i="2"/>
  <c r="X10470" i="2"/>
  <c r="X10471" i="2"/>
  <c r="X10472" i="2"/>
  <c r="X10473" i="2"/>
  <c r="X10474" i="2"/>
  <c r="X10475" i="2"/>
  <c r="X10476" i="2"/>
  <c r="X10477" i="2"/>
  <c r="X10478" i="2"/>
  <c r="X10479" i="2"/>
  <c r="X10480" i="2"/>
  <c r="X10481" i="2"/>
  <c r="X10482" i="2"/>
  <c r="X10483" i="2"/>
  <c r="X10484" i="2"/>
  <c r="X10485" i="2"/>
  <c r="X10486" i="2"/>
  <c r="X10487" i="2"/>
  <c r="X10488" i="2"/>
  <c r="X10489" i="2"/>
  <c r="X10490" i="2"/>
  <c r="X10491" i="2"/>
  <c r="X10492" i="2"/>
  <c r="X10493" i="2"/>
  <c r="X10494" i="2"/>
  <c r="X10495" i="2"/>
  <c r="X10496" i="2"/>
  <c r="X10497" i="2"/>
  <c r="X10498" i="2"/>
  <c r="X10499" i="2"/>
  <c r="X10500" i="2"/>
  <c r="X10501" i="2"/>
  <c r="X10502" i="2"/>
  <c r="X10503" i="2"/>
  <c r="X10504" i="2"/>
  <c r="X10505" i="2"/>
  <c r="X10506" i="2"/>
  <c r="X10507" i="2"/>
  <c r="X10508" i="2"/>
  <c r="X10509" i="2"/>
  <c r="X10510" i="2"/>
  <c r="X10511" i="2"/>
  <c r="X10512" i="2"/>
  <c r="X10513" i="2"/>
  <c r="X10514" i="2"/>
  <c r="X10515" i="2"/>
  <c r="X10516" i="2"/>
  <c r="X10517" i="2"/>
  <c r="X10518" i="2"/>
  <c r="X10519" i="2"/>
  <c r="X10520" i="2"/>
  <c r="X10521" i="2"/>
  <c r="X10522" i="2"/>
  <c r="X10523" i="2"/>
  <c r="X10524" i="2"/>
  <c r="X10525" i="2"/>
  <c r="X10526" i="2"/>
  <c r="X10527" i="2"/>
  <c r="X10528" i="2"/>
  <c r="X10529" i="2"/>
  <c r="X10530" i="2"/>
  <c r="X10531" i="2"/>
  <c r="X10532" i="2"/>
  <c r="X10533" i="2"/>
  <c r="X10534" i="2"/>
  <c r="X10535" i="2"/>
  <c r="X10536" i="2"/>
  <c r="X10537" i="2"/>
  <c r="X10538" i="2"/>
  <c r="X10539" i="2"/>
  <c r="X10540" i="2"/>
  <c r="X10541" i="2"/>
  <c r="X10542" i="2"/>
  <c r="X10543" i="2"/>
  <c r="X10544" i="2"/>
  <c r="X10545" i="2"/>
  <c r="X10546" i="2"/>
  <c r="X10547" i="2"/>
  <c r="X10548" i="2"/>
  <c r="X10549" i="2"/>
  <c r="X10550" i="2"/>
  <c r="X10551" i="2"/>
  <c r="X10552" i="2"/>
  <c r="X10553" i="2"/>
  <c r="X10554" i="2"/>
  <c r="X10555" i="2"/>
  <c r="X10556" i="2"/>
  <c r="X10557" i="2"/>
  <c r="X10558" i="2"/>
  <c r="X10559" i="2"/>
  <c r="X10560" i="2"/>
  <c r="X10561" i="2"/>
  <c r="X10562" i="2"/>
  <c r="X10563" i="2"/>
  <c r="X10564" i="2"/>
  <c r="X10565" i="2"/>
  <c r="X10566" i="2"/>
  <c r="X10567" i="2"/>
  <c r="X10568" i="2"/>
  <c r="X10569" i="2"/>
  <c r="X10570" i="2"/>
  <c r="X10571" i="2"/>
  <c r="X10572" i="2"/>
  <c r="X10573" i="2"/>
  <c r="X10574" i="2"/>
  <c r="X10575" i="2"/>
  <c r="X10576" i="2"/>
  <c r="X10577" i="2"/>
  <c r="X10578" i="2"/>
  <c r="X10579" i="2"/>
  <c r="X10580" i="2"/>
  <c r="X10581" i="2"/>
  <c r="X10582" i="2"/>
  <c r="X10583" i="2"/>
  <c r="X10584" i="2"/>
  <c r="X10585" i="2"/>
  <c r="X10586" i="2"/>
  <c r="X10587" i="2"/>
  <c r="X10588" i="2"/>
  <c r="X10589" i="2"/>
  <c r="X10590" i="2"/>
  <c r="X10591" i="2"/>
  <c r="X10592" i="2"/>
  <c r="X10593" i="2"/>
  <c r="X10594" i="2"/>
  <c r="X10595" i="2"/>
  <c r="X10596" i="2"/>
  <c r="X10597" i="2"/>
  <c r="X10598" i="2"/>
  <c r="X10599" i="2"/>
  <c r="X10600" i="2"/>
  <c r="X10601" i="2"/>
  <c r="X10602" i="2"/>
  <c r="X10603" i="2"/>
  <c r="X10604" i="2"/>
  <c r="X10605" i="2"/>
  <c r="X10606" i="2"/>
  <c r="X10607" i="2"/>
  <c r="X10608" i="2"/>
  <c r="X10609" i="2"/>
  <c r="X10610" i="2"/>
  <c r="X10611" i="2"/>
  <c r="X10612" i="2"/>
  <c r="X10613" i="2"/>
  <c r="X10614" i="2"/>
  <c r="X10615" i="2"/>
  <c r="X10616" i="2"/>
  <c r="X10617" i="2"/>
  <c r="X10618" i="2"/>
  <c r="X10619" i="2"/>
  <c r="X10620" i="2"/>
  <c r="X10621" i="2"/>
  <c r="X10622" i="2"/>
  <c r="X10623" i="2"/>
  <c r="X10624" i="2"/>
  <c r="X10625" i="2"/>
  <c r="X10626" i="2"/>
  <c r="X10627" i="2"/>
  <c r="X10628" i="2"/>
  <c r="X10629" i="2"/>
  <c r="X10630" i="2"/>
  <c r="X10631" i="2"/>
  <c r="X10632" i="2"/>
  <c r="X10633" i="2"/>
  <c r="X10634" i="2"/>
  <c r="X10635" i="2"/>
  <c r="X10636" i="2"/>
  <c r="X10637" i="2"/>
  <c r="X10638" i="2"/>
  <c r="X10639" i="2"/>
  <c r="X10640" i="2"/>
  <c r="X10641" i="2"/>
  <c r="X10642" i="2"/>
  <c r="X10643" i="2"/>
  <c r="X10644" i="2"/>
  <c r="X10645" i="2"/>
  <c r="X10646" i="2"/>
  <c r="X10647" i="2"/>
  <c r="X10648" i="2"/>
  <c r="X10649" i="2"/>
  <c r="X10650" i="2"/>
  <c r="X10651" i="2"/>
  <c r="X10652" i="2"/>
  <c r="X10653" i="2"/>
  <c r="X10654" i="2"/>
  <c r="X10655" i="2"/>
  <c r="X10656" i="2"/>
  <c r="X10657" i="2"/>
  <c r="X10658" i="2"/>
  <c r="X10659" i="2"/>
  <c r="X10660" i="2"/>
  <c r="X10661" i="2"/>
  <c r="X10662" i="2"/>
  <c r="X10663" i="2"/>
  <c r="X10664" i="2"/>
  <c r="X10665" i="2"/>
  <c r="X10666" i="2"/>
  <c r="X10667" i="2"/>
  <c r="X10668" i="2"/>
  <c r="X10669" i="2"/>
  <c r="X10670" i="2"/>
  <c r="X10671" i="2"/>
  <c r="X10672" i="2"/>
  <c r="X10673" i="2"/>
  <c r="X10674" i="2"/>
  <c r="X10675" i="2"/>
  <c r="X10676" i="2"/>
  <c r="X10677" i="2"/>
  <c r="X10678" i="2"/>
  <c r="X10679" i="2"/>
  <c r="X10680" i="2"/>
  <c r="X10681" i="2"/>
  <c r="X10682" i="2"/>
  <c r="X10683" i="2"/>
  <c r="X10684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1032" i="2"/>
  <c r="AE1033" i="2"/>
  <c r="AE1034" i="2"/>
  <c r="AE1035" i="2"/>
  <c r="AE1036" i="2"/>
  <c r="AE1037" i="2"/>
  <c r="AE1038" i="2"/>
  <c r="AE1039" i="2"/>
  <c r="AE1040" i="2"/>
  <c r="AE1041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79" i="2"/>
  <c r="AE1180" i="2"/>
  <c r="AE1181" i="2"/>
  <c r="AE1182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231" i="2"/>
  <c r="AE1232" i="2"/>
  <c r="AE1233" i="2"/>
  <c r="AE1234" i="2"/>
  <c r="AE1235" i="2"/>
  <c r="AE1236" i="2"/>
  <c r="AE1237" i="2"/>
  <c r="AE1238" i="2"/>
  <c r="AE1239" i="2"/>
  <c r="AE1240" i="2"/>
  <c r="AE1241" i="2"/>
  <c r="AE1242" i="2"/>
  <c r="AE1243" i="2"/>
  <c r="AE1244" i="2"/>
  <c r="AE1245" i="2"/>
  <c r="AE1246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319" i="2"/>
  <c r="AE1320" i="2"/>
  <c r="AE1321" i="2"/>
  <c r="AE1322" i="2"/>
  <c r="AE1323" i="2"/>
  <c r="AE1324" i="2"/>
  <c r="AE1325" i="2"/>
  <c r="AE1326" i="2"/>
  <c r="AE1327" i="2"/>
  <c r="AE1328" i="2"/>
  <c r="AE1329" i="2"/>
  <c r="AE1330" i="2"/>
  <c r="AE1331" i="2"/>
  <c r="AE1332" i="2"/>
  <c r="AE1333" i="2"/>
  <c r="AE1334" i="2"/>
  <c r="AE1335" i="2"/>
  <c r="AE1336" i="2"/>
  <c r="AE13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626" i="2"/>
  <c r="AE1627" i="2"/>
  <c r="AE1628" i="2"/>
  <c r="AE1629" i="2"/>
  <c r="AE1630" i="2"/>
  <c r="AE1631" i="2"/>
  <c r="AE1632" i="2"/>
  <c r="AE1633" i="2"/>
  <c r="AE1634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652" i="2"/>
  <c r="AE1653" i="2"/>
  <c r="AE1654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66" i="2"/>
  <c r="AE1667" i="2"/>
  <c r="AE1668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713" i="2"/>
  <c r="AE1714" i="2"/>
  <c r="AE1715" i="2"/>
  <c r="AE1716" i="2"/>
  <c r="AE1717" i="2"/>
  <c r="AE1718" i="2"/>
  <c r="AE1719" i="2"/>
  <c r="AE1720" i="2"/>
  <c r="AE1721" i="2"/>
  <c r="AE1722" i="2"/>
  <c r="AE1723" i="2"/>
  <c r="AE1724" i="2"/>
  <c r="AE1725" i="2"/>
  <c r="AE1726" i="2"/>
  <c r="AE1727" i="2"/>
  <c r="AE1728" i="2"/>
  <c r="AE1729" i="2"/>
  <c r="AE1730" i="2"/>
  <c r="AE1731" i="2"/>
  <c r="AE1732" i="2"/>
  <c r="AE1733" i="2"/>
  <c r="AE1734" i="2"/>
  <c r="AE1735" i="2"/>
  <c r="AE1736" i="2"/>
  <c r="AE1737" i="2"/>
  <c r="AE1738" i="2"/>
  <c r="AE1739" i="2"/>
  <c r="AE1740" i="2"/>
  <c r="AE1741" i="2"/>
  <c r="AE1742" i="2"/>
  <c r="AE1743" i="2"/>
  <c r="AE1744" i="2"/>
  <c r="AE1745" i="2"/>
  <c r="AE1746" i="2"/>
  <c r="AE1747" i="2"/>
  <c r="AE1748" i="2"/>
  <c r="AE1749" i="2"/>
  <c r="AE1750" i="2"/>
  <c r="AE1751" i="2"/>
  <c r="AE1752" i="2"/>
  <c r="AE1753" i="2"/>
  <c r="AE1754" i="2"/>
  <c r="AE1755" i="2"/>
  <c r="AE1756" i="2"/>
  <c r="AE1757" i="2"/>
  <c r="AE1758" i="2"/>
  <c r="AE1759" i="2"/>
  <c r="AE1760" i="2"/>
  <c r="AE1761" i="2"/>
  <c r="AE1762" i="2"/>
  <c r="AE1763" i="2"/>
  <c r="AE1764" i="2"/>
  <c r="AE1765" i="2"/>
  <c r="AE1766" i="2"/>
  <c r="AE1767" i="2"/>
  <c r="AE1768" i="2"/>
  <c r="AE1769" i="2"/>
  <c r="AE1770" i="2"/>
  <c r="AE1771" i="2"/>
  <c r="AE1772" i="2"/>
  <c r="AE1773" i="2"/>
  <c r="AE1774" i="2"/>
  <c r="AE1775" i="2"/>
  <c r="AE1776" i="2"/>
  <c r="AE1777" i="2"/>
  <c r="AE1778" i="2"/>
  <c r="AE1779" i="2"/>
  <c r="AE1780" i="2"/>
  <c r="AE1781" i="2"/>
  <c r="AE1782" i="2"/>
  <c r="AE1783" i="2"/>
  <c r="AE1784" i="2"/>
  <c r="AE1785" i="2"/>
  <c r="AE1786" i="2"/>
  <c r="AE1787" i="2"/>
  <c r="AE1788" i="2"/>
  <c r="AE1789" i="2"/>
  <c r="AE1790" i="2"/>
  <c r="AE1791" i="2"/>
  <c r="AE1792" i="2"/>
  <c r="AE1793" i="2"/>
  <c r="AE1794" i="2"/>
  <c r="AE1795" i="2"/>
  <c r="AE1796" i="2"/>
  <c r="AE1797" i="2"/>
  <c r="AE1798" i="2"/>
  <c r="AE1799" i="2"/>
  <c r="AE1800" i="2"/>
  <c r="AE1801" i="2"/>
  <c r="AE1802" i="2"/>
  <c r="AE1803" i="2"/>
  <c r="AE1804" i="2"/>
  <c r="AE1805" i="2"/>
  <c r="AE1806" i="2"/>
  <c r="AE1807" i="2"/>
  <c r="AE1808" i="2"/>
  <c r="AE1809" i="2"/>
  <c r="AE1810" i="2"/>
  <c r="AE1811" i="2"/>
  <c r="AE1812" i="2"/>
  <c r="AE1813" i="2"/>
  <c r="AE1814" i="2"/>
  <c r="AE1815" i="2"/>
  <c r="AE1816" i="2"/>
  <c r="AE1817" i="2"/>
  <c r="AE1818" i="2"/>
  <c r="AE1819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32" i="2"/>
  <c r="AE1833" i="2"/>
  <c r="AE1834" i="2"/>
  <c r="AE1835" i="2"/>
  <c r="AE1836" i="2"/>
  <c r="AE1837" i="2"/>
  <c r="AE1838" i="2"/>
  <c r="AE1839" i="2"/>
  <c r="AE1840" i="2"/>
  <c r="AE1841" i="2"/>
  <c r="AE1842" i="2"/>
  <c r="AE1843" i="2"/>
  <c r="AE1844" i="2"/>
  <c r="AE1845" i="2"/>
  <c r="AE1846" i="2"/>
  <c r="AE1847" i="2"/>
  <c r="AE1848" i="2"/>
  <c r="AE1849" i="2"/>
  <c r="AE1850" i="2"/>
  <c r="AE1851" i="2"/>
  <c r="AE1852" i="2"/>
  <c r="AE1853" i="2"/>
  <c r="AE1854" i="2"/>
  <c r="AE1855" i="2"/>
  <c r="AE1856" i="2"/>
  <c r="AE1857" i="2"/>
  <c r="AE1858" i="2"/>
  <c r="AE1859" i="2"/>
  <c r="AE1860" i="2"/>
  <c r="AE1861" i="2"/>
  <c r="AE1862" i="2"/>
  <c r="AE1863" i="2"/>
  <c r="AE1864" i="2"/>
  <c r="AE1865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77" i="2"/>
  <c r="AE1878" i="2"/>
  <c r="AE1879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93" i="2"/>
  <c r="AE1894" i="2"/>
  <c r="AE1895" i="2"/>
  <c r="AE1896" i="2"/>
  <c r="AE1897" i="2"/>
  <c r="AE1898" i="2"/>
  <c r="AE1899" i="2"/>
  <c r="AE1900" i="2"/>
  <c r="AE1901" i="2"/>
  <c r="AE1902" i="2"/>
  <c r="AE1903" i="2"/>
  <c r="AE1904" i="2"/>
  <c r="AE1905" i="2"/>
  <c r="AE1906" i="2"/>
  <c r="AE1907" i="2"/>
  <c r="AE1908" i="2"/>
  <c r="AE1909" i="2"/>
  <c r="AE1910" i="2"/>
  <c r="AE1911" i="2"/>
  <c r="AE1912" i="2"/>
  <c r="AE1913" i="2"/>
  <c r="AE1914" i="2"/>
  <c r="AE1915" i="2"/>
  <c r="AE1916" i="2"/>
  <c r="AE1917" i="2"/>
  <c r="AE1918" i="2"/>
  <c r="AE1919" i="2"/>
  <c r="AE1920" i="2"/>
  <c r="AE1921" i="2"/>
  <c r="AE1922" i="2"/>
  <c r="AE1923" i="2"/>
  <c r="AE1924" i="2"/>
  <c r="AE1925" i="2"/>
  <c r="AE1926" i="2"/>
  <c r="AE1927" i="2"/>
  <c r="AE1928" i="2"/>
  <c r="AE1929" i="2"/>
  <c r="AE1930" i="2"/>
  <c r="AE1931" i="2"/>
  <c r="AE1932" i="2"/>
  <c r="AE1933" i="2"/>
  <c r="AE1934" i="2"/>
  <c r="AE1935" i="2"/>
  <c r="AE1936" i="2"/>
  <c r="AE1937" i="2"/>
  <c r="AE1938" i="2"/>
  <c r="AE1939" i="2"/>
  <c r="AE1940" i="2"/>
  <c r="AE1941" i="2"/>
  <c r="AE1942" i="2"/>
  <c r="AE1943" i="2"/>
  <c r="AE1944" i="2"/>
  <c r="AE1945" i="2"/>
  <c r="AE1946" i="2"/>
  <c r="AE1947" i="2"/>
  <c r="AE1948" i="2"/>
  <c r="AE1949" i="2"/>
  <c r="AE1950" i="2"/>
  <c r="AE1951" i="2"/>
  <c r="AE1952" i="2"/>
  <c r="AE1953" i="2"/>
  <c r="AE1954" i="2"/>
  <c r="AE1955" i="2"/>
  <c r="AE1956" i="2"/>
  <c r="AE1957" i="2"/>
  <c r="AE1958" i="2"/>
  <c r="AE1959" i="2"/>
  <c r="AE1960" i="2"/>
  <c r="AE1961" i="2"/>
  <c r="AE1962" i="2"/>
  <c r="AE1963" i="2"/>
  <c r="AE1964" i="2"/>
  <c r="AE1965" i="2"/>
  <c r="AE1966" i="2"/>
  <c r="AE1967" i="2"/>
  <c r="AE1968" i="2"/>
  <c r="AE1969" i="2"/>
  <c r="AE1970" i="2"/>
  <c r="AE1971" i="2"/>
  <c r="AE1972" i="2"/>
  <c r="AE1973" i="2"/>
  <c r="AE1974" i="2"/>
  <c r="AE1975" i="2"/>
  <c r="AE1976" i="2"/>
  <c r="AE1977" i="2"/>
  <c r="AE1978" i="2"/>
  <c r="AE1979" i="2"/>
  <c r="AE1980" i="2"/>
  <c r="AE1981" i="2"/>
  <c r="AE1982" i="2"/>
  <c r="AE1983" i="2"/>
  <c r="AE1984" i="2"/>
  <c r="AE1985" i="2"/>
  <c r="AE1986" i="2"/>
  <c r="AE1987" i="2"/>
  <c r="AE1988" i="2"/>
  <c r="AE1989" i="2"/>
  <c r="AE1990" i="2"/>
  <c r="AE1991" i="2"/>
  <c r="AE1992" i="2"/>
  <c r="AE1993" i="2"/>
  <c r="AE1994" i="2"/>
  <c r="AE1995" i="2"/>
  <c r="AE1996" i="2"/>
  <c r="AE1997" i="2"/>
  <c r="AE1998" i="2"/>
  <c r="AE1999" i="2"/>
  <c r="AE2000" i="2"/>
  <c r="AE2001" i="2"/>
  <c r="AE2002" i="2"/>
  <c r="AE2003" i="2"/>
  <c r="AE2004" i="2"/>
  <c r="AE2005" i="2"/>
  <c r="AE2006" i="2"/>
  <c r="AE2007" i="2"/>
  <c r="AE2008" i="2"/>
  <c r="AE2009" i="2"/>
  <c r="AE2010" i="2"/>
  <c r="AE2011" i="2"/>
  <c r="AE2012" i="2"/>
  <c r="AE2013" i="2"/>
  <c r="AE2014" i="2"/>
  <c r="AE2015" i="2"/>
  <c r="AE2016" i="2"/>
  <c r="AE2017" i="2"/>
  <c r="AE2018" i="2"/>
  <c r="AE2019" i="2"/>
  <c r="AE2020" i="2"/>
  <c r="AE2021" i="2"/>
  <c r="AE2022" i="2"/>
  <c r="AE2023" i="2"/>
  <c r="AE2024" i="2"/>
  <c r="AE2025" i="2"/>
  <c r="AE2026" i="2"/>
  <c r="AE2027" i="2"/>
  <c r="AE2028" i="2"/>
  <c r="AE2029" i="2"/>
  <c r="AE2030" i="2"/>
  <c r="AE2031" i="2"/>
  <c r="AE2032" i="2"/>
  <c r="AE2033" i="2"/>
  <c r="AE2034" i="2"/>
  <c r="AE2035" i="2"/>
  <c r="AE2036" i="2"/>
  <c r="AE2037" i="2"/>
  <c r="AE2038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52" i="2"/>
  <c r="AE2053" i="2"/>
  <c r="AE2054" i="2"/>
  <c r="AE2055" i="2"/>
  <c r="AE2056" i="2"/>
  <c r="AE2057" i="2"/>
  <c r="AE2058" i="2"/>
  <c r="AE2059" i="2"/>
  <c r="AE2060" i="2"/>
  <c r="AE2061" i="2"/>
  <c r="AE2062" i="2"/>
  <c r="AE2063" i="2"/>
  <c r="AE2064" i="2"/>
  <c r="AE2065" i="2"/>
  <c r="AE2066" i="2"/>
  <c r="AE2067" i="2"/>
  <c r="AE2068" i="2"/>
  <c r="AE2069" i="2"/>
  <c r="AE2070" i="2"/>
  <c r="AE2071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85" i="2"/>
  <c r="AE2086" i="2"/>
  <c r="AE2087" i="2"/>
  <c r="AE2088" i="2"/>
  <c r="AE2089" i="2"/>
  <c r="AE2090" i="2"/>
  <c r="AE2091" i="2"/>
  <c r="AE2092" i="2"/>
  <c r="AE2093" i="2"/>
  <c r="AE2094" i="2"/>
  <c r="AE2095" i="2"/>
  <c r="AE2096" i="2"/>
  <c r="AE2097" i="2"/>
  <c r="AE2098" i="2"/>
  <c r="AE2099" i="2"/>
  <c r="AE2100" i="2"/>
  <c r="AE2101" i="2"/>
  <c r="AE2102" i="2"/>
  <c r="AE2103" i="2"/>
  <c r="AE2104" i="2"/>
  <c r="AE2105" i="2"/>
  <c r="AE2106" i="2"/>
  <c r="AE2107" i="2"/>
  <c r="AE2108" i="2"/>
  <c r="AE2109" i="2"/>
  <c r="AE2110" i="2"/>
  <c r="AE2111" i="2"/>
  <c r="AE2112" i="2"/>
  <c r="AE2113" i="2"/>
  <c r="AE2114" i="2"/>
  <c r="AE2115" i="2"/>
  <c r="AE2116" i="2"/>
  <c r="AE2117" i="2"/>
  <c r="AE2118" i="2"/>
  <c r="AE2119" i="2"/>
  <c r="AE2120" i="2"/>
  <c r="AE2121" i="2"/>
  <c r="AE2122" i="2"/>
  <c r="AE2123" i="2"/>
  <c r="AE2124" i="2"/>
  <c r="AE2125" i="2"/>
  <c r="AE2126" i="2"/>
  <c r="AE2127" i="2"/>
  <c r="AE2128" i="2"/>
  <c r="AE2129" i="2"/>
  <c r="AE2130" i="2"/>
  <c r="AE2131" i="2"/>
  <c r="AE2132" i="2"/>
  <c r="AE2133" i="2"/>
  <c r="AE2134" i="2"/>
  <c r="AE2135" i="2"/>
  <c r="AE2136" i="2"/>
  <c r="AE2137" i="2"/>
  <c r="AE2138" i="2"/>
  <c r="AE2139" i="2"/>
  <c r="AE2140" i="2"/>
  <c r="AE2141" i="2"/>
  <c r="AE2142" i="2"/>
  <c r="AE2143" i="2"/>
  <c r="AE2144" i="2"/>
  <c r="AE2145" i="2"/>
  <c r="AE2146" i="2"/>
  <c r="AE2147" i="2"/>
  <c r="AE2148" i="2"/>
  <c r="AE2149" i="2"/>
  <c r="AE2150" i="2"/>
  <c r="AE2151" i="2"/>
  <c r="AE2152" i="2"/>
  <c r="AE2153" i="2"/>
  <c r="AE2154" i="2"/>
  <c r="AE2155" i="2"/>
  <c r="AE2156" i="2"/>
  <c r="AE2157" i="2"/>
  <c r="AE2158" i="2"/>
  <c r="AE2159" i="2"/>
  <c r="AE2160" i="2"/>
  <c r="AE2161" i="2"/>
  <c r="AE2162" i="2"/>
  <c r="AE2163" i="2"/>
  <c r="AE2164" i="2"/>
  <c r="AE2165" i="2"/>
  <c r="AE2166" i="2"/>
  <c r="AE2167" i="2"/>
  <c r="AE2168" i="2"/>
  <c r="AE2169" i="2"/>
  <c r="AE2170" i="2"/>
  <c r="AE2171" i="2"/>
  <c r="AE2172" i="2"/>
  <c r="AE2173" i="2"/>
  <c r="AE2174" i="2"/>
  <c r="AE2175" i="2"/>
  <c r="AE2176" i="2"/>
  <c r="AE2177" i="2"/>
  <c r="AE2178" i="2"/>
  <c r="AE2179" i="2"/>
  <c r="AE2180" i="2"/>
  <c r="AE2181" i="2"/>
  <c r="AE2182" i="2"/>
  <c r="AE2183" i="2"/>
  <c r="AE2184" i="2"/>
  <c r="AE2185" i="2"/>
  <c r="AE2186" i="2"/>
  <c r="AE2187" i="2"/>
  <c r="AE2188" i="2"/>
  <c r="AE2189" i="2"/>
  <c r="AE2190" i="2"/>
  <c r="AE2191" i="2"/>
  <c r="AE2192" i="2"/>
  <c r="AE2193" i="2"/>
  <c r="AE2194" i="2"/>
  <c r="AE2195" i="2"/>
  <c r="AE2196" i="2"/>
  <c r="AE2197" i="2"/>
  <c r="AE2198" i="2"/>
  <c r="AE2199" i="2"/>
  <c r="AE2200" i="2"/>
  <c r="AE2201" i="2"/>
  <c r="AE2202" i="2"/>
  <c r="AE2203" i="2"/>
  <c r="AE2204" i="2"/>
  <c r="AE2205" i="2"/>
  <c r="AE2206" i="2"/>
  <c r="AE2207" i="2"/>
  <c r="AE2208" i="2"/>
  <c r="AE2209" i="2"/>
  <c r="AE2210" i="2"/>
  <c r="AE2211" i="2"/>
  <c r="AE2212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24" i="2"/>
  <c r="AE2225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62" i="2"/>
  <c r="AE2263" i="2"/>
  <c r="AE2264" i="2"/>
  <c r="AE2265" i="2"/>
  <c r="AE2266" i="2"/>
  <c r="AE2267" i="2"/>
  <c r="AE2268" i="2"/>
  <c r="AE2269" i="2"/>
  <c r="AE2270" i="2"/>
  <c r="AE2271" i="2"/>
  <c r="AE2272" i="2"/>
  <c r="AE2273" i="2"/>
  <c r="AE2274" i="2"/>
  <c r="AE2275" i="2"/>
  <c r="AE2276" i="2"/>
  <c r="AE2277" i="2"/>
  <c r="AE2278" i="2"/>
  <c r="AE2279" i="2"/>
  <c r="AE2280" i="2"/>
  <c r="AE2281" i="2"/>
  <c r="AE2282" i="2"/>
  <c r="AE2283" i="2"/>
  <c r="AE2284" i="2"/>
  <c r="AE2285" i="2"/>
  <c r="AE2286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E2315" i="2"/>
  <c r="AE2316" i="2"/>
  <c r="AE2317" i="2"/>
  <c r="AE2318" i="2"/>
  <c r="AE2319" i="2"/>
  <c r="AE2320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38" i="2"/>
  <c r="AE2339" i="2"/>
  <c r="AE2340" i="2"/>
  <c r="AE2341" i="2"/>
  <c r="AE2342" i="2"/>
  <c r="AE2343" i="2"/>
  <c r="AE2344" i="2"/>
  <c r="AE2345" i="2"/>
  <c r="AE2346" i="2"/>
  <c r="AE2347" i="2"/>
  <c r="AE2348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67" i="2"/>
  <c r="AE2368" i="2"/>
  <c r="AE2369" i="2"/>
  <c r="AE2370" i="2"/>
  <c r="AE2371" i="2"/>
  <c r="AE2372" i="2"/>
  <c r="AE2373" i="2"/>
  <c r="AE2374" i="2"/>
  <c r="AE2375" i="2"/>
  <c r="AE2376" i="2"/>
  <c r="AE2377" i="2"/>
  <c r="AE2378" i="2"/>
  <c r="AE2379" i="2"/>
  <c r="AE2380" i="2"/>
  <c r="AE2381" i="2"/>
  <c r="AE2382" i="2"/>
  <c r="AE2383" i="2"/>
  <c r="AE2384" i="2"/>
  <c r="AE2385" i="2"/>
  <c r="AE2386" i="2"/>
  <c r="AE2387" i="2"/>
  <c r="AE2388" i="2"/>
  <c r="AE2389" i="2"/>
  <c r="AE2390" i="2"/>
  <c r="AE2391" i="2"/>
  <c r="AE2392" i="2"/>
  <c r="AE2393" i="2"/>
  <c r="AE2394" i="2"/>
  <c r="AE2395" i="2"/>
  <c r="AE2396" i="2"/>
  <c r="AE2397" i="2"/>
  <c r="AE2398" i="2"/>
  <c r="AE2399" i="2"/>
  <c r="AE2400" i="2"/>
  <c r="AE2401" i="2"/>
  <c r="AE2402" i="2"/>
  <c r="AE2403" i="2"/>
  <c r="AE2404" i="2"/>
  <c r="AE2405" i="2"/>
  <c r="AE2406" i="2"/>
  <c r="AE2407" i="2"/>
  <c r="AE2408" i="2"/>
  <c r="AE2409" i="2"/>
  <c r="AE2410" i="2"/>
  <c r="AE2411" i="2"/>
  <c r="AE2412" i="2"/>
  <c r="AE2413" i="2"/>
  <c r="AE2414" i="2"/>
  <c r="AE2415" i="2"/>
  <c r="AE2416" i="2"/>
  <c r="AE2417" i="2"/>
  <c r="AE2418" i="2"/>
  <c r="AE2419" i="2"/>
  <c r="AE2420" i="2"/>
  <c r="AE2421" i="2"/>
  <c r="AE2422" i="2"/>
  <c r="AE2423" i="2"/>
  <c r="AE2424" i="2"/>
  <c r="AE2425" i="2"/>
  <c r="AE2426" i="2"/>
  <c r="AE2427" i="2"/>
  <c r="AE242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40" i="2"/>
  <c r="AE2441" i="2"/>
  <c r="AE2442" i="2"/>
  <c r="AE2443" i="2"/>
  <c r="AE2444" i="2"/>
  <c r="AE2445" i="2"/>
  <c r="AE2446" i="2"/>
  <c r="AE2447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59" i="2"/>
  <c r="AE2460" i="2"/>
  <c r="AE2461" i="2"/>
  <c r="AE2462" i="2"/>
  <c r="AE2463" i="2"/>
  <c r="AE2464" i="2"/>
  <c r="AE2465" i="2"/>
  <c r="AE2466" i="2"/>
  <c r="AE2467" i="2"/>
  <c r="AE2468" i="2"/>
  <c r="AE2469" i="2"/>
  <c r="AE2470" i="2"/>
  <c r="AE2471" i="2"/>
  <c r="AE2472" i="2"/>
  <c r="AE2473" i="2"/>
  <c r="AE2474" i="2"/>
  <c r="AE2475" i="2"/>
  <c r="AE2476" i="2"/>
  <c r="AE2477" i="2"/>
  <c r="AE2478" i="2"/>
  <c r="AE2479" i="2"/>
  <c r="AE2480" i="2"/>
  <c r="AE2481" i="2"/>
  <c r="AE2482" i="2"/>
  <c r="AE2483" i="2"/>
  <c r="AE2484" i="2"/>
  <c r="AE2485" i="2"/>
  <c r="AE2486" i="2"/>
  <c r="AE2487" i="2"/>
  <c r="AE2488" i="2"/>
  <c r="AE2489" i="2"/>
  <c r="AE2490" i="2"/>
  <c r="AE2491" i="2"/>
  <c r="AE2492" i="2"/>
  <c r="AE2493" i="2"/>
  <c r="AE2494" i="2"/>
  <c r="AE2495" i="2"/>
  <c r="AE2496" i="2"/>
  <c r="AE2497" i="2"/>
  <c r="AE2498" i="2"/>
  <c r="AE2499" i="2"/>
  <c r="AE2500" i="2"/>
  <c r="AE2501" i="2"/>
  <c r="AE2502" i="2"/>
  <c r="AE2503" i="2"/>
  <c r="AE2504" i="2"/>
  <c r="AE2505" i="2"/>
  <c r="AE2506" i="2"/>
  <c r="AE2507" i="2"/>
  <c r="AE2508" i="2"/>
  <c r="AE2509" i="2"/>
  <c r="AE2510" i="2"/>
  <c r="AE2511" i="2"/>
  <c r="AE2512" i="2"/>
  <c r="AE2513" i="2"/>
  <c r="AE2514" i="2"/>
  <c r="AE2515" i="2"/>
  <c r="AE2516" i="2"/>
  <c r="AE2517" i="2"/>
  <c r="AE2518" i="2"/>
  <c r="AE2519" i="2"/>
  <c r="AE2520" i="2"/>
  <c r="AE2521" i="2"/>
  <c r="AE2522" i="2"/>
  <c r="AE2523" i="2"/>
  <c r="AE2524" i="2"/>
  <c r="AE2525" i="2"/>
  <c r="AE2526" i="2"/>
  <c r="AE2527" i="2"/>
  <c r="AE2528" i="2"/>
  <c r="AE2529" i="2"/>
  <c r="AE2530" i="2"/>
  <c r="AE2531" i="2"/>
  <c r="AE2532" i="2"/>
  <c r="AE2533" i="2"/>
  <c r="AE2534" i="2"/>
  <c r="AE2535" i="2"/>
  <c r="AE2536" i="2"/>
  <c r="AE2537" i="2"/>
  <c r="AE2538" i="2"/>
  <c r="AE2539" i="2"/>
  <c r="AE2540" i="2"/>
  <c r="AE2541" i="2"/>
  <c r="AE2542" i="2"/>
  <c r="AE2543" i="2"/>
  <c r="AE2544" i="2"/>
  <c r="AE2545" i="2"/>
  <c r="AE2546" i="2"/>
  <c r="AE2547" i="2"/>
  <c r="AE2548" i="2"/>
  <c r="AE2549" i="2"/>
  <c r="AE2550" i="2"/>
  <c r="AE2551" i="2"/>
  <c r="AE2552" i="2"/>
  <c r="AE2553" i="2"/>
  <c r="AE2554" i="2"/>
  <c r="AE2555" i="2"/>
  <c r="AE2556" i="2"/>
  <c r="AE2557" i="2"/>
  <c r="AE2558" i="2"/>
  <c r="AE2559" i="2"/>
  <c r="AE2560" i="2"/>
  <c r="AE2561" i="2"/>
  <c r="AE2562" i="2"/>
  <c r="AE2563" i="2"/>
  <c r="AE2564" i="2"/>
  <c r="AE2565" i="2"/>
  <c r="AE2566" i="2"/>
  <c r="AE2567" i="2"/>
  <c r="AE2568" i="2"/>
  <c r="AE2569" i="2"/>
  <c r="AE2570" i="2"/>
  <c r="AE2571" i="2"/>
  <c r="AE2572" i="2"/>
  <c r="AE2573" i="2"/>
  <c r="AE2574" i="2"/>
  <c r="AE2575" i="2"/>
  <c r="AE2576" i="2"/>
  <c r="AE2577" i="2"/>
  <c r="AE2578" i="2"/>
  <c r="AE2579" i="2"/>
  <c r="AE2580" i="2"/>
  <c r="AE2581" i="2"/>
  <c r="AE2582" i="2"/>
  <c r="AE2583" i="2"/>
  <c r="AE2584" i="2"/>
  <c r="AE2585" i="2"/>
  <c r="AE2586" i="2"/>
  <c r="AE2587" i="2"/>
  <c r="AE2588" i="2"/>
  <c r="AE2589" i="2"/>
  <c r="AE2590" i="2"/>
  <c r="AE2591" i="2"/>
  <c r="AE2592" i="2"/>
  <c r="AE2593" i="2"/>
  <c r="AE2594" i="2"/>
  <c r="AE2595" i="2"/>
  <c r="AE2596" i="2"/>
  <c r="AE2597" i="2"/>
  <c r="AE2598" i="2"/>
  <c r="AE2599" i="2"/>
  <c r="AE2600" i="2"/>
  <c r="AE2601" i="2"/>
  <c r="AE2602" i="2"/>
  <c r="AE2603" i="2"/>
  <c r="AE2604" i="2"/>
  <c r="AE2605" i="2"/>
  <c r="AE2606" i="2"/>
  <c r="AE2607" i="2"/>
  <c r="AE2608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34" i="2"/>
  <c r="AE2635" i="2"/>
  <c r="AE2636" i="2"/>
  <c r="AE2637" i="2"/>
  <c r="AE2638" i="2"/>
  <c r="AE2639" i="2"/>
  <c r="AE2640" i="2"/>
  <c r="AE2641" i="2"/>
  <c r="AE2642" i="2"/>
  <c r="AE2643" i="2"/>
  <c r="AE2644" i="2"/>
  <c r="AE2645" i="2"/>
  <c r="AE2646" i="2"/>
  <c r="AE2647" i="2"/>
  <c r="AE2648" i="2"/>
  <c r="AE2649" i="2"/>
  <c r="AE2650" i="2"/>
  <c r="AE2651" i="2"/>
  <c r="AE2652" i="2"/>
  <c r="AE2653" i="2"/>
  <c r="AE2654" i="2"/>
  <c r="AE2655" i="2"/>
  <c r="AE2656" i="2"/>
  <c r="AE2657" i="2"/>
  <c r="AE2658" i="2"/>
  <c r="AE2659" i="2"/>
  <c r="AE2660" i="2"/>
  <c r="AE2661" i="2"/>
  <c r="AE2662" i="2"/>
  <c r="AE2663" i="2"/>
  <c r="AE2664" i="2"/>
  <c r="AE2665" i="2"/>
  <c r="AE2666" i="2"/>
  <c r="AE2667" i="2"/>
  <c r="AE2668" i="2"/>
  <c r="AE2669" i="2"/>
  <c r="AE2670" i="2"/>
  <c r="AE2671" i="2"/>
  <c r="AE2672" i="2"/>
  <c r="AE2673" i="2"/>
  <c r="AE2674" i="2"/>
  <c r="AE2675" i="2"/>
  <c r="AE2676" i="2"/>
  <c r="AE2677" i="2"/>
  <c r="AE2678" i="2"/>
  <c r="AE2679" i="2"/>
  <c r="AE2680" i="2"/>
  <c r="AE2681" i="2"/>
  <c r="AE2682" i="2"/>
  <c r="AE2683" i="2"/>
  <c r="AE2684" i="2"/>
  <c r="AE2685" i="2"/>
  <c r="AE2686" i="2"/>
  <c r="AE2687" i="2"/>
  <c r="AE2688" i="2"/>
  <c r="AE2689" i="2"/>
  <c r="AE2690" i="2"/>
  <c r="AE2691" i="2"/>
  <c r="AE2692" i="2"/>
  <c r="AE2693" i="2"/>
  <c r="AE2694" i="2"/>
  <c r="AE2695" i="2"/>
  <c r="AE2696" i="2"/>
  <c r="AE2697" i="2"/>
  <c r="AE2698" i="2"/>
  <c r="AE2699" i="2"/>
  <c r="AE2700" i="2"/>
  <c r="AE2701" i="2"/>
  <c r="AE2702" i="2"/>
  <c r="AE2703" i="2"/>
  <c r="AE2704" i="2"/>
  <c r="AE2705" i="2"/>
  <c r="AE2706" i="2"/>
  <c r="AE2707" i="2"/>
  <c r="AE2708" i="2"/>
  <c r="AE2709" i="2"/>
  <c r="AE2710" i="2"/>
  <c r="AE2711" i="2"/>
  <c r="AE2712" i="2"/>
  <c r="AE2713" i="2"/>
  <c r="AE2714" i="2"/>
  <c r="AE2715" i="2"/>
  <c r="AE2716" i="2"/>
  <c r="AE2717" i="2"/>
  <c r="AE2718" i="2"/>
  <c r="AE2719" i="2"/>
  <c r="AE2720" i="2"/>
  <c r="AE2721" i="2"/>
  <c r="AE2722" i="2"/>
  <c r="AE2723" i="2"/>
  <c r="AE2724" i="2"/>
  <c r="AE2725" i="2"/>
  <c r="AE2726" i="2"/>
  <c r="AE2727" i="2"/>
  <c r="AE2728" i="2"/>
  <c r="AE2729" i="2"/>
  <c r="AE2730" i="2"/>
  <c r="AE2731" i="2"/>
  <c r="AE2732" i="2"/>
  <c r="AE2733" i="2"/>
  <c r="AE2734" i="2"/>
  <c r="AE2735" i="2"/>
  <c r="AE2736" i="2"/>
  <c r="AE2737" i="2"/>
  <c r="AE2738" i="2"/>
  <c r="AE2739" i="2"/>
  <c r="AE2740" i="2"/>
  <c r="AE2741" i="2"/>
  <c r="AE2742" i="2"/>
  <c r="AE2743" i="2"/>
  <c r="AE2744" i="2"/>
  <c r="AE2745" i="2"/>
  <c r="AE2746" i="2"/>
  <c r="AE2747" i="2"/>
  <c r="AE2748" i="2"/>
  <c r="AE2749" i="2"/>
  <c r="AE2750" i="2"/>
  <c r="AE2751" i="2"/>
  <c r="AE2752" i="2"/>
  <c r="AE2753" i="2"/>
  <c r="AE2754" i="2"/>
  <c r="AE2755" i="2"/>
  <c r="AE2756" i="2"/>
  <c r="AE2757" i="2"/>
  <c r="AE2758" i="2"/>
  <c r="AE2759" i="2"/>
  <c r="AE2760" i="2"/>
  <c r="AE2761" i="2"/>
  <c r="AE2762" i="2"/>
  <c r="AE2763" i="2"/>
  <c r="AE2764" i="2"/>
  <c r="AE2765" i="2"/>
  <c r="AE2766" i="2"/>
  <c r="AE2767" i="2"/>
  <c r="AE2768" i="2"/>
  <c r="AE2769" i="2"/>
  <c r="AE2770" i="2"/>
  <c r="AE2771" i="2"/>
  <c r="AE2772" i="2"/>
  <c r="AE2773" i="2"/>
  <c r="AE2774" i="2"/>
  <c r="AE2775" i="2"/>
  <c r="AE2776" i="2"/>
  <c r="AE2777" i="2"/>
  <c r="AE2778" i="2"/>
  <c r="AE2779" i="2"/>
  <c r="AE2780" i="2"/>
  <c r="AE2781" i="2"/>
  <c r="AE2782" i="2"/>
  <c r="AE2783" i="2"/>
  <c r="AE2784" i="2"/>
  <c r="AE2785" i="2"/>
  <c r="AE2786" i="2"/>
  <c r="AE2787" i="2"/>
  <c r="AE2788" i="2"/>
  <c r="AE2789" i="2"/>
  <c r="AE2790" i="2"/>
  <c r="AE2791" i="2"/>
  <c r="AE2792" i="2"/>
  <c r="AE2793" i="2"/>
  <c r="AE2794" i="2"/>
  <c r="AE2795" i="2"/>
  <c r="AE2796" i="2"/>
  <c r="AE2797" i="2"/>
  <c r="AE2798" i="2"/>
  <c r="AE2799" i="2"/>
  <c r="AE2800" i="2"/>
  <c r="AE2801" i="2"/>
  <c r="AE2802" i="2"/>
  <c r="AE2803" i="2"/>
  <c r="AE2804" i="2"/>
  <c r="AE2805" i="2"/>
  <c r="AE2806" i="2"/>
  <c r="AE2807" i="2"/>
  <c r="AE2808" i="2"/>
  <c r="AE2809" i="2"/>
  <c r="AE2810" i="2"/>
  <c r="AE2811" i="2"/>
  <c r="AE2812" i="2"/>
  <c r="AE2813" i="2"/>
  <c r="AE2814" i="2"/>
  <c r="AE2815" i="2"/>
  <c r="AE2816" i="2"/>
  <c r="AE2817" i="2"/>
  <c r="AE2818" i="2"/>
  <c r="AE2819" i="2"/>
  <c r="AE2820" i="2"/>
  <c r="AE2821" i="2"/>
  <c r="AE2822" i="2"/>
  <c r="AE2823" i="2"/>
  <c r="AE2824" i="2"/>
  <c r="AE2825" i="2"/>
  <c r="AE2826" i="2"/>
  <c r="AE2827" i="2"/>
  <c r="AE2828" i="2"/>
  <c r="AE2829" i="2"/>
  <c r="AE2830" i="2"/>
  <c r="AE2831" i="2"/>
  <c r="AE2832" i="2"/>
  <c r="AE2833" i="2"/>
  <c r="AE2834" i="2"/>
  <c r="AE2835" i="2"/>
  <c r="AE2836" i="2"/>
  <c r="AE2837" i="2"/>
  <c r="AE2838" i="2"/>
  <c r="AE2839" i="2"/>
  <c r="AE2840" i="2"/>
  <c r="AE2841" i="2"/>
  <c r="AE2842" i="2"/>
  <c r="AE2843" i="2"/>
  <c r="AE2844" i="2"/>
  <c r="AE2845" i="2"/>
  <c r="AE2846" i="2"/>
  <c r="AE2847" i="2"/>
  <c r="AE2848" i="2"/>
  <c r="AE2849" i="2"/>
  <c r="AE2850" i="2"/>
  <c r="AE2851" i="2"/>
  <c r="AE2852" i="2"/>
  <c r="AE2853" i="2"/>
  <c r="AE2854" i="2"/>
  <c r="AE2855" i="2"/>
  <c r="AE2856" i="2"/>
  <c r="AE2857" i="2"/>
  <c r="AE2858" i="2"/>
  <c r="AE2859" i="2"/>
  <c r="AE2860" i="2"/>
  <c r="AE2861" i="2"/>
  <c r="AE2862" i="2"/>
  <c r="AE2863" i="2"/>
  <c r="AE2864" i="2"/>
  <c r="AE2865" i="2"/>
  <c r="AE2866" i="2"/>
  <c r="AE2867" i="2"/>
  <c r="AE2868" i="2"/>
  <c r="AE2869" i="2"/>
  <c r="AE2870" i="2"/>
  <c r="AE2871" i="2"/>
  <c r="AE2872" i="2"/>
  <c r="AE2873" i="2"/>
  <c r="AE2874" i="2"/>
  <c r="AE2875" i="2"/>
  <c r="AE2876" i="2"/>
  <c r="AE2877" i="2"/>
  <c r="AE2878" i="2"/>
  <c r="AE2879" i="2"/>
  <c r="AE2880" i="2"/>
  <c r="AE2881" i="2"/>
  <c r="AE2882" i="2"/>
  <c r="AE2883" i="2"/>
  <c r="AE2884" i="2"/>
  <c r="AE2885" i="2"/>
  <c r="AE2886" i="2"/>
  <c r="AE2887" i="2"/>
  <c r="AE2888" i="2"/>
  <c r="AE2889" i="2"/>
  <c r="AE2890" i="2"/>
  <c r="AE2891" i="2"/>
  <c r="AE2892" i="2"/>
  <c r="AE2893" i="2"/>
  <c r="AE2894" i="2"/>
  <c r="AE2895" i="2"/>
  <c r="AE2896" i="2"/>
  <c r="AE2897" i="2"/>
  <c r="AE2898" i="2"/>
  <c r="AE2899" i="2"/>
  <c r="AE2900" i="2"/>
  <c r="AE2901" i="2"/>
  <c r="AE2902" i="2"/>
  <c r="AE2903" i="2"/>
  <c r="AE2904" i="2"/>
  <c r="AE2905" i="2"/>
  <c r="AE2906" i="2"/>
  <c r="AE2907" i="2"/>
  <c r="AE2908" i="2"/>
  <c r="AE2909" i="2"/>
  <c r="AE2910" i="2"/>
  <c r="AE2911" i="2"/>
  <c r="AE2912" i="2"/>
  <c r="AE2913" i="2"/>
  <c r="AE2914" i="2"/>
  <c r="AE2915" i="2"/>
  <c r="AE2916" i="2"/>
  <c r="AE2917" i="2"/>
  <c r="AE2918" i="2"/>
  <c r="AE2919" i="2"/>
  <c r="AE2920" i="2"/>
  <c r="AE2921" i="2"/>
  <c r="AE2922" i="2"/>
  <c r="AE2923" i="2"/>
  <c r="AE2924" i="2"/>
  <c r="AE2925" i="2"/>
  <c r="AE2926" i="2"/>
  <c r="AE2927" i="2"/>
  <c r="AE2928" i="2"/>
  <c r="AE2929" i="2"/>
  <c r="AE2930" i="2"/>
  <c r="AE2931" i="2"/>
  <c r="AE2932" i="2"/>
  <c r="AE2933" i="2"/>
  <c r="AE2934" i="2"/>
  <c r="AE2935" i="2"/>
  <c r="AE2936" i="2"/>
  <c r="AE2937" i="2"/>
  <c r="AE2938" i="2"/>
  <c r="AE2939" i="2"/>
  <c r="AE2940" i="2"/>
  <c r="AE2941" i="2"/>
  <c r="AE2942" i="2"/>
  <c r="AE2943" i="2"/>
  <c r="AE2944" i="2"/>
  <c r="AE2945" i="2"/>
  <c r="AE2946" i="2"/>
  <c r="AE2947" i="2"/>
  <c r="AE2948" i="2"/>
  <c r="AE2949" i="2"/>
  <c r="AE2950" i="2"/>
  <c r="AE2951" i="2"/>
  <c r="AE2952" i="2"/>
  <c r="AE2953" i="2"/>
  <c r="AE2954" i="2"/>
  <c r="AE2955" i="2"/>
  <c r="AE2956" i="2"/>
  <c r="AE2957" i="2"/>
  <c r="AE2958" i="2"/>
  <c r="AE2959" i="2"/>
  <c r="AE2960" i="2"/>
  <c r="AE2961" i="2"/>
  <c r="AE2962" i="2"/>
  <c r="AE2963" i="2"/>
  <c r="AE2964" i="2"/>
  <c r="AE2965" i="2"/>
  <c r="AE2966" i="2"/>
  <c r="AE2967" i="2"/>
  <c r="AE2968" i="2"/>
  <c r="AE2969" i="2"/>
  <c r="AE2970" i="2"/>
  <c r="AE2971" i="2"/>
  <c r="AE2972" i="2"/>
  <c r="AE2973" i="2"/>
  <c r="AE2974" i="2"/>
  <c r="AE2975" i="2"/>
  <c r="AE2976" i="2"/>
  <c r="AE2977" i="2"/>
  <c r="AE2978" i="2"/>
  <c r="AE2979" i="2"/>
  <c r="AE2980" i="2"/>
  <c r="AE2981" i="2"/>
  <c r="AE2982" i="2"/>
  <c r="AE2983" i="2"/>
  <c r="AE2984" i="2"/>
  <c r="AE2985" i="2"/>
  <c r="AE2986" i="2"/>
  <c r="AE2987" i="2"/>
  <c r="AE2988" i="2"/>
  <c r="AE2989" i="2"/>
  <c r="AE2990" i="2"/>
  <c r="AE2991" i="2"/>
  <c r="AE2992" i="2"/>
  <c r="AE2993" i="2"/>
  <c r="AE2994" i="2"/>
  <c r="AE2995" i="2"/>
  <c r="AE2996" i="2"/>
  <c r="AE2997" i="2"/>
  <c r="AE2998" i="2"/>
  <c r="AE2999" i="2"/>
  <c r="AE3000" i="2"/>
  <c r="AE3001" i="2"/>
  <c r="AE3002" i="2"/>
  <c r="AE3003" i="2"/>
  <c r="AE3004" i="2"/>
  <c r="AE3005" i="2"/>
  <c r="AE3006" i="2"/>
  <c r="AE3007" i="2"/>
  <c r="AE3008" i="2"/>
  <c r="AE3009" i="2"/>
  <c r="AE3010" i="2"/>
  <c r="AE3011" i="2"/>
  <c r="AE3012" i="2"/>
  <c r="AE3013" i="2"/>
  <c r="AE3014" i="2"/>
  <c r="AE3015" i="2"/>
  <c r="AE3016" i="2"/>
  <c r="AE3017" i="2"/>
  <c r="AE3018" i="2"/>
  <c r="AE3019" i="2"/>
  <c r="AE3020" i="2"/>
  <c r="AE3021" i="2"/>
  <c r="AE3022" i="2"/>
  <c r="AE3023" i="2"/>
  <c r="AE3024" i="2"/>
  <c r="AE3025" i="2"/>
  <c r="AE3026" i="2"/>
  <c r="AE3027" i="2"/>
  <c r="AE3028" i="2"/>
  <c r="AE3029" i="2"/>
  <c r="AE3030" i="2"/>
  <c r="AE3031" i="2"/>
  <c r="AE3032" i="2"/>
  <c r="AE3033" i="2"/>
  <c r="AE3034" i="2"/>
  <c r="AE3035" i="2"/>
  <c r="AE3036" i="2"/>
  <c r="AE3037" i="2"/>
  <c r="AE3038" i="2"/>
  <c r="AE3039" i="2"/>
  <c r="AE3040" i="2"/>
  <c r="AE3041" i="2"/>
  <c r="AE3042" i="2"/>
  <c r="AE3043" i="2"/>
  <c r="AE3044" i="2"/>
  <c r="AE3045" i="2"/>
  <c r="AE3046" i="2"/>
  <c r="AE3047" i="2"/>
  <c r="AE3048" i="2"/>
  <c r="AE3049" i="2"/>
  <c r="AE3050" i="2"/>
  <c r="AE3051" i="2"/>
  <c r="AE3052" i="2"/>
  <c r="AE3053" i="2"/>
  <c r="AE3054" i="2"/>
  <c r="AE3055" i="2"/>
  <c r="AE3056" i="2"/>
  <c r="AE3057" i="2"/>
  <c r="AE3058" i="2"/>
  <c r="AE3059" i="2"/>
  <c r="AE3060" i="2"/>
  <c r="AE3061" i="2"/>
  <c r="AE3062" i="2"/>
  <c r="AE3063" i="2"/>
  <c r="AE3064" i="2"/>
  <c r="AE3065" i="2"/>
  <c r="AE3066" i="2"/>
  <c r="AE3067" i="2"/>
  <c r="AE3068" i="2"/>
  <c r="AE3069" i="2"/>
  <c r="AE3070" i="2"/>
  <c r="AE3071" i="2"/>
  <c r="AE3072" i="2"/>
  <c r="AE3073" i="2"/>
  <c r="AE3074" i="2"/>
  <c r="AE3075" i="2"/>
  <c r="AE3076" i="2"/>
  <c r="AE3077" i="2"/>
  <c r="AE3078" i="2"/>
  <c r="AE3079" i="2"/>
  <c r="AE3080" i="2"/>
  <c r="AE3081" i="2"/>
  <c r="AE3082" i="2"/>
  <c r="AE3083" i="2"/>
  <c r="AE3084" i="2"/>
  <c r="AE3085" i="2"/>
  <c r="AE3086" i="2"/>
  <c r="AE3087" i="2"/>
  <c r="AE3088" i="2"/>
  <c r="AE3089" i="2"/>
  <c r="AE3090" i="2"/>
  <c r="AE3091" i="2"/>
  <c r="AE3092" i="2"/>
  <c r="AE3093" i="2"/>
  <c r="AE3094" i="2"/>
  <c r="AE3095" i="2"/>
  <c r="AE3096" i="2"/>
  <c r="AE3097" i="2"/>
  <c r="AE3098" i="2"/>
  <c r="AE3099" i="2"/>
  <c r="AE3100" i="2"/>
  <c r="AE3101" i="2"/>
  <c r="AE3102" i="2"/>
  <c r="AE3103" i="2"/>
  <c r="AE3104" i="2"/>
  <c r="AE3105" i="2"/>
  <c r="AE3106" i="2"/>
  <c r="AE3107" i="2"/>
  <c r="AE3108" i="2"/>
  <c r="AE3109" i="2"/>
  <c r="AE3110" i="2"/>
  <c r="AE3111" i="2"/>
  <c r="AE3112" i="2"/>
  <c r="AE3113" i="2"/>
  <c r="AE3114" i="2"/>
  <c r="AE3115" i="2"/>
  <c r="AE3116" i="2"/>
  <c r="AE3117" i="2"/>
  <c r="AE3118" i="2"/>
  <c r="AE3119" i="2"/>
  <c r="AE3120" i="2"/>
  <c r="AE3121" i="2"/>
  <c r="AE3122" i="2"/>
  <c r="AE3123" i="2"/>
  <c r="AE3124" i="2"/>
  <c r="AE3125" i="2"/>
  <c r="AE3126" i="2"/>
  <c r="AE3127" i="2"/>
  <c r="AE3128" i="2"/>
  <c r="AE3129" i="2"/>
  <c r="AE3130" i="2"/>
  <c r="AE3131" i="2"/>
  <c r="AE3132" i="2"/>
  <c r="AE3133" i="2"/>
  <c r="AE3134" i="2"/>
  <c r="AE3135" i="2"/>
  <c r="AE3136" i="2"/>
  <c r="AE3137" i="2"/>
  <c r="AE3138" i="2"/>
  <c r="AE3139" i="2"/>
  <c r="AE3140" i="2"/>
  <c r="AE3141" i="2"/>
  <c r="AE3142" i="2"/>
  <c r="AE3143" i="2"/>
  <c r="AE3144" i="2"/>
  <c r="AE3145" i="2"/>
  <c r="AE3146" i="2"/>
  <c r="AE3147" i="2"/>
  <c r="AE3148" i="2"/>
  <c r="AE3149" i="2"/>
  <c r="AE3150" i="2"/>
  <c r="AE3151" i="2"/>
  <c r="AE3152" i="2"/>
  <c r="AE3153" i="2"/>
  <c r="AE3154" i="2"/>
  <c r="AE3155" i="2"/>
  <c r="AE3156" i="2"/>
  <c r="AE3157" i="2"/>
  <c r="AE3158" i="2"/>
  <c r="AE3159" i="2"/>
  <c r="AE3160" i="2"/>
  <c r="AE3161" i="2"/>
  <c r="AE3162" i="2"/>
  <c r="AE3163" i="2"/>
  <c r="AE3164" i="2"/>
  <c r="AE3165" i="2"/>
  <c r="AE3166" i="2"/>
  <c r="AE3167" i="2"/>
  <c r="AE3168" i="2"/>
  <c r="AE3169" i="2"/>
  <c r="AE3170" i="2"/>
  <c r="AE3171" i="2"/>
  <c r="AE3172" i="2"/>
  <c r="AE3173" i="2"/>
  <c r="AE3174" i="2"/>
  <c r="AE3175" i="2"/>
  <c r="AE3176" i="2"/>
  <c r="AE3177" i="2"/>
  <c r="AE3178" i="2"/>
  <c r="AE3179" i="2"/>
  <c r="AE3180" i="2"/>
  <c r="AE3181" i="2"/>
  <c r="AE3182" i="2"/>
  <c r="AE3183" i="2"/>
  <c r="AE3184" i="2"/>
  <c r="AE3185" i="2"/>
  <c r="AE3186" i="2"/>
  <c r="AE3187" i="2"/>
  <c r="AE3188" i="2"/>
  <c r="AE3189" i="2"/>
  <c r="AE3190" i="2"/>
  <c r="AE3191" i="2"/>
  <c r="AE3192" i="2"/>
  <c r="AE3193" i="2"/>
  <c r="AE3194" i="2"/>
  <c r="AE3195" i="2"/>
  <c r="AE3196" i="2"/>
  <c r="AE3197" i="2"/>
  <c r="AE3198" i="2"/>
  <c r="AE3199" i="2"/>
  <c r="AE3200" i="2"/>
  <c r="AE3201" i="2"/>
  <c r="AE3202" i="2"/>
  <c r="AE3203" i="2"/>
  <c r="AE3204" i="2"/>
  <c r="AE3205" i="2"/>
  <c r="AE3206" i="2"/>
  <c r="AE3207" i="2"/>
  <c r="AE3208" i="2"/>
  <c r="AE3209" i="2"/>
  <c r="AE3210" i="2"/>
  <c r="AE3211" i="2"/>
  <c r="AE3212" i="2"/>
  <c r="AE3213" i="2"/>
  <c r="AE3214" i="2"/>
  <c r="AE3215" i="2"/>
  <c r="AE3216" i="2"/>
  <c r="AE3217" i="2"/>
  <c r="AE3218" i="2"/>
  <c r="AE3219" i="2"/>
  <c r="AE3220" i="2"/>
  <c r="AE3221" i="2"/>
  <c r="AE3222" i="2"/>
  <c r="AE3223" i="2"/>
  <c r="AE3224" i="2"/>
  <c r="AE3225" i="2"/>
  <c r="AE3226" i="2"/>
  <c r="AE3227" i="2"/>
  <c r="AE3228" i="2"/>
  <c r="AE3229" i="2"/>
  <c r="AE3230" i="2"/>
  <c r="AE3231" i="2"/>
  <c r="AE3232" i="2"/>
  <c r="AE3233" i="2"/>
  <c r="AE3234" i="2"/>
  <c r="AE3235" i="2"/>
  <c r="AE3236" i="2"/>
  <c r="AE3237" i="2"/>
  <c r="AE3238" i="2"/>
  <c r="AE3239" i="2"/>
  <c r="AE3240" i="2"/>
  <c r="AE3241" i="2"/>
  <c r="AE3242" i="2"/>
  <c r="AE3243" i="2"/>
  <c r="AE3244" i="2"/>
  <c r="AE3245" i="2"/>
  <c r="AE3246" i="2"/>
  <c r="AE3247" i="2"/>
  <c r="AE3248" i="2"/>
  <c r="AE3249" i="2"/>
  <c r="AE3250" i="2"/>
  <c r="AE3251" i="2"/>
  <c r="AE3252" i="2"/>
  <c r="AE3253" i="2"/>
  <c r="AE3254" i="2"/>
  <c r="AE3255" i="2"/>
  <c r="AE3256" i="2"/>
  <c r="AE3257" i="2"/>
  <c r="AE3258" i="2"/>
  <c r="AE3259" i="2"/>
  <c r="AE3260" i="2"/>
  <c r="AE3261" i="2"/>
  <c r="AE3262" i="2"/>
  <c r="AE3263" i="2"/>
  <c r="AE3264" i="2"/>
  <c r="AE3265" i="2"/>
  <c r="AE3266" i="2"/>
  <c r="AE3267" i="2"/>
  <c r="AE3268" i="2"/>
  <c r="AE3269" i="2"/>
  <c r="AE3270" i="2"/>
  <c r="AE3271" i="2"/>
  <c r="AE3272" i="2"/>
  <c r="AE3273" i="2"/>
  <c r="AE3274" i="2"/>
  <c r="AE3275" i="2"/>
  <c r="AE3276" i="2"/>
  <c r="AE3277" i="2"/>
  <c r="AE3278" i="2"/>
  <c r="AE3279" i="2"/>
  <c r="AE3280" i="2"/>
  <c r="AE3281" i="2"/>
  <c r="AE3282" i="2"/>
  <c r="AE3283" i="2"/>
  <c r="AE3284" i="2"/>
  <c r="AE3285" i="2"/>
  <c r="AE3286" i="2"/>
  <c r="AE3287" i="2"/>
  <c r="AE3288" i="2"/>
  <c r="AE3289" i="2"/>
  <c r="AE3290" i="2"/>
  <c r="AE3291" i="2"/>
  <c r="AE3292" i="2"/>
  <c r="AE3293" i="2"/>
  <c r="AE3294" i="2"/>
  <c r="AE3295" i="2"/>
  <c r="AE3296" i="2"/>
  <c r="AE3297" i="2"/>
  <c r="AE3298" i="2"/>
  <c r="AE3299" i="2"/>
  <c r="AE3300" i="2"/>
  <c r="AE3301" i="2"/>
  <c r="AE3302" i="2"/>
  <c r="AE3303" i="2"/>
  <c r="AE3304" i="2"/>
  <c r="AE3305" i="2"/>
  <c r="AE3306" i="2"/>
  <c r="AE3307" i="2"/>
  <c r="AE3308" i="2"/>
  <c r="AE3309" i="2"/>
  <c r="AE3310" i="2"/>
  <c r="AE3311" i="2"/>
  <c r="AE3312" i="2"/>
  <c r="AE3313" i="2"/>
  <c r="AE3314" i="2"/>
  <c r="AE3315" i="2"/>
  <c r="AE3316" i="2"/>
  <c r="AE3317" i="2"/>
  <c r="AE3318" i="2"/>
  <c r="AE3319" i="2"/>
  <c r="AE3320" i="2"/>
  <c r="AE3321" i="2"/>
  <c r="AE3322" i="2"/>
  <c r="AE3323" i="2"/>
  <c r="AE3324" i="2"/>
  <c r="AE3325" i="2"/>
  <c r="AE3326" i="2"/>
  <c r="AE3327" i="2"/>
  <c r="AE3328" i="2"/>
  <c r="AE3329" i="2"/>
  <c r="AE3330" i="2"/>
  <c r="AE3331" i="2"/>
  <c r="AE3332" i="2"/>
  <c r="AE3333" i="2"/>
  <c r="AE3334" i="2"/>
  <c r="AE3335" i="2"/>
  <c r="AE3336" i="2"/>
  <c r="AE3337" i="2"/>
  <c r="AE3338" i="2"/>
  <c r="AE3339" i="2"/>
  <c r="AE3340" i="2"/>
  <c r="AE3341" i="2"/>
  <c r="AE3342" i="2"/>
  <c r="AE3343" i="2"/>
  <c r="AE3344" i="2"/>
  <c r="AE3345" i="2"/>
  <c r="AE3346" i="2"/>
  <c r="AE3347" i="2"/>
  <c r="AE3348" i="2"/>
  <c r="AE3349" i="2"/>
  <c r="AE3350" i="2"/>
  <c r="AE3351" i="2"/>
  <c r="AE3352" i="2"/>
  <c r="AE3353" i="2"/>
  <c r="AE3354" i="2"/>
  <c r="AE3355" i="2"/>
  <c r="AE3356" i="2"/>
  <c r="AE3357" i="2"/>
  <c r="AE3358" i="2"/>
  <c r="AE3359" i="2"/>
  <c r="AE3360" i="2"/>
  <c r="AE3361" i="2"/>
  <c r="AE3362" i="2"/>
  <c r="AE3363" i="2"/>
  <c r="AE3364" i="2"/>
  <c r="AE3365" i="2"/>
  <c r="AE3366" i="2"/>
  <c r="AE3367" i="2"/>
  <c r="AE3368" i="2"/>
  <c r="AE3369" i="2"/>
  <c r="AE3370" i="2"/>
  <c r="AE3371" i="2"/>
  <c r="AE3372" i="2"/>
  <c r="AE3373" i="2"/>
  <c r="AE3374" i="2"/>
  <c r="AE3375" i="2"/>
  <c r="AE3376" i="2"/>
  <c r="AE3377" i="2"/>
  <c r="AE3378" i="2"/>
  <c r="AE3379" i="2"/>
  <c r="AE3380" i="2"/>
  <c r="AE3381" i="2"/>
  <c r="AE3382" i="2"/>
  <c r="AE3383" i="2"/>
  <c r="AE3384" i="2"/>
  <c r="AE3385" i="2"/>
  <c r="AE3386" i="2"/>
  <c r="AE3387" i="2"/>
  <c r="AE3388" i="2"/>
  <c r="AE3389" i="2"/>
  <c r="AE3390" i="2"/>
  <c r="AE3391" i="2"/>
  <c r="AE3392" i="2"/>
  <c r="AE3393" i="2"/>
  <c r="AE3394" i="2"/>
  <c r="AE3395" i="2"/>
  <c r="AE3396" i="2"/>
  <c r="AE3397" i="2"/>
  <c r="AE3398" i="2"/>
  <c r="AE3399" i="2"/>
  <c r="AE3400" i="2"/>
  <c r="AE3401" i="2"/>
  <c r="AE3402" i="2"/>
  <c r="AE3403" i="2"/>
  <c r="AE3404" i="2"/>
  <c r="AE3405" i="2"/>
  <c r="AE3406" i="2"/>
  <c r="AE3407" i="2"/>
  <c r="AE3408" i="2"/>
  <c r="AE3409" i="2"/>
  <c r="AE3410" i="2"/>
  <c r="AE3411" i="2"/>
  <c r="AE3412" i="2"/>
  <c r="AE3413" i="2"/>
  <c r="AE3414" i="2"/>
  <c r="AE3415" i="2"/>
  <c r="AE3416" i="2"/>
  <c r="AE3417" i="2"/>
  <c r="AE3418" i="2"/>
  <c r="AE3419" i="2"/>
  <c r="AE3420" i="2"/>
  <c r="AE3421" i="2"/>
  <c r="AE3422" i="2"/>
  <c r="AE3423" i="2"/>
  <c r="AE3424" i="2"/>
  <c r="AE3425" i="2"/>
  <c r="AE3426" i="2"/>
  <c r="AE3427" i="2"/>
  <c r="AE3428" i="2"/>
  <c r="AE3429" i="2"/>
  <c r="AE3430" i="2"/>
  <c r="AE3431" i="2"/>
  <c r="AE3432" i="2"/>
  <c r="AE3433" i="2"/>
  <c r="AE3434" i="2"/>
  <c r="AE3435" i="2"/>
  <c r="AE3436" i="2"/>
  <c r="AE3437" i="2"/>
  <c r="AE3438" i="2"/>
  <c r="AE3439" i="2"/>
  <c r="AE3440" i="2"/>
  <c r="AE3441" i="2"/>
  <c r="AE3442" i="2"/>
  <c r="AE3443" i="2"/>
  <c r="AE3444" i="2"/>
  <c r="AE3445" i="2"/>
  <c r="AE3446" i="2"/>
  <c r="AE3447" i="2"/>
  <c r="AE3448" i="2"/>
  <c r="AE3449" i="2"/>
  <c r="AE3450" i="2"/>
  <c r="AE3451" i="2"/>
  <c r="AE3452" i="2"/>
  <c r="AE3453" i="2"/>
  <c r="AE3454" i="2"/>
  <c r="AE3455" i="2"/>
  <c r="AE3456" i="2"/>
  <c r="AE3457" i="2"/>
  <c r="AE3458" i="2"/>
  <c r="AE3459" i="2"/>
  <c r="AE3460" i="2"/>
  <c r="AE3461" i="2"/>
  <c r="AE3462" i="2"/>
  <c r="AE3463" i="2"/>
  <c r="AE3464" i="2"/>
  <c r="AE3465" i="2"/>
  <c r="AE3466" i="2"/>
  <c r="AE3467" i="2"/>
  <c r="AE3468" i="2"/>
  <c r="AE3469" i="2"/>
  <c r="AE3470" i="2"/>
  <c r="AE3471" i="2"/>
  <c r="AE3472" i="2"/>
  <c r="AE3473" i="2"/>
  <c r="AE3474" i="2"/>
  <c r="AE3475" i="2"/>
  <c r="AE3476" i="2"/>
  <c r="AE3477" i="2"/>
  <c r="AE3478" i="2"/>
  <c r="AE3479" i="2"/>
  <c r="AE3480" i="2"/>
  <c r="AE3481" i="2"/>
  <c r="AE3482" i="2"/>
  <c r="AE3483" i="2"/>
  <c r="AE3484" i="2"/>
  <c r="AE3485" i="2"/>
  <c r="AE3486" i="2"/>
  <c r="AE3487" i="2"/>
  <c r="AE3488" i="2"/>
  <c r="AE3489" i="2"/>
  <c r="AE3490" i="2"/>
  <c r="AE3491" i="2"/>
  <c r="AE3492" i="2"/>
  <c r="AE3493" i="2"/>
  <c r="AE3494" i="2"/>
  <c r="AE3495" i="2"/>
  <c r="AE3496" i="2"/>
  <c r="AE3497" i="2"/>
  <c r="AE3498" i="2"/>
  <c r="AE3499" i="2"/>
  <c r="AE3500" i="2"/>
  <c r="AE3501" i="2"/>
  <c r="AE3502" i="2"/>
  <c r="AE3503" i="2"/>
  <c r="AE3504" i="2"/>
  <c r="AE3505" i="2"/>
  <c r="AE3506" i="2"/>
  <c r="AE3507" i="2"/>
  <c r="AE3508" i="2"/>
  <c r="AE3509" i="2"/>
  <c r="AE3510" i="2"/>
  <c r="AE3511" i="2"/>
  <c r="AE3512" i="2"/>
  <c r="AE3513" i="2"/>
  <c r="AE3514" i="2"/>
  <c r="AE3515" i="2"/>
  <c r="AE3516" i="2"/>
  <c r="AE3517" i="2"/>
  <c r="AE3518" i="2"/>
  <c r="AE3519" i="2"/>
  <c r="AE3520" i="2"/>
  <c r="AE3521" i="2"/>
  <c r="AE3522" i="2"/>
  <c r="AE3523" i="2"/>
  <c r="AE3524" i="2"/>
  <c r="AE3525" i="2"/>
  <c r="AE3526" i="2"/>
  <c r="AE3527" i="2"/>
  <c r="AE3528" i="2"/>
  <c r="AE3529" i="2"/>
  <c r="AE3530" i="2"/>
  <c r="AE3531" i="2"/>
  <c r="AE3532" i="2"/>
  <c r="AE3533" i="2"/>
  <c r="AE3534" i="2"/>
  <c r="AE3535" i="2"/>
  <c r="AE3536" i="2"/>
  <c r="AE3537" i="2"/>
  <c r="AE3538" i="2"/>
  <c r="AE3539" i="2"/>
  <c r="AE3540" i="2"/>
  <c r="AE3541" i="2"/>
  <c r="AE3542" i="2"/>
  <c r="AE3543" i="2"/>
  <c r="AE3544" i="2"/>
  <c r="AE3545" i="2"/>
  <c r="AE3546" i="2"/>
  <c r="AE3547" i="2"/>
  <c r="AE3548" i="2"/>
  <c r="AE3549" i="2"/>
  <c r="AE3550" i="2"/>
  <c r="AE3551" i="2"/>
  <c r="AE3552" i="2"/>
  <c r="AE3553" i="2"/>
  <c r="AE3554" i="2"/>
  <c r="AE3555" i="2"/>
  <c r="AE3556" i="2"/>
  <c r="AE3557" i="2"/>
  <c r="AE3558" i="2"/>
  <c r="AE3559" i="2"/>
  <c r="AE3560" i="2"/>
  <c r="AE3561" i="2"/>
  <c r="AE3562" i="2"/>
  <c r="AE3563" i="2"/>
  <c r="AE3564" i="2"/>
  <c r="AE3565" i="2"/>
  <c r="AE3566" i="2"/>
  <c r="AE3567" i="2"/>
  <c r="AE3568" i="2"/>
  <c r="AE3569" i="2"/>
  <c r="AE3570" i="2"/>
  <c r="AE3571" i="2"/>
  <c r="AE3572" i="2"/>
  <c r="AE3573" i="2"/>
  <c r="AE3574" i="2"/>
  <c r="AE3575" i="2"/>
  <c r="AE3576" i="2"/>
  <c r="AE3577" i="2"/>
  <c r="AE3578" i="2"/>
  <c r="AE3579" i="2"/>
  <c r="AE3580" i="2"/>
  <c r="AE3581" i="2"/>
  <c r="AE3582" i="2"/>
  <c r="AE3583" i="2"/>
  <c r="AE3584" i="2"/>
  <c r="AE3585" i="2"/>
  <c r="AE3586" i="2"/>
  <c r="AE3587" i="2"/>
  <c r="AE3588" i="2"/>
  <c r="AE3589" i="2"/>
  <c r="AE3590" i="2"/>
  <c r="AE3591" i="2"/>
  <c r="AE3592" i="2"/>
  <c r="AE3593" i="2"/>
  <c r="AE3594" i="2"/>
  <c r="AE3595" i="2"/>
  <c r="AE3596" i="2"/>
  <c r="AE3597" i="2"/>
  <c r="AE3598" i="2"/>
  <c r="AE3599" i="2"/>
  <c r="AE3600" i="2"/>
  <c r="AE3601" i="2"/>
  <c r="AE3602" i="2"/>
  <c r="AE3603" i="2"/>
  <c r="AE3604" i="2"/>
  <c r="AE3605" i="2"/>
  <c r="AE3606" i="2"/>
  <c r="AE3607" i="2"/>
  <c r="AE3608" i="2"/>
  <c r="AE3609" i="2"/>
  <c r="AE3610" i="2"/>
  <c r="AE3611" i="2"/>
  <c r="AE3612" i="2"/>
  <c r="AE3613" i="2"/>
  <c r="AE3614" i="2"/>
  <c r="AE3615" i="2"/>
  <c r="AE3616" i="2"/>
  <c r="AE3617" i="2"/>
  <c r="AE3618" i="2"/>
  <c r="AE3619" i="2"/>
  <c r="AE3620" i="2"/>
  <c r="AE3621" i="2"/>
  <c r="AE3622" i="2"/>
  <c r="AE3623" i="2"/>
  <c r="AE3624" i="2"/>
  <c r="AE3625" i="2"/>
  <c r="AE3626" i="2"/>
  <c r="AE3627" i="2"/>
  <c r="AE3628" i="2"/>
  <c r="AE3629" i="2"/>
  <c r="AE3630" i="2"/>
  <c r="AE3631" i="2"/>
  <c r="AE3632" i="2"/>
  <c r="AE3633" i="2"/>
  <c r="AE3634" i="2"/>
  <c r="AE3635" i="2"/>
  <c r="AE3636" i="2"/>
  <c r="AE3637" i="2"/>
  <c r="AE3638" i="2"/>
  <c r="AE3639" i="2"/>
  <c r="AE3640" i="2"/>
  <c r="AE3641" i="2"/>
  <c r="AE3642" i="2"/>
  <c r="AE3643" i="2"/>
  <c r="AE3644" i="2"/>
  <c r="AE3645" i="2"/>
  <c r="AE3646" i="2"/>
  <c r="AE3647" i="2"/>
  <c r="AE3648" i="2"/>
  <c r="AE3649" i="2"/>
  <c r="AE3650" i="2"/>
  <c r="AE3651" i="2"/>
  <c r="AE3652" i="2"/>
  <c r="AE3653" i="2"/>
  <c r="AE3654" i="2"/>
  <c r="AE3655" i="2"/>
  <c r="AE3656" i="2"/>
  <c r="AE3657" i="2"/>
  <c r="AE3658" i="2"/>
  <c r="AE3659" i="2"/>
  <c r="AE3660" i="2"/>
  <c r="AE3661" i="2"/>
  <c r="AE3662" i="2"/>
  <c r="AE3663" i="2"/>
  <c r="AE3664" i="2"/>
  <c r="AE3665" i="2"/>
  <c r="AE3666" i="2"/>
  <c r="AE3667" i="2"/>
  <c r="AE3668" i="2"/>
  <c r="AE3669" i="2"/>
  <c r="AE3670" i="2"/>
  <c r="AE3671" i="2"/>
  <c r="AE3672" i="2"/>
  <c r="AE3673" i="2"/>
  <c r="AE3674" i="2"/>
  <c r="AE3675" i="2"/>
  <c r="AE3676" i="2"/>
  <c r="AE3677" i="2"/>
  <c r="AE3678" i="2"/>
  <c r="AE3679" i="2"/>
  <c r="AE3680" i="2"/>
  <c r="AE3681" i="2"/>
  <c r="AE3682" i="2"/>
  <c r="AE3683" i="2"/>
  <c r="AE3684" i="2"/>
  <c r="AE3685" i="2"/>
  <c r="AE3686" i="2"/>
  <c r="AE3687" i="2"/>
  <c r="AE3688" i="2"/>
  <c r="AE3689" i="2"/>
  <c r="AE3690" i="2"/>
  <c r="AE3691" i="2"/>
  <c r="AE3692" i="2"/>
  <c r="AE3693" i="2"/>
  <c r="AE3694" i="2"/>
  <c r="AE3695" i="2"/>
  <c r="AE3696" i="2"/>
  <c r="AE3697" i="2"/>
  <c r="AE3698" i="2"/>
  <c r="AE3699" i="2"/>
  <c r="AE3700" i="2"/>
  <c r="AE3701" i="2"/>
  <c r="AE3702" i="2"/>
  <c r="AE3703" i="2"/>
  <c r="AE3704" i="2"/>
  <c r="AE3705" i="2"/>
  <c r="AE3706" i="2"/>
  <c r="AE3707" i="2"/>
  <c r="AE3708" i="2"/>
  <c r="AE3709" i="2"/>
  <c r="AE3710" i="2"/>
  <c r="AE3711" i="2"/>
  <c r="AE3712" i="2"/>
  <c r="AE3713" i="2"/>
  <c r="AE3714" i="2"/>
  <c r="AE3715" i="2"/>
  <c r="AE3716" i="2"/>
  <c r="AE3717" i="2"/>
  <c r="AE3718" i="2"/>
  <c r="AE3719" i="2"/>
  <c r="AE3720" i="2"/>
  <c r="AE3721" i="2"/>
  <c r="AE3722" i="2"/>
  <c r="AE3723" i="2"/>
  <c r="AE3724" i="2"/>
  <c r="AE3725" i="2"/>
  <c r="AE3726" i="2"/>
  <c r="AE3727" i="2"/>
  <c r="AE3728" i="2"/>
  <c r="AE3729" i="2"/>
  <c r="AE3730" i="2"/>
  <c r="AE3731" i="2"/>
  <c r="AE3732" i="2"/>
  <c r="AE3733" i="2"/>
  <c r="AE3734" i="2"/>
  <c r="AE3735" i="2"/>
  <c r="AE3736" i="2"/>
  <c r="AE3737" i="2"/>
  <c r="AE3738" i="2"/>
  <c r="AE3739" i="2"/>
  <c r="AE3740" i="2"/>
  <c r="AE3741" i="2"/>
  <c r="AE3742" i="2"/>
  <c r="AE3743" i="2"/>
  <c r="AE3744" i="2"/>
  <c r="AE3745" i="2"/>
  <c r="AE3746" i="2"/>
  <c r="AE3747" i="2"/>
  <c r="AE3748" i="2"/>
  <c r="AE3749" i="2"/>
  <c r="AE3750" i="2"/>
  <c r="AE3751" i="2"/>
  <c r="AE3752" i="2"/>
  <c r="AE3753" i="2"/>
  <c r="AE3754" i="2"/>
  <c r="AE3755" i="2"/>
  <c r="AE3756" i="2"/>
  <c r="AE3757" i="2"/>
  <c r="AE3758" i="2"/>
  <c r="AE3759" i="2"/>
  <c r="AE3760" i="2"/>
  <c r="AE3761" i="2"/>
  <c r="AE3762" i="2"/>
  <c r="AE3763" i="2"/>
  <c r="AE3764" i="2"/>
  <c r="AE3765" i="2"/>
  <c r="AE3766" i="2"/>
  <c r="AE3767" i="2"/>
  <c r="AE3768" i="2"/>
  <c r="AE3769" i="2"/>
  <c r="AE3770" i="2"/>
  <c r="AE3771" i="2"/>
  <c r="AE3772" i="2"/>
  <c r="AE3773" i="2"/>
  <c r="AE3774" i="2"/>
  <c r="AE3775" i="2"/>
  <c r="AE3776" i="2"/>
  <c r="AE3777" i="2"/>
  <c r="AE3778" i="2"/>
  <c r="AE3779" i="2"/>
  <c r="AE3780" i="2"/>
  <c r="AE3781" i="2"/>
  <c r="AE3782" i="2"/>
  <c r="AE3783" i="2"/>
  <c r="AE3784" i="2"/>
  <c r="AE3785" i="2"/>
  <c r="AE3786" i="2"/>
  <c r="AE3787" i="2"/>
  <c r="AE3788" i="2"/>
  <c r="AE3789" i="2"/>
  <c r="AE3790" i="2"/>
  <c r="AE3791" i="2"/>
  <c r="AE3792" i="2"/>
  <c r="AE3793" i="2"/>
  <c r="AE3794" i="2"/>
  <c r="AE3795" i="2"/>
  <c r="AE3796" i="2"/>
  <c r="AE3797" i="2"/>
  <c r="AE3798" i="2"/>
  <c r="AE3799" i="2"/>
  <c r="AE3800" i="2"/>
  <c r="AE3801" i="2"/>
  <c r="AE3802" i="2"/>
  <c r="AE3803" i="2"/>
  <c r="AE3804" i="2"/>
  <c r="AE3805" i="2"/>
  <c r="AE3806" i="2"/>
  <c r="AE3807" i="2"/>
  <c r="AE3808" i="2"/>
  <c r="AE3809" i="2"/>
  <c r="AE3810" i="2"/>
  <c r="AE3811" i="2"/>
  <c r="AE3812" i="2"/>
  <c r="AE3813" i="2"/>
  <c r="AE3814" i="2"/>
  <c r="AE3815" i="2"/>
  <c r="AE3816" i="2"/>
  <c r="AE3817" i="2"/>
  <c r="AE3818" i="2"/>
  <c r="AE3819" i="2"/>
  <c r="AE3820" i="2"/>
  <c r="AE3821" i="2"/>
  <c r="AE3822" i="2"/>
  <c r="AE3823" i="2"/>
  <c r="AE3824" i="2"/>
  <c r="AE3825" i="2"/>
  <c r="AE3826" i="2"/>
  <c r="AE3827" i="2"/>
  <c r="AE3828" i="2"/>
  <c r="AE3829" i="2"/>
  <c r="AE3830" i="2"/>
  <c r="AE3831" i="2"/>
  <c r="AE3832" i="2"/>
  <c r="AE3833" i="2"/>
  <c r="AE3834" i="2"/>
  <c r="AE3835" i="2"/>
  <c r="AE3836" i="2"/>
  <c r="AE3837" i="2"/>
  <c r="AE3838" i="2"/>
  <c r="AE3839" i="2"/>
  <c r="AE3840" i="2"/>
  <c r="AE3841" i="2"/>
  <c r="AE3842" i="2"/>
  <c r="AE3843" i="2"/>
  <c r="AE3844" i="2"/>
  <c r="AE3845" i="2"/>
  <c r="AE3846" i="2"/>
  <c r="AE3847" i="2"/>
  <c r="AE3848" i="2"/>
  <c r="AE3849" i="2"/>
  <c r="AE3850" i="2"/>
  <c r="AE3851" i="2"/>
  <c r="AE3852" i="2"/>
  <c r="AE3853" i="2"/>
  <c r="AE3854" i="2"/>
  <c r="AE3855" i="2"/>
  <c r="AE3856" i="2"/>
  <c r="AE3857" i="2"/>
  <c r="AE3858" i="2"/>
  <c r="AE3859" i="2"/>
  <c r="AE3860" i="2"/>
  <c r="AE3861" i="2"/>
  <c r="AE3862" i="2"/>
  <c r="AE3863" i="2"/>
  <c r="AE3864" i="2"/>
  <c r="AE3865" i="2"/>
  <c r="AE3866" i="2"/>
  <c r="AE3867" i="2"/>
  <c r="AE3868" i="2"/>
  <c r="AE3869" i="2"/>
  <c r="AE3870" i="2"/>
  <c r="AE3871" i="2"/>
  <c r="AE3872" i="2"/>
  <c r="AE3873" i="2"/>
  <c r="AE3874" i="2"/>
  <c r="AE3875" i="2"/>
  <c r="AE3876" i="2"/>
  <c r="AE3877" i="2"/>
  <c r="AE3878" i="2"/>
  <c r="AE3879" i="2"/>
  <c r="AE3880" i="2"/>
  <c r="AE3881" i="2"/>
  <c r="AE3882" i="2"/>
  <c r="AE3883" i="2"/>
  <c r="AE3884" i="2"/>
  <c r="AE3885" i="2"/>
  <c r="AE3886" i="2"/>
  <c r="AE3887" i="2"/>
  <c r="AE3888" i="2"/>
  <c r="AE3889" i="2"/>
  <c r="AE3890" i="2"/>
  <c r="AE3891" i="2"/>
  <c r="AE3892" i="2"/>
  <c r="AE3893" i="2"/>
  <c r="AE3894" i="2"/>
  <c r="AE3895" i="2"/>
  <c r="AE3896" i="2"/>
  <c r="AE3897" i="2"/>
  <c r="AE3898" i="2"/>
  <c r="AE3899" i="2"/>
  <c r="AE3900" i="2"/>
  <c r="AE3901" i="2"/>
  <c r="AE3902" i="2"/>
  <c r="AE3903" i="2"/>
  <c r="AE3904" i="2"/>
  <c r="AE3905" i="2"/>
  <c r="AE3906" i="2"/>
  <c r="AE3907" i="2"/>
  <c r="AE3908" i="2"/>
  <c r="AE3909" i="2"/>
  <c r="AE3910" i="2"/>
  <c r="AE3911" i="2"/>
  <c r="AE3912" i="2"/>
  <c r="AE3913" i="2"/>
  <c r="AE3914" i="2"/>
  <c r="AE3915" i="2"/>
  <c r="AE3916" i="2"/>
  <c r="AE3917" i="2"/>
  <c r="AE3918" i="2"/>
  <c r="AE3919" i="2"/>
  <c r="AE3920" i="2"/>
  <c r="AE3921" i="2"/>
  <c r="AE3922" i="2"/>
  <c r="AE3923" i="2"/>
  <c r="AE3924" i="2"/>
  <c r="AE3925" i="2"/>
  <c r="AE3926" i="2"/>
  <c r="AE3927" i="2"/>
  <c r="AE3928" i="2"/>
  <c r="AE3929" i="2"/>
  <c r="AE3930" i="2"/>
  <c r="AE3931" i="2"/>
  <c r="AE3932" i="2"/>
  <c r="AE3933" i="2"/>
  <c r="AE3934" i="2"/>
  <c r="AE3935" i="2"/>
  <c r="AE3936" i="2"/>
  <c r="AE3937" i="2"/>
  <c r="AE3938" i="2"/>
  <c r="AE3939" i="2"/>
  <c r="AE3940" i="2"/>
  <c r="AE3941" i="2"/>
  <c r="AE3942" i="2"/>
  <c r="AE3943" i="2"/>
  <c r="AE3944" i="2"/>
  <c r="AE3945" i="2"/>
  <c r="AE3946" i="2"/>
  <c r="AE3947" i="2"/>
  <c r="AE3948" i="2"/>
  <c r="AE3949" i="2"/>
  <c r="AE3950" i="2"/>
  <c r="AE3951" i="2"/>
  <c r="AE3952" i="2"/>
  <c r="AE3953" i="2"/>
  <c r="AE3954" i="2"/>
  <c r="AE3955" i="2"/>
  <c r="AE3956" i="2"/>
  <c r="AE3957" i="2"/>
  <c r="AE3958" i="2"/>
  <c r="AE3959" i="2"/>
  <c r="AE3960" i="2"/>
  <c r="AE3961" i="2"/>
  <c r="AE3962" i="2"/>
  <c r="AE3963" i="2"/>
  <c r="AE3964" i="2"/>
  <c r="AE3965" i="2"/>
  <c r="AE3966" i="2"/>
  <c r="AE3967" i="2"/>
  <c r="AE3968" i="2"/>
  <c r="AE3969" i="2"/>
  <c r="AE3970" i="2"/>
  <c r="AE3971" i="2"/>
  <c r="AE3972" i="2"/>
  <c r="AE3973" i="2"/>
  <c r="AE3974" i="2"/>
  <c r="AE3975" i="2"/>
  <c r="AE3976" i="2"/>
  <c r="AE3977" i="2"/>
  <c r="AE3978" i="2"/>
  <c r="AE3979" i="2"/>
  <c r="AE3980" i="2"/>
  <c r="AE3981" i="2"/>
  <c r="AE3982" i="2"/>
  <c r="AE3983" i="2"/>
  <c r="AE3984" i="2"/>
  <c r="AE3985" i="2"/>
  <c r="AE3986" i="2"/>
  <c r="AE3987" i="2"/>
  <c r="AE3988" i="2"/>
  <c r="AE3989" i="2"/>
  <c r="AE3990" i="2"/>
  <c r="AE3991" i="2"/>
  <c r="AE3992" i="2"/>
  <c r="AE3993" i="2"/>
  <c r="AE3994" i="2"/>
  <c r="AE3995" i="2"/>
  <c r="AE3996" i="2"/>
  <c r="AE3997" i="2"/>
  <c r="AE3998" i="2"/>
  <c r="AE3999" i="2"/>
  <c r="AE4000" i="2"/>
  <c r="AE4001" i="2"/>
  <c r="AE4002" i="2"/>
  <c r="AE4003" i="2"/>
  <c r="AE4004" i="2"/>
  <c r="AE4005" i="2"/>
  <c r="AE4006" i="2"/>
  <c r="AE4007" i="2"/>
  <c r="AE4008" i="2"/>
  <c r="AE4009" i="2"/>
  <c r="AE4010" i="2"/>
  <c r="AE4011" i="2"/>
  <c r="AE4012" i="2"/>
  <c r="AE4013" i="2"/>
  <c r="AE4014" i="2"/>
  <c r="AE4015" i="2"/>
  <c r="AE4016" i="2"/>
  <c r="AE4017" i="2"/>
  <c r="AE4018" i="2"/>
  <c r="AE4019" i="2"/>
  <c r="AE4020" i="2"/>
  <c r="AE4021" i="2"/>
  <c r="AE4022" i="2"/>
  <c r="AE4023" i="2"/>
  <c r="AE4024" i="2"/>
  <c r="AE4025" i="2"/>
  <c r="AE4026" i="2"/>
  <c r="AE4027" i="2"/>
  <c r="AE4028" i="2"/>
  <c r="AE4029" i="2"/>
  <c r="AE4030" i="2"/>
  <c r="AE4031" i="2"/>
  <c r="AE4032" i="2"/>
  <c r="AE4033" i="2"/>
  <c r="AE4034" i="2"/>
  <c r="AE4035" i="2"/>
  <c r="AE4036" i="2"/>
  <c r="AE4037" i="2"/>
  <c r="AE4038" i="2"/>
  <c r="AE4039" i="2"/>
  <c r="AE4040" i="2"/>
  <c r="AE4041" i="2"/>
  <c r="AE4042" i="2"/>
  <c r="AE4043" i="2"/>
  <c r="AE4044" i="2"/>
  <c r="AE4045" i="2"/>
  <c r="AE4046" i="2"/>
  <c r="AE4047" i="2"/>
  <c r="AE4048" i="2"/>
  <c r="AE4049" i="2"/>
  <c r="AE4050" i="2"/>
  <c r="AE4051" i="2"/>
  <c r="AE4052" i="2"/>
  <c r="AE4053" i="2"/>
  <c r="AE4054" i="2"/>
  <c r="AE4055" i="2"/>
  <c r="AE4056" i="2"/>
  <c r="AE4057" i="2"/>
  <c r="AE4058" i="2"/>
  <c r="AE4059" i="2"/>
  <c r="AE4060" i="2"/>
  <c r="AE4061" i="2"/>
  <c r="AE4062" i="2"/>
  <c r="AE4063" i="2"/>
  <c r="AE4064" i="2"/>
  <c r="AE4065" i="2"/>
  <c r="AE4066" i="2"/>
  <c r="AE4067" i="2"/>
  <c r="AE4068" i="2"/>
  <c r="AE4069" i="2"/>
  <c r="AE4070" i="2"/>
  <c r="AE4071" i="2"/>
  <c r="AE4072" i="2"/>
  <c r="AE4073" i="2"/>
  <c r="AE4074" i="2"/>
  <c r="AE4075" i="2"/>
  <c r="AE4076" i="2"/>
  <c r="AE4077" i="2"/>
  <c r="AE4078" i="2"/>
  <c r="AE4079" i="2"/>
  <c r="AE4080" i="2"/>
  <c r="AE4081" i="2"/>
  <c r="AE4082" i="2"/>
  <c r="AE4083" i="2"/>
  <c r="AE4084" i="2"/>
  <c r="AE4085" i="2"/>
  <c r="AE4086" i="2"/>
  <c r="AE4087" i="2"/>
  <c r="AE4088" i="2"/>
  <c r="AE4089" i="2"/>
  <c r="AE4090" i="2"/>
  <c r="AE4091" i="2"/>
  <c r="AE4092" i="2"/>
  <c r="AE4093" i="2"/>
  <c r="AE4094" i="2"/>
  <c r="AE4095" i="2"/>
  <c r="AE4096" i="2"/>
  <c r="AE4097" i="2"/>
  <c r="AE4098" i="2"/>
  <c r="AE4099" i="2"/>
  <c r="AE4100" i="2"/>
  <c r="AE4101" i="2"/>
  <c r="AE4102" i="2"/>
  <c r="AE4103" i="2"/>
  <c r="AE4104" i="2"/>
  <c r="AE4105" i="2"/>
  <c r="AE4106" i="2"/>
  <c r="AE4107" i="2"/>
  <c r="AE4108" i="2"/>
  <c r="AE4109" i="2"/>
  <c r="AE4110" i="2"/>
  <c r="AE4111" i="2"/>
  <c r="AE4112" i="2"/>
  <c r="AE4113" i="2"/>
  <c r="AE4114" i="2"/>
  <c r="AE4115" i="2"/>
  <c r="AE4116" i="2"/>
  <c r="AE4117" i="2"/>
  <c r="AE4118" i="2"/>
  <c r="AE4119" i="2"/>
  <c r="AE4120" i="2"/>
  <c r="AE4121" i="2"/>
  <c r="AE4122" i="2"/>
  <c r="AE4123" i="2"/>
  <c r="AE4124" i="2"/>
  <c r="AE4125" i="2"/>
  <c r="AE4126" i="2"/>
  <c r="AE4127" i="2"/>
  <c r="AE4128" i="2"/>
  <c r="AE4129" i="2"/>
  <c r="AE4130" i="2"/>
  <c r="AE4131" i="2"/>
  <c r="AE4132" i="2"/>
  <c r="AE4133" i="2"/>
  <c r="AE4134" i="2"/>
  <c r="AE4135" i="2"/>
  <c r="AE4136" i="2"/>
  <c r="AE4137" i="2"/>
  <c r="AE4138" i="2"/>
  <c r="AE4139" i="2"/>
  <c r="AE4140" i="2"/>
  <c r="AE4141" i="2"/>
  <c r="AE4142" i="2"/>
  <c r="AE4143" i="2"/>
  <c r="AE4144" i="2"/>
  <c r="AE4145" i="2"/>
  <c r="AE4146" i="2"/>
  <c r="AE4147" i="2"/>
  <c r="AE4148" i="2"/>
  <c r="AE4149" i="2"/>
  <c r="AE4150" i="2"/>
  <c r="AE4151" i="2"/>
  <c r="AE4152" i="2"/>
  <c r="AE4153" i="2"/>
  <c r="AE4154" i="2"/>
  <c r="AE4155" i="2"/>
  <c r="AE4156" i="2"/>
  <c r="AE4157" i="2"/>
  <c r="AE4158" i="2"/>
  <c r="AE4159" i="2"/>
  <c r="AE4160" i="2"/>
  <c r="AE4161" i="2"/>
  <c r="AE4162" i="2"/>
  <c r="AE4163" i="2"/>
  <c r="AE4164" i="2"/>
  <c r="AE4165" i="2"/>
  <c r="AE4166" i="2"/>
  <c r="AE4167" i="2"/>
  <c r="AE4168" i="2"/>
  <c r="AE4169" i="2"/>
  <c r="AE4170" i="2"/>
  <c r="AE4171" i="2"/>
  <c r="AE4172" i="2"/>
  <c r="AE4173" i="2"/>
  <c r="AE4174" i="2"/>
  <c r="AE4175" i="2"/>
  <c r="AE4176" i="2"/>
  <c r="AE4177" i="2"/>
  <c r="AE4178" i="2"/>
  <c r="AE4179" i="2"/>
  <c r="AE4180" i="2"/>
  <c r="AE4181" i="2"/>
  <c r="AE4182" i="2"/>
  <c r="AE4183" i="2"/>
  <c r="AE4184" i="2"/>
  <c r="AE4185" i="2"/>
  <c r="AE4186" i="2"/>
  <c r="AE4187" i="2"/>
  <c r="AE4188" i="2"/>
  <c r="AE4189" i="2"/>
  <c r="AE4190" i="2"/>
  <c r="AE4191" i="2"/>
  <c r="AE4192" i="2"/>
  <c r="AE4193" i="2"/>
  <c r="AE4194" i="2"/>
  <c r="AE4195" i="2"/>
  <c r="AE4196" i="2"/>
  <c r="AE4197" i="2"/>
  <c r="AE4198" i="2"/>
  <c r="AE4199" i="2"/>
  <c r="AE4200" i="2"/>
  <c r="AE4201" i="2"/>
  <c r="AE4202" i="2"/>
  <c r="AE4203" i="2"/>
  <c r="AE4204" i="2"/>
  <c r="AE4205" i="2"/>
  <c r="AE4206" i="2"/>
  <c r="AE4207" i="2"/>
  <c r="AE4208" i="2"/>
  <c r="AE4209" i="2"/>
  <c r="AE4210" i="2"/>
  <c r="AE4211" i="2"/>
  <c r="AE4212" i="2"/>
  <c r="AE4213" i="2"/>
  <c r="AE4214" i="2"/>
  <c r="AE4215" i="2"/>
  <c r="AE4216" i="2"/>
  <c r="AE4217" i="2"/>
  <c r="AE4218" i="2"/>
  <c r="AE4219" i="2"/>
  <c r="AE4220" i="2"/>
  <c r="AE4221" i="2"/>
  <c r="AE4222" i="2"/>
  <c r="AE4223" i="2"/>
  <c r="AE4224" i="2"/>
  <c r="AE4225" i="2"/>
  <c r="AE4226" i="2"/>
  <c r="AE4227" i="2"/>
  <c r="AE4228" i="2"/>
  <c r="AE4229" i="2"/>
  <c r="AE4230" i="2"/>
  <c r="AE4231" i="2"/>
  <c r="AE4232" i="2"/>
  <c r="AE4233" i="2"/>
  <c r="AE4234" i="2"/>
  <c r="AE4235" i="2"/>
  <c r="AE4236" i="2"/>
  <c r="AE4237" i="2"/>
  <c r="AE4238" i="2"/>
  <c r="AE4239" i="2"/>
  <c r="AE4240" i="2"/>
  <c r="AE4241" i="2"/>
  <c r="AE4242" i="2"/>
  <c r="AE4243" i="2"/>
  <c r="AE4244" i="2"/>
  <c r="AE4245" i="2"/>
  <c r="AE4246" i="2"/>
  <c r="AE4247" i="2"/>
  <c r="AE4248" i="2"/>
  <c r="AE4249" i="2"/>
  <c r="AE4250" i="2"/>
  <c r="AE4251" i="2"/>
  <c r="AE4252" i="2"/>
  <c r="AE4253" i="2"/>
  <c r="AE4254" i="2"/>
  <c r="AE4255" i="2"/>
  <c r="AE4256" i="2"/>
  <c r="AE4257" i="2"/>
  <c r="AE4258" i="2"/>
  <c r="AE4259" i="2"/>
  <c r="AE4260" i="2"/>
  <c r="AE4261" i="2"/>
  <c r="AE4262" i="2"/>
  <c r="AE4263" i="2"/>
  <c r="AE4264" i="2"/>
  <c r="AE4265" i="2"/>
  <c r="AE4266" i="2"/>
  <c r="AE4267" i="2"/>
  <c r="AE4268" i="2"/>
  <c r="AE4269" i="2"/>
  <c r="AE4270" i="2"/>
  <c r="AE4271" i="2"/>
  <c r="AE4272" i="2"/>
  <c r="AE4273" i="2"/>
  <c r="AE4274" i="2"/>
  <c r="AE4275" i="2"/>
  <c r="AE4276" i="2"/>
  <c r="AE4277" i="2"/>
  <c r="AE4278" i="2"/>
  <c r="AE4279" i="2"/>
  <c r="AE4280" i="2"/>
  <c r="AE4281" i="2"/>
  <c r="AE4282" i="2"/>
  <c r="AE4283" i="2"/>
  <c r="AE4284" i="2"/>
  <c r="AE4285" i="2"/>
  <c r="AE4286" i="2"/>
  <c r="AE4287" i="2"/>
  <c r="AE4288" i="2"/>
  <c r="AE4289" i="2"/>
  <c r="AE4290" i="2"/>
  <c r="AE4291" i="2"/>
  <c r="AE4292" i="2"/>
  <c r="AE4293" i="2"/>
  <c r="AE4294" i="2"/>
  <c r="AE4295" i="2"/>
  <c r="AE4296" i="2"/>
  <c r="AE4297" i="2"/>
  <c r="AE4298" i="2"/>
  <c r="AE4299" i="2"/>
  <c r="AE4300" i="2"/>
  <c r="AE4301" i="2"/>
  <c r="AE4302" i="2"/>
  <c r="AE4303" i="2"/>
  <c r="AE4304" i="2"/>
  <c r="AE4305" i="2"/>
  <c r="AE4306" i="2"/>
  <c r="AE4307" i="2"/>
  <c r="AE4308" i="2"/>
  <c r="AE4309" i="2"/>
  <c r="AE4310" i="2"/>
  <c r="AE4311" i="2"/>
  <c r="AE4312" i="2"/>
  <c r="AE4313" i="2"/>
  <c r="AE4314" i="2"/>
  <c r="AE4315" i="2"/>
  <c r="AE4316" i="2"/>
  <c r="AE4317" i="2"/>
  <c r="AE4318" i="2"/>
  <c r="AE4319" i="2"/>
  <c r="AE4320" i="2"/>
  <c r="AE4321" i="2"/>
  <c r="AE4322" i="2"/>
  <c r="AE4323" i="2"/>
  <c r="AE4324" i="2"/>
  <c r="AE4325" i="2"/>
  <c r="AE4326" i="2"/>
  <c r="AE4327" i="2"/>
  <c r="AE4328" i="2"/>
  <c r="AE4329" i="2"/>
  <c r="AE4330" i="2"/>
  <c r="AE4331" i="2"/>
  <c r="AE4332" i="2"/>
  <c r="AE4333" i="2"/>
  <c r="AE4334" i="2"/>
  <c r="AE4335" i="2"/>
  <c r="AE4336" i="2"/>
  <c r="AE4337" i="2"/>
  <c r="AE4338" i="2"/>
  <c r="AE4339" i="2"/>
  <c r="AE4340" i="2"/>
  <c r="AE4341" i="2"/>
  <c r="AE4342" i="2"/>
  <c r="AE4343" i="2"/>
  <c r="AE4344" i="2"/>
  <c r="AE4345" i="2"/>
  <c r="AE4346" i="2"/>
  <c r="AE4347" i="2"/>
  <c r="AE4348" i="2"/>
  <c r="AE4349" i="2"/>
  <c r="AE4350" i="2"/>
  <c r="AE4351" i="2"/>
  <c r="AE4352" i="2"/>
  <c r="AE4353" i="2"/>
  <c r="AE4354" i="2"/>
  <c r="AE4355" i="2"/>
  <c r="AE4356" i="2"/>
  <c r="AE4357" i="2"/>
  <c r="AE4358" i="2"/>
  <c r="AE4359" i="2"/>
  <c r="AE4360" i="2"/>
  <c r="AE4361" i="2"/>
  <c r="AE4362" i="2"/>
  <c r="AE4363" i="2"/>
  <c r="AE4364" i="2"/>
  <c r="AE4365" i="2"/>
  <c r="AE4366" i="2"/>
  <c r="AE4367" i="2"/>
  <c r="AE4368" i="2"/>
  <c r="AE4369" i="2"/>
  <c r="AE4370" i="2"/>
  <c r="AE4371" i="2"/>
  <c r="AE4372" i="2"/>
  <c r="AE4373" i="2"/>
  <c r="AE4374" i="2"/>
  <c r="AE4375" i="2"/>
  <c r="AE4376" i="2"/>
  <c r="AE4377" i="2"/>
  <c r="AE4378" i="2"/>
  <c r="AE4379" i="2"/>
  <c r="AE4380" i="2"/>
  <c r="AE4381" i="2"/>
  <c r="AE4382" i="2"/>
  <c r="AE4383" i="2"/>
  <c r="AE4384" i="2"/>
  <c r="AE4385" i="2"/>
  <c r="AE4386" i="2"/>
  <c r="AE4387" i="2"/>
  <c r="AE4388" i="2"/>
  <c r="AE4389" i="2"/>
  <c r="AE4390" i="2"/>
  <c r="AE4391" i="2"/>
  <c r="AE4392" i="2"/>
  <c r="AE4393" i="2"/>
  <c r="AE4394" i="2"/>
  <c r="AE4395" i="2"/>
  <c r="AE4396" i="2"/>
  <c r="AE4397" i="2"/>
  <c r="AE4398" i="2"/>
  <c r="AE4399" i="2"/>
  <c r="AE4400" i="2"/>
  <c r="AE4401" i="2"/>
  <c r="AE4402" i="2"/>
  <c r="AE4403" i="2"/>
  <c r="AE4404" i="2"/>
  <c r="AE4405" i="2"/>
  <c r="AE4406" i="2"/>
  <c r="AE4407" i="2"/>
  <c r="AE4408" i="2"/>
  <c r="AE4409" i="2"/>
  <c r="AE4410" i="2"/>
  <c r="AE4411" i="2"/>
  <c r="AE4412" i="2"/>
  <c r="AE4413" i="2"/>
  <c r="AE4414" i="2"/>
  <c r="AE4415" i="2"/>
  <c r="AE4416" i="2"/>
  <c r="AE4417" i="2"/>
  <c r="AE4418" i="2"/>
  <c r="AE4419" i="2"/>
  <c r="AE4420" i="2"/>
  <c r="AE4421" i="2"/>
  <c r="AE4422" i="2"/>
  <c r="AE4423" i="2"/>
  <c r="AE4424" i="2"/>
  <c r="AE4425" i="2"/>
  <c r="AE4426" i="2"/>
  <c r="AE4427" i="2"/>
  <c r="AE4428" i="2"/>
  <c r="AE4429" i="2"/>
  <c r="AE4430" i="2"/>
  <c r="AE4431" i="2"/>
  <c r="AE4432" i="2"/>
  <c r="AE4433" i="2"/>
  <c r="AE4434" i="2"/>
  <c r="AE4435" i="2"/>
  <c r="AE4436" i="2"/>
  <c r="AE4437" i="2"/>
  <c r="AE4438" i="2"/>
  <c r="AE4439" i="2"/>
  <c r="AE4440" i="2"/>
  <c r="AE4441" i="2"/>
  <c r="AE4442" i="2"/>
  <c r="AE4443" i="2"/>
  <c r="AE4444" i="2"/>
  <c r="AE4445" i="2"/>
  <c r="AE4446" i="2"/>
  <c r="AE4447" i="2"/>
  <c r="AE4448" i="2"/>
  <c r="AE4449" i="2"/>
  <c r="AE4450" i="2"/>
  <c r="AE4451" i="2"/>
  <c r="AE4452" i="2"/>
  <c r="AE4453" i="2"/>
  <c r="AE4454" i="2"/>
  <c r="AE4455" i="2"/>
  <c r="AE4456" i="2"/>
  <c r="AE4457" i="2"/>
  <c r="AE4458" i="2"/>
  <c r="AE4459" i="2"/>
  <c r="AE4460" i="2"/>
  <c r="AE4461" i="2"/>
  <c r="AE4462" i="2"/>
  <c r="AE4463" i="2"/>
  <c r="AE4464" i="2"/>
  <c r="AE4465" i="2"/>
  <c r="AE4466" i="2"/>
  <c r="AE4467" i="2"/>
  <c r="AE4468" i="2"/>
  <c r="AE4469" i="2"/>
  <c r="AE4470" i="2"/>
  <c r="AE4471" i="2"/>
  <c r="AE4472" i="2"/>
  <c r="AE4473" i="2"/>
  <c r="AE4474" i="2"/>
  <c r="AE4475" i="2"/>
  <c r="AE4476" i="2"/>
  <c r="AE4477" i="2"/>
  <c r="AE4478" i="2"/>
  <c r="AE4479" i="2"/>
  <c r="AE4480" i="2"/>
  <c r="AE4481" i="2"/>
  <c r="AE4482" i="2"/>
  <c r="AE4483" i="2"/>
  <c r="AE4484" i="2"/>
  <c r="AE4485" i="2"/>
  <c r="AE4486" i="2"/>
  <c r="AE4487" i="2"/>
  <c r="AE4488" i="2"/>
  <c r="AE4489" i="2"/>
  <c r="AE4490" i="2"/>
  <c r="AE4491" i="2"/>
  <c r="AE4492" i="2"/>
  <c r="AE4493" i="2"/>
  <c r="AE4494" i="2"/>
  <c r="AE4495" i="2"/>
  <c r="AE4496" i="2"/>
  <c r="AE4497" i="2"/>
  <c r="AE4498" i="2"/>
  <c r="AE4499" i="2"/>
  <c r="AE4500" i="2"/>
  <c r="AE4501" i="2"/>
  <c r="AE4502" i="2"/>
  <c r="AE4503" i="2"/>
  <c r="AE4504" i="2"/>
  <c r="AE4505" i="2"/>
  <c r="AE4506" i="2"/>
  <c r="AE4507" i="2"/>
  <c r="AE4508" i="2"/>
  <c r="AE4509" i="2"/>
  <c r="AE4510" i="2"/>
  <c r="AE4511" i="2"/>
  <c r="AE4512" i="2"/>
  <c r="AE4513" i="2"/>
  <c r="AE4514" i="2"/>
  <c r="AE4515" i="2"/>
  <c r="AE4516" i="2"/>
  <c r="AE4517" i="2"/>
  <c r="AE4518" i="2"/>
  <c r="AE4519" i="2"/>
  <c r="AE4520" i="2"/>
  <c r="AE4521" i="2"/>
  <c r="AE4522" i="2"/>
  <c r="AE4523" i="2"/>
  <c r="AE4524" i="2"/>
  <c r="AE4525" i="2"/>
  <c r="AE4526" i="2"/>
  <c r="AE4527" i="2"/>
  <c r="AE4528" i="2"/>
  <c r="AE4529" i="2"/>
  <c r="AE4530" i="2"/>
  <c r="AE4531" i="2"/>
  <c r="AE4532" i="2"/>
  <c r="AE4533" i="2"/>
  <c r="AE4534" i="2"/>
  <c r="AE4535" i="2"/>
  <c r="AE4536" i="2"/>
  <c r="AE4537" i="2"/>
  <c r="AE4538" i="2"/>
  <c r="AE4539" i="2"/>
  <c r="AE4540" i="2"/>
  <c r="AE4541" i="2"/>
  <c r="AE4542" i="2"/>
  <c r="AE4543" i="2"/>
  <c r="AE4544" i="2"/>
  <c r="AE4545" i="2"/>
  <c r="AE4546" i="2"/>
  <c r="AE4547" i="2"/>
  <c r="AE4548" i="2"/>
  <c r="AE4549" i="2"/>
  <c r="AE4550" i="2"/>
  <c r="AE4551" i="2"/>
  <c r="AE4552" i="2"/>
  <c r="AE4553" i="2"/>
  <c r="AE4554" i="2"/>
  <c r="AE4555" i="2"/>
  <c r="AE4556" i="2"/>
  <c r="AE4557" i="2"/>
  <c r="AE4558" i="2"/>
  <c r="AE4559" i="2"/>
  <c r="AE4560" i="2"/>
  <c r="AE4561" i="2"/>
  <c r="AE4562" i="2"/>
  <c r="AE4563" i="2"/>
  <c r="AE4564" i="2"/>
  <c r="AE4565" i="2"/>
  <c r="AE4566" i="2"/>
  <c r="AE4567" i="2"/>
  <c r="AE4568" i="2"/>
  <c r="AE4569" i="2"/>
  <c r="AE4570" i="2"/>
  <c r="AE4571" i="2"/>
  <c r="AE4572" i="2"/>
  <c r="AE4573" i="2"/>
  <c r="AE4574" i="2"/>
  <c r="AE4575" i="2"/>
  <c r="AE4576" i="2"/>
  <c r="AE4577" i="2"/>
  <c r="AE4578" i="2"/>
  <c r="AE4579" i="2"/>
  <c r="AE4580" i="2"/>
  <c r="AE4581" i="2"/>
  <c r="AE4582" i="2"/>
  <c r="AE4583" i="2"/>
  <c r="AE4584" i="2"/>
  <c r="AE4585" i="2"/>
  <c r="AE4586" i="2"/>
  <c r="AE4587" i="2"/>
  <c r="AE4588" i="2"/>
  <c r="AE4589" i="2"/>
  <c r="AE4590" i="2"/>
  <c r="AE4591" i="2"/>
  <c r="AE4592" i="2"/>
  <c r="AE4593" i="2"/>
  <c r="AE4594" i="2"/>
  <c r="AE4595" i="2"/>
  <c r="AE4596" i="2"/>
  <c r="AE4597" i="2"/>
  <c r="AE4598" i="2"/>
  <c r="AE4599" i="2"/>
  <c r="AE4600" i="2"/>
  <c r="AE4601" i="2"/>
  <c r="AE4602" i="2"/>
  <c r="AE4603" i="2"/>
  <c r="AE4604" i="2"/>
  <c r="AE4605" i="2"/>
  <c r="AE4606" i="2"/>
  <c r="AE4607" i="2"/>
  <c r="AE4608" i="2"/>
  <c r="AE4609" i="2"/>
  <c r="AE4610" i="2"/>
  <c r="AE4611" i="2"/>
  <c r="AE4612" i="2"/>
  <c r="AE4613" i="2"/>
  <c r="AE4614" i="2"/>
  <c r="AE4615" i="2"/>
  <c r="AE4616" i="2"/>
  <c r="AE4617" i="2"/>
  <c r="AE4618" i="2"/>
  <c r="AE4619" i="2"/>
  <c r="AE4620" i="2"/>
  <c r="AE4621" i="2"/>
  <c r="AE4622" i="2"/>
  <c r="AE4623" i="2"/>
  <c r="AE4624" i="2"/>
  <c r="AE4625" i="2"/>
  <c r="AE4626" i="2"/>
  <c r="AE4627" i="2"/>
  <c r="AE4628" i="2"/>
  <c r="AE4629" i="2"/>
  <c r="AE4630" i="2"/>
  <c r="AE4631" i="2"/>
  <c r="AE4632" i="2"/>
  <c r="AE4633" i="2"/>
  <c r="AE4634" i="2"/>
  <c r="AE4635" i="2"/>
  <c r="AE4636" i="2"/>
  <c r="AE4637" i="2"/>
  <c r="AE4638" i="2"/>
  <c r="AE4639" i="2"/>
  <c r="AE4640" i="2"/>
  <c r="AE4641" i="2"/>
  <c r="AE4642" i="2"/>
  <c r="AE4643" i="2"/>
  <c r="AE4644" i="2"/>
  <c r="AE4645" i="2"/>
  <c r="AE4646" i="2"/>
  <c r="AE4647" i="2"/>
  <c r="AE4648" i="2"/>
  <c r="AE4649" i="2"/>
  <c r="AE4650" i="2"/>
  <c r="AE4651" i="2"/>
  <c r="AE4652" i="2"/>
  <c r="AE4653" i="2"/>
  <c r="AE4654" i="2"/>
  <c r="AE4655" i="2"/>
  <c r="AE4656" i="2"/>
  <c r="AE4657" i="2"/>
  <c r="AE4658" i="2"/>
  <c r="AE4659" i="2"/>
  <c r="AE4660" i="2"/>
  <c r="AE4661" i="2"/>
  <c r="AE4662" i="2"/>
  <c r="AE4663" i="2"/>
  <c r="AE4664" i="2"/>
  <c r="AE4665" i="2"/>
  <c r="AE4666" i="2"/>
  <c r="AE4667" i="2"/>
  <c r="AE4668" i="2"/>
  <c r="AE4669" i="2"/>
  <c r="AE4670" i="2"/>
  <c r="AE4671" i="2"/>
  <c r="AE4672" i="2"/>
  <c r="AE4673" i="2"/>
  <c r="AE4674" i="2"/>
  <c r="AE4675" i="2"/>
  <c r="AE4676" i="2"/>
  <c r="AE4677" i="2"/>
  <c r="AE4678" i="2"/>
  <c r="AE4679" i="2"/>
  <c r="AE4680" i="2"/>
  <c r="AE4681" i="2"/>
  <c r="AE4682" i="2"/>
  <c r="AE4683" i="2"/>
  <c r="AE4684" i="2"/>
  <c r="AE4685" i="2"/>
  <c r="AE4686" i="2"/>
  <c r="AE4687" i="2"/>
  <c r="AE4688" i="2"/>
  <c r="AE4689" i="2"/>
  <c r="AE4690" i="2"/>
  <c r="AE4691" i="2"/>
  <c r="AE4692" i="2"/>
  <c r="AE4693" i="2"/>
  <c r="AE4694" i="2"/>
  <c r="AE4695" i="2"/>
  <c r="AE4696" i="2"/>
  <c r="AE4697" i="2"/>
  <c r="AE4698" i="2"/>
  <c r="AE4699" i="2"/>
  <c r="AE4700" i="2"/>
  <c r="AE4701" i="2"/>
  <c r="AE4702" i="2"/>
  <c r="AE4703" i="2"/>
  <c r="AE4704" i="2"/>
  <c r="AE4705" i="2"/>
  <c r="AE4706" i="2"/>
  <c r="AE4707" i="2"/>
  <c r="AE4708" i="2"/>
  <c r="AE4709" i="2"/>
  <c r="AE4710" i="2"/>
  <c r="AE4711" i="2"/>
  <c r="AE4712" i="2"/>
  <c r="AE4713" i="2"/>
  <c r="AE4714" i="2"/>
  <c r="AE4715" i="2"/>
  <c r="AE4716" i="2"/>
  <c r="AE4717" i="2"/>
  <c r="AE4718" i="2"/>
  <c r="AE4719" i="2"/>
  <c r="AE4720" i="2"/>
  <c r="AE4721" i="2"/>
  <c r="AE4722" i="2"/>
  <c r="AE4723" i="2"/>
  <c r="AE4724" i="2"/>
  <c r="AE4725" i="2"/>
  <c r="AE4726" i="2"/>
  <c r="AE4727" i="2"/>
  <c r="AE4728" i="2"/>
  <c r="AE4729" i="2"/>
  <c r="AE4730" i="2"/>
  <c r="AE4731" i="2"/>
  <c r="AE4732" i="2"/>
  <c r="AE4733" i="2"/>
  <c r="AE4734" i="2"/>
  <c r="AE4735" i="2"/>
  <c r="AE4736" i="2"/>
  <c r="AE4737" i="2"/>
  <c r="AE4738" i="2"/>
  <c r="AE4739" i="2"/>
  <c r="AE4740" i="2"/>
  <c r="AE4741" i="2"/>
  <c r="AE4742" i="2"/>
  <c r="AE4743" i="2"/>
  <c r="AE4744" i="2"/>
  <c r="AE4745" i="2"/>
  <c r="AE4746" i="2"/>
  <c r="AE4747" i="2"/>
  <c r="AE4748" i="2"/>
  <c r="AE4749" i="2"/>
  <c r="AE4750" i="2"/>
  <c r="AE4751" i="2"/>
  <c r="AE4752" i="2"/>
  <c r="AE4753" i="2"/>
  <c r="AE4754" i="2"/>
  <c r="AE4755" i="2"/>
  <c r="AE4756" i="2"/>
  <c r="AE4757" i="2"/>
  <c r="AE4758" i="2"/>
  <c r="AE4759" i="2"/>
  <c r="AE4760" i="2"/>
  <c r="AE4761" i="2"/>
  <c r="AE4762" i="2"/>
  <c r="AE4763" i="2"/>
  <c r="AE4764" i="2"/>
  <c r="AE4765" i="2"/>
  <c r="AE4766" i="2"/>
  <c r="AE4767" i="2"/>
  <c r="AE4768" i="2"/>
  <c r="AE4769" i="2"/>
  <c r="AE4770" i="2"/>
  <c r="AE4771" i="2"/>
  <c r="AE4772" i="2"/>
  <c r="AE4773" i="2"/>
  <c r="AE4774" i="2"/>
  <c r="AE4775" i="2"/>
  <c r="AE4776" i="2"/>
  <c r="AE4777" i="2"/>
  <c r="AE4778" i="2"/>
  <c r="AE4779" i="2"/>
  <c r="AE4780" i="2"/>
  <c r="AE4781" i="2"/>
  <c r="AE4782" i="2"/>
  <c r="AE4783" i="2"/>
  <c r="AE4784" i="2"/>
  <c r="AE4785" i="2"/>
  <c r="AE4786" i="2"/>
  <c r="AE4787" i="2"/>
  <c r="AE4788" i="2"/>
  <c r="AE4789" i="2"/>
  <c r="AE4790" i="2"/>
  <c r="AE4791" i="2"/>
  <c r="AE4792" i="2"/>
  <c r="AE4793" i="2"/>
  <c r="AE4794" i="2"/>
  <c r="AE4795" i="2"/>
  <c r="AE4796" i="2"/>
  <c r="AE4797" i="2"/>
  <c r="AE4798" i="2"/>
  <c r="AE4799" i="2"/>
  <c r="AE4800" i="2"/>
  <c r="AE4801" i="2"/>
  <c r="AE4802" i="2"/>
  <c r="AE4803" i="2"/>
  <c r="AE4804" i="2"/>
  <c r="AE4805" i="2"/>
  <c r="AE4806" i="2"/>
  <c r="AE4807" i="2"/>
  <c r="AE4808" i="2"/>
  <c r="AE4809" i="2"/>
  <c r="AE4810" i="2"/>
  <c r="AE4811" i="2"/>
  <c r="AE4812" i="2"/>
  <c r="AE4813" i="2"/>
  <c r="AE4814" i="2"/>
  <c r="AE4815" i="2"/>
  <c r="AE4816" i="2"/>
  <c r="AE4817" i="2"/>
  <c r="AE4818" i="2"/>
  <c r="AE4819" i="2"/>
  <c r="AE4820" i="2"/>
  <c r="AE4821" i="2"/>
  <c r="AE4822" i="2"/>
  <c r="AE4823" i="2"/>
  <c r="AE4824" i="2"/>
  <c r="AE4825" i="2"/>
  <c r="AE4826" i="2"/>
  <c r="AE4827" i="2"/>
  <c r="AE4828" i="2"/>
  <c r="AE4829" i="2"/>
  <c r="AE4830" i="2"/>
  <c r="AE4831" i="2"/>
  <c r="AE4832" i="2"/>
  <c r="AE4833" i="2"/>
  <c r="AE4834" i="2"/>
  <c r="AE4835" i="2"/>
  <c r="AE4836" i="2"/>
  <c r="AE4837" i="2"/>
  <c r="AE4838" i="2"/>
  <c r="AE4839" i="2"/>
  <c r="AE4840" i="2"/>
  <c r="AE4841" i="2"/>
  <c r="AE4842" i="2"/>
  <c r="AE4843" i="2"/>
  <c r="AE4844" i="2"/>
  <c r="AE4845" i="2"/>
  <c r="AE4846" i="2"/>
  <c r="AE4847" i="2"/>
  <c r="AE4848" i="2"/>
  <c r="AE4849" i="2"/>
  <c r="AE4850" i="2"/>
  <c r="AE4851" i="2"/>
  <c r="AE4852" i="2"/>
  <c r="AE4853" i="2"/>
  <c r="AE4854" i="2"/>
  <c r="AE4855" i="2"/>
  <c r="AE4856" i="2"/>
  <c r="AE4857" i="2"/>
  <c r="AE4858" i="2"/>
  <c r="AE4859" i="2"/>
  <c r="AE4860" i="2"/>
  <c r="AE4861" i="2"/>
  <c r="AE4862" i="2"/>
  <c r="AE4863" i="2"/>
  <c r="AE4864" i="2"/>
  <c r="AE4865" i="2"/>
  <c r="AE4866" i="2"/>
  <c r="AE4867" i="2"/>
  <c r="AE4868" i="2"/>
  <c r="AE4869" i="2"/>
  <c r="AE4870" i="2"/>
  <c r="AE4871" i="2"/>
  <c r="AE4872" i="2"/>
  <c r="AE4873" i="2"/>
  <c r="AE4874" i="2"/>
  <c r="AE4875" i="2"/>
  <c r="AE4876" i="2"/>
  <c r="AE4877" i="2"/>
  <c r="AE4878" i="2"/>
  <c r="AE4879" i="2"/>
  <c r="AE4880" i="2"/>
  <c r="AE4881" i="2"/>
  <c r="AE4882" i="2"/>
  <c r="AE4883" i="2"/>
  <c r="AE4884" i="2"/>
  <c r="AE4885" i="2"/>
  <c r="AE4886" i="2"/>
  <c r="AE4887" i="2"/>
  <c r="AE4888" i="2"/>
  <c r="AE4889" i="2"/>
  <c r="AE4890" i="2"/>
  <c r="AE4891" i="2"/>
  <c r="AE4892" i="2"/>
  <c r="AE4893" i="2"/>
  <c r="AE4894" i="2"/>
  <c r="AE4895" i="2"/>
  <c r="AE4896" i="2"/>
  <c r="AE4897" i="2"/>
  <c r="AE4898" i="2"/>
  <c r="AE4899" i="2"/>
  <c r="AE4900" i="2"/>
  <c r="AE4901" i="2"/>
  <c r="AE4902" i="2"/>
  <c r="AE4903" i="2"/>
  <c r="AE4904" i="2"/>
  <c r="AE4905" i="2"/>
  <c r="AE4906" i="2"/>
  <c r="AE4907" i="2"/>
  <c r="AE4908" i="2"/>
  <c r="AE4909" i="2"/>
  <c r="AE4910" i="2"/>
  <c r="AE4911" i="2"/>
  <c r="AE4912" i="2"/>
  <c r="AE4913" i="2"/>
  <c r="AE4914" i="2"/>
  <c r="AE4915" i="2"/>
  <c r="AE4916" i="2"/>
  <c r="AE4917" i="2"/>
  <c r="AE4918" i="2"/>
  <c r="AE4919" i="2"/>
  <c r="AE4920" i="2"/>
  <c r="AE4921" i="2"/>
  <c r="AE4922" i="2"/>
  <c r="AE4923" i="2"/>
  <c r="AE4924" i="2"/>
  <c r="AE4925" i="2"/>
  <c r="AE4926" i="2"/>
  <c r="AE4927" i="2"/>
  <c r="AE4928" i="2"/>
  <c r="AE4929" i="2"/>
  <c r="AE4930" i="2"/>
  <c r="AE4931" i="2"/>
  <c r="AE4932" i="2"/>
  <c r="AE4933" i="2"/>
  <c r="AE4934" i="2"/>
  <c r="AE4935" i="2"/>
  <c r="AE4936" i="2"/>
  <c r="AE4937" i="2"/>
  <c r="AE4938" i="2"/>
  <c r="AE4939" i="2"/>
  <c r="AE4940" i="2"/>
  <c r="AE4941" i="2"/>
  <c r="AE4942" i="2"/>
  <c r="AE4943" i="2"/>
  <c r="AE4944" i="2"/>
  <c r="AE4945" i="2"/>
  <c r="AE4946" i="2"/>
  <c r="AE4947" i="2"/>
  <c r="AE4948" i="2"/>
  <c r="AE4949" i="2"/>
  <c r="AE4950" i="2"/>
  <c r="AE4951" i="2"/>
  <c r="AE4952" i="2"/>
  <c r="AE4953" i="2"/>
  <c r="AE4954" i="2"/>
  <c r="AE4955" i="2"/>
  <c r="AE4956" i="2"/>
  <c r="AE4957" i="2"/>
  <c r="AE4958" i="2"/>
  <c r="AE4959" i="2"/>
  <c r="AE4960" i="2"/>
  <c r="AE4961" i="2"/>
  <c r="AE4962" i="2"/>
  <c r="AE4963" i="2"/>
  <c r="AE4964" i="2"/>
  <c r="AE4965" i="2"/>
  <c r="AE4966" i="2"/>
  <c r="AE4967" i="2"/>
  <c r="AE4968" i="2"/>
  <c r="AE4969" i="2"/>
  <c r="AE4970" i="2"/>
  <c r="AE4971" i="2"/>
  <c r="AE4972" i="2"/>
  <c r="AE4973" i="2"/>
  <c r="AE4974" i="2"/>
  <c r="AE4975" i="2"/>
  <c r="AE4976" i="2"/>
  <c r="AE4977" i="2"/>
  <c r="AE4978" i="2"/>
  <c r="AE4979" i="2"/>
  <c r="AE4980" i="2"/>
  <c r="AE4981" i="2"/>
  <c r="AE4982" i="2"/>
  <c r="AE4983" i="2"/>
  <c r="AE4984" i="2"/>
  <c r="AE4985" i="2"/>
  <c r="AE4986" i="2"/>
  <c r="AE4987" i="2"/>
  <c r="AE4988" i="2"/>
  <c r="AE4989" i="2"/>
  <c r="AE4990" i="2"/>
  <c r="AE4991" i="2"/>
  <c r="AE4992" i="2"/>
  <c r="AE4993" i="2"/>
  <c r="AE4994" i="2"/>
  <c r="AE4995" i="2"/>
  <c r="AE4996" i="2"/>
  <c r="AE4997" i="2"/>
  <c r="AE4998" i="2"/>
  <c r="AE4999" i="2"/>
  <c r="AE5000" i="2"/>
  <c r="AE5001" i="2"/>
  <c r="AE5002" i="2"/>
  <c r="AE5003" i="2"/>
  <c r="AE5004" i="2"/>
  <c r="AE5005" i="2"/>
  <c r="AE5006" i="2"/>
  <c r="AE5007" i="2"/>
  <c r="AE5008" i="2"/>
  <c r="AE5009" i="2"/>
  <c r="AE5010" i="2"/>
  <c r="AE5011" i="2"/>
  <c r="AE5012" i="2"/>
  <c r="AE5013" i="2"/>
  <c r="AE5014" i="2"/>
  <c r="AE5015" i="2"/>
  <c r="AE5016" i="2"/>
  <c r="AE5017" i="2"/>
  <c r="AE5018" i="2"/>
  <c r="AE5019" i="2"/>
  <c r="AE5020" i="2"/>
  <c r="AE5021" i="2"/>
  <c r="AE5022" i="2"/>
  <c r="AE5023" i="2"/>
  <c r="AE5024" i="2"/>
  <c r="AE5025" i="2"/>
  <c r="AE5026" i="2"/>
  <c r="AE5027" i="2"/>
  <c r="AE5028" i="2"/>
  <c r="AE5029" i="2"/>
  <c r="AE5030" i="2"/>
  <c r="AE5031" i="2"/>
  <c r="AE5032" i="2"/>
  <c r="AE5033" i="2"/>
  <c r="AE5034" i="2"/>
  <c r="AE5035" i="2"/>
  <c r="AE5036" i="2"/>
  <c r="AE5037" i="2"/>
  <c r="AE5038" i="2"/>
  <c r="AE5039" i="2"/>
  <c r="AE5040" i="2"/>
  <c r="AE5041" i="2"/>
  <c r="AE5042" i="2"/>
  <c r="AE5043" i="2"/>
  <c r="AE5044" i="2"/>
  <c r="AE5045" i="2"/>
  <c r="AE5046" i="2"/>
  <c r="AE5047" i="2"/>
  <c r="AE5048" i="2"/>
  <c r="AE5049" i="2"/>
  <c r="AE5050" i="2"/>
  <c r="AE5051" i="2"/>
  <c r="AE5052" i="2"/>
  <c r="AE5053" i="2"/>
  <c r="AE5054" i="2"/>
  <c r="AE5055" i="2"/>
  <c r="AE5056" i="2"/>
  <c r="AE5057" i="2"/>
  <c r="AE5058" i="2"/>
  <c r="AE5059" i="2"/>
  <c r="AE5060" i="2"/>
  <c r="AE5061" i="2"/>
  <c r="AE5062" i="2"/>
  <c r="AE5063" i="2"/>
  <c r="AE5064" i="2"/>
  <c r="AE5065" i="2"/>
  <c r="AE5066" i="2"/>
  <c r="AE5067" i="2"/>
  <c r="AE5068" i="2"/>
  <c r="AE5069" i="2"/>
  <c r="AE5070" i="2"/>
  <c r="AE5071" i="2"/>
  <c r="AE5072" i="2"/>
  <c r="AE5073" i="2"/>
  <c r="AE5074" i="2"/>
  <c r="AE5075" i="2"/>
  <c r="AE5076" i="2"/>
  <c r="AE5077" i="2"/>
  <c r="AE5078" i="2"/>
  <c r="AE5079" i="2"/>
  <c r="AE5080" i="2"/>
  <c r="AE5081" i="2"/>
  <c r="AE5082" i="2"/>
  <c r="AE5083" i="2"/>
  <c r="AE5084" i="2"/>
  <c r="AE5085" i="2"/>
  <c r="AE5086" i="2"/>
  <c r="AE5087" i="2"/>
  <c r="AE5088" i="2"/>
  <c r="AE5089" i="2"/>
  <c r="AE5090" i="2"/>
  <c r="AE5091" i="2"/>
  <c r="AE5092" i="2"/>
  <c r="AE5093" i="2"/>
  <c r="AE5094" i="2"/>
  <c r="AE5095" i="2"/>
  <c r="AE5096" i="2"/>
  <c r="AE5097" i="2"/>
  <c r="AE5098" i="2"/>
  <c r="AE5099" i="2"/>
  <c r="AE5100" i="2"/>
  <c r="AE5101" i="2"/>
  <c r="AE5102" i="2"/>
  <c r="AE5103" i="2"/>
  <c r="AE5104" i="2"/>
  <c r="AE5105" i="2"/>
  <c r="AE5106" i="2"/>
  <c r="AE5107" i="2"/>
  <c r="AE5108" i="2"/>
  <c r="AE5109" i="2"/>
  <c r="AE5110" i="2"/>
  <c r="AE5111" i="2"/>
  <c r="AE5112" i="2"/>
  <c r="AE5113" i="2"/>
  <c r="AE5114" i="2"/>
  <c r="AE5115" i="2"/>
  <c r="AE5116" i="2"/>
  <c r="AE5117" i="2"/>
  <c r="AE5118" i="2"/>
  <c r="AE5119" i="2"/>
  <c r="AE5120" i="2"/>
  <c r="AE5121" i="2"/>
  <c r="AE5122" i="2"/>
  <c r="AE5123" i="2"/>
  <c r="AE5124" i="2"/>
  <c r="AE5125" i="2"/>
  <c r="AE5126" i="2"/>
  <c r="AE5127" i="2"/>
  <c r="AE5128" i="2"/>
  <c r="AE5129" i="2"/>
  <c r="AE5130" i="2"/>
  <c r="AE5131" i="2"/>
  <c r="AE5132" i="2"/>
  <c r="AE5133" i="2"/>
  <c r="AE5134" i="2"/>
  <c r="AE5135" i="2"/>
  <c r="AE5136" i="2"/>
  <c r="AE5137" i="2"/>
  <c r="AE5138" i="2"/>
  <c r="AE5139" i="2"/>
  <c r="AE5140" i="2"/>
  <c r="AE5141" i="2"/>
  <c r="AE5142" i="2"/>
  <c r="AE5143" i="2"/>
  <c r="AE5144" i="2"/>
  <c r="AE5145" i="2"/>
  <c r="AE5146" i="2"/>
  <c r="AE5147" i="2"/>
  <c r="AE5148" i="2"/>
  <c r="AE5149" i="2"/>
  <c r="AE5150" i="2"/>
  <c r="AE5151" i="2"/>
  <c r="AE5152" i="2"/>
  <c r="AE5153" i="2"/>
  <c r="AE5154" i="2"/>
  <c r="AE5155" i="2"/>
  <c r="AE5156" i="2"/>
  <c r="AE5157" i="2"/>
  <c r="AE5158" i="2"/>
  <c r="AE5159" i="2"/>
  <c r="AE5160" i="2"/>
  <c r="AE5161" i="2"/>
  <c r="AE5162" i="2"/>
  <c r="AE5163" i="2"/>
  <c r="AE5164" i="2"/>
  <c r="AE5165" i="2"/>
  <c r="AE5166" i="2"/>
  <c r="AE5167" i="2"/>
  <c r="AE5168" i="2"/>
  <c r="AE5169" i="2"/>
  <c r="AE5170" i="2"/>
  <c r="AE5171" i="2"/>
  <c r="AE5172" i="2"/>
  <c r="AE5173" i="2"/>
  <c r="AE5174" i="2"/>
  <c r="AE5175" i="2"/>
  <c r="AE5176" i="2"/>
  <c r="AE5177" i="2"/>
  <c r="AE5178" i="2"/>
  <c r="AE5179" i="2"/>
  <c r="AE5180" i="2"/>
  <c r="AE5181" i="2"/>
  <c r="AE5182" i="2"/>
  <c r="AE5183" i="2"/>
  <c r="AE5184" i="2"/>
  <c r="AE5185" i="2"/>
  <c r="AE5186" i="2"/>
  <c r="AE5187" i="2"/>
  <c r="AE5188" i="2"/>
  <c r="AE5189" i="2"/>
  <c r="AE5190" i="2"/>
  <c r="AE5191" i="2"/>
  <c r="AE5192" i="2"/>
  <c r="AE5193" i="2"/>
  <c r="AE5194" i="2"/>
  <c r="AE5195" i="2"/>
  <c r="AE5196" i="2"/>
  <c r="AE5197" i="2"/>
  <c r="AE5198" i="2"/>
  <c r="AE5199" i="2"/>
  <c r="AE5200" i="2"/>
  <c r="AE5201" i="2"/>
  <c r="AE5202" i="2"/>
  <c r="AE5203" i="2"/>
  <c r="AE5204" i="2"/>
  <c r="AE5205" i="2"/>
  <c r="AE5206" i="2"/>
  <c r="AE5207" i="2"/>
  <c r="AE5208" i="2"/>
  <c r="AE5209" i="2"/>
  <c r="AE5210" i="2"/>
  <c r="AE5211" i="2"/>
  <c r="AE5212" i="2"/>
  <c r="AE5213" i="2"/>
  <c r="AE5214" i="2"/>
  <c r="AE5215" i="2"/>
  <c r="AE5216" i="2"/>
  <c r="AE5217" i="2"/>
  <c r="AE5218" i="2"/>
  <c r="AE5219" i="2"/>
  <c r="AE5220" i="2"/>
  <c r="AE5221" i="2"/>
  <c r="AE5222" i="2"/>
  <c r="AE5223" i="2"/>
  <c r="AE5224" i="2"/>
  <c r="AE5225" i="2"/>
  <c r="AE5226" i="2"/>
  <c r="AE5227" i="2"/>
  <c r="AE5228" i="2"/>
  <c r="AE5229" i="2"/>
  <c r="AE5230" i="2"/>
  <c r="AE5231" i="2"/>
  <c r="AE5232" i="2"/>
  <c r="AE5233" i="2"/>
  <c r="AE5234" i="2"/>
  <c r="AE5235" i="2"/>
  <c r="AE5236" i="2"/>
  <c r="AE5237" i="2"/>
  <c r="AE5238" i="2"/>
  <c r="AE5239" i="2"/>
  <c r="AE5240" i="2"/>
  <c r="AE5241" i="2"/>
  <c r="AE5242" i="2"/>
  <c r="AE5243" i="2"/>
  <c r="AE5244" i="2"/>
  <c r="AE5245" i="2"/>
  <c r="AE5246" i="2"/>
  <c r="AE5247" i="2"/>
  <c r="AE5248" i="2"/>
  <c r="AE5249" i="2"/>
  <c r="AE5250" i="2"/>
  <c r="AE5251" i="2"/>
  <c r="AE5252" i="2"/>
  <c r="AE5253" i="2"/>
  <c r="AE5254" i="2"/>
  <c r="AE5255" i="2"/>
  <c r="AE5256" i="2"/>
  <c r="AE5257" i="2"/>
  <c r="AE5258" i="2"/>
  <c r="AE5259" i="2"/>
  <c r="AE5260" i="2"/>
  <c r="AE5261" i="2"/>
  <c r="AE5262" i="2"/>
  <c r="AE5263" i="2"/>
  <c r="AE5264" i="2"/>
  <c r="AE5265" i="2"/>
  <c r="AE5266" i="2"/>
  <c r="AE5267" i="2"/>
  <c r="AE5268" i="2"/>
  <c r="AE5269" i="2"/>
  <c r="AE5270" i="2"/>
  <c r="AE5271" i="2"/>
  <c r="AE5272" i="2"/>
  <c r="AE5273" i="2"/>
  <c r="AE5274" i="2"/>
  <c r="AE5275" i="2"/>
  <c r="AE5276" i="2"/>
  <c r="AE5277" i="2"/>
  <c r="AE5278" i="2"/>
  <c r="AE5279" i="2"/>
  <c r="AE5280" i="2"/>
  <c r="AE5281" i="2"/>
  <c r="AE5282" i="2"/>
  <c r="AE5283" i="2"/>
  <c r="AE5284" i="2"/>
  <c r="AE5285" i="2"/>
  <c r="AE5286" i="2"/>
  <c r="AE5287" i="2"/>
  <c r="AE5288" i="2"/>
  <c r="AE5289" i="2"/>
  <c r="AE5290" i="2"/>
  <c r="AE5291" i="2"/>
  <c r="AE5292" i="2"/>
  <c r="AE5293" i="2"/>
  <c r="AE5294" i="2"/>
  <c r="AE5295" i="2"/>
  <c r="AE5296" i="2"/>
  <c r="AE5297" i="2"/>
  <c r="AE5298" i="2"/>
  <c r="AE5299" i="2"/>
  <c r="AE5300" i="2"/>
  <c r="AE5301" i="2"/>
  <c r="AE5302" i="2"/>
  <c r="AE5303" i="2"/>
  <c r="AE5304" i="2"/>
  <c r="AE5305" i="2"/>
  <c r="AE5306" i="2"/>
  <c r="AE5307" i="2"/>
  <c r="AE5308" i="2"/>
  <c r="AE5309" i="2"/>
  <c r="AE5310" i="2"/>
  <c r="AE5311" i="2"/>
  <c r="AE5312" i="2"/>
  <c r="AE5313" i="2"/>
  <c r="AE5314" i="2"/>
  <c r="AE5315" i="2"/>
  <c r="AE5316" i="2"/>
  <c r="AE5317" i="2"/>
  <c r="AE5318" i="2"/>
  <c r="AE5319" i="2"/>
  <c r="AE5320" i="2"/>
  <c r="AE5321" i="2"/>
  <c r="AE5322" i="2"/>
  <c r="AE5323" i="2"/>
  <c r="AE5324" i="2"/>
  <c r="AE5325" i="2"/>
  <c r="AE5326" i="2"/>
  <c r="AE5327" i="2"/>
  <c r="AE5328" i="2"/>
  <c r="AE5329" i="2"/>
  <c r="AE5330" i="2"/>
  <c r="AE5331" i="2"/>
  <c r="AE5332" i="2"/>
  <c r="AE5333" i="2"/>
  <c r="AE5334" i="2"/>
  <c r="AE5335" i="2"/>
  <c r="AE5336" i="2"/>
  <c r="AE5337" i="2"/>
  <c r="AE5338" i="2"/>
  <c r="AE5339" i="2"/>
  <c r="AE5340" i="2"/>
  <c r="AE5341" i="2"/>
  <c r="AE5342" i="2"/>
  <c r="AE5343" i="2"/>
  <c r="AE5344" i="2"/>
  <c r="AE5345" i="2"/>
  <c r="AE5346" i="2"/>
  <c r="AE5347" i="2"/>
  <c r="AE5348" i="2"/>
  <c r="AE5349" i="2"/>
  <c r="AE5350" i="2"/>
  <c r="AE5351" i="2"/>
  <c r="AE5352" i="2"/>
  <c r="AE5353" i="2"/>
  <c r="AE5354" i="2"/>
  <c r="AE5355" i="2"/>
  <c r="AE5356" i="2"/>
  <c r="AE5357" i="2"/>
  <c r="AE5358" i="2"/>
  <c r="AE5359" i="2"/>
  <c r="AE5360" i="2"/>
  <c r="AE5361" i="2"/>
  <c r="AE5362" i="2"/>
  <c r="AE5363" i="2"/>
  <c r="AE5364" i="2"/>
  <c r="AE5365" i="2"/>
  <c r="AE5366" i="2"/>
  <c r="AE5367" i="2"/>
  <c r="AE5368" i="2"/>
  <c r="AE5369" i="2"/>
  <c r="AE5370" i="2"/>
  <c r="AE5371" i="2"/>
  <c r="AE5372" i="2"/>
  <c r="AE5373" i="2"/>
  <c r="AE5374" i="2"/>
  <c r="AE5375" i="2"/>
  <c r="AE5376" i="2"/>
  <c r="AE5377" i="2"/>
  <c r="AE5378" i="2"/>
  <c r="AE5379" i="2"/>
  <c r="AE5380" i="2"/>
  <c r="AE5381" i="2"/>
  <c r="AE5382" i="2"/>
  <c r="AE5383" i="2"/>
  <c r="AE5384" i="2"/>
  <c r="AE5385" i="2"/>
  <c r="AE5386" i="2"/>
  <c r="AE5387" i="2"/>
  <c r="AE5388" i="2"/>
  <c r="AE5389" i="2"/>
  <c r="AE5390" i="2"/>
  <c r="AE5391" i="2"/>
  <c r="AE5392" i="2"/>
  <c r="AE5393" i="2"/>
  <c r="AE5394" i="2"/>
  <c r="AE5395" i="2"/>
  <c r="AE5396" i="2"/>
  <c r="AE5397" i="2"/>
  <c r="AE5398" i="2"/>
  <c r="AE5399" i="2"/>
  <c r="AE5400" i="2"/>
  <c r="AE5401" i="2"/>
  <c r="AE5402" i="2"/>
  <c r="AE5403" i="2"/>
  <c r="AE5404" i="2"/>
  <c r="AE5405" i="2"/>
  <c r="AE5406" i="2"/>
  <c r="AE5407" i="2"/>
  <c r="AE5408" i="2"/>
  <c r="AE5409" i="2"/>
  <c r="AE5410" i="2"/>
  <c r="AE5411" i="2"/>
  <c r="AE5412" i="2"/>
  <c r="AE5413" i="2"/>
  <c r="AE5414" i="2"/>
  <c r="AE5415" i="2"/>
  <c r="AE5416" i="2"/>
  <c r="AE5417" i="2"/>
  <c r="AE5418" i="2"/>
  <c r="AE5419" i="2"/>
  <c r="AE5420" i="2"/>
  <c r="AE5421" i="2"/>
  <c r="AE5422" i="2"/>
  <c r="AE5423" i="2"/>
  <c r="AE5424" i="2"/>
  <c r="AE5425" i="2"/>
  <c r="AE5426" i="2"/>
  <c r="AE5427" i="2"/>
  <c r="AE5428" i="2"/>
  <c r="AE5429" i="2"/>
  <c r="AE5430" i="2"/>
  <c r="AE5431" i="2"/>
  <c r="AE5432" i="2"/>
  <c r="AE5433" i="2"/>
  <c r="AE5434" i="2"/>
  <c r="AE5435" i="2"/>
  <c r="AE5436" i="2"/>
  <c r="AE5437" i="2"/>
  <c r="AE5438" i="2"/>
  <c r="AE5439" i="2"/>
  <c r="AE5440" i="2"/>
  <c r="AE5441" i="2"/>
  <c r="AE5442" i="2"/>
  <c r="AE5443" i="2"/>
  <c r="AE5444" i="2"/>
  <c r="AE5445" i="2"/>
  <c r="AE5446" i="2"/>
  <c r="AE5447" i="2"/>
  <c r="AE5448" i="2"/>
  <c r="AE5449" i="2"/>
  <c r="AE5450" i="2"/>
  <c r="AE5451" i="2"/>
  <c r="AE5452" i="2"/>
  <c r="AE5453" i="2"/>
  <c r="AE5454" i="2"/>
  <c r="AE5455" i="2"/>
  <c r="AE5456" i="2"/>
  <c r="AE5457" i="2"/>
  <c r="AE5458" i="2"/>
  <c r="AE5459" i="2"/>
  <c r="AE5460" i="2"/>
  <c r="AE5461" i="2"/>
  <c r="AE5462" i="2"/>
  <c r="AE5463" i="2"/>
  <c r="AE5464" i="2"/>
  <c r="AE5465" i="2"/>
  <c r="AE5466" i="2"/>
  <c r="AE5467" i="2"/>
  <c r="AE5468" i="2"/>
  <c r="AE5469" i="2"/>
  <c r="AE5470" i="2"/>
  <c r="AE5471" i="2"/>
  <c r="AE5472" i="2"/>
  <c r="AE5473" i="2"/>
  <c r="AE5474" i="2"/>
  <c r="AE5475" i="2"/>
  <c r="AE5476" i="2"/>
  <c r="AE5477" i="2"/>
  <c r="AE5478" i="2"/>
  <c r="AE5479" i="2"/>
  <c r="AE5480" i="2"/>
  <c r="AE5481" i="2"/>
  <c r="AE5482" i="2"/>
  <c r="AE5483" i="2"/>
  <c r="AE5484" i="2"/>
  <c r="AE5485" i="2"/>
  <c r="AE5486" i="2"/>
  <c r="AE5487" i="2"/>
  <c r="AE5488" i="2"/>
  <c r="AE5489" i="2"/>
  <c r="AE5490" i="2"/>
  <c r="AE5491" i="2"/>
  <c r="AE5492" i="2"/>
  <c r="AE5493" i="2"/>
  <c r="AE5494" i="2"/>
  <c r="AE5495" i="2"/>
  <c r="AE5496" i="2"/>
  <c r="AE5497" i="2"/>
  <c r="AE5498" i="2"/>
  <c r="AE5499" i="2"/>
  <c r="AE5500" i="2"/>
  <c r="AE5501" i="2"/>
  <c r="AE5502" i="2"/>
  <c r="AE5503" i="2"/>
  <c r="AE5504" i="2"/>
  <c r="AE5505" i="2"/>
  <c r="AE5506" i="2"/>
  <c r="AE5507" i="2"/>
  <c r="AE5508" i="2"/>
  <c r="AE5509" i="2"/>
  <c r="AE5510" i="2"/>
  <c r="AE5511" i="2"/>
  <c r="AE5512" i="2"/>
  <c r="AE5513" i="2"/>
  <c r="AE5514" i="2"/>
  <c r="AE5515" i="2"/>
  <c r="AE5516" i="2"/>
  <c r="AE5517" i="2"/>
  <c r="AE5518" i="2"/>
  <c r="AE5519" i="2"/>
  <c r="AE5520" i="2"/>
  <c r="AE5521" i="2"/>
  <c r="AE5522" i="2"/>
  <c r="AE5523" i="2"/>
  <c r="AE5524" i="2"/>
  <c r="AE5525" i="2"/>
  <c r="AE5526" i="2"/>
  <c r="AE5527" i="2"/>
  <c r="AE5528" i="2"/>
  <c r="AE5529" i="2"/>
  <c r="AE5530" i="2"/>
  <c r="AE5531" i="2"/>
  <c r="AE5532" i="2"/>
  <c r="AE5533" i="2"/>
  <c r="AE5534" i="2"/>
  <c r="AE5535" i="2"/>
  <c r="AE5536" i="2"/>
  <c r="AE5537" i="2"/>
  <c r="AE5538" i="2"/>
  <c r="AE5539" i="2"/>
  <c r="AE5540" i="2"/>
  <c r="AE5541" i="2"/>
  <c r="AE5542" i="2"/>
  <c r="AE5543" i="2"/>
  <c r="AE5544" i="2"/>
  <c r="AE5545" i="2"/>
  <c r="AE5546" i="2"/>
  <c r="AE5547" i="2"/>
  <c r="AE5548" i="2"/>
  <c r="AE5549" i="2"/>
  <c r="AE5550" i="2"/>
  <c r="AE5551" i="2"/>
  <c r="AE5552" i="2"/>
  <c r="AE5553" i="2"/>
  <c r="AE5554" i="2"/>
  <c r="AE5555" i="2"/>
  <c r="AE5556" i="2"/>
  <c r="AE5557" i="2"/>
  <c r="AE5558" i="2"/>
  <c r="AE5559" i="2"/>
  <c r="AE5560" i="2"/>
  <c r="AE5561" i="2"/>
  <c r="AE5562" i="2"/>
  <c r="AE5563" i="2"/>
  <c r="AE5564" i="2"/>
  <c r="AE5565" i="2"/>
  <c r="AE5566" i="2"/>
  <c r="AE5567" i="2"/>
  <c r="AE5568" i="2"/>
  <c r="AE5569" i="2"/>
  <c r="AE5570" i="2"/>
  <c r="AE5571" i="2"/>
  <c r="AE5572" i="2"/>
  <c r="AE5573" i="2"/>
  <c r="AE5574" i="2"/>
  <c r="AE5575" i="2"/>
  <c r="AE5576" i="2"/>
  <c r="AE5577" i="2"/>
  <c r="AE5578" i="2"/>
  <c r="AE5579" i="2"/>
  <c r="AE5580" i="2"/>
  <c r="AE5581" i="2"/>
  <c r="AE5582" i="2"/>
  <c r="AE5583" i="2"/>
  <c r="AE5584" i="2"/>
  <c r="AE5585" i="2"/>
  <c r="AE5586" i="2"/>
  <c r="AE5587" i="2"/>
  <c r="AE5588" i="2"/>
  <c r="AE5589" i="2"/>
  <c r="AE5590" i="2"/>
  <c r="AE5591" i="2"/>
  <c r="AE5592" i="2"/>
  <c r="AE5593" i="2"/>
  <c r="AE5594" i="2"/>
  <c r="AE5595" i="2"/>
  <c r="AE5596" i="2"/>
  <c r="AE5597" i="2"/>
  <c r="AE5598" i="2"/>
  <c r="AE5599" i="2"/>
  <c r="AE5600" i="2"/>
  <c r="AE5601" i="2"/>
  <c r="AE5602" i="2"/>
  <c r="AE5603" i="2"/>
  <c r="AE5604" i="2"/>
  <c r="AE5605" i="2"/>
  <c r="AE5606" i="2"/>
  <c r="AE5607" i="2"/>
  <c r="AE5608" i="2"/>
  <c r="AE5609" i="2"/>
  <c r="AE5610" i="2"/>
  <c r="AE5611" i="2"/>
  <c r="AE5612" i="2"/>
  <c r="AE5613" i="2"/>
  <c r="AE5614" i="2"/>
  <c r="AE5615" i="2"/>
  <c r="AE5616" i="2"/>
  <c r="AE5617" i="2"/>
  <c r="AE5618" i="2"/>
  <c r="AE5619" i="2"/>
  <c r="AE5620" i="2"/>
  <c r="AE5621" i="2"/>
  <c r="AE5622" i="2"/>
  <c r="AE5623" i="2"/>
  <c r="AE5624" i="2"/>
  <c r="AE5625" i="2"/>
  <c r="AE5626" i="2"/>
  <c r="AE5627" i="2"/>
  <c r="AE5628" i="2"/>
  <c r="AE5629" i="2"/>
  <c r="AE5630" i="2"/>
  <c r="AE5631" i="2"/>
  <c r="AE5632" i="2"/>
  <c r="AE5633" i="2"/>
  <c r="AE5634" i="2"/>
  <c r="AE5635" i="2"/>
  <c r="AE5636" i="2"/>
  <c r="AE5637" i="2"/>
  <c r="AE5638" i="2"/>
  <c r="AE5639" i="2"/>
  <c r="AE5640" i="2"/>
  <c r="AE5641" i="2"/>
  <c r="AE5642" i="2"/>
  <c r="AE5643" i="2"/>
  <c r="AE5644" i="2"/>
  <c r="AE5645" i="2"/>
  <c r="AE5646" i="2"/>
  <c r="AE5647" i="2"/>
  <c r="AE5648" i="2"/>
  <c r="AE5649" i="2"/>
  <c r="AE5650" i="2"/>
  <c r="AE5651" i="2"/>
  <c r="AE5652" i="2"/>
  <c r="AE5653" i="2"/>
  <c r="AE5654" i="2"/>
  <c r="AE5655" i="2"/>
  <c r="AE5656" i="2"/>
  <c r="AE5657" i="2"/>
  <c r="AE5658" i="2"/>
  <c r="AE5659" i="2"/>
  <c r="AE5660" i="2"/>
  <c r="AE5661" i="2"/>
  <c r="AE5662" i="2"/>
  <c r="AE5663" i="2"/>
  <c r="AE5664" i="2"/>
  <c r="AE5665" i="2"/>
  <c r="AE5666" i="2"/>
  <c r="AE5667" i="2"/>
  <c r="AE5668" i="2"/>
  <c r="AE5669" i="2"/>
  <c r="AE5670" i="2"/>
  <c r="AE5671" i="2"/>
  <c r="AE5672" i="2"/>
  <c r="AE5673" i="2"/>
  <c r="AE5674" i="2"/>
  <c r="AE5675" i="2"/>
  <c r="AE5676" i="2"/>
  <c r="AE5677" i="2"/>
  <c r="AE5678" i="2"/>
  <c r="AE5679" i="2"/>
  <c r="AE5680" i="2"/>
  <c r="AE5681" i="2"/>
  <c r="AE5682" i="2"/>
  <c r="AE5683" i="2"/>
  <c r="AE5684" i="2"/>
  <c r="AE5685" i="2"/>
  <c r="AE5686" i="2"/>
  <c r="AE5687" i="2"/>
  <c r="AE5688" i="2"/>
  <c r="AE5689" i="2"/>
  <c r="AE5690" i="2"/>
  <c r="AE5691" i="2"/>
  <c r="AE5692" i="2"/>
  <c r="AE5693" i="2"/>
  <c r="AE5694" i="2"/>
  <c r="AE5695" i="2"/>
  <c r="AE5696" i="2"/>
  <c r="AE5697" i="2"/>
  <c r="AE5698" i="2"/>
  <c r="AE5699" i="2"/>
  <c r="AE5700" i="2"/>
  <c r="AE5701" i="2"/>
  <c r="AE5702" i="2"/>
  <c r="AE5703" i="2"/>
  <c r="AE5704" i="2"/>
  <c r="AE5705" i="2"/>
  <c r="AE5706" i="2"/>
  <c r="AE5707" i="2"/>
  <c r="AE5708" i="2"/>
  <c r="AE5709" i="2"/>
  <c r="AE5710" i="2"/>
  <c r="AE5711" i="2"/>
  <c r="AE5712" i="2"/>
  <c r="AE5713" i="2"/>
  <c r="AE5714" i="2"/>
  <c r="AE5715" i="2"/>
  <c r="AE5716" i="2"/>
  <c r="AE5717" i="2"/>
  <c r="AE5718" i="2"/>
  <c r="AE5719" i="2"/>
  <c r="AE5720" i="2"/>
  <c r="AE5721" i="2"/>
  <c r="AE5722" i="2"/>
  <c r="AE5723" i="2"/>
  <c r="AE5724" i="2"/>
  <c r="AE5725" i="2"/>
  <c r="AE5726" i="2"/>
  <c r="AE5727" i="2"/>
  <c r="AE5728" i="2"/>
  <c r="AE5729" i="2"/>
  <c r="AE5730" i="2"/>
  <c r="AE5731" i="2"/>
  <c r="AE5732" i="2"/>
  <c r="AE5733" i="2"/>
  <c r="AE5734" i="2"/>
  <c r="AE5735" i="2"/>
  <c r="AE5736" i="2"/>
  <c r="AE5737" i="2"/>
  <c r="AE5738" i="2"/>
  <c r="AE5739" i="2"/>
  <c r="AE5740" i="2"/>
  <c r="AE5741" i="2"/>
  <c r="AE5742" i="2"/>
  <c r="AE5743" i="2"/>
  <c r="AE5744" i="2"/>
  <c r="AE5745" i="2"/>
  <c r="AE5746" i="2"/>
  <c r="AE5747" i="2"/>
  <c r="AE5748" i="2"/>
  <c r="AE5749" i="2"/>
  <c r="AE5750" i="2"/>
  <c r="AE5751" i="2"/>
  <c r="AE5752" i="2"/>
  <c r="AE5753" i="2"/>
  <c r="AE5754" i="2"/>
  <c r="AE5755" i="2"/>
  <c r="AE5756" i="2"/>
  <c r="AE5757" i="2"/>
  <c r="AE5758" i="2"/>
  <c r="AE5759" i="2"/>
  <c r="AE5760" i="2"/>
  <c r="AE5761" i="2"/>
  <c r="AE5762" i="2"/>
  <c r="AE5763" i="2"/>
  <c r="AE5764" i="2"/>
  <c r="AE5765" i="2"/>
  <c r="AE5766" i="2"/>
  <c r="AE5767" i="2"/>
  <c r="AE5768" i="2"/>
  <c r="AE5769" i="2"/>
  <c r="AE5770" i="2"/>
  <c r="AE5771" i="2"/>
  <c r="AE5772" i="2"/>
  <c r="AE5773" i="2"/>
  <c r="AE5774" i="2"/>
  <c r="AE5775" i="2"/>
  <c r="AE5776" i="2"/>
  <c r="AE5777" i="2"/>
  <c r="AE5778" i="2"/>
  <c r="AE5779" i="2"/>
  <c r="AE5780" i="2"/>
  <c r="AE5781" i="2"/>
  <c r="AE5782" i="2"/>
  <c r="AE5783" i="2"/>
  <c r="AE5784" i="2"/>
  <c r="AE5785" i="2"/>
  <c r="AE5786" i="2"/>
  <c r="AE5787" i="2"/>
  <c r="AE5788" i="2"/>
  <c r="AE5789" i="2"/>
  <c r="AE5790" i="2"/>
  <c r="AE5791" i="2"/>
  <c r="AE5792" i="2"/>
  <c r="AE5793" i="2"/>
  <c r="AE5794" i="2"/>
  <c r="AE5795" i="2"/>
  <c r="AE5796" i="2"/>
  <c r="AE5797" i="2"/>
  <c r="AE5798" i="2"/>
  <c r="AE5799" i="2"/>
  <c r="AE5800" i="2"/>
  <c r="AE5801" i="2"/>
  <c r="AE5802" i="2"/>
  <c r="AE5803" i="2"/>
  <c r="AE5804" i="2"/>
  <c r="AE5805" i="2"/>
  <c r="AE5806" i="2"/>
  <c r="AE5807" i="2"/>
  <c r="AE5808" i="2"/>
  <c r="AE5809" i="2"/>
  <c r="AE5810" i="2"/>
  <c r="AE5811" i="2"/>
  <c r="AE5812" i="2"/>
  <c r="AE5813" i="2"/>
  <c r="AE5814" i="2"/>
  <c r="AE5815" i="2"/>
  <c r="AE5816" i="2"/>
  <c r="AE5817" i="2"/>
  <c r="AE5818" i="2"/>
  <c r="AE5819" i="2"/>
  <c r="AE5820" i="2"/>
  <c r="AE5821" i="2"/>
  <c r="AE5822" i="2"/>
  <c r="AE5823" i="2"/>
  <c r="AE5824" i="2"/>
  <c r="AE5825" i="2"/>
  <c r="AE5826" i="2"/>
  <c r="AE5827" i="2"/>
  <c r="AE5828" i="2"/>
  <c r="AE5829" i="2"/>
  <c r="AE5830" i="2"/>
  <c r="AE5831" i="2"/>
  <c r="AE5832" i="2"/>
  <c r="AE5833" i="2"/>
  <c r="AE5834" i="2"/>
  <c r="AE5835" i="2"/>
  <c r="AE5836" i="2"/>
  <c r="AE5837" i="2"/>
  <c r="AE5838" i="2"/>
  <c r="AE5839" i="2"/>
  <c r="AE5840" i="2"/>
  <c r="AE5841" i="2"/>
  <c r="AE5842" i="2"/>
  <c r="AE5843" i="2"/>
  <c r="AE5844" i="2"/>
  <c r="AE5845" i="2"/>
  <c r="AE5846" i="2"/>
  <c r="AE5847" i="2"/>
  <c r="AE5848" i="2"/>
  <c r="AE5849" i="2"/>
  <c r="AE5850" i="2"/>
  <c r="AE5851" i="2"/>
  <c r="AE5852" i="2"/>
  <c r="AE5853" i="2"/>
  <c r="AE5854" i="2"/>
  <c r="AE5855" i="2"/>
  <c r="AE5856" i="2"/>
  <c r="AE5857" i="2"/>
  <c r="AE5858" i="2"/>
  <c r="AE5859" i="2"/>
  <c r="AE5860" i="2"/>
  <c r="AE5861" i="2"/>
  <c r="AE5862" i="2"/>
  <c r="AE5863" i="2"/>
  <c r="AE5864" i="2"/>
  <c r="AE5865" i="2"/>
  <c r="AE5866" i="2"/>
  <c r="AE5867" i="2"/>
  <c r="AE5868" i="2"/>
  <c r="AE5869" i="2"/>
  <c r="AE5870" i="2"/>
  <c r="AE5871" i="2"/>
  <c r="AE5872" i="2"/>
  <c r="AE5873" i="2"/>
  <c r="AE5874" i="2"/>
  <c r="AE5875" i="2"/>
  <c r="AE5876" i="2"/>
  <c r="AE5877" i="2"/>
  <c r="AE5878" i="2"/>
  <c r="AE5879" i="2"/>
  <c r="AE5880" i="2"/>
  <c r="AE5881" i="2"/>
  <c r="AE5882" i="2"/>
  <c r="AE5883" i="2"/>
  <c r="AE5884" i="2"/>
  <c r="AE5885" i="2"/>
  <c r="AE5886" i="2"/>
  <c r="AE5887" i="2"/>
  <c r="AE5888" i="2"/>
  <c r="AE5889" i="2"/>
  <c r="AE5890" i="2"/>
  <c r="AE5891" i="2"/>
  <c r="AE5892" i="2"/>
  <c r="AE5893" i="2"/>
  <c r="AE5894" i="2"/>
  <c r="AE5895" i="2"/>
  <c r="AE5896" i="2"/>
  <c r="AE5897" i="2"/>
  <c r="AE5898" i="2"/>
  <c r="AE5899" i="2"/>
  <c r="AE5900" i="2"/>
  <c r="AE5901" i="2"/>
  <c r="AE5902" i="2"/>
  <c r="AE5903" i="2"/>
  <c r="AE5904" i="2"/>
  <c r="AE5905" i="2"/>
  <c r="AE5906" i="2"/>
  <c r="AE5907" i="2"/>
  <c r="AE5908" i="2"/>
  <c r="AE5909" i="2"/>
  <c r="AE5910" i="2"/>
  <c r="AE5911" i="2"/>
  <c r="AE5912" i="2"/>
  <c r="AE5913" i="2"/>
  <c r="AE5914" i="2"/>
  <c r="AE5915" i="2"/>
  <c r="AE5916" i="2"/>
  <c r="AE5917" i="2"/>
  <c r="AE5918" i="2"/>
  <c r="AE5919" i="2"/>
  <c r="AE5920" i="2"/>
  <c r="AE5921" i="2"/>
  <c r="AE5922" i="2"/>
  <c r="AE5923" i="2"/>
  <c r="AE5924" i="2"/>
  <c r="AE5925" i="2"/>
  <c r="AE5926" i="2"/>
  <c r="AE5927" i="2"/>
  <c r="AE5928" i="2"/>
  <c r="AE5929" i="2"/>
  <c r="AE5930" i="2"/>
  <c r="AE5931" i="2"/>
  <c r="AE5932" i="2"/>
  <c r="AE5933" i="2"/>
  <c r="AE5934" i="2"/>
  <c r="AE5935" i="2"/>
  <c r="AE5936" i="2"/>
  <c r="AE5937" i="2"/>
  <c r="AE5938" i="2"/>
  <c r="AE5939" i="2"/>
  <c r="AE5940" i="2"/>
  <c r="AE5941" i="2"/>
  <c r="AE5942" i="2"/>
  <c r="AE5943" i="2"/>
  <c r="AE5944" i="2"/>
  <c r="AE5945" i="2"/>
  <c r="AE5946" i="2"/>
  <c r="AE5947" i="2"/>
  <c r="AE5948" i="2"/>
  <c r="AE5949" i="2"/>
  <c r="AE5950" i="2"/>
  <c r="AE5951" i="2"/>
  <c r="AE5952" i="2"/>
  <c r="AE5953" i="2"/>
  <c r="AE5954" i="2"/>
  <c r="AE5955" i="2"/>
  <c r="AE5956" i="2"/>
  <c r="AE5957" i="2"/>
  <c r="AE5958" i="2"/>
  <c r="AE5959" i="2"/>
  <c r="AE5960" i="2"/>
  <c r="AE5961" i="2"/>
  <c r="AE5962" i="2"/>
  <c r="AE5963" i="2"/>
  <c r="AE5964" i="2"/>
  <c r="AE5965" i="2"/>
  <c r="AE5966" i="2"/>
  <c r="AE5967" i="2"/>
  <c r="AE5968" i="2"/>
  <c r="AE5969" i="2"/>
  <c r="AE5970" i="2"/>
  <c r="AE5971" i="2"/>
  <c r="AE5972" i="2"/>
  <c r="AE5973" i="2"/>
  <c r="AE5974" i="2"/>
  <c r="AE5975" i="2"/>
  <c r="AE5976" i="2"/>
  <c r="AE5977" i="2"/>
  <c r="AE5978" i="2"/>
  <c r="AE5979" i="2"/>
  <c r="AE5980" i="2"/>
  <c r="AE5981" i="2"/>
  <c r="AE5982" i="2"/>
  <c r="AE5983" i="2"/>
  <c r="AE5984" i="2"/>
  <c r="AE5985" i="2"/>
  <c r="AE5986" i="2"/>
  <c r="AE5987" i="2"/>
  <c r="AE5988" i="2"/>
  <c r="AE5989" i="2"/>
  <c r="AE5990" i="2"/>
  <c r="AE5991" i="2"/>
  <c r="AE5992" i="2"/>
  <c r="AE5993" i="2"/>
  <c r="AE5994" i="2"/>
  <c r="AE5995" i="2"/>
  <c r="AE5996" i="2"/>
  <c r="AE5997" i="2"/>
  <c r="AE5998" i="2"/>
  <c r="AE5999" i="2"/>
  <c r="AE6000" i="2"/>
  <c r="AE6001" i="2"/>
  <c r="AE6002" i="2"/>
  <c r="AE6003" i="2"/>
  <c r="AE6004" i="2"/>
  <c r="AE6005" i="2"/>
  <c r="AE6006" i="2"/>
  <c r="AE6007" i="2"/>
  <c r="AE6008" i="2"/>
  <c r="AE6009" i="2"/>
  <c r="AE6010" i="2"/>
  <c r="AE6011" i="2"/>
  <c r="AE6012" i="2"/>
  <c r="AE6013" i="2"/>
  <c r="AE6014" i="2"/>
  <c r="AE6015" i="2"/>
  <c r="AE6016" i="2"/>
  <c r="AE6017" i="2"/>
  <c r="AE6018" i="2"/>
  <c r="AE6019" i="2"/>
  <c r="AE6020" i="2"/>
  <c r="AE6021" i="2"/>
  <c r="AE6022" i="2"/>
  <c r="AE6023" i="2"/>
  <c r="AE6024" i="2"/>
  <c r="AE6025" i="2"/>
  <c r="AE6026" i="2"/>
  <c r="AE6027" i="2"/>
  <c r="AE6028" i="2"/>
  <c r="AE6029" i="2"/>
  <c r="AE6030" i="2"/>
  <c r="AE6031" i="2"/>
  <c r="AE6032" i="2"/>
  <c r="AE6033" i="2"/>
  <c r="AE6034" i="2"/>
  <c r="AE6035" i="2"/>
  <c r="AE6036" i="2"/>
  <c r="AE6037" i="2"/>
  <c r="AE6038" i="2"/>
  <c r="AE6039" i="2"/>
  <c r="AE6040" i="2"/>
  <c r="AE6041" i="2"/>
  <c r="AE6042" i="2"/>
  <c r="AE6043" i="2"/>
  <c r="AE6044" i="2"/>
  <c r="AE6045" i="2"/>
  <c r="AE6046" i="2"/>
  <c r="AE6047" i="2"/>
  <c r="AE6048" i="2"/>
  <c r="AE6049" i="2"/>
  <c r="AE6050" i="2"/>
  <c r="AE6051" i="2"/>
  <c r="AE6052" i="2"/>
  <c r="AE6053" i="2"/>
  <c r="AE6054" i="2"/>
  <c r="AE6055" i="2"/>
  <c r="AE6056" i="2"/>
  <c r="AE6057" i="2"/>
  <c r="AE6058" i="2"/>
  <c r="AE6059" i="2"/>
  <c r="AE6060" i="2"/>
  <c r="AE6061" i="2"/>
  <c r="AE6062" i="2"/>
  <c r="AE6063" i="2"/>
  <c r="AE6064" i="2"/>
  <c r="AE6065" i="2"/>
  <c r="AE6066" i="2"/>
  <c r="AE6067" i="2"/>
  <c r="AE6068" i="2"/>
  <c r="AE6069" i="2"/>
  <c r="AE6070" i="2"/>
  <c r="AE6071" i="2"/>
  <c r="AE6072" i="2"/>
  <c r="AE6073" i="2"/>
  <c r="AE6074" i="2"/>
  <c r="AE6075" i="2"/>
  <c r="AE6076" i="2"/>
  <c r="AE6077" i="2"/>
  <c r="AE6078" i="2"/>
  <c r="AE6079" i="2"/>
  <c r="AE6080" i="2"/>
  <c r="AE6081" i="2"/>
  <c r="AE6082" i="2"/>
  <c r="AE6083" i="2"/>
  <c r="AE6084" i="2"/>
  <c r="AE6085" i="2"/>
  <c r="AE6086" i="2"/>
  <c r="AE6087" i="2"/>
  <c r="AE6088" i="2"/>
  <c r="AE6089" i="2"/>
  <c r="AE6090" i="2"/>
  <c r="AE6091" i="2"/>
  <c r="AE6092" i="2"/>
  <c r="AE6093" i="2"/>
  <c r="AE6094" i="2"/>
  <c r="AE6095" i="2"/>
  <c r="AE6096" i="2"/>
  <c r="AE6097" i="2"/>
  <c r="AE6098" i="2"/>
  <c r="AE6099" i="2"/>
  <c r="AE6100" i="2"/>
  <c r="AE6101" i="2"/>
  <c r="AE6102" i="2"/>
  <c r="AE6103" i="2"/>
  <c r="AE6104" i="2"/>
  <c r="AE6105" i="2"/>
  <c r="AE6106" i="2"/>
  <c r="AE6107" i="2"/>
  <c r="AE6108" i="2"/>
  <c r="AE6109" i="2"/>
  <c r="AE6110" i="2"/>
  <c r="AE6111" i="2"/>
  <c r="AE6112" i="2"/>
  <c r="AE6113" i="2"/>
  <c r="AE6114" i="2"/>
  <c r="AE6115" i="2"/>
  <c r="AE6116" i="2"/>
  <c r="AE6117" i="2"/>
  <c r="AE6118" i="2"/>
  <c r="AE6119" i="2"/>
  <c r="AE6120" i="2"/>
  <c r="AE6121" i="2"/>
  <c r="AE6122" i="2"/>
  <c r="AE6123" i="2"/>
  <c r="AE6124" i="2"/>
  <c r="AE6125" i="2"/>
  <c r="AE6126" i="2"/>
  <c r="AE6127" i="2"/>
  <c r="AE6128" i="2"/>
  <c r="AE6129" i="2"/>
  <c r="AE6130" i="2"/>
  <c r="AE6131" i="2"/>
  <c r="AE6132" i="2"/>
  <c r="AE6133" i="2"/>
  <c r="AE6134" i="2"/>
  <c r="AE6135" i="2"/>
  <c r="AE6136" i="2"/>
  <c r="AE6137" i="2"/>
  <c r="AE6138" i="2"/>
  <c r="AE6139" i="2"/>
  <c r="AE6140" i="2"/>
  <c r="AE6141" i="2"/>
  <c r="AE6142" i="2"/>
  <c r="AE6143" i="2"/>
  <c r="AE6144" i="2"/>
  <c r="AE6145" i="2"/>
  <c r="AE6146" i="2"/>
  <c r="AE6147" i="2"/>
  <c r="AE6148" i="2"/>
  <c r="AE6149" i="2"/>
  <c r="AE6150" i="2"/>
  <c r="AE6151" i="2"/>
  <c r="AE6152" i="2"/>
  <c r="AE6153" i="2"/>
  <c r="AE6154" i="2"/>
  <c r="AE6155" i="2"/>
  <c r="AE6156" i="2"/>
  <c r="AE6157" i="2"/>
  <c r="AE6158" i="2"/>
  <c r="AE6159" i="2"/>
  <c r="AE6160" i="2"/>
  <c r="AE6161" i="2"/>
  <c r="AE6162" i="2"/>
  <c r="AE6163" i="2"/>
  <c r="AE6164" i="2"/>
  <c r="AE6165" i="2"/>
  <c r="AE6166" i="2"/>
  <c r="AE6167" i="2"/>
  <c r="AE6168" i="2"/>
  <c r="AE6169" i="2"/>
  <c r="AE6170" i="2"/>
  <c r="AE6171" i="2"/>
  <c r="AE6172" i="2"/>
  <c r="AE6173" i="2"/>
  <c r="AE6174" i="2"/>
  <c r="AE6175" i="2"/>
  <c r="AE6176" i="2"/>
  <c r="AE6177" i="2"/>
  <c r="AE6178" i="2"/>
  <c r="AE6179" i="2"/>
  <c r="AE6180" i="2"/>
  <c r="AE6181" i="2"/>
  <c r="AE6182" i="2"/>
  <c r="AE6183" i="2"/>
  <c r="AE6184" i="2"/>
  <c r="AE6185" i="2"/>
  <c r="AE6186" i="2"/>
  <c r="AE6187" i="2"/>
  <c r="AE6188" i="2"/>
  <c r="AE6189" i="2"/>
  <c r="AE6190" i="2"/>
  <c r="AE6191" i="2"/>
  <c r="AE6192" i="2"/>
  <c r="AE6193" i="2"/>
  <c r="AE6194" i="2"/>
  <c r="AE6195" i="2"/>
  <c r="AE6196" i="2"/>
  <c r="AE6197" i="2"/>
  <c r="AE6198" i="2"/>
  <c r="AE6199" i="2"/>
  <c r="AE6200" i="2"/>
  <c r="AE6201" i="2"/>
  <c r="AE6202" i="2"/>
  <c r="AE6203" i="2"/>
  <c r="AE6204" i="2"/>
  <c r="AE6205" i="2"/>
  <c r="AE6206" i="2"/>
  <c r="AE6207" i="2"/>
  <c r="AE6208" i="2"/>
  <c r="AE6209" i="2"/>
  <c r="AE6210" i="2"/>
  <c r="AE6211" i="2"/>
  <c r="AE6212" i="2"/>
  <c r="AE6213" i="2"/>
  <c r="AE6214" i="2"/>
  <c r="AE6215" i="2"/>
  <c r="AE6216" i="2"/>
  <c r="AE6217" i="2"/>
  <c r="AE6218" i="2"/>
  <c r="AE6219" i="2"/>
  <c r="AE6220" i="2"/>
  <c r="AE6221" i="2"/>
  <c r="AE6222" i="2"/>
  <c r="AE6223" i="2"/>
  <c r="AE6224" i="2"/>
  <c r="AE6225" i="2"/>
  <c r="AE6226" i="2"/>
  <c r="AE6227" i="2"/>
  <c r="AE6228" i="2"/>
  <c r="AE6229" i="2"/>
  <c r="AE6230" i="2"/>
  <c r="AE6231" i="2"/>
  <c r="AE6232" i="2"/>
  <c r="AE6233" i="2"/>
  <c r="AE6234" i="2"/>
  <c r="AE6235" i="2"/>
  <c r="AE6236" i="2"/>
  <c r="AE6237" i="2"/>
  <c r="AE6238" i="2"/>
  <c r="AE6239" i="2"/>
  <c r="AE6240" i="2"/>
  <c r="AE6241" i="2"/>
  <c r="AE6242" i="2"/>
  <c r="AE6243" i="2"/>
  <c r="AE6244" i="2"/>
  <c r="AE6245" i="2"/>
  <c r="AE6246" i="2"/>
  <c r="AE6247" i="2"/>
  <c r="AE6248" i="2"/>
  <c r="AE6249" i="2"/>
  <c r="AE6250" i="2"/>
  <c r="AE6251" i="2"/>
  <c r="AE6252" i="2"/>
  <c r="AE6253" i="2"/>
  <c r="AE6254" i="2"/>
  <c r="AE6255" i="2"/>
  <c r="AE6256" i="2"/>
  <c r="AE6257" i="2"/>
  <c r="AE6258" i="2"/>
  <c r="AE6259" i="2"/>
  <c r="AE6260" i="2"/>
  <c r="AE6261" i="2"/>
  <c r="AE6262" i="2"/>
  <c r="AE6263" i="2"/>
  <c r="AE6264" i="2"/>
  <c r="AE6265" i="2"/>
  <c r="AE6266" i="2"/>
  <c r="AE6267" i="2"/>
  <c r="AE6268" i="2"/>
  <c r="AE6269" i="2"/>
  <c r="AE6270" i="2"/>
  <c r="AE6271" i="2"/>
  <c r="AE6272" i="2"/>
  <c r="AE6273" i="2"/>
  <c r="AE6274" i="2"/>
  <c r="AE6275" i="2"/>
  <c r="AE6276" i="2"/>
  <c r="AE6277" i="2"/>
  <c r="AE6278" i="2"/>
  <c r="AE6279" i="2"/>
  <c r="AE6280" i="2"/>
  <c r="AE6281" i="2"/>
  <c r="AE6282" i="2"/>
  <c r="AE6283" i="2"/>
  <c r="AE6284" i="2"/>
  <c r="AE6285" i="2"/>
  <c r="AE6286" i="2"/>
  <c r="AE6287" i="2"/>
  <c r="AE6288" i="2"/>
  <c r="AE6289" i="2"/>
  <c r="AE6290" i="2"/>
  <c r="AE6291" i="2"/>
  <c r="AE6292" i="2"/>
  <c r="AE6293" i="2"/>
  <c r="AE6294" i="2"/>
  <c r="AE6295" i="2"/>
  <c r="AE6296" i="2"/>
  <c r="AE6297" i="2"/>
  <c r="AE6298" i="2"/>
  <c r="AE6299" i="2"/>
  <c r="AE6300" i="2"/>
  <c r="AE6301" i="2"/>
  <c r="AE6302" i="2"/>
  <c r="AE6303" i="2"/>
  <c r="AE6304" i="2"/>
  <c r="AE6305" i="2"/>
  <c r="AE6306" i="2"/>
  <c r="AE6307" i="2"/>
  <c r="AE6308" i="2"/>
  <c r="AE6309" i="2"/>
  <c r="AE6310" i="2"/>
  <c r="AE6311" i="2"/>
  <c r="AE6312" i="2"/>
  <c r="AE6313" i="2"/>
  <c r="AE6314" i="2"/>
  <c r="AE6315" i="2"/>
  <c r="AE6316" i="2"/>
  <c r="AE6317" i="2"/>
  <c r="AE6318" i="2"/>
  <c r="AE6319" i="2"/>
  <c r="AE6320" i="2"/>
  <c r="AE6321" i="2"/>
  <c r="AE6322" i="2"/>
  <c r="AE6323" i="2"/>
  <c r="AE6324" i="2"/>
  <c r="AE6325" i="2"/>
  <c r="AE6326" i="2"/>
  <c r="AE6327" i="2"/>
  <c r="AE6328" i="2"/>
  <c r="AE6329" i="2"/>
  <c r="AE6330" i="2"/>
  <c r="AE6331" i="2"/>
  <c r="AE6332" i="2"/>
  <c r="AE6333" i="2"/>
  <c r="AE6334" i="2"/>
  <c r="AE6335" i="2"/>
  <c r="AE6336" i="2"/>
  <c r="AE6337" i="2"/>
  <c r="AE6338" i="2"/>
  <c r="AE6339" i="2"/>
  <c r="AE6340" i="2"/>
  <c r="AE6341" i="2"/>
  <c r="AE6342" i="2"/>
  <c r="AE6343" i="2"/>
  <c r="AE6344" i="2"/>
  <c r="AE6345" i="2"/>
  <c r="AE6346" i="2"/>
  <c r="AE6347" i="2"/>
  <c r="AE6348" i="2"/>
  <c r="AE6349" i="2"/>
  <c r="AE6350" i="2"/>
  <c r="AE6351" i="2"/>
  <c r="AE6352" i="2"/>
  <c r="AE6353" i="2"/>
  <c r="AE6354" i="2"/>
  <c r="AE6355" i="2"/>
  <c r="AE6356" i="2"/>
  <c r="AE6357" i="2"/>
  <c r="AE6358" i="2"/>
  <c r="AE6359" i="2"/>
  <c r="AE6360" i="2"/>
  <c r="AE6361" i="2"/>
  <c r="AE6362" i="2"/>
  <c r="AE6363" i="2"/>
  <c r="AE6364" i="2"/>
  <c r="AE6365" i="2"/>
  <c r="AE6366" i="2"/>
  <c r="AE6367" i="2"/>
  <c r="AE6368" i="2"/>
  <c r="AE6369" i="2"/>
  <c r="AE6370" i="2"/>
  <c r="AE6371" i="2"/>
  <c r="AE6372" i="2"/>
  <c r="AE6373" i="2"/>
  <c r="AE6374" i="2"/>
  <c r="AE6375" i="2"/>
  <c r="AE6376" i="2"/>
  <c r="AE6377" i="2"/>
  <c r="AE6378" i="2"/>
  <c r="AE6379" i="2"/>
  <c r="AE6380" i="2"/>
  <c r="AE6381" i="2"/>
  <c r="AE6382" i="2"/>
  <c r="AE6383" i="2"/>
  <c r="AE6384" i="2"/>
  <c r="AE6385" i="2"/>
  <c r="AE6386" i="2"/>
  <c r="AE6387" i="2"/>
  <c r="AE6388" i="2"/>
  <c r="AE6389" i="2"/>
  <c r="AE6390" i="2"/>
  <c r="AE6391" i="2"/>
  <c r="AE6392" i="2"/>
  <c r="AE6393" i="2"/>
  <c r="AE6394" i="2"/>
  <c r="AE6395" i="2"/>
  <c r="AE6396" i="2"/>
  <c r="AE6397" i="2"/>
  <c r="AE6398" i="2"/>
  <c r="AE6399" i="2"/>
  <c r="AE6400" i="2"/>
  <c r="AE6401" i="2"/>
  <c r="AE6402" i="2"/>
  <c r="AE6403" i="2"/>
  <c r="AE6404" i="2"/>
  <c r="AE6405" i="2"/>
  <c r="AE6406" i="2"/>
  <c r="AE6407" i="2"/>
  <c r="AE6408" i="2"/>
  <c r="AE6409" i="2"/>
  <c r="AE6410" i="2"/>
  <c r="AE6411" i="2"/>
  <c r="AE6412" i="2"/>
  <c r="AE6413" i="2"/>
  <c r="AE6414" i="2"/>
  <c r="AE6415" i="2"/>
  <c r="AE6416" i="2"/>
  <c r="AE6417" i="2"/>
  <c r="AE6418" i="2"/>
  <c r="AE6419" i="2"/>
  <c r="AE6420" i="2"/>
  <c r="AE6421" i="2"/>
  <c r="AE6422" i="2"/>
  <c r="AE6423" i="2"/>
  <c r="AE6424" i="2"/>
  <c r="AE6425" i="2"/>
  <c r="AE6426" i="2"/>
  <c r="AE6427" i="2"/>
  <c r="AE6428" i="2"/>
  <c r="AE6429" i="2"/>
  <c r="AE6430" i="2"/>
  <c r="AE6431" i="2"/>
  <c r="AE6432" i="2"/>
  <c r="AE6433" i="2"/>
  <c r="AE6434" i="2"/>
  <c r="AE6435" i="2"/>
  <c r="AE6436" i="2"/>
  <c r="AE6437" i="2"/>
  <c r="AE6438" i="2"/>
  <c r="AE6439" i="2"/>
  <c r="AE6440" i="2"/>
  <c r="AE6441" i="2"/>
  <c r="AE6442" i="2"/>
  <c r="AE6443" i="2"/>
  <c r="AE6444" i="2"/>
  <c r="AE6445" i="2"/>
  <c r="AE6446" i="2"/>
  <c r="AE6447" i="2"/>
  <c r="AE6448" i="2"/>
  <c r="AE6449" i="2"/>
  <c r="AE6450" i="2"/>
  <c r="AE6451" i="2"/>
  <c r="AE6452" i="2"/>
  <c r="AE6453" i="2"/>
  <c r="AE6454" i="2"/>
  <c r="AE6455" i="2"/>
  <c r="AE6456" i="2"/>
  <c r="AE6457" i="2"/>
  <c r="AE6458" i="2"/>
  <c r="AE6459" i="2"/>
  <c r="AE6460" i="2"/>
  <c r="AE6461" i="2"/>
  <c r="AE6462" i="2"/>
  <c r="AE6463" i="2"/>
  <c r="AE6464" i="2"/>
  <c r="AE6465" i="2"/>
  <c r="AE6466" i="2"/>
  <c r="AE6467" i="2"/>
  <c r="AE6468" i="2"/>
  <c r="AE6469" i="2"/>
  <c r="AE6470" i="2"/>
  <c r="AE6471" i="2"/>
  <c r="AE6472" i="2"/>
  <c r="AE6473" i="2"/>
  <c r="AE6474" i="2"/>
  <c r="AE6475" i="2"/>
  <c r="AE6476" i="2"/>
  <c r="AE6477" i="2"/>
  <c r="AE6478" i="2"/>
  <c r="AE6479" i="2"/>
  <c r="AE6480" i="2"/>
  <c r="AE6481" i="2"/>
  <c r="AE6482" i="2"/>
  <c r="AE6483" i="2"/>
  <c r="AE6484" i="2"/>
  <c r="AE6485" i="2"/>
  <c r="AE6486" i="2"/>
  <c r="AE6487" i="2"/>
  <c r="AE6488" i="2"/>
  <c r="AE6489" i="2"/>
  <c r="AE6490" i="2"/>
  <c r="AE6491" i="2"/>
  <c r="AE6492" i="2"/>
  <c r="AE6493" i="2"/>
  <c r="AE6494" i="2"/>
  <c r="AE6495" i="2"/>
  <c r="AE6496" i="2"/>
  <c r="AE6497" i="2"/>
  <c r="AE6498" i="2"/>
  <c r="AE6499" i="2"/>
  <c r="AE6500" i="2"/>
  <c r="AE6501" i="2"/>
  <c r="AE6502" i="2"/>
  <c r="AE6503" i="2"/>
  <c r="AE6504" i="2"/>
  <c r="AE6505" i="2"/>
  <c r="AE6506" i="2"/>
  <c r="AE6507" i="2"/>
  <c r="AE6508" i="2"/>
  <c r="AE6509" i="2"/>
  <c r="AE6510" i="2"/>
  <c r="AE6511" i="2"/>
  <c r="AE6512" i="2"/>
  <c r="AE6513" i="2"/>
  <c r="AE6514" i="2"/>
  <c r="AE6515" i="2"/>
  <c r="AE6516" i="2"/>
  <c r="AE6517" i="2"/>
  <c r="AE6518" i="2"/>
  <c r="AE6519" i="2"/>
  <c r="AE6520" i="2"/>
  <c r="AE6521" i="2"/>
  <c r="AE6522" i="2"/>
  <c r="AE6523" i="2"/>
  <c r="AE6524" i="2"/>
  <c r="AE6525" i="2"/>
  <c r="AE6526" i="2"/>
  <c r="AE6527" i="2"/>
  <c r="AE6528" i="2"/>
  <c r="AE6529" i="2"/>
  <c r="AE6530" i="2"/>
  <c r="AE6531" i="2"/>
  <c r="AE6532" i="2"/>
  <c r="AE6533" i="2"/>
  <c r="AE6534" i="2"/>
  <c r="AE6535" i="2"/>
  <c r="AE6536" i="2"/>
  <c r="AE6537" i="2"/>
  <c r="AE6538" i="2"/>
  <c r="AE6539" i="2"/>
  <c r="AE6540" i="2"/>
  <c r="AE6541" i="2"/>
  <c r="AE6542" i="2"/>
  <c r="AE6543" i="2"/>
  <c r="AE6544" i="2"/>
  <c r="AE6545" i="2"/>
  <c r="AE6546" i="2"/>
  <c r="AE6547" i="2"/>
  <c r="AE6548" i="2"/>
  <c r="AE6549" i="2"/>
  <c r="AE6550" i="2"/>
  <c r="AE6551" i="2"/>
  <c r="AE6552" i="2"/>
  <c r="AE6553" i="2"/>
  <c r="AE6554" i="2"/>
  <c r="AE6555" i="2"/>
  <c r="AE6556" i="2"/>
  <c r="AE6557" i="2"/>
  <c r="AE6558" i="2"/>
  <c r="AE6559" i="2"/>
  <c r="AE6560" i="2"/>
  <c r="AE6561" i="2"/>
  <c r="AE6562" i="2"/>
  <c r="AE6563" i="2"/>
  <c r="AE6564" i="2"/>
  <c r="AE6565" i="2"/>
  <c r="AE6566" i="2"/>
  <c r="AE6567" i="2"/>
  <c r="AE6568" i="2"/>
  <c r="AE6569" i="2"/>
  <c r="AE6570" i="2"/>
  <c r="AE6571" i="2"/>
  <c r="AE6572" i="2"/>
  <c r="AE6573" i="2"/>
  <c r="AE6574" i="2"/>
  <c r="AE6575" i="2"/>
  <c r="AE6576" i="2"/>
  <c r="AE6577" i="2"/>
  <c r="AE6578" i="2"/>
  <c r="AE6579" i="2"/>
  <c r="AE6580" i="2"/>
  <c r="AE6581" i="2"/>
  <c r="AE6582" i="2"/>
  <c r="AE6583" i="2"/>
  <c r="AE6584" i="2"/>
  <c r="AE6585" i="2"/>
  <c r="AE6586" i="2"/>
  <c r="AE6587" i="2"/>
  <c r="AE6588" i="2"/>
  <c r="AE6589" i="2"/>
  <c r="AE6590" i="2"/>
  <c r="AE6591" i="2"/>
  <c r="AE6592" i="2"/>
  <c r="AE6593" i="2"/>
  <c r="AE6594" i="2"/>
  <c r="AE6595" i="2"/>
  <c r="AE6596" i="2"/>
  <c r="AE6597" i="2"/>
  <c r="AE6598" i="2"/>
  <c r="AE6599" i="2"/>
  <c r="AE6600" i="2"/>
  <c r="AE6601" i="2"/>
  <c r="AE6602" i="2"/>
  <c r="AE6603" i="2"/>
  <c r="AE6604" i="2"/>
  <c r="AE6605" i="2"/>
  <c r="AE6606" i="2"/>
  <c r="AE6607" i="2"/>
  <c r="AE6608" i="2"/>
  <c r="AE6609" i="2"/>
  <c r="AE6610" i="2"/>
  <c r="AE6611" i="2"/>
  <c r="AE6612" i="2"/>
  <c r="AE6613" i="2"/>
  <c r="AE6614" i="2"/>
  <c r="AE6615" i="2"/>
  <c r="AE6616" i="2"/>
  <c r="AE6617" i="2"/>
  <c r="AE6618" i="2"/>
  <c r="AE6619" i="2"/>
  <c r="AE6620" i="2"/>
  <c r="AE6621" i="2"/>
  <c r="AE6622" i="2"/>
  <c r="AE6623" i="2"/>
  <c r="AE6624" i="2"/>
  <c r="AE6625" i="2"/>
  <c r="AE6626" i="2"/>
  <c r="AE6627" i="2"/>
  <c r="AE6628" i="2"/>
  <c r="AE6629" i="2"/>
  <c r="AE6630" i="2"/>
  <c r="AE6631" i="2"/>
  <c r="AE6632" i="2"/>
  <c r="AE6633" i="2"/>
  <c r="AE6634" i="2"/>
  <c r="AE6635" i="2"/>
  <c r="AE6636" i="2"/>
  <c r="AE6637" i="2"/>
  <c r="AE6638" i="2"/>
  <c r="AE6639" i="2"/>
  <c r="AE6640" i="2"/>
  <c r="AE6641" i="2"/>
  <c r="AE6642" i="2"/>
  <c r="AE6643" i="2"/>
  <c r="AE6644" i="2"/>
  <c r="AE6645" i="2"/>
  <c r="AE6646" i="2"/>
  <c r="AE6647" i="2"/>
  <c r="AE6648" i="2"/>
  <c r="AE6649" i="2"/>
  <c r="AE6650" i="2"/>
  <c r="AE6651" i="2"/>
  <c r="AE6652" i="2"/>
  <c r="AE6653" i="2"/>
  <c r="AE6654" i="2"/>
  <c r="AE6655" i="2"/>
  <c r="AE6656" i="2"/>
  <c r="AE6657" i="2"/>
  <c r="AE6658" i="2"/>
  <c r="AE6659" i="2"/>
  <c r="AE6660" i="2"/>
  <c r="AE6661" i="2"/>
  <c r="AE6662" i="2"/>
  <c r="AE6663" i="2"/>
  <c r="AE6664" i="2"/>
  <c r="AE6665" i="2"/>
  <c r="AE6666" i="2"/>
  <c r="AE6667" i="2"/>
  <c r="AE6668" i="2"/>
  <c r="AE6669" i="2"/>
  <c r="AE6670" i="2"/>
  <c r="AE6671" i="2"/>
  <c r="AE6672" i="2"/>
  <c r="AE6673" i="2"/>
  <c r="AE6674" i="2"/>
  <c r="AE6675" i="2"/>
  <c r="AE6676" i="2"/>
  <c r="AE6677" i="2"/>
  <c r="AE6678" i="2"/>
  <c r="AE6679" i="2"/>
  <c r="AE6680" i="2"/>
  <c r="AE6681" i="2"/>
  <c r="AE6682" i="2"/>
  <c r="AE6683" i="2"/>
  <c r="AE6684" i="2"/>
  <c r="AE6685" i="2"/>
  <c r="AE6686" i="2"/>
  <c r="AE6687" i="2"/>
  <c r="AE6688" i="2"/>
  <c r="AE6689" i="2"/>
  <c r="AE6690" i="2"/>
  <c r="AE6691" i="2"/>
  <c r="AE6692" i="2"/>
  <c r="AE6693" i="2"/>
  <c r="AE6694" i="2"/>
  <c r="AE6695" i="2"/>
  <c r="AE6696" i="2"/>
  <c r="AE6697" i="2"/>
  <c r="AE6698" i="2"/>
  <c r="AE6699" i="2"/>
  <c r="AE6700" i="2"/>
  <c r="AE6701" i="2"/>
  <c r="AE6702" i="2"/>
  <c r="AE6703" i="2"/>
  <c r="AE6704" i="2"/>
  <c r="AE6705" i="2"/>
  <c r="AE6706" i="2"/>
  <c r="AE6707" i="2"/>
  <c r="AE6708" i="2"/>
  <c r="AE6709" i="2"/>
  <c r="AE6710" i="2"/>
  <c r="AE6711" i="2"/>
  <c r="AE6712" i="2"/>
  <c r="AE6713" i="2"/>
  <c r="AE6714" i="2"/>
  <c r="AE6715" i="2"/>
  <c r="AE6716" i="2"/>
  <c r="AE6717" i="2"/>
  <c r="AE6718" i="2"/>
  <c r="AE6719" i="2"/>
  <c r="AE6720" i="2"/>
  <c r="AE6721" i="2"/>
  <c r="AE6722" i="2"/>
  <c r="AE6723" i="2"/>
  <c r="AE6724" i="2"/>
  <c r="AE6725" i="2"/>
  <c r="AE6726" i="2"/>
  <c r="AE6727" i="2"/>
  <c r="AE6728" i="2"/>
  <c r="AE6729" i="2"/>
  <c r="AE6730" i="2"/>
  <c r="AE6731" i="2"/>
  <c r="AE6732" i="2"/>
  <c r="AE6733" i="2"/>
  <c r="AE6734" i="2"/>
  <c r="AE6735" i="2"/>
  <c r="AE6736" i="2"/>
  <c r="AE6737" i="2"/>
  <c r="AE6738" i="2"/>
  <c r="AE6739" i="2"/>
  <c r="AE6740" i="2"/>
  <c r="AE6741" i="2"/>
  <c r="AE6742" i="2"/>
  <c r="AE6743" i="2"/>
  <c r="AE6744" i="2"/>
  <c r="AE6745" i="2"/>
  <c r="AE6746" i="2"/>
  <c r="AE6747" i="2"/>
  <c r="AE6748" i="2"/>
  <c r="AE6749" i="2"/>
  <c r="AE6750" i="2"/>
  <c r="AE6751" i="2"/>
  <c r="AE6752" i="2"/>
  <c r="AE6753" i="2"/>
  <c r="AE6754" i="2"/>
  <c r="AE6755" i="2"/>
  <c r="AE6756" i="2"/>
  <c r="AE6757" i="2"/>
  <c r="AE6758" i="2"/>
  <c r="AE6759" i="2"/>
  <c r="AE6760" i="2"/>
  <c r="AE6761" i="2"/>
  <c r="AE6762" i="2"/>
  <c r="AE6763" i="2"/>
  <c r="AE6764" i="2"/>
  <c r="AE6765" i="2"/>
  <c r="AE6766" i="2"/>
  <c r="AE6767" i="2"/>
  <c r="AE6768" i="2"/>
  <c r="AE6769" i="2"/>
  <c r="AE6770" i="2"/>
  <c r="AE6771" i="2"/>
  <c r="AE6772" i="2"/>
  <c r="AE6773" i="2"/>
  <c r="AE6774" i="2"/>
  <c r="AE6775" i="2"/>
  <c r="AE6776" i="2"/>
  <c r="AE6777" i="2"/>
  <c r="AE6778" i="2"/>
  <c r="AE6779" i="2"/>
  <c r="AE6780" i="2"/>
  <c r="AE6781" i="2"/>
  <c r="AE6782" i="2"/>
  <c r="AE6783" i="2"/>
  <c r="AE6784" i="2"/>
  <c r="AE6785" i="2"/>
  <c r="AE6786" i="2"/>
  <c r="AE6787" i="2"/>
  <c r="AE6788" i="2"/>
  <c r="AE6789" i="2"/>
  <c r="AE6790" i="2"/>
  <c r="AE6791" i="2"/>
  <c r="AE6792" i="2"/>
  <c r="AE6793" i="2"/>
  <c r="AE6794" i="2"/>
  <c r="AE6795" i="2"/>
  <c r="AE6796" i="2"/>
  <c r="AE6797" i="2"/>
  <c r="AE6798" i="2"/>
  <c r="AE6799" i="2"/>
  <c r="AE6800" i="2"/>
  <c r="AE6801" i="2"/>
  <c r="AE6802" i="2"/>
  <c r="AE6803" i="2"/>
  <c r="AE6804" i="2"/>
  <c r="AE6805" i="2"/>
  <c r="AE6806" i="2"/>
  <c r="AE6807" i="2"/>
  <c r="AE6808" i="2"/>
  <c r="AE6809" i="2"/>
  <c r="AE6810" i="2"/>
  <c r="AE6811" i="2"/>
  <c r="AE6812" i="2"/>
  <c r="AE6813" i="2"/>
  <c r="AE6814" i="2"/>
  <c r="AE6815" i="2"/>
  <c r="AE6816" i="2"/>
  <c r="AE6817" i="2"/>
  <c r="AE6818" i="2"/>
  <c r="AE6819" i="2"/>
  <c r="AE6820" i="2"/>
  <c r="AE6821" i="2"/>
  <c r="AE6822" i="2"/>
  <c r="AE6823" i="2"/>
  <c r="AE6824" i="2"/>
  <c r="AE6825" i="2"/>
  <c r="AE6826" i="2"/>
  <c r="AE6827" i="2"/>
  <c r="AE6828" i="2"/>
  <c r="AE6829" i="2"/>
  <c r="AE6830" i="2"/>
  <c r="AE6831" i="2"/>
  <c r="AE6832" i="2"/>
  <c r="AE6833" i="2"/>
  <c r="AE6834" i="2"/>
  <c r="AE6835" i="2"/>
  <c r="AE6836" i="2"/>
  <c r="AE6837" i="2"/>
  <c r="AE6838" i="2"/>
  <c r="AE6839" i="2"/>
  <c r="AE6840" i="2"/>
  <c r="AE6841" i="2"/>
  <c r="AE6842" i="2"/>
  <c r="AE6843" i="2"/>
  <c r="AE6844" i="2"/>
  <c r="AE6845" i="2"/>
  <c r="AE6846" i="2"/>
  <c r="AE6847" i="2"/>
  <c r="AE6848" i="2"/>
  <c r="AE6849" i="2"/>
  <c r="AE6850" i="2"/>
  <c r="AE6851" i="2"/>
  <c r="AE6852" i="2"/>
  <c r="AE6853" i="2"/>
  <c r="AE6854" i="2"/>
  <c r="AE6855" i="2"/>
  <c r="AE6856" i="2"/>
  <c r="AE6857" i="2"/>
  <c r="AE6858" i="2"/>
  <c r="AE6859" i="2"/>
  <c r="AE6860" i="2"/>
  <c r="AE6861" i="2"/>
  <c r="AE6862" i="2"/>
  <c r="AE6863" i="2"/>
  <c r="AE6864" i="2"/>
  <c r="AE6865" i="2"/>
  <c r="AE6866" i="2"/>
  <c r="AE6867" i="2"/>
  <c r="AE6868" i="2"/>
  <c r="AE6869" i="2"/>
  <c r="AE6870" i="2"/>
  <c r="AE6871" i="2"/>
  <c r="AE6872" i="2"/>
  <c r="AE6873" i="2"/>
  <c r="AE6874" i="2"/>
  <c r="AE6875" i="2"/>
  <c r="AE6876" i="2"/>
  <c r="AE6877" i="2"/>
  <c r="AE6878" i="2"/>
  <c r="AE6879" i="2"/>
  <c r="AE6880" i="2"/>
  <c r="AE6881" i="2"/>
  <c r="AE6882" i="2"/>
  <c r="AE6883" i="2"/>
  <c r="AE6884" i="2"/>
  <c r="AE6885" i="2"/>
  <c r="AE6886" i="2"/>
  <c r="AE6887" i="2"/>
  <c r="AE6888" i="2"/>
  <c r="AE6889" i="2"/>
  <c r="AE6890" i="2"/>
  <c r="AE6891" i="2"/>
  <c r="AE6892" i="2"/>
  <c r="AE6893" i="2"/>
  <c r="AE6894" i="2"/>
  <c r="AE6895" i="2"/>
  <c r="AE6896" i="2"/>
  <c r="AE6897" i="2"/>
  <c r="AE6898" i="2"/>
  <c r="AE6899" i="2"/>
  <c r="AE6900" i="2"/>
  <c r="AE6901" i="2"/>
  <c r="AE6902" i="2"/>
  <c r="AE6903" i="2"/>
  <c r="AE6904" i="2"/>
  <c r="AE6905" i="2"/>
  <c r="AE6906" i="2"/>
  <c r="AE6907" i="2"/>
  <c r="AE6908" i="2"/>
  <c r="AE6909" i="2"/>
  <c r="AE6910" i="2"/>
  <c r="AE6911" i="2"/>
  <c r="AE6912" i="2"/>
  <c r="AE6913" i="2"/>
  <c r="AE6914" i="2"/>
  <c r="AE6915" i="2"/>
  <c r="AE6916" i="2"/>
  <c r="AE6917" i="2"/>
  <c r="AE6918" i="2"/>
  <c r="AE6919" i="2"/>
  <c r="AE6920" i="2"/>
  <c r="AE6921" i="2"/>
  <c r="AE6922" i="2"/>
  <c r="AE6923" i="2"/>
  <c r="AE6924" i="2"/>
  <c r="AE6925" i="2"/>
  <c r="AE6926" i="2"/>
  <c r="AE6927" i="2"/>
  <c r="AE6928" i="2"/>
  <c r="AE6929" i="2"/>
  <c r="AE6930" i="2"/>
  <c r="AE6931" i="2"/>
  <c r="AE6932" i="2"/>
  <c r="AE6933" i="2"/>
  <c r="AE6934" i="2"/>
  <c r="AE6935" i="2"/>
  <c r="AE6936" i="2"/>
  <c r="AE6937" i="2"/>
  <c r="AE6938" i="2"/>
  <c r="AE6939" i="2"/>
  <c r="AE6940" i="2"/>
  <c r="AE6941" i="2"/>
  <c r="AE6942" i="2"/>
  <c r="AE6943" i="2"/>
  <c r="AE6944" i="2"/>
  <c r="AE6945" i="2"/>
  <c r="AE6946" i="2"/>
  <c r="AE6947" i="2"/>
  <c r="AE6948" i="2"/>
  <c r="AE6949" i="2"/>
  <c r="AE6950" i="2"/>
  <c r="AE6951" i="2"/>
  <c r="AE6952" i="2"/>
  <c r="AE6953" i="2"/>
  <c r="AE6954" i="2"/>
  <c r="AE6955" i="2"/>
  <c r="AE6956" i="2"/>
  <c r="AE6957" i="2"/>
  <c r="AE6958" i="2"/>
  <c r="AE6959" i="2"/>
  <c r="AE6960" i="2"/>
  <c r="AE6961" i="2"/>
  <c r="AE6962" i="2"/>
  <c r="AE6963" i="2"/>
  <c r="AE6964" i="2"/>
  <c r="AE6965" i="2"/>
  <c r="AE6966" i="2"/>
  <c r="AE6967" i="2"/>
  <c r="AE6968" i="2"/>
  <c r="AE6969" i="2"/>
  <c r="AE6970" i="2"/>
  <c r="AE6971" i="2"/>
  <c r="AE6972" i="2"/>
  <c r="AE6973" i="2"/>
  <c r="AE6974" i="2"/>
  <c r="AE6975" i="2"/>
  <c r="AE6976" i="2"/>
  <c r="AE6977" i="2"/>
  <c r="AE6978" i="2"/>
  <c r="AE6979" i="2"/>
  <c r="AE6980" i="2"/>
  <c r="AE6981" i="2"/>
  <c r="AE6982" i="2"/>
  <c r="AE6983" i="2"/>
  <c r="AE6984" i="2"/>
  <c r="AE6985" i="2"/>
  <c r="AE6986" i="2"/>
  <c r="AE6987" i="2"/>
  <c r="AE6988" i="2"/>
  <c r="AE6989" i="2"/>
  <c r="AE6990" i="2"/>
  <c r="AE6991" i="2"/>
  <c r="AE6992" i="2"/>
  <c r="AE6993" i="2"/>
  <c r="AE6994" i="2"/>
  <c r="AE6995" i="2"/>
  <c r="AE6996" i="2"/>
  <c r="AE6997" i="2"/>
  <c r="AE6998" i="2"/>
  <c r="AE6999" i="2"/>
  <c r="AE7000" i="2"/>
  <c r="AE7001" i="2"/>
  <c r="AE7002" i="2"/>
  <c r="AE7003" i="2"/>
  <c r="AE7004" i="2"/>
  <c r="AE7005" i="2"/>
  <c r="AE7006" i="2"/>
  <c r="AE7007" i="2"/>
  <c r="AE7008" i="2"/>
  <c r="AE7009" i="2"/>
  <c r="AE7010" i="2"/>
  <c r="AE7011" i="2"/>
  <c r="AE7012" i="2"/>
  <c r="AE7013" i="2"/>
  <c r="AE7014" i="2"/>
  <c r="AE7015" i="2"/>
  <c r="AE7016" i="2"/>
  <c r="AE7017" i="2"/>
  <c r="AE7018" i="2"/>
  <c r="AE7019" i="2"/>
  <c r="AE7020" i="2"/>
  <c r="AE7021" i="2"/>
  <c r="AE7022" i="2"/>
  <c r="AE7023" i="2"/>
  <c r="AE7024" i="2"/>
  <c r="AE7025" i="2"/>
  <c r="AE7026" i="2"/>
  <c r="AE7027" i="2"/>
  <c r="AE7028" i="2"/>
  <c r="AE7029" i="2"/>
  <c r="AE7030" i="2"/>
  <c r="AE7031" i="2"/>
  <c r="AE7032" i="2"/>
  <c r="AE7033" i="2"/>
  <c r="AE7034" i="2"/>
  <c r="AE7035" i="2"/>
  <c r="AE7036" i="2"/>
  <c r="AE7037" i="2"/>
  <c r="AE7038" i="2"/>
  <c r="AE7039" i="2"/>
  <c r="AE7040" i="2"/>
  <c r="AE7041" i="2"/>
  <c r="AE7042" i="2"/>
  <c r="AE7043" i="2"/>
  <c r="AE7044" i="2"/>
  <c r="AE7045" i="2"/>
  <c r="AE7046" i="2"/>
  <c r="AE7047" i="2"/>
  <c r="AE7048" i="2"/>
  <c r="AE7049" i="2"/>
  <c r="AE7050" i="2"/>
  <c r="AE7051" i="2"/>
  <c r="AE7052" i="2"/>
  <c r="AE7053" i="2"/>
  <c r="AE7054" i="2"/>
  <c r="AE7055" i="2"/>
  <c r="AE7056" i="2"/>
  <c r="AE7057" i="2"/>
  <c r="AE7058" i="2"/>
  <c r="AE7059" i="2"/>
  <c r="AE7060" i="2"/>
  <c r="AE7061" i="2"/>
  <c r="AE7062" i="2"/>
  <c r="AE7063" i="2"/>
  <c r="AE7064" i="2"/>
  <c r="AE7065" i="2"/>
  <c r="AE7066" i="2"/>
  <c r="AE7067" i="2"/>
  <c r="AE7068" i="2"/>
  <c r="AE7069" i="2"/>
  <c r="AE7070" i="2"/>
  <c r="AE7071" i="2"/>
  <c r="AE7072" i="2"/>
  <c r="AE7073" i="2"/>
  <c r="AE7074" i="2"/>
  <c r="AE7075" i="2"/>
  <c r="AE7076" i="2"/>
  <c r="AE7077" i="2"/>
  <c r="AE7078" i="2"/>
  <c r="AE7079" i="2"/>
  <c r="AE7080" i="2"/>
  <c r="AE7081" i="2"/>
  <c r="AE7082" i="2"/>
  <c r="AE7083" i="2"/>
  <c r="AE7084" i="2"/>
  <c r="AE7085" i="2"/>
  <c r="AE7086" i="2"/>
  <c r="AE7087" i="2"/>
  <c r="AE7088" i="2"/>
  <c r="AE7089" i="2"/>
  <c r="AE7090" i="2"/>
  <c r="AE7091" i="2"/>
  <c r="AE7092" i="2"/>
  <c r="AE7093" i="2"/>
  <c r="AE7094" i="2"/>
  <c r="AE7095" i="2"/>
  <c r="AE7096" i="2"/>
  <c r="AE7097" i="2"/>
  <c r="AE7098" i="2"/>
  <c r="AE7099" i="2"/>
  <c r="AE7100" i="2"/>
  <c r="AE7101" i="2"/>
  <c r="AE7102" i="2"/>
  <c r="AE7103" i="2"/>
  <c r="AE7104" i="2"/>
  <c r="AE7105" i="2"/>
  <c r="AE7106" i="2"/>
  <c r="AE7107" i="2"/>
  <c r="AE7108" i="2"/>
  <c r="AE7109" i="2"/>
  <c r="AE7110" i="2"/>
  <c r="AE7111" i="2"/>
  <c r="AE7112" i="2"/>
  <c r="AE7113" i="2"/>
  <c r="AE7114" i="2"/>
  <c r="AE7115" i="2"/>
  <c r="AE7116" i="2"/>
  <c r="AE7117" i="2"/>
  <c r="AE7118" i="2"/>
  <c r="AE7119" i="2"/>
  <c r="AE7120" i="2"/>
  <c r="AE7121" i="2"/>
  <c r="AE7122" i="2"/>
  <c r="AE7123" i="2"/>
  <c r="AE7124" i="2"/>
  <c r="AE7125" i="2"/>
  <c r="AE7126" i="2"/>
  <c r="AE7127" i="2"/>
  <c r="AE7128" i="2"/>
  <c r="AE7129" i="2"/>
  <c r="AE7130" i="2"/>
  <c r="AE7131" i="2"/>
  <c r="AE7132" i="2"/>
  <c r="AE7133" i="2"/>
  <c r="AE7134" i="2"/>
  <c r="AE7135" i="2"/>
  <c r="AE7136" i="2"/>
  <c r="AE7137" i="2"/>
  <c r="AE7138" i="2"/>
  <c r="AE7139" i="2"/>
  <c r="AE7140" i="2"/>
  <c r="AE7141" i="2"/>
  <c r="AE7142" i="2"/>
  <c r="AE7143" i="2"/>
  <c r="AE7144" i="2"/>
  <c r="AE7145" i="2"/>
  <c r="AE7146" i="2"/>
  <c r="AE7147" i="2"/>
  <c r="AE7148" i="2"/>
  <c r="AE7149" i="2"/>
  <c r="AE7150" i="2"/>
  <c r="AE7151" i="2"/>
  <c r="AE7152" i="2"/>
  <c r="AE7153" i="2"/>
  <c r="AE7154" i="2"/>
  <c r="AE7155" i="2"/>
  <c r="AE7156" i="2"/>
  <c r="AE7157" i="2"/>
  <c r="AE7158" i="2"/>
  <c r="AE7159" i="2"/>
  <c r="AE7160" i="2"/>
  <c r="AE7161" i="2"/>
  <c r="AE7162" i="2"/>
  <c r="AE7163" i="2"/>
  <c r="AE7164" i="2"/>
  <c r="AE7165" i="2"/>
  <c r="AE7166" i="2"/>
  <c r="AE7167" i="2"/>
  <c r="AE7168" i="2"/>
  <c r="AE7169" i="2"/>
  <c r="AE7170" i="2"/>
  <c r="AE7171" i="2"/>
  <c r="AE7172" i="2"/>
  <c r="AE7173" i="2"/>
  <c r="AE7174" i="2"/>
  <c r="AE7175" i="2"/>
  <c r="AE7176" i="2"/>
  <c r="AE7177" i="2"/>
  <c r="AE7178" i="2"/>
  <c r="AE7179" i="2"/>
  <c r="AE7180" i="2"/>
  <c r="AE7181" i="2"/>
  <c r="AE7182" i="2"/>
  <c r="AE7183" i="2"/>
  <c r="AE7184" i="2"/>
  <c r="AE7185" i="2"/>
  <c r="AE7186" i="2"/>
  <c r="AE7187" i="2"/>
  <c r="AE7188" i="2"/>
  <c r="AE7189" i="2"/>
  <c r="AE7190" i="2"/>
  <c r="AE7191" i="2"/>
  <c r="AE7192" i="2"/>
  <c r="AE7193" i="2"/>
  <c r="AE7194" i="2"/>
  <c r="AE7195" i="2"/>
  <c r="AE7196" i="2"/>
  <c r="AE7197" i="2"/>
  <c r="AE7198" i="2"/>
  <c r="AE7199" i="2"/>
  <c r="AE7200" i="2"/>
  <c r="AE7201" i="2"/>
  <c r="AE7202" i="2"/>
  <c r="AE7203" i="2"/>
  <c r="AE7204" i="2"/>
  <c r="AE7205" i="2"/>
  <c r="AE7206" i="2"/>
  <c r="AE7207" i="2"/>
  <c r="AE7208" i="2"/>
  <c r="AE7209" i="2"/>
  <c r="AE7210" i="2"/>
  <c r="AE7211" i="2"/>
  <c r="AE7212" i="2"/>
  <c r="AE7213" i="2"/>
  <c r="AE7214" i="2"/>
  <c r="AE7215" i="2"/>
  <c r="AE7216" i="2"/>
  <c r="AE7217" i="2"/>
  <c r="AE7218" i="2"/>
  <c r="AE7219" i="2"/>
  <c r="AE7220" i="2"/>
  <c r="AE7221" i="2"/>
  <c r="AE7222" i="2"/>
  <c r="AE7223" i="2"/>
  <c r="AE7224" i="2"/>
  <c r="AE7225" i="2"/>
  <c r="AE7226" i="2"/>
  <c r="AE7227" i="2"/>
  <c r="AE7228" i="2"/>
  <c r="AE7229" i="2"/>
  <c r="AE7230" i="2"/>
  <c r="AE7231" i="2"/>
  <c r="AE7232" i="2"/>
  <c r="AE7233" i="2"/>
  <c r="AE7234" i="2"/>
  <c r="AE7235" i="2"/>
  <c r="AE7236" i="2"/>
  <c r="AE7237" i="2"/>
  <c r="AE7238" i="2"/>
  <c r="AE7239" i="2"/>
  <c r="AE7240" i="2"/>
  <c r="AE7241" i="2"/>
  <c r="AE7242" i="2"/>
  <c r="AE7243" i="2"/>
  <c r="AE7244" i="2"/>
  <c r="AE7245" i="2"/>
  <c r="AE7246" i="2"/>
  <c r="AE7247" i="2"/>
  <c r="AE7248" i="2"/>
  <c r="AE7249" i="2"/>
  <c r="AE7250" i="2"/>
  <c r="AE7251" i="2"/>
  <c r="AE7252" i="2"/>
  <c r="AE7253" i="2"/>
  <c r="AE7254" i="2"/>
  <c r="AE7255" i="2"/>
  <c r="AE7256" i="2"/>
  <c r="AE7257" i="2"/>
  <c r="AE7258" i="2"/>
  <c r="AE7259" i="2"/>
  <c r="AE7260" i="2"/>
  <c r="AE7261" i="2"/>
  <c r="AE7262" i="2"/>
  <c r="AE7263" i="2"/>
  <c r="AE7264" i="2"/>
  <c r="AE7265" i="2"/>
  <c r="AE7266" i="2"/>
  <c r="AE7267" i="2"/>
  <c r="AE7268" i="2"/>
  <c r="AE7269" i="2"/>
  <c r="AE7270" i="2"/>
  <c r="AE7271" i="2"/>
  <c r="AE7272" i="2"/>
  <c r="AE7273" i="2"/>
  <c r="AE7274" i="2"/>
  <c r="AE7275" i="2"/>
  <c r="AE7276" i="2"/>
  <c r="AE7277" i="2"/>
  <c r="AE7278" i="2"/>
  <c r="AE7279" i="2"/>
  <c r="AE7280" i="2"/>
  <c r="AE7281" i="2"/>
  <c r="AE7282" i="2"/>
  <c r="AE7283" i="2"/>
  <c r="AE7284" i="2"/>
  <c r="AE7285" i="2"/>
  <c r="AE7286" i="2"/>
  <c r="AE7287" i="2"/>
  <c r="AE7288" i="2"/>
  <c r="AE7289" i="2"/>
  <c r="AE7290" i="2"/>
  <c r="AE7291" i="2"/>
  <c r="AE7292" i="2"/>
  <c r="AE7293" i="2"/>
  <c r="AE7294" i="2"/>
  <c r="AE7295" i="2"/>
  <c r="AE7296" i="2"/>
  <c r="AE7297" i="2"/>
  <c r="AE7298" i="2"/>
  <c r="AE7299" i="2"/>
  <c r="AE7300" i="2"/>
  <c r="AE7301" i="2"/>
  <c r="AE7302" i="2"/>
  <c r="AE7303" i="2"/>
  <c r="AE7304" i="2"/>
  <c r="AE7305" i="2"/>
  <c r="AE7306" i="2"/>
  <c r="AE7307" i="2"/>
  <c r="AE7308" i="2"/>
  <c r="AE7309" i="2"/>
  <c r="AE7310" i="2"/>
  <c r="AE7311" i="2"/>
  <c r="AE7312" i="2"/>
  <c r="AE7313" i="2"/>
  <c r="AE7314" i="2"/>
  <c r="AE7315" i="2"/>
  <c r="AE7316" i="2"/>
  <c r="AE7317" i="2"/>
  <c r="AE7318" i="2"/>
  <c r="AE7319" i="2"/>
  <c r="AE7320" i="2"/>
  <c r="AE7321" i="2"/>
  <c r="AE7322" i="2"/>
  <c r="AE7323" i="2"/>
  <c r="AE7324" i="2"/>
  <c r="AE7325" i="2"/>
  <c r="AE7326" i="2"/>
  <c r="AE7327" i="2"/>
  <c r="AE7328" i="2"/>
  <c r="AE7329" i="2"/>
  <c r="AE7330" i="2"/>
  <c r="AE7331" i="2"/>
  <c r="AE7332" i="2"/>
  <c r="AE7333" i="2"/>
  <c r="AE7334" i="2"/>
  <c r="AE7335" i="2"/>
  <c r="AE7336" i="2"/>
  <c r="AE7337" i="2"/>
  <c r="AE7338" i="2"/>
  <c r="AE7339" i="2"/>
  <c r="AE7340" i="2"/>
  <c r="AE7341" i="2"/>
  <c r="AE7342" i="2"/>
  <c r="AE7343" i="2"/>
  <c r="AE7344" i="2"/>
  <c r="AE7345" i="2"/>
  <c r="AE7346" i="2"/>
  <c r="AE7347" i="2"/>
  <c r="AE7348" i="2"/>
  <c r="AE7349" i="2"/>
  <c r="AE7350" i="2"/>
  <c r="AE7351" i="2"/>
  <c r="AE7352" i="2"/>
  <c r="AE7353" i="2"/>
  <c r="AE7354" i="2"/>
  <c r="AE7355" i="2"/>
  <c r="AE7356" i="2"/>
  <c r="AE7357" i="2"/>
  <c r="AE7358" i="2"/>
  <c r="AE7359" i="2"/>
  <c r="AE7360" i="2"/>
  <c r="AE7361" i="2"/>
  <c r="AE7362" i="2"/>
  <c r="AE7363" i="2"/>
  <c r="AE7364" i="2"/>
  <c r="AE7365" i="2"/>
  <c r="AE7366" i="2"/>
  <c r="AE7367" i="2"/>
  <c r="AE7368" i="2"/>
  <c r="AE7369" i="2"/>
  <c r="AE7370" i="2"/>
  <c r="AE7371" i="2"/>
  <c r="AE7372" i="2"/>
  <c r="AE7373" i="2"/>
  <c r="AE7374" i="2"/>
  <c r="AE7375" i="2"/>
  <c r="AE7376" i="2"/>
  <c r="AE7377" i="2"/>
  <c r="AE7378" i="2"/>
  <c r="AE7379" i="2"/>
  <c r="AE7380" i="2"/>
  <c r="AE7381" i="2"/>
  <c r="AE7382" i="2"/>
  <c r="AE7383" i="2"/>
  <c r="AE7384" i="2"/>
  <c r="AE7385" i="2"/>
  <c r="AE7386" i="2"/>
  <c r="AE7387" i="2"/>
  <c r="AE7388" i="2"/>
  <c r="AE7389" i="2"/>
  <c r="AE7390" i="2"/>
  <c r="AE7391" i="2"/>
  <c r="AE7392" i="2"/>
  <c r="AE7393" i="2"/>
  <c r="AE7394" i="2"/>
  <c r="AE7395" i="2"/>
  <c r="AE7396" i="2"/>
  <c r="AE7397" i="2"/>
  <c r="AE7398" i="2"/>
  <c r="AE7399" i="2"/>
  <c r="AE7400" i="2"/>
  <c r="AE7401" i="2"/>
  <c r="AE7402" i="2"/>
  <c r="AE7403" i="2"/>
  <c r="AE7404" i="2"/>
  <c r="AE7405" i="2"/>
  <c r="AE7406" i="2"/>
  <c r="AE7407" i="2"/>
  <c r="AE7408" i="2"/>
  <c r="AE7409" i="2"/>
  <c r="AE7410" i="2"/>
  <c r="AE7411" i="2"/>
  <c r="AE7412" i="2"/>
  <c r="AE7413" i="2"/>
  <c r="AE7414" i="2"/>
  <c r="AE7415" i="2"/>
  <c r="AE7416" i="2"/>
  <c r="AE7417" i="2"/>
  <c r="AE7418" i="2"/>
  <c r="AE7419" i="2"/>
  <c r="AE7420" i="2"/>
  <c r="AE7421" i="2"/>
  <c r="AE7422" i="2"/>
  <c r="AE7423" i="2"/>
  <c r="AE7424" i="2"/>
  <c r="AE7425" i="2"/>
  <c r="AE7426" i="2"/>
  <c r="AE7427" i="2"/>
  <c r="AE7428" i="2"/>
  <c r="AE7429" i="2"/>
  <c r="AE7430" i="2"/>
  <c r="AE7431" i="2"/>
  <c r="AE7432" i="2"/>
  <c r="AE7433" i="2"/>
  <c r="AE7434" i="2"/>
  <c r="AE7435" i="2"/>
  <c r="AE7436" i="2"/>
  <c r="AE7437" i="2"/>
  <c r="AE7438" i="2"/>
  <c r="AE7439" i="2"/>
  <c r="AE7440" i="2"/>
  <c r="AE7441" i="2"/>
  <c r="AE7442" i="2"/>
  <c r="AE7443" i="2"/>
  <c r="AE7444" i="2"/>
  <c r="AE7445" i="2"/>
  <c r="AE7446" i="2"/>
  <c r="AE7447" i="2"/>
  <c r="AE7448" i="2"/>
  <c r="AE7449" i="2"/>
  <c r="AE7450" i="2"/>
  <c r="AE7451" i="2"/>
  <c r="AE7452" i="2"/>
  <c r="AE7453" i="2"/>
  <c r="AE7454" i="2"/>
  <c r="AE7455" i="2"/>
  <c r="AE7456" i="2"/>
  <c r="AE7457" i="2"/>
  <c r="AE7458" i="2"/>
  <c r="AE7459" i="2"/>
  <c r="AE7460" i="2"/>
  <c r="AE7461" i="2"/>
  <c r="AE7462" i="2"/>
  <c r="AE7463" i="2"/>
  <c r="AE7464" i="2"/>
  <c r="AE7465" i="2"/>
  <c r="AE7466" i="2"/>
  <c r="AE7467" i="2"/>
  <c r="AE7468" i="2"/>
  <c r="AE7469" i="2"/>
  <c r="AE7470" i="2"/>
  <c r="AE7471" i="2"/>
  <c r="AE7472" i="2"/>
  <c r="AE7473" i="2"/>
  <c r="AE7474" i="2"/>
  <c r="AE7475" i="2"/>
  <c r="AE7476" i="2"/>
  <c r="AE7477" i="2"/>
  <c r="AE7478" i="2"/>
  <c r="AE7479" i="2"/>
  <c r="AE7480" i="2"/>
  <c r="AE7481" i="2"/>
  <c r="AE7482" i="2"/>
  <c r="AE7483" i="2"/>
  <c r="AE7484" i="2"/>
  <c r="AE7485" i="2"/>
  <c r="AE7486" i="2"/>
  <c r="AE7487" i="2"/>
  <c r="AE7488" i="2"/>
  <c r="AE7489" i="2"/>
  <c r="AE7490" i="2"/>
  <c r="AE7491" i="2"/>
  <c r="AE7492" i="2"/>
  <c r="AE7493" i="2"/>
  <c r="AE7494" i="2"/>
  <c r="AE7495" i="2"/>
  <c r="AE7496" i="2"/>
  <c r="AE7497" i="2"/>
  <c r="AE7498" i="2"/>
  <c r="AE7499" i="2"/>
  <c r="AE7500" i="2"/>
  <c r="AE7501" i="2"/>
  <c r="AE7502" i="2"/>
  <c r="AE7503" i="2"/>
  <c r="AE7504" i="2"/>
  <c r="AE7505" i="2"/>
  <c r="AE7506" i="2"/>
  <c r="AE7507" i="2"/>
  <c r="AE7508" i="2"/>
  <c r="AE7509" i="2"/>
  <c r="AE7510" i="2"/>
  <c r="AE7511" i="2"/>
  <c r="AE7512" i="2"/>
  <c r="AE7513" i="2"/>
  <c r="AE7514" i="2"/>
  <c r="AE7515" i="2"/>
  <c r="AE7516" i="2"/>
  <c r="AE7517" i="2"/>
  <c r="AE7518" i="2"/>
  <c r="AE7519" i="2"/>
  <c r="AE7520" i="2"/>
  <c r="AE7521" i="2"/>
  <c r="AE7522" i="2"/>
  <c r="AE7523" i="2"/>
  <c r="AE7524" i="2"/>
  <c r="AE7525" i="2"/>
  <c r="AE7526" i="2"/>
  <c r="AE7527" i="2"/>
  <c r="AE7528" i="2"/>
  <c r="AE7529" i="2"/>
  <c r="AE7530" i="2"/>
  <c r="AE7531" i="2"/>
  <c r="AE7532" i="2"/>
  <c r="AE7533" i="2"/>
  <c r="AE7534" i="2"/>
  <c r="AE7535" i="2"/>
  <c r="AE7536" i="2"/>
  <c r="AE7537" i="2"/>
  <c r="AE7538" i="2"/>
  <c r="AE7539" i="2"/>
  <c r="AE7540" i="2"/>
  <c r="AE7541" i="2"/>
  <c r="AE7542" i="2"/>
  <c r="AE7543" i="2"/>
  <c r="AE7544" i="2"/>
  <c r="AE7545" i="2"/>
  <c r="AE7546" i="2"/>
  <c r="AE7547" i="2"/>
  <c r="AE7548" i="2"/>
  <c r="AE7549" i="2"/>
  <c r="AE7550" i="2"/>
  <c r="AE7551" i="2"/>
  <c r="AE7552" i="2"/>
  <c r="AE7553" i="2"/>
  <c r="AE7554" i="2"/>
  <c r="AE7555" i="2"/>
  <c r="AE7556" i="2"/>
  <c r="AE7557" i="2"/>
  <c r="AE7558" i="2"/>
  <c r="AE7559" i="2"/>
  <c r="AE7560" i="2"/>
  <c r="AE7561" i="2"/>
  <c r="AE7562" i="2"/>
  <c r="AE7563" i="2"/>
  <c r="AE7564" i="2"/>
  <c r="AE7565" i="2"/>
  <c r="AE7566" i="2"/>
  <c r="AE7567" i="2"/>
  <c r="AE7568" i="2"/>
  <c r="AE7569" i="2"/>
  <c r="AE7570" i="2"/>
  <c r="AE7571" i="2"/>
  <c r="AE7572" i="2"/>
  <c r="AE7573" i="2"/>
  <c r="AE7574" i="2"/>
  <c r="AE7575" i="2"/>
  <c r="AE7576" i="2"/>
  <c r="AE7577" i="2"/>
  <c r="AE7578" i="2"/>
  <c r="AE7579" i="2"/>
  <c r="AE7580" i="2"/>
  <c r="AE7581" i="2"/>
  <c r="AE7582" i="2"/>
  <c r="AE7583" i="2"/>
  <c r="AE7584" i="2"/>
  <c r="AE7585" i="2"/>
  <c r="AE7586" i="2"/>
  <c r="AE7587" i="2"/>
  <c r="AE7588" i="2"/>
  <c r="AE7589" i="2"/>
  <c r="AE7590" i="2"/>
  <c r="AE7591" i="2"/>
  <c r="AE7592" i="2"/>
  <c r="AE7593" i="2"/>
  <c r="AE7594" i="2"/>
  <c r="AE7595" i="2"/>
  <c r="AE7596" i="2"/>
  <c r="AE7597" i="2"/>
  <c r="AE7598" i="2"/>
  <c r="AE7599" i="2"/>
  <c r="AE7600" i="2"/>
  <c r="AE7601" i="2"/>
  <c r="AE7602" i="2"/>
  <c r="AE7603" i="2"/>
  <c r="AE7604" i="2"/>
  <c r="AE7605" i="2"/>
  <c r="AE7606" i="2"/>
  <c r="AE7607" i="2"/>
  <c r="AE7608" i="2"/>
  <c r="AE7609" i="2"/>
  <c r="AE7610" i="2"/>
  <c r="AE7611" i="2"/>
  <c r="AE7612" i="2"/>
  <c r="AE7613" i="2"/>
  <c r="AE7614" i="2"/>
  <c r="AE7615" i="2"/>
  <c r="AE7616" i="2"/>
  <c r="AE7617" i="2"/>
  <c r="AE7618" i="2"/>
  <c r="AE7619" i="2"/>
  <c r="AE7620" i="2"/>
  <c r="AE7621" i="2"/>
  <c r="AE7622" i="2"/>
  <c r="AE7623" i="2"/>
  <c r="AE7624" i="2"/>
  <c r="AE7625" i="2"/>
  <c r="AE7626" i="2"/>
  <c r="AE7627" i="2"/>
  <c r="AE7628" i="2"/>
  <c r="AE7629" i="2"/>
  <c r="AE7630" i="2"/>
  <c r="AE7631" i="2"/>
  <c r="AE7632" i="2"/>
  <c r="AE7633" i="2"/>
  <c r="AE7634" i="2"/>
  <c r="AE7635" i="2"/>
  <c r="AE7636" i="2"/>
  <c r="AE7637" i="2"/>
  <c r="AE7638" i="2"/>
  <c r="AE7639" i="2"/>
  <c r="AE7640" i="2"/>
  <c r="AE7641" i="2"/>
  <c r="AE7642" i="2"/>
  <c r="AE7643" i="2"/>
  <c r="AE7644" i="2"/>
  <c r="AE7645" i="2"/>
  <c r="AE7646" i="2"/>
  <c r="AE7647" i="2"/>
  <c r="AE7648" i="2"/>
  <c r="AE7649" i="2"/>
  <c r="AE7650" i="2"/>
  <c r="AE7651" i="2"/>
  <c r="AE7652" i="2"/>
  <c r="AE7653" i="2"/>
  <c r="AE7654" i="2"/>
  <c r="AE7655" i="2"/>
  <c r="AE7656" i="2"/>
  <c r="AE7657" i="2"/>
  <c r="AE7658" i="2"/>
  <c r="AE7659" i="2"/>
  <c r="AE7660" i="2"/>
  <c r="AE7661" i="2"/>
  <c r="AE7662" i="2"/>
  <c r="AE7663" i="2"/>
  <c r="AE7664" i="2"/>
  <c r="AE7665" i="2"/>
  <c r="AE7666" i="2"/>
  <c r="AE7667" i="2"/>
  <c r="AE7668" i="2"/>
  <c r="AE7669" i="2"/>
  <c r="AE7670" i="2"/>
  <c r="AE7671" i="2"/>
  <c r="AE7672" i="2"/>
  <c r="AE7673" i="2"/>
  <c r="AE7674" i="2"/>
  <c r="AE7675" i="2"/>
  <c r="AE7676" i="2"/>
  <c r="AE7677" i="2"/>
  <c r="AE7678" i="2"/>
  <c r="AE7679" i="2"/>
  <c r="AE7680" i="2"/>
  <c r="AE7681" i="2"/>
  <c r="AE7682" i="2"/>
  <c r="AE7683" i="2"/>
  <c r="AE7684" i="2"/>
  <c r="AE7685" i="2"/>
  <c r="AE7686" i="2"/>
  <c r="AE7687" i="2"/>
  <c r="AE7688" i="2"/>
  <c r="AE7689" i="2"/>
  <c r="AE7690" i="2"/>
  <c r="AE7691" i="2"/>
  <c r="AE7692" i="2"/>
  <c r="AE7693" i="2"/>
  <c r="AE7694" i="2"/>
  <c r="AE7695" i="2"/>
  <c r="AE7696" i="2"/>
  <c r="AE7697" i="2"/>
  <c r="AE7698" i="2"/>
  <c r="AE7699" i="2"/>
  <c r="AE7700" i="2"/>
  <c r="AE7701" i="2"/>
  <c r="AE7702" i="2"/>
  <c r="AE7703" i="2"/>
  <c r="AE7704" i="2"/>
  <c r="AE7705" i="2"/>
  <c r="AE7706" i="2"/>
  <c r="AE7707" i="2"/>
  <c r="AE7708" i="2"/>
  <c r="AE7709" i="2"/>
  <c r="AE7710" i="2"/>
  <c r="AE7711" i="2"/>
  <c r="AE7712" i="2"/>
  <c r="AE7713" i="2"/>
  <c r="AE7714" i="2"/>
  <c r="AE7715" i="2"/>
  <c r="AE7716" i="2"/>
  <c r="AE7717" i="2"/>
  <c r="AE7718" i="2"/>
  <c r="AE7719" i="2"/>
  <c r="AE7720" i="2"/>
  <c r="AE7721" i="2"/>
  <c r="AE7722" i="2"/>
  <c r="AE7723" i="2"/>
  <c r="AE7724" i="2"/>
  <c r="AE7725" i="2"/>
  <c r="AE7726" i="2"/>
  <c r="AE7727" i="2"/>
  <c r="AE7728" i="2"/>
  <c r="AE7729" i="2"/>
  <c r="AE7730" i="2"/>
  <c r="AE7731" i="2"/>
  <c r="AE7732" i="2"/>
  <c r="AE7733" i="2"/>
  <c r="AE7734" i="2"/>
  <c r="AE7735" i="2"/>
  <c r="AE7736" i="2"/>
  <c r="AE7737" i="2"/>
  <c r="AE7738" i="2"/>
  <c r="AE7739" i="2"/>
  <c r="AE7740" i="2"/>
  <c r="AE7741" i="2"/>
  <c r="AE7742" i="2"/>
  <c r="AE7743" i="2"/>
  <c r="AE7744" i="2"/>
  <c r="AE7745" i="2"/>
  <c r="AE7746" i="2"/>
  <c r="AE7747" i="2"/>
  <c r="AE7748" i="2"/>
  <c r="AE7749" i="2"/>
  <c r="AE7750" i="2"/>
  <c r="AE7751" i="2"/>
  <c r="AE7752" i="2"/>
  <c r="AE7753" i="2"/>
  <c r="AE7754" i="2"/>
  <c r="AE7755" i="2"/>
  <c r="AE7756" i="2"/>
  <c r="AE7757" i="2"/>
  <c r="AE7758" i="2"/>
  <c r="AE7759" i="2"/>
  <c r="AE7760" i="2"/>
  <c r="AE7761" i="2"/>
  <c r="AE7762" i="2"/>
  <c r="AE7763" i="2"/>
  <c r="AE7764" i="2"/>
  <c r="AE7765" i="2"/>
  <c r="AE7766" i="2"/>
  <c r="AE7767" i="2"/>
  <c r="AE7768" i="2"/>
  <c r="AE7769" i="2"/>
  <c r="AE7770" i="2"/>
  <c r="AE7771" i="2"/>
  <c r="AE7772" i="2"/>
  <c r="AE7773" i="2"/>
  <c r="AE7774" i="2"/>
  <c r="AE7775" i="2"/>
  <c r="AE7776" i="2"/>
  <c r="AE7777" i="2"/>
  <c r="AE7778" i="2"/>
  <c r="AE7779" i="2"/>
  <c r="AE7780" i="2"/>
  <c r="AE7781" i="2"/>
  <c r="AE7782" i="2"/>
  <c r="AE7783" i="2"/>
  <c r="AE7784" i="2"/>
  <c r="AE7785" i="2"/>
  <c r="AE7786" i="2"/>
  <c r="AE7787" i="2"/>
  <c r="AE7788" i="2"/>
  <c r="AE7789" i="2"/>
  <c r="AE7790" i="2"/>
  <c r="AE7791" i="2"/>
  <c r="AE7792" i="2"/>
  <c r="AE7793" i="2"/>
  <c r="AE7794" i="2"/>
  <c r="AE7795" i="2"/>
  <c r="AE7796" i="2"/>
  <c r="AE7797" i="2"/>
  <c r="AE7798" i="2"/>
  <c r="AE7799" i="2"/>
  <c r="AE7800" i="2"/>
  <c r="AE7801" i="2"/>
  <c r="AE7802" i="2"/>
  <c r="AE7803" i="2"/>
  <c r="AE7804" i="2"/>
  <c r="AE7805" i="2"/>
  <c r="AE7806" i="2"/>
  <c r="AE7807" i="2"/>
  <c r="AE7808" i="2"/>
  <c r="AE7809" i="2"/>
  <c r="AE7810" i="2"/>
  <c r="AE7811" i="2"/>
  <c r="AE7812" i="2"/>
  <c r="AE7813" i="2"/>
  <c r="AE7814" i="2"/>
  <c r="AE7815" i="2"/>
  <c r="AE7816" i="2"/>
  <c r="AE7817" i="2"/>
  <c r="AE7818" i="2"/>
  <c r="AE7819" i="2"/>
  <c r="AE7820" i="2"/>
  <c r="AE7821" i="2"/>
  <c r="AE7822" i="2"/>
  <c r="AE7823" i="2"/>
  <c r="AE7824" i="2"/>
  <c r="AE7825" i="2"/>
  <c r="AE7826" i="2"/>
  <c r="AE7827" i="2"/>
  <c r="AE7828" i="2"/>
  <c r="AE7829" i="2"/>
  <c r="AE7830" i="2"/>
  <c r="AE7831" i="2"/>
  <c r="AE7832" i="2"/>
  <c r="AE7833" i="2"/>
  <c r="AE7834" i="2"/>
  <c r="AE7835" i="2"/>
  <c r="AE7836" i="2"/>
  <c r="AE7837" i="2"/>
  <c r="AE7838" i="2"/>
  <c r="AE7839" i="2"/>
  <c r="AE7840" i="2"/>
  <c r="AE7841" i="2"/>
  <c r="AE7842" i="2"/>
  <c r="AE7843" i="2"/>
  <c r="AE7844" i="2"/>
  <c r="AE7845" i="2"/>
  <c r="AE7846" i="2"/>
  <c r="AE7847" i="2"/>
  <c r="AE7848" i="2"/>
  <c r="AE7849" i="2"/>
  <c r="AE7850" i="2"/>
  <c r="AE7851" i="2"/>
  <c r="AE7852" i="2"/>
  <c r="AE7853" i="2"/>
  <c r="AE7854" i="2"/>
  <c r="AE7855" i="2"/>
  <c r="AE7856" i="2"/>
  <c r="AE7857" i="2"/>
  <c r="AE7858" i="2"/>
  <c r="AE7859" i="2"/>
  <c r="AE7860" i="2"/>
  <c r="AE7861" i="2"/>
  <c r="AE7862" i="2"/>
  <c r="AE7863" i="2"/>
  <c r="AE7864" i="2"/>
  <c r="AE7865" i="2"/>
  <c r="AE7866" i="2"/>
  <c r="AE7867" i="2"/>
  <c r="AE7868" i="2"/>
  <c r="AE7869" i="2"/>
  <c r="AE7870" i="2"/>
  <c r="AE7871" i="2"/>
  <c r="AE7872" i="2"/>
  <c r="AE7873" i="2"/>
  <c r="AE7874" i="2"/>
  <c r="AE7875" i="2"/>
  <c r="AE7876" i="2"/>
  <c r="AE7877" i="2"/>
  <c r="AE7878" i="2"/>
  <c r="AE7879" i="2"/>
  <c r="AE7880" i="2"/>
  <c r="AE7881" i="2"/>
  <c r="AE7882" i="2"/>
  <c r="AE7883" i="2"/>
  <c r="AE7884" i="2"/>
  <c r="AE7885" i="2"/>
  <c r="AE7886" i="2"/>
  <c r="AE7887" i="2"/>
  <c r="AE7888" i="2"/>
  <c r="AE7889" i="2"/>
  <c r="AE7890" i="2"/>
  <c r="AE7891" i="2"/>
  <c r="AE7892" i="2"/>
  <c r="AE7893" i="2"/>
  <c r="AE7894" i="2"/>
  <c r="AE7895" i="2"/>
  <c r="AE7896" i="2"/>
  <c r="AE7897" i="2"/>
  <c r="AE7898" i="2"/>
  <c r="AE7899" i="2"/>
  <c r="AE7900" i="2"/>
  <c r="AE7901" i="2"/>
  <c r="AE7902" i="2"/>
  <c r="AE7903" i="2"/>
  <c r="AE7904" i="2"/>
  <c r="AE7905" i="2"/>
  <c r="AE7906" i="2"/>
  <c r="AE7907" i="2"/>
  <c r="AE7908" i="2"/>
  <c r="AE7909" i="2"/>
  <c r="AE7910" i="2"/>
  <c r="AE7911" i="2"/>
  <c r="AE7912" i="2"/>
  <c r="AE7913" i="2"/>
  <c r="AE7914" i="2"/>
  <c r="AE7915" i="2"/>
  <c r="AE7916" i="2"/>
  <c r="AE7917" i="2"/>
  <c r="AE7918" i="2"/>
  <c r="AE7919" i="2"/>
  <c r="AE7920" i="2"/>
  <c r="AE7921" i="2"/>
  <c r="AE7922" i="2"/>
  <c r="AE7923" i="2"/>
  <c r="AE7924" i="2"/>
  <c r="AE7925" i="2"/>
  <c r="AE7926" i="2"/>
  <c r="AE7927" i="2"/>
  <c r="AE7928" i="2"/>
  <c r="AE7929" i="2"/>
  <c r="AE7930" i="2"/>
  <c r="AE7931" i="2"/>
  <c r="AE7932" i="2"/>
  <c r="AE7933" i="2"/>
  <c r="AE7934" i="2"/>
  <c r="AE7935" i="2"/>
  <c r="AE7936" i="2"/>
  <c r="AE7937" i="2"/>
  <c r="AE7938" i="2"/>
  <c r="AE7939" i="2"/>
  <c r="AE7940" i="2"/>
  <c r="AE7941" i="2"/>
  <c r="AE7942" i="2"/>
  <c r="AE7943" i="2"/>
  <c r="AE7944" i="2"/>
  <c r="AE7945" i="2"/>
  <c r="AE7946" i="2"/>
  <c r="AE7947" i="2"/>
  <c r="AE7948" i="2"/>
  <c r="AE7949" i="2"/>
  <c r="AE7950" i="2"/>
  <c r="AE7951" i="2"/>
  <c r="AE7952" i="2"/>
  <c r="AE7953" i="2"/>
  <c r="AE7954" i="2"/>
  <c r="AE7955" i="2"/>
  <c r="AE7956" i="2"/>
  <c r="AE7957" i="2"/>
  <c r="AE7958" i="2"/>
  <c r="AE7959" i="2"/>
  <c r="AE7960" i="2"/>
  <c r="AE7961" i="2"/>
  <c r="AE7962" i="2"/>
  <c r="AE7963" i="2"/>
  <c r="AE7964" i="2"/>
  <c r="AE7965" i="2"/>
  <c r="AE7966" i="2"/>
  <c r="AE7967" i="2"/>
  <c r="AE7968" i="2"/>
  <c r="AE7969" i="2"/>
  <c r="AE7970" i="2"/>
  <c r="AE7971" i="2"/>
  <c r="AE7972" i="2"/>
  <c r="AE7973" i="2"/>
  <c r="AE7974" i="2"/>
  <c r="AE7975" i="2"/>
  <c r="AE7976" i="2"/>
  <c r="AE7977" i="2"/>
  <c r="AE7978" i="2"/>
  <c r="AE7979" i="2"/>
  <c r="AE7980" i="2"/>
  <c r="AE7981" i="2"/>
  <c r="AE7982" i="2"/>
  <c r="AE7983" i="2"/>
  <c r="AE7984" i="2"/>
  <c r="AE7985" i="2"/>
  <c r="AE7986" i="2"/>
  <c r="AE7987" i="2"/>
  <c r="AE7988" i="2"/>
  <c r="AE7989" i="2"/>
  <c r="AE7990" i="2"/>
  <c r="AE7991" i="2"/>
  <c r="AE7992" i="2"/>
  <c r="AE7993" i="2"/>
  <c r="AE7994" i="2"/>
  <c r="AE7995" i="2"/>
  <c r="AE7996" i="2"/>
  <c r="AE7997" i="2"/>
  <c r="AE7998" i="2"/>
  <c r="AE7999" i="2"/>
  <c r="AE8000" i="2"/>
  <c r="AE8001" i="2"/>
  <c r="AE8002" i="2"/>
  <c r="AE8003" i="2"/>
  <c r="AE8004" i="2"/>
  <c r="AE8005" i="2"/>
  <c r="AE8006" i="2"/>
  <c r="AE8007" i="2"/>
  <c r="AE8008" i="2"/>
  <c r="AE8009" i="2"/>
  <c r="AE8010" i="2"/>
  <c r="AE8011" i="2"/>
  <c r="AE8012" i="2"/>
  <c r="AE8013" i="2"/>
  <c r="AE8014" i="2"/>
  <c r="AE8015" i="2"/>
  <c r="AE8016" i="2"/>
  <c r="AE8017" i="2"/>
  <c r="AE8018" i="2"/>
  <c r="AE8019" i="2"/>
  <c r="AE8020" i="2"/>
  <c r="AE8021" i="2"/>
  <c r="AE8022" i="2"/>
  <c r="AE8023" i="2"/>
  <c r="AE8024" i="2"/>
  <c r="AE8025" i="2"/>
  <c r="AE8026" i="2"/>
  <c r="AE8027" i="2"/>
  <c r="AE8028" i="2"/>
  <c r="AE8029" i="2"/>
  <c r="AE8030" i="2"/>
  <c r="AE8031" i="2"/>
  <c r="AE8032" i="2"/>
  <c r="AE8033" i="2"/>
  <c r="AE8034" i="2"/>
  <c r="AE8035" i="2"/>
  <c r="AE8036" i="2"/>
  <c r="AE8037" i="2"/>
  <c r="AE8038" i="2"/>
  <c r="AE8039" i="2"/>
  <c r="AE8040" i="2"/>
  <c r="AE8041" i="2"/>
  <c r="AE8042" i="2"/>
  <c r="AE8043" i="2"/>
  <c r="AE8044" i="2"/>
  <c r="AE8045" i="2"/>
  <c r="AE8046" i="2"/>
  <c r="AE8047" i="2"/>
  <c r="AE8048" i="2"/>
  <c r="AE8049" i="2"/>
  <c r="AE8050" i="2"/>
  <c r="AE8051" i="2"/>
  <c r="AE8052" i="2"/>
  <c r="AE8053" i="2"/>
  <c r="AE8054" i="2"/>
  <c r="AE8055" i="2"/>
  <c r="AE8056" i="2"/>
  <c r="AE8057" i="2"/>
  <c r="AE8058" i="2"/>
  <c r="AE8059" i="2"/>
  <c r="AE8060" i="2"/>
  <c r="AE8061" i="2"/>
  <c r="AE8062" i="2"/>
  <c r="AE8063" i="2"/>
  <c r="AE8064" i="2"/>
  <c r="AE8065" i="2"/>
  <c r="AE8066" i="2"/>
  <c r="AE8067" i="2"/>
  <c r="AE8068" i="2"/>
  <c r="AE8069" i="2"/>
  <c r="AE8070" i="2"/>
  <c r="AE8071" i="2"/>
  <c r="AE8072" i="2"/>
  <c r="AE8073" i="2"/>
  <c r="AE8074" i="2"/>
  <c r="AE8075" i="2"/>
  <c r="AE8076" i="2"/>
  <c r="AE8077" i="2"/>
  <c r="AE8078" i="2"/>
  <c r="AE8079" i="2"/>
  <c r="AE8080" i="2"/>
  <c r="AE8081" i="2"/>
  <c r="AE8082" i="2"/>
  <c r="AE8083" i="2"/>
  <c r="AE8084" i="2"/>
  <c r="AE8085" i="2"/>
  <c r="AE8086" i="2"/>
  <c r="AE8087" i="2"/>
  <c r="AE8088" i="2"/>
  <c r="AE8089" i="2"/>
  <c r="AE8090" i="2"/>
  <c r="AE8091" i="2"/>
  <c r="AE8092" i="2"/>
  <c r="AE8093" i="2"/>
  <c r="AE8094" i="2"/>
  <c r="AE8095" i="2"/>
  <c r="AE8096" i="2"/>
  <c r="AE8097" i="2"/>
  <c r="AE8098" i="2"/>
  <c r="AE8099" i="2"/>
  <c r="AE8100" i="2"/>
  <c r="AE8101" i="2"/>
  <c r="AE8102" i="2"/>
  <c r="AE8103" i="2"/>
  <c r="AE8104" i="2"/>
  <c r="AE8105" i="2"/>
  <c r="AE8106" i="2"/>
  <c r="AE8107" i="2"/>
  <c r="AE8108" i="2"/>
  <c r="AE8109" i="2"/>
  <c r="AE8110" i="2"/>
  <c r="AE8111" i="2"/>
  <c r="AE8112" i="2"/>
  <c r="AE8113" i="2"/>
  <c r="AE8114" i="2"/>
  <c r="AE8115" i="2"/>
  <c r="AE8116" i="2"/>
  <c r="AE8117" i="2"/>
  <c r="AE8118" i="2"/>
  <c r="AE8119" i="2"/>
  <c r="AE8120" i="2"/>
  <c r="AE8121" i="2"/>
  <c r="AE8122" i="2"/>
  <c r="AE8123" i="2"/>
  <c r="AE8124" i="2"/>
  <c r="AE8125" i="2"/>
  <c r="AE8126" i="2"/>
  <c r="AE8127" i="2"/>
  <c r="AE8128" i="2"/>
  <c r="AE8129" i="2"/>
  <c r="AE8130" i="2"/>
  <c r="AE8131" i="2"/>
  <c r="AE8132" i="2"/>
  <c r="AE8133" i="2"/>
  <c r="AE8134" i="2"/>
  <c r="AE8135" i="2"/>
  <c r="AE8136" i="2"/>
  <c r="AE8137" i="2"/>
  <c r="AE8138" i="2"/>
  <c r="AE8139" i="2"/>
  <c r="AE8140" i="2"/>
  <c r="AE8141" i="2"/>
  <c r="AE8142" i="2"/>
  <c r="AE8143" i="2"/>
  <c r="AE8144" i="2"/>
  <c r="AE8145" i="2"/>
  <c r="AE8146" i="2"/>
  <c r="AE8147" i="2"/>
  <c r="AE8148" i="2"/>
  <c r="AE8149" i="2"/>
  <c r="AE8150" i="2"/>
  <c r="AE8151" i="2"/>
  <c r="AE8152" i="2"/>
  <c r="AE8153" i="2"/>
  <c r="AE8154" i="2"/>
  <c r="AE8155" i="2"/>
  <c r="AE8156" i="2"/>
  <c r="AE8157" i="2"/>
  <c r="AE8158" i="2"/>
  <c r="AE8159" i="2"/>
  <c r="AE8160" i="2"/>
  <c r="AE8161" i="2"/>
  <c r="AE8162" i="2"/>
  <c r="AE8163" i="2"/>
  <c r="AE8164" i="2"/>
  <c r="AE8165" i="2"/>
  <c r="AE8166" i="2"/>
  <c r="AE8167" i="2"/>
  <c r="AE8168" i="2"/>
  <c r="AE8169" i="2"/>
  <c r="AE8170" i="2"/>
  <c r="AE8171" i="2"/>
  <c r="AE8172" i="2"/>
  <c r="AE8173" i="2"/>
  <c r="AE8174" i="2"/>
  <c r="AE8175" i="2"/>
  <c r="AE8176" i="2"/>
  <c r="AE8177" i="2"/>
  <c r="AE8178" i="2"/>
  <c r="AE8179" i="2"/>
  <c r="AE8180" i="2"/>
  <c r="AE8181" i="2"/>
  <c r="AE8182" i="2"/>
  <c r="AE8183" i="2"/>
  <c r="AE8184" i="2"/>
  <c r="AE8185" i="2"/>
  <c r="AE8186" i="2"/>
  <c r="AE8187" i="2"/>
  <c r="AE8188" i="2"/>
  <c r="AE8189" i="2"/>
  <c r="AE8190" i="2"/>
  <c r="AE8191" i="2"/>
  <c r="AE8192" i="2"/>
  <c r="AE8193" i="2"/>
  <c r="AE8194" i="2"/>
  <c r="AE8195" i="2"/>
  <c r="AE8196" i="2"/>
  <c r="AE8197" i="2"/>
  <c r="AE8198" i="2"/>
  <c r="AE8199" i="2"/>
  <c r="AE8200" i="2"/>
  <c r="AE8201" i="2"/>
  <c r="AE8202" i="2"/>
  <c r="AE8203" i="2"/>
  <c r="AE8204" i="2"/>
  <c r="AE8205" i="2"/>
  <c r="AE8206" i="2"/>
  <c r="AE8207" i="2"/>
  <c r="AE8208" i="2"/>
  <c r="AE8209" i="2"/>
  <c r="AE8210" i="2"/>
  <c r="AE8211" i="2"/>
  <c r="AE8212" i="2"/>
  <c r="AE8213" i="2"/>
  <c r="AE8214" i="2"/>
  <c r="AE8215" i="2"/>
  <c r="AE8216" i="2"/>
  <c r="AE8217" i="2"/>
  <c r="AE8218" i="2"/>
  <c r="AE8219" i="2"/>
  <c r="AE8220" i="2"/>
  <c r="AE8221" i="2"/>
  <c r="AE8222" i="2"/>
  <c r="AE8223" i="2"/>
  <c r="AE8224" i="2"/>
  <c r="AE8225" i="2"/>
  <c r="AE8226" i="2"/>
  <c r="AE8227" i="2"/>
  <c r="AE8228" i="2"/>
  <c r="AE8229" i="2"/>
  <c r="AE8230" i="2"/>
  <c r="AE8231" i="2"/>
  <c r="AE8232" i="2"/>
  <c r="AE8233" i="2"/>
  <c r="AE8234" i="2"/>
  <c r="AE8235" i="2"/>
  <c r="AE8236" i="2"/>
  <c r="AE8237" i="2"/>
  <c r="AE8238" i="2"/>
  <c r="AE8239" i="2"/>
  <c r="AE8240" i="2"/>
  <c r="AE8241" i="2"/>
  <c r="AE8242" i="2"/>
  <c r="AE8243" i="2"/>
  <c r="AE8244" i="2"/>
  <c r="AE8245" i="2"/>
  <c r="AE8246" i="2"/>
  <c r="AE8247" i="2"/>
  <c r="AE8248" i="2"/>
  <c r="AE8249" i="2"/>
  <c r="AE8250" i="2"/>
  <c r="AE8251" i="2"/>
  <c r="AE8252" i="2"/>
  <c r="AE8253" i="2"/>
  <c r="AE8254" i="2"/>
  <c r="AE8255" i="2"/>
  <c r="AE8256" i="2"/>
  <c r="AE8257" i="2"/>
  <c r="AE8258" i="2"/>
  <c r="AE8259" i="2"/>
  <c r="AE8260" i="2"/>
  <c r="AE8261" i="2"/>
  <c r="AE8262" i="2"/>
  <c r="AE8263" i="2"/>
  <c r="AE8264" i="2"/>
  <c r="AE8265" i="2"/>
  <c r="AE8266" i="2"/>
  <c r="AE8267" i="2"/>
  <c r="AE8268" i="2"/>
  <c r="AE8269" i="2"/>
  <c r="AE8270" i="2"/>
  <c r="AE8271" i="2"/>
  <c r="AE8272" i="2"/>
  <c r="AE8273" i="2"/>
  <c r="AE8274" i="2"/>
  <c r="AE8275" i="2"/>
  <c r="AE8276" i="2"/>
  <c r="AE8277" i="2"/>
  <c r="AE8278" i="2"/>
  <c r="AE8279" i="2"/>
  <c r="AE8280" i="2"/>
  <c r="AE8281" i="2"/>
  <c r="AE8282" i="2"/>
  <c r="AE8283" i="2"/>
  <c r="AE8284" i="2"/>
  <c r="AE8285" i="2"/>
  <c r="AE8286" i="2"/>
  <c r="AE8287" i="2"/>
  <c r="AE8288" i="2"/>
  <c r="AE8289" i="2"/>
  <c r="AE8290" i="2"/>
  <c r="AE8291" i="2"/>
  <c r="AE8292" i="2"/>
  <c r="AE8293" i="2"/>
  <c r="AE8294" i="2"/>
  <c r="AE8295" i="2"/>
  <c r="AE8296" i="2"/>
  <c r="AE8297" i="2"/>
  <c r="AE8298" i="2"/>
  <c r="AE8299" i="2"/>
  <c r="AE8300" i="2"/>
  <c r="AE8301" i="2"/>
  <c r="AE8302" i="2"/>
  <c r="AE8303" i="2"/>
  <c r="AE8304" i="2"/>
  <c r="AE8305" i="2"/>
  <c r="AE8306" i="2"/>
  <c r="AE8307" i="2"/>
  <c r="AE8308" i="2"/>
  <c r="AE8309" i="2"/>
  <c r="AE8310" i="2"/>
  <c r="AE8311" i="2"/>
  <c r="AE8312" i="2"/>
  <c r="AE8313" i="2"/>
  <c r="AE8314" i="2"/>
  <c r="AE8315" i="2"/>
  <c r="AE8316" i="2"/>
  <c r="AE8317" i="2"/>
  <c r="AE8318" i="2"/>
  <c r="AE8319" i="2"/>
  <c r="AE8320" i="2"/>
  <c r="AE8321" i="2"/>
  <c r="AE8322" i="2"/>
  <c r="AE8323" i="2"/>
  <c r="AE8324" i="2"/>
  <c r="AE8325" i="2"/>
  <c r="AE8326" i="2"/>
  <c r="AE8327" i="2"/>
  <c r="AE8328" i="2"/>
  <c r="AE8329" i="2"/>
  <c r="AE8330" i="2"/>
  <c r="AE8331" i="2"/>
  <c r="AE8332" i="2"/>
  <c r="AE8333" i="2"/>
  <c r="AE8334" i="2"/>
  <c r="AE8335" i="2"/>
  <c r="AE8336" i="2"/>
  <c r="AE8337" i="2"/>
  <c r="AE8338" i="2"/>
  <c r="AE8339" i="2"/>
  <c r="AE8340" i="2"/>
  <c r="AE8341" i="2"/>
  <c r="AE8342" i="2"/>
  <c r="AE8343" i="2"/>
  <c r="AE8344" i="2"/>
  <c r="AE8345" i="2"/>
  <c r="AE8346" i="2"/>
  <c r="AE8347" i="2"/>
  <c r="AE8348" i="2"/>
  <c r="AE8349" i="2"/>
  <c r="AE8350" i="2"/>
  <c r="AE8351" i="2"/>
  <c r="AE8352" i="2"/>
  <c r="AE8353" i="2"/>
  <c r="AE8354" i="2"/>
  <c r="AE8355" i="2"/>
  <c r="AE8356" i="2"/>
  <c r="AE8357" i="2"/>
  <c r="AE8358" i="2"/>
  <c r="AE8359" i="2"/>
  <c r="AE8360" i="2"/>
  <c r="AE8361" i="2"/>
  <c r="AE8362" i="2"/>
  <c r="AE8363" i="2"/>
  <c r="AE8364" i="2"/>
  <c r="AE8365" i="2"/>
  <c r="AE8366" i="2"/>
  <c r="AE8367" i="2"/>
  <c r="AE8368" i="2"/>
  <c r="AE8369" i="2"/>
  <c r="AE8370" i="2"/>
  <c r="AE8371" i="2"/>
  <c r="AE8372" i="2"/>
  <c r="AE8373" i="2"/>
  <c r="AE8374" i="2"/>
  <c r="AE8375" i="2"/>
  <c r="AE8376" i="2"/>
  <c r="AE8377" i="2"/>
  <c r="AE8378" i="2"/>
  <c r="AE8379" i="2"/>
  <c r="AE8380" i="2"/>
  <c r="AE8381" i="2"/>
  <c r="AE8382" i="2"/>
  <c r="AE8383" i="2"/>
  <c r="AE8384" i="2"/>
  <c r="AE8385" i="2"/>
  <c r="AE8386" i="2"/>
  <c r="AE8387" i="2"/>
  <c r="AE8388" i="2"/>
  <c r="AE8389" i="2"/>
  <c r="AE8390" i="2"/>
  <c r="AE8391" i="2"/>
  <c r="AE8392" i="2"/>
  <c r="AE8393" i="2"/>
  <c r="AE8394" i="2"/>
  <c r="AE8395" i="2"/>
  <c r="AE8396" i="2"/>
  <c r="AE8397" i="2"/>
  <c r="AE8398" i="2"/>
  <c r="AE8399" i="2"/>
  <c r="AE8400" i="2"/>
  <c r="AE8401" i="2"/>
  <c r="AE8402" i="2"/>
  <c r="AE8403" i="2"/>
  <c r="AE8404" i="2"/>
  <c r="AE8405" i="2"/>
  <c r="AE8406" i="2"/>
  <c r="AE8407" i="2"/>
  <c r="AE8408" i="2"/>
  <c r="AE8409" i="2"/>
  <c r="AE8410" i="2"/>
  <c r="AE8411" i="2"/>
  <c r="AE8412" i="2"/>
  <c r="AE8413" i="2"/>
  <c r="AE8414" i="2"/>
  <c r="AE8415" i="2"/>
  <c r="AE8416" i="2"/>
  <c r="AE8417" i="2"/>
  <c r="AE8418" i="2"/>
  <c r="AE8419" i="2"/>
  <c r="AE8420" i="2"/>
  <c r="AE8421" i="2"/>
  <c r="AE8422" i="2"/>
  <c r="AE8423" i="2"/>
  <c r="AE8424" i="2"/>
  <c r="AE8425" i="2"/>
  <c r="AE8426" i="2"/>
  <c r="AE8427" i="2"/>
  <c r="AE8428" i="2"/>
  <c r="AE8429" i="2"/>
  <c r="AE8430" i="2"/>
  <c r="AE8431" i="2"/>
  <c r="AE8432" i="2"/>
  <c r="AE8433" i="2"/>
  <c r="AE8434" i="2"/>
  <c r="AE8435" i="2"/>
  <c r="AE8436" i="2"/>
  <c r="AE8437" i="2"/>
  <c r="AE8438" i="2"/>
  <c r="AE8439" i="2"/>
  <c r="AE8440" i="2"/>
  <c r="AE8441" i="2"/>
  <c r="AE8442" i="2"/>
  <c r="AE8443" i="2"/>
  <c r="AE8444" i="2"/>
  <c r="AE8445" i="2"/>
  <c r="AE8446" i="2"/>
  <c r="AE8447" i="2"/>
  <c r="AE8448" i="2"/>
  <c r="AE8449" i="2"/>
  <c r="AE8450" i="2"/>
  <c r="AE8451" i="2"/>
  <c r="AE8452" i="2"/>
  <c r="AE8453" i="2"/>
  <c r="AE8454" i="2"/>
  <c r="AE8455" i="2"/>
  <c r="AE8456" i="2"/>
  <c r="AE8457" i="2"/>
  <c r="AE8458" i="2"/>
  <c r="AE8459" i="2"/>
  <c r="AE8460" i="2"/>
  <c r="AE8461" i="2"/>
  <c r="AE8462" i="2"/>
  <c r="AE8463" i="2"/>
  <c r="AE8464" i="2"/>
  <c r="AE8465" i="2"/>
  <c r="AE8466" i="2"/>
  <c r="AE8467" i="2"/>
  <c r="AE8468" i="2"/>
  <c r="AE8469" i="2"/>
  <c r="AE8470" i="2"/>
  <c r="AE8471" i="2"/>
  <c r="AE8472" i="2"/>
  <c r="AE8473" i="2"/>
  <c r="AE8474" i="2"/>
  <c r="AE8475" i="2"/>
  <c r="AE8476" i="2"/>
  <c r="AE8477" i="2"/>
  <c r="AE8478" i="2"/>
  <c r="AE8479" i="2"/>
  <c r="AE8480" i="2"/>
  <c r="AE8481" i="2"/>
  <c r="AE8482" i="2"/>
  <c r="AE8483" i="2"/>
  <c r="AE8484" i="2"/>
  <c r="AE8485" i="2"/>
  <c r="AE8486" i="2"/>
  <c r="AE8487" i="2"/>
  <c r="AE8488" i="2"/>
  <c r="AE8489" i="2"/>
  <c r="AE8490" i="2"/>
  <c r="AE8491" i="2"/>
  <c r="AE8492" i="2"/>
  <c r="AE8493" i="2"/>
  <c r="AE8494" i="2"/>
  <c r="AE8495" i="2"/>
  <c r="AE8496" i="2"/>
  <c r="AE8497" i="2"/>
  <c r="AE8498" i="2"/>
  <c r="AE8499" i="2"/>
  <c r="AE8500" i="2"/>
  <c r="AE8501" i="2"/>
  <c r="AE8502" i="2"/>
  <c r="AE8503" i="2"/>
  <c r="AE8504" i="2"/>
  <c r="AE8505" i="2"/>
  <c r="AE8506" i="2"/>
  <c r="AE8507" i="2"/>
  <c r="AE8508" i="2"/>
  <c r="AE8509" i="2"/>
  <c r="AE8510" i="2"/>
  <c r="AE8511" i="2"/>
  <c r="AE8512" i="2"/>
  <c r="AE8513" i="2"/>
  <c r="AE8514" i="2"/>
  <c r="AE8515" i="2"/>
  <c r="AE8516" i="2"/>
  <c r="AE8517" i="2"/>
  <c r="AE8518" i="2"/>
  <c r="AE8519" i="2"/>
  <c r="AE8520" i="2"/>
  <c r="AE8521" i="2"/>
  <c r="AE8522" i="2"/>
  <c r="AE8523" i="2"/>
  <c r="AE8524" i="2"/>
  <c r="AE8525" i="2"/>
  <c r="AE8526" i="2"/>
  <c r="AE8527" i="2"/>
  <c r="AE8528" i="2"/>
  <c r="AE8529" i="2"/>
  <c r="AE8530" i="2"/>
  <c r="AE8531" i="2"/>
  <c r="AE8532" i="2"/>
  <c r="AE8533" i="2"/>
  <c r="AE8534" i="2"/>
  <c r="AE8535" i="2"/>
  <c r="AE8536" i="2"/>
  <c r="AE8537" i="2"/>
  <c r="AE8538" i="2"/>
  <c r="AE8539" i="2"/>
  <c r="AE8540" i="2"/>
  <c r="AE8541" i="2"/>
  <c r="AE8542" i="2"/>
  <c r="AE8543" i="2"/>
  <c r="AE8544" i="2"/>
  <c r="AE8545" i="2"/>
  <c r="AE8546" i="2"/>
  <c r="AE8547" i="2"/>
  <c r="AE8548" i="2"/>
  <c r="AE8549" i="2"/>
  <c r="AE8550" i="2"/>
  <c r="AE8551" i="2"/>
  <c r="AE8552" i="2"/>
  <c r="AE8553" i="2"/>
  <c r="AE8554" i="2"/>
  <c r="AE8555" i="2"/>
  <c r="AE8556" i="2"/>
  <c r="AE8557" i="2"/>
  <c r="AE8558" i="2"/>
  <c r="AE8559" i="2"/>
  <c r="AE8560" i="2"/>
  <c r="AE8561" i="2"/>
  <c r="AE8562" i="2"/>
  <c r="AE8563" i="2"/>
  <c r="AE8564" i="2"/>
  <c r="AE8565" i="2"/>
  <c r="AE8566" i="2"/>
  <c r="AE8567" i="2"/>
  <c r="AE8568" i="2"/>
  <c r="AE8569" i="2"/>
  <c r="AE8570" i="2"/>
  <c r="AE8571" i="2"/>
  <c r="AE8572" i="2"/>
  <c r="AE8573" i="2"/>
  <c r="AE8574" i="2"/>
  <c r="AE8575" i="2"/>
  <c r="AE8576" i="2"/>
  <c r="AE8577" i="2"/>
  <c r="AE8578" i="2"/>
  <c r="AE8579" i="2"/>
  <c r="AE8580" i="2"/>
  <c r="AE8581" i="2"/>
  <c r="AE8582" i="2"/>
  <c r="AE8583" i="2"/>
  <c r="AE8584" i="2"/>
  <c r="AE8585" i="2"/>
  <c r="AE8586" i="2"/>
  <c r="AE8587" i="2"/>
  <c r="AE8588" i="2"/>
  <c r="AE8589" i="2"/>
  <c r="AE8590" i="2"/>
  <c r="AE8591" i="2"/>
  <c r="AE8592" i="2"/>
  <c r="AE8593" i="2"/>
  <c r="AE8594" i="2"/>
  <c r="AE8595" i="2"/>
  <c r="AE8596" i="2"/>
  <c r="AE8597" i="2"/>
  <c r="AE8598" i="2"/>
  <c r="AE8599" i="2"/>
  <c r="AE8600" i="2"/>
  <c r="AE8601" i="2"/>
  <c r="AE8602" i="2"/>
  <c r="AE8603" i="2"/>
  <c r="AE8604" i="2"/>
  <c r="AE8605" i="2"/>
  <c r="AE8606" i="2"/>
  <c r="AE8607" i="2"/>
  <c r="AE8608" i="2"/>
  <c r="AE8609" i="2"/>
  <c r="AE8610" i="2"/>
  <c r="AE8611" i="2"/>
  <c r="AE8612" i="2"/>
  <c r="AE8613" i="2"/>
  <c r="AE8614" i="2"/>
  <c r="AE8615" i="2"/>
  <c r="AE8616" i="2"/>
  <c r="AE8617" i="2"/>
  <c r="AE8618" i="2"/>
  <c r="AE8619" i="2"/>
  <c r="AE8620" i="2"/>
  <c r="AE8621" i="2"/>
  <c r="AE8622" i="2"/>
  <c r="AE8623" i="2"/>
  <c r="AE8624" i="2"/>
  <c r="AE8625" i="2"/>
  <c r="AE8626" i="2"/>
  <c r="AE8627" i="2"/>
  <c r="AE8628" i="2"/>
  <c r="AE8629" i="2"/>
  <c r="AE8630" i="2"/>
  <c r="AE8631" i="2"/>
  <c r="AE8632" i="2"/>
  <c r="AE8633" i="2"/>
  <c r="AE8634" i="2"/>
  <c r="AE8635" i="2"/>
  <c r="AE8636" i="2"/>
  <c r="AE8637" i="2"/>
  <c r="AE8638" i="2"/>
  <c r="AE8639" i="2"/>
  <c r="AE8640" i="2"/>
  <c r="AE8641" i="2"/>
  <c r="AE8642" i="2"/>
  <c r="AE8643" i="2"/>
  <c r="AE8644" i="2"/>
  <c r="AE8645" i="2"/>
  <c r="AE8646" i="2"/>
  <c r="AE8647" i="2"/>
  <c r="AE8648" i="2"/>
  <c r="AE8649" i="2"/>
  <c r="AE8650" i="2"/>
  <c r="AE8651" i="2"/>
  <c r="AE8652" i="2"/>
  <c r="AE8653" i="2"/>
  <c r="AE8654" i="2"/>
  <c r="AE8655" i="2"/>
  <c r="AE8656" i="2"/>
  <c r="AE8657" i="2"/>
  <c r="AE8658" i="2"/>
  <c r="AE8659" i="2"/>
  <c r="AE8660" i="2"/>
  <c r="AE8661" i="2"/>
  <c r="AE8662" i="2"/>
  <c r="AE8663" i="2"/>
  <c r="AE8664" i="2"/>
  <c r="AE8665" i="2"/>
  <c r="AE8666" i="2"/>
  <c r="AE8667" i="2"/>
  <c r="AE8668" i="2"/>
  <c r="AE8669" i="2"/>
  <c r="AE8670" i="2"/>
  <c r="AE8671" i="2"/>
  <c r="AE8672" i="2"/>
  <c r="AE8673" i="2"/>
  <c r="AE8674" i="2"/>
  <c r="AE8675" i="2"/>
  <c r="AE8676" i="2"/>
  <c r="AE8677" i="2"/>
  <c r="AE8678" i="2"/>
  <c r="AE8679" i="2"/>
  <c r="AE8680" i="2"/>
  <c r="AE8681" i="2"/>
  <c r="AE8682" i="2"/>
  <c r="AE8683" i="2"/>
  <c r="AE8684" i="2"/>
  <c r="AE8685" i="2"/>
  <c r="AE8686" i="2"/>
  <c r="AE8687" i="2"/>
  <c r="AE8688" i="2"/>
  <c r="AE8689" i="2"/>
  <c r="AE8690" i="2"/>
  <c r="AE8691" i="2"/>
  <c r="AE8692" i="2"/>
  <c r="AE8693" i="2"/>
  <c r="AE8694" i="2"/>
  <c r="AE8695" i="2"/>
  <c r="AE8696" i="2"/>
  <c r="AE8697" i="2"/>
  <c r="AE8698" i="2"/>
  <c r="AE8699" i="2"/>
  <c r="AE8700" i="2"/>
  <c r="AE8701" i="2"/>
  <c r="AE8702" i="2"/>
  <c r="AE8703" i="2"/>
  <c r="AE8704" i="2"/>
  <c r="AE8705" i="2"/>
  <c r="AE8706" i="2"/>
  <c r="AE8707" i="2"/>
  <c r="AE8708" i="2"/>
  <c r="AE8709" i="2"/>
  <c r="AE8710" i="2"/>
  <c r="AE8711" i="2"/>
  <c r="AE8712" i="2"/>
  <c r="AE8713" i="2"/>
  <c r="AE8714" i="2"/>
  <c r="AE8715" i="2"/>
  <c r="AE8716" i="2"/>
  <c r="AE8717" i="2"/>
  <c r="AE8718" i="2"/>
  <c r="AE8719" i="2"/>
  <c r="AE8720" i="2"/>
  <c r="AE8721" i="2"/>
  <c r="AE8722" i="2"/>
  <c r="AE8723" i="2"/>
  <c r="AE8724" i="2"/>
  <c r="AE8725" i="2"/>
  <c r="AE8726" i="2"/>
  <c r="AE8727" i="2"/>
  <c r="AE8728" i="2"/>
  <c r="AE8729" i="2"/>
  <c r="AE8730" i="2"/>
  <c r="AE8731" i="2"/>
  <c r="AE8732" i="2"/>
  <c r="AE8733" i="2"/>
  <c r="AE8734" i="2"/>
  <c r="AE8735" i="2"/>
  <c r="AE8736" i="2"/>
  <c r="AE8737" i="2"/>
  <c r="AE8738" i="2"/>
  <c r="AE8739" i="2"/>
  <c r="AE8740" i="2"/>
  <c r="AE8741" i="2"/>
  <c r="AE8742" i="2"/>
  <c r="AE8743" i="2"/>
  <c r="AE8744" i="2"/>
  <c r="AE8745" i="2"/>
  <c r="AE8746" i="2"/>
  <c r="AE8747" i="2"/>
  <c r="AE8748" i="2"/>
  <c r="AE8749" i="2"/>
  <c r="AE8750" i="2"/>
  <c r="AE8751" i="2"/>
  <c r="AE8752" i="2"/>
  <c r="AE8753" i="2"/>
  <c r="AE8754" i="2"/>
  <c r="AE8755" i="2"/>
  <c r="AE8756" i="2"/>
  <c r="AE8757" i="2"/>
  <c r="AE8758" i="2"/>
  <c r="AE8759" i="2"/>
  <c r="AE8760" i="2"/>
  <c r="AE8761" i="2"/>
  <c r="AE8762" i="2"/>
  <c r="AE8763" i="2"/>
  <c r="AE8764" i="2"/>
  <c r="AE8765" i="2"/>
  <c r="AE8766" i="2"/>
  <c r="AE8767" i="2"/>
  <c r="AE8768" i="2"/>
  <c r="AE8769" i="2"/>
  <c r="AE8770" i="2"/>
  <c r="AE8771" i="2"/>
  <c r="AE8772" i="2"/>
  <c r="AE8773" i="2"/>
  <c r="AE8774" i="2"/>
  <c r="AE8775" i="2"/>
  <c r="AE8776" i="2"/>
  <c r="AE8777" i="2"/>
  <c r="AE8778" i="2"/>
  <c r="AE8779" i="2"/>
  <c r="AE8780" i="2"/>
  <c r="AE8781" i="2"/>
  <c r="AE8782" i="2"/>
  <c r="AE8783" i="2"/>
  <c r="AE8784" i="2"/>
  <c r="AE8785" i="2"/>
  <c r="AE8786" i="2"/>
  <c r="AE8787" i="2"/>
  <c r="AE8788" i="2"/>
  <c r="AE8789" i="2"/>
  <c r="AE8790" i="2"/>
  <c r="AE8791" i="2"/>
  <c r="AE8792" i="2"/>
  <c r="AE8793" i="2"/>
  <c r="AE8794" i="2"/>
  <c r="AE8795" i="2"/>
  <c r="AE8796" i="2"/>
  <c r="AE8797" i="2"/>
  <c r="AE8798" i="2"/>
  <c r="AE8799" i="2"/>
  <c r="AE8800" i="2"/>
  <c r="AE8801" i="2"/>
  <c r="AE8802" i="2"/>
  <c r="AE8803" i="2"/>
  <c r="AE8804" i="2"/>
  <c r="AE8805" i="2"/>
  <c r="AE8806" i="2"/>
  <c r="AE8807" i="2"/>
  <c r="AE8808" i="2"/>
  <c r="AE8809" i="2"/>
  <c r="AE8810" i="2"/>
  <c r="AE8811" i="2"/>
  <c r="AE8812" i="2"/>
  <c r="AE8813" i="2"/>
  <c r="AE8814" i="2"/>
  <c r="AE8815" i="2"/>
  <c r="AE8816" i="2"/>
  <c r="AE8817" i="2"/>
  <c r="AE8818" i="2"/>
  <c r="AE8819" i="2"/>
  <c r="AE8820" i="2"/>
  <c r="AE8821" i="2"/>
  <c r="AE8822" i="2"/>
  <c r="AE8823" i="2"/>
  <c r="AE8824" i="2"/>
  <c r="AE8825" i="2"/>
  <c r="AE8826" i="2"/>
  <c r="AE8827" i="2"/>
  <c r="AE8828" i="2"/>
  <c r="AE8829" i="2"/>
  <c r="AE8830" i="2"/>
  <c r="AE8831" i="2"/>
  <c r="AE8832" i="2"/>
  <c r="AE8833" i="2"/>
  <c r="AE8834" i="2"/>
  <c r="AE8835" i="2"/>
  <c r="AE8836" i="2"/>
  <c r="AE8837" i="2"/>
  <c r="AE8838" i="2"/>
  <c r="AE8839" i="2"/>
  <c r="AE8840" i="2"/>
  <c r="AE8841" i="2"/>
  <c r="AE8842" i="2"/>
  <c r="AE8843" i="2"/>
  <c r="AE8844" i="2"/>
  <c r="AE8845" i="2"/>
  <c r="AE8846" i="2"/>
  <c r="AE8847" i="2"/>
  <c r="AE8848" i="2"/>
  <c r="AE8849" i="2"/>
  <c r="AE8850" i="2"/>
  <c r="AE8851" i="2"/>
  <c r="AE8852" i="2"/>
  <c r="AE8853" i="2"/>
  <c r="AE8854" i="2"/>
  <c r="AE8855" i="2"/>
  <c r="AE8856" i="2"/>
  <c r="AE8857" i="2"/>
  <c r="AE8858" i="2"/>
  <c r="AE8859" i="2"/>
  <c r="AE8860" i="2"/>
  <c r="AE8861" i="2"/>
  <c r="AE8862" i="2"/>
  <c r="AE8863" i="2"/>
  <c r="AE8864" i="2"/>
  <c r="AE8865" i="2"/>
  <c r="AE8866" i="2"/>
  <c r="AE8867" i="2"/>
  <c r="AE8868" i="2"/>
  <c r="AE8869" i="2"/>
  <c r="AE8870" i="2"/>
  <c r="AE8871" i="2"/>
  <c r="AE8872" i="2"/>
  <c r="AE8873" i="2"/>
  <c r="AE8874" i="2"/>
  <c r="AE8875" i="2"/>
  <c r="AE8876" i="2"/>
  <c r="AE8877" i="2"/>
  <c r="AE8878" i="2"/>
  <c r="AE8879" i="2"/>
  <c r="AE8880" i="2"/>
  <c r="AE8881" i="2"/>
  <c r="AE8882" i="2"/>
  <c r="AE8883" i="2"/>
  <c r="AE8884" i="2"/>
  <c r="AE8885" i="2"/>
  <c r="AE8886" i="2"/>
  <c r="AE8887" i="2"/>
  <c r="AE8888" i="2"/>
  <c r="AE8889" i="2"/>
  <c r="AE8890" i="2"/>
  <c r="AE8891" i="2"/>
  <c r="AE8892" i="2"/>
  <c r="AE8893" i="2"/>
  <c r="AE8894" i="2"/>
  <c r="AE8895" i="2"/>
  <c r="AE8896" i="2"/>
  <c r="AE8897" i="2"/>
  <c r="AE8898" i="2"/>
  <c r="AE8899" i="2"/>
  <c r="AE8900" i="2"/>
  <c r="AE8901" i="2"/>
  <c r="AE8902" i="2"/>
  <c r="AE8903" i="2"/>
  <c r="AE8904" i="2"/>
  <c r="AE8905" i="2"/>
  <c r="AE8906" i="2"/>
  <c r="AE8907" i="2"/>
  <c r="AE8908" i="2"/>
  <c r="AE8909" i="2"/>
  <c r="AE8910" i="2"/>
  <c r="AE8911" i="2"/>
  <c r="AE8912" i="2"/>
  <c r="AE8913" i="2"/>
  <c r="AE8914" i="2"/>
  <c r="AE8915" i="2"/>
  <c r="AE8916" i="2"/>
  <c r="AE8917" i="2"/>
  <c r="AE8918" i="2"/>
  <c r="AE8919" i="2"/>
  <c r="AE8920" i="2"/>
  <c r="AE8921" i="2"/>
  <c r="AE8922" i="2"/>
  <c r="AE8923" i="2"/>
  <c r="AE8924" i="2"/>
  <c r="AE8925" i="2"/>
  <c r="AE8926" i="2"/>
  <c r="AE8927" i="2"/>
  <c r="AE8928" i="2"/>
  <c r="AE8929" i="2"/>
  <c r="AE8930" i="2"/>
  <c r="AE8931" i="2"/>
  <c r="AE8932" i="2"/>
  <c r="AE8933" i="2"/>
  <c r="AE8934" i="2"/>
  <c r="AE8935" i="2"/>
  <c r="AE8936" i="2"/>
  <c r="AE8937" i="2"/>
  <c r="AE8938" i="2"/>
  <c r="AE8939" i="2"/>
  <c r="AE8940" i="2"/>
  <c r="AE8941" i="2"/>
  <c r="AE8942" i="2"/>
  <c r="AE8943" i="2"/>
  <c r="AE8944" i="2"/>
  <c r="AE8945" i="2"/>
  <c r="AE8946" i="2"/>
  <c r="AE8947" i="2"/>
  <c r="AE8948" i="2"/>
  <c r="AE8949" i="2"/>
  <c r="AE8950" i="2"/>
  <c r="AE8951" i="2"/>
  <c r="AE8952" i="2"/>
  <c r="AE8953" i="2"/>
  <c r="AE8954" i="2"/>
  <c r="AE8955" i="2"/>
  <c r="AE8956" i="2"/>
  <c r="AE8957" i="2"/>
  <c r="AE8958" i="2"/>
  <c r="AE8959" i="2"/>
  <c r="AE8960" i="2"/>
  <c r="AE8961" i="2"/>
  <c r="AE8962" i="2"/>
  <c r="AE8963" i="2"/>
  <c r="AE8964" i="2"/>
  <c r="AE8965" i="2"/>
  <c r="AE8966" i="2"/>
  <c r="AE8967" i="2"/>
  <c r="AE8968" i="2"/>
  <c r="AE8969" i="2"/>
  <c r="AE8970" i="2"/>
  <c r="AE8971" i="2"/>
  <c r="AE8972" i="2"/>
  <c r="AE8973" i="2"/>
  <c r="AE8974" i="2"/>
  <c r="AE8975" i="2"/>
  <c r="AE8976" i="2"/>
  <c r="AE8977" i="2"/>
  <c r="AE8978" i="2"/>
  <c r="AE8979" i="2"/>
  <c r="AE8980" i="2"/>
  <c r="AE8981" i="2"/>
  <c r="AE8982" i="2"/>
  <c r="AE8983" i="2"/>
  <c r="AE8984" i="2"/>
  <c r="AE8985" i="2"/>
  <c r="AE8986" i="2"/>
  <c r="AE8987" i="2"/>
  <c r="AE8988" i="2"/>
  <c r="AE8989" i="2"/>
  <c r="AE8990" i="2"/>
  <c r="AE8991" i="2"/>
  <c r="AE8992" i="2"/>
  <c r="AE8993" i="2"/>
  <c r="AE8994" i="2"/>
  <c r="AE8995" i="2"/>
  <c r="AE8996" i="2"/>
  <c r="AE8997" i="2"/>
  <c r="AE8998" i="2"/>
  <c r="AE8999" i="2"/>
  <c r="AE9000" i="2"/>
  <c r="AE9001" i="2"/>
  <c r="AE9002" i="2"/>
  <c r="AE9003" i="2"/>
  <c r="AE9004" i="2"/>
  <c r="AE9005" i="2"/>
  <c r="AE9006" i="2"/>
  <c r="AE9007" i="2"/>
  <c r="AE9008" i="2"/>
  <c r="AE9009" i="2"/>
  <c r="AE9010" i="2"/>
  <c r="AE9011" i="2"/>
  <c r="AE9012" i="2"/>
  <c r="AE9013" i="2"/>
  <c r="AE9014" i="2"/>
  <c r="AE9015" i="2"/>
  <c r="AE9016" i="2"/>
  <c r="AE9017" i="2"/>
  <c r="AE9018" i="2"/>
  <c r="AE9019" i="2"/>
  <c r="AE9020" i="2"/>
  <c r="AE9021" i="2"/>
  <c r="AE9022" i="2"/>
  <c r="AE9023" i="2"/>
  <c r="AE9024" i="2"/>
  <c r="AE9025" i="2"/>
  <c r="AE9026" i="2"/>
  <c r="AE9027" i="2"/>
  <c r="AE9028" i="2"/>
  <c r="AE9029" i="2"/>
  <c r="AE9030" i="2"/>
  <c r="AE9031" i="2"/>
  <c r="AE9032" i="2"/>
  <c r="AE9033" i="2"/>
  <c r="AE9034" i="2"/>
  <c r="AE9035" i="2"/>
  <c r="AE9036" i="2"/>
  <c r="AE9037" i="2"/>
  <c r="AE9038" i="2"/>
  <c r="AE9039" i="2"/>
  <c r="AE9040" i="2"/>
  <c r="AE9041" i="2"/>
  <c r="AE9042" i="2"/>
  <c r="AE9043" i="2"/>
  <c r="AE9044" i="2"/>
  <c r="AE9045" i="2"/>
  <c r="AE9046" i="2"/>
  <c r="AE9047" i="2"/>
  <c r="AE9048" i="2"/>
  <c r="AE9049" i="2"/>
  <c r="AE9050" i="2"/>
  <c r="AE9051" i="2"/>
  <c r="AE9052" i="2"/>
  <c r="AE9053" i="2"/>
  <c r="AE9054" i="2"/>
  <c r="AE9055" i="2"/>
  <c r="AE9056" i="2"/>
  <c r="AE9057" i="2"/>
  <c r="AE9058" i="2"/>
  <c r="AE9059" i="2"/>
  <c r="AE9060" i="2"/>
  <c r="AE9061" i="2"/>
  <c r="AE9062" i="2"/>
  <c r="AE9063" i="2"/>
  <c r="AE9064" i="2"/>
  <c r="AE9065" i="2"/>
  <c r="AE9066" i="2"/>
  <c r="AE9067" i="2"/>
  <c r="AE9068" i="2"/>
  <c r="AE9069" i="2"/>
  <c r="AE9070" i="2"/>
  <c r="AE9071" i="2"/>
  <c r="AE9072" i="2"/>
  <c r="AE9073" i="2"/>
  <c r="AE9074" i="2"/>
  <c r="AE9075" i="2"/>
  <c r="AE9076" i="2"/>
  <c r="AE9077" i="2"/>
  <c r="AE9078" i="2"/>
  <c r="AE9079" i="2"/>
  <c r="AE9080" i="2"/>
  <c r="AE9081" i="2"/>
  <c r="AE9082" i="2"/>
  <c r="AE9083" i="2"/>
  <c r="AE9084" i="2"/>
  <c r="AE9085" i="2"/>
  <c r="AE9086" i="2"/>
  <c r="AE9087" i="2"/>
  <c r="AE9088" i="2"/>
  <c r="AE9089" i="2"/>
  <c r="AE9090" i="2"/>
  <c r="AE9091" i="2"/>
  <c r="AE9092" i="2"/>
  <c r="AE9093" i="2"/>
  <c r="AE9094" i="2"/>
  <c r="AE9095" i="2"/>
  <c r="AE9096" i="2"/>
  <c r="AE9097" i="2"/>
  <c r="AE9098" i="2"/>
  <c r="AE9099" i="2"/>
  <c r="AE9100" i="2"/>
  <c r="AE9101" i="2"/>
  <c r="AE9102" i="2"/>
  <c r="AE9103" i="2"/>
  <c r="AE9104" i="2"/>
  <c r="AE9105" i="2"/>
  <c r="AE9106" i="2"/>
  <c r="AE9107" i="2"/>
  <c r="AE9108" i="2"/>
  <c r="AE9109" i="2"/>
  <c r="AE9110" i="2"/>
  <c r="AE9111" i="2"/>
  <c r="AE9112" i="2"/>
  <c r="AE9113" i="2"/>
  <c r="AE9114" i="2"/>
  <c r="AE9115" i="2"/>
  <c r="AE9116" i="2"/>
  <c r="AE9117" i="2"/>
  <c r="AE9118" i="2"/>
  <c r="AE9119" i="2"/>
  <c r="AE9120" i="2"/>
  <c r="AE9121" i="2"/>
  <c r="AE9122" i="2"/>
  <c r="AE9123" i="2"/>
  <c r="AE9124" i="2"/>
  <c r="AE9125" i="2"/>
  <c r="AE9126" i="2"/>
  <c r="AE9127" i="2"/>
  <c r="AE9128" i="2"/>
  <c r="AE9129" i="2"/>
  <c r="AE9130" i="2"/>
  <c r="AE9131" i="2"/>
  <c r="AE9132" i="2"/>
  <c r="AE9133" i="2"/>
  <c r="AE9134" i="2"/>
  <c r="AE9135" i="2"/>
  <c r="AE9136" i="2"/>
  <c r="AE9137" i="2"/>
  <c r="AE9138" i="2"/>
  <c r="AE9139" i="2"/>
  <c r="AE9140" i="2"/>
  <c r="AE9141" i="2"/>
  <c r="AE9142" i="2"/>
  <c r="AE9143" i="2"/>
  <c r="AE9144" i="2"/>
  <c r="AE9145" i="2"/>
  <c r="AE9146" i="2"/>
  <c r="AE9147" i="2"/>
  <c r="AE9148" i="2"/>
  <c r="AE9149" i="2"/>
  <c r="AE9150" i="2"/>
  <c r="AE9151" i="2"/>
  <c r="AE9152" i="2"/>
  <c r="AE9153" i="2"/>
  <c r="AE9154" i="2"/>
  <c r="AE9155" i="2"/>
  <c r="AE9156" i="2"/>
  <c r="AE9157" i="2"/>
  <c r="AE9158" i="2"/>
  <c r="AE9159" i="2"/>
  <c r="AE9160" i="2"/>
  <c r="AE9161" i="2"/>
  <c r="AE9162" i="2"/>
  <c r="AE9163" i="2"/>
  <c r="AE9164" i="2"/>
  <c r="AE9165" i="2"/>
  <c r="AE9166" i="2"/>
  <c r="AE9167" i="2"/>
  <c r="AE9168" i="2"/>
  <c r="AE9169" i="2"/>
  <c r="AE9170" i="2"/>
  <c r="AE9171" i="2"/>
  <c r="AE9172" i="2"/>
  <c r="AE9173" i="2"/>
  <c r="AE9174" i="2"/>
  <c r="AE9175" i="2"/>
  <c r="AE9176" i="2"/>
  <c r="AE9177" i="2"/>
  <c r="AE9178" i="2"/>
  <c r="AE9179" i="2"/>
  <c r="AE9180" i="2"/>
  <c r="AE9181" i="2"/>
  <c r="AE9182" i="2"/>
  <c r="AE9183" i="2"/>
  <c r="AE9184" i="2"/>
  <c r="AE9185" i="2"/>
  <c r="AE9186" i="2"/>
  <c r="AE9187" i="2"/>
  <c r="AE9188" i="2"/>
  <c r="AE9189" i="2"/>
  <c r="AE9190" i="2"/>
  <c r="AE9191" i="2"/>
  <c r="AE9192" i="2"/>
  <c r="AE9193" i="2"/>
  <c r="AE9194" i="2"/>
  <c r="AE9195" i="2"/>
  <c r="AE9196" i="2"/>
  <c r="AE9197" i="2"/>
  <c r="AE9198" i="2"/>
  <c r="AE9199" i="2"/>
  <c r="AE9200" i="2"/>
  <c r="AE9201" i="2"/>
  <c r="AE9202" i="2"/>
  <c r="AE9203" i="2"/>
  <c r="AE9204" i="2"/>
  <c r="AE9205" i="2"/>
  <c r="AE9206" i="2"/>
  <c r="AE9207" i="2"/>
  <c r="AE9208" i="2"/>
  <c r="AE9209" i="2"/>
  <c r="AE9210" i="2"/>
  <c r="AE9211" i="2"/>
  <c r="AE9212" i="2"/>
  <c r="AE9213" i="2"/>
  <c r="AE9214" i="2"/>
  <c r="AE9215" i="2"/>
  <c r="AE9216" i="2"/>
  <c r="AE9217" i="2"/>
  <c r="AE9218" i="2"/>
  <c r="AE9219" i="2"/>
  <c r="AE9220" i="2"/>
  <c r="AE9221" i="2"/>
  <c r="AE9222" i="2"/>
  <c r="AE9223" i="2"/>
  <c r="AE9224" i="2"/>
  <c r="AE9225" i="2"/>
  <c r="AE9226" i="2"/>
  <c r="AE9227" i="2"/>
  <c r="AE9228" i="2"/>
  <c r="AE9229" i="2"/>
  <c r="AE9230" i="2"/>
  <c r="AE9231" i="2"/>
  <c r="AE9232" i="2"/>
  <c r="AE9233" i="2"/>
  <c r="AE9234" i="2"/>
  <c r="AE9235" i="2"/>
  <c r="AE9236" i="2"/>
  <c r="AE9237" i="2"/>
  <c r="AE9238" i="2"/>
  <c r="AE9239" i="2"/>
  <c r="AE9240" i="2"/>
  <c r="AE9241" i="2"/>
  <c r="AE9242" i="2"/>
  <c r="AE9243" i="2"/>
  <c r="AE9244" i="2"/>
  <c r="AE9245" i="2"/>
  <c r="AE9246" i="2"/>
  <c r="AE9247" i="2"/>
  <c r="AE9248" i="2"/>
  <c r="AE9249" i="2"/>
  <c r="AE9250" i="2"/>
  <c r="AE9251" i="2"/>
  <c r="AE9252" i="2"/>
  <c r="AE9253" i="2"/>
  <c r="AE9254" i="2"/>
  <c r="AE9255" i="2"/>
  <c r="AE9256" i="2"/>
  <c r="AE9257" i="2"/>
  <c r="AE9258" i="2"/>
  <c r="AE9259" i="2"/>
  <c r="AE9260" i="2"/>
  <c r="AE9261" i="2"/>
  <c r="AE9262" i="2"/>
  <c r="AE9263" i="2"/>
  <c r="AE9264" i="2"/>
  <c r="AE9265" i="2"/>
  <c r="AE9266" i="2"/>
  <c r="AE9267" i="2"/>
  <c r="AE9268" i="2"/>
  <c r="AE9269" i="2"/>
  <c r="AE9270" i="2"/>
  <c r="AE9271" i="2"/>
  <c r="AE9272" i="2"/>
  <c r="AE9273" i="2"/>
  <c r="AE9274" i="2"/>
  <c r="AE9275" i="2"/>
  <c r="AE9276" i="2"/>
  <c r="AE9277" i="2"/>
  <c r="AE9278" i="2"/>
  <c r="AE9279" i="2"/>
  <c r="AE9280" i="2"/>
  <c r="AE9281" i="2"/>
  <c r="AE9282" i="2"/>
  <c r="AE9283" i="2"/>
  <c r="AE9284" i="2"/>
  <c r="AE9285" i="2"/>
  <c r="AE9286" i="2"/>
  <c r="AE9287" i="2"/>
  <c r="AE9288" i="2"/>
  <c r="AE9289" i="2"/>
  <c r="AE9290" i="2"/>
  <c r="AE9291" i="2"/>
  <c r="AE9292" i="2"/>
  <c r="AE9293" i="2"/>
  <c r="AE9294" i="2"/>
  <c r="AE9295" i="2"/>
  <c r="AE9296" i="2"/>
  <c r="AE9297" i="2"/>
  <c r="AE9298" i="2"/>
  <c r="AE9299" i="2"/>
  <c r="AE9300" i="2"/>
  <c r="AE9301" i="2"/>
  <c r="AE9302" i="2"/>
  <c r="AE9303" i="2"/>
  <c r="AE9304" i="2"/>
  <c r="AE9305" i="2"/>
  <c r="AE9306" i="2"/>
  <c r="AE9307" i="2"/>
  <c r="AE9308" i="2"/>
  <c r="AE9309" i="2"/>
  <c r="AE9310" i="2"/>
  <c r="AE9311" i="2"/>
  <c r="AE9312" i="2"/>
  <c r="AE9313" i="2"/>
  <c r="AE9314" i="2"/>
  <c r="AE9315" i="2"/>
  <c r="AE9316" i="2"/>
  <c r="AE9317" i="2"/>
  <c r="AE9318" i="2"/>
  <c r="AE9319" i="2"/>
  <c r="AE9320" i="2"/>
  <c r="AE9321" i="2"/>
  <c r="AE9322" i="2"/>
  <c r="AE9323" i="2"/>
  <c r="AE9324" i="2"/>
  <c r="AE9325" i="2"/>
  <c r="AE9326" i="2"/>
  <c r="AE9327" i="2"/>
  <c r="AE9328" i="2"/>
  <c r="AE9329" i="2"/>
  <c r="AE9330" i="2"/>
  <c r="AE9331" i="2"/>
  <c r="AE9332" i="2"/>
  <c r="AE9333" i="2"/>
  <c r="AE9334" i="2"/>
  <c r="AE9335" i="2"/>
  <c r="AE9336" i="2"/>
  <c r="AE9337" i="2"/>
  <c r="AE9338" i="2"/>
  <c r="AE9339" i="2"/>
  <c r="AE9340" i="2"/>
  <c r="AE9341" i="2"/>
  <c r="AE9342" i="2"/>
  <c r="AE9343" i="2"/>
  <c r="AE9344" i="2"/>
  <c r="AE9345" i="2"/>
  <c r="AE9346" i="2"/>
  <c r="AE9347" i="2"/>
  <c r="AE9348" i="2"/>
  <c r="AE9349" i="2"/>
  <c r="AE9350" i="2"/>
  <c r="AE9351" i="2"/>
  <c r="AE9352" i="2"/>
  <c r="AE9353" i="2"/>
  <c r="AE9354" i="2"/>
  <c r="AE9355" i="2"/>
  <c r="AE9356" i="2"/>
  <c r="AE9357" i="2"/>
  <c r="AE9358" i="2"/>
  <c r="AE9359" i="2"/>
  <c r="AE9360" i="2"/>
  <c r="AE9361" i="2"/>
  <c r="AE9362" i="2"/>
  <c r="AE9363" i="2"/>
  <c r="AE9364" i="2"/>
  <c r="AE9365" i="2"/>
  <c r="AE9366" i="2"/>
  <c r="AE9367" i="2"/>
  <c r="AE9368" i="2"/>
  <c r="AE9369" i="2"/>
  <c r="AE9370" i="2"/>
  <c r="AE9371" i="2"/>
  <c r="AE9372" i="2"/>
  <c r="AE9373" i="2"/>
  <c r="AE9374" i="2"/>
  <c r="AE9375" i="2"/>
  <c r="AE9376" i="2"/>
  <c r="AE9377" i="2"/>
  <c r="AE9378" i="2"/>
  <c r="AE9379" i="2"/>
  <c r="AE9380" i="2"/>
  <c r="AE9381" i="2"/>
  <c r="AE9382" i="2"/>
  <c r="AE9383" i="2"/>
  <c r="AE9384" i="2"/>
  <c r="AE9385" i="2"/>
  <c r="AE9386" i="2"/>
  <c r="AE9387" i="2"/>
  <c r="AE9388" i="2"/>
  <c r="AE9389" i="2"/>
  <c r="AE9390" i="2"/>
  <c r="AE9391" i="2"/>
  <c r="AE9392" i="2"/>
  <c r="AE9393" i="2"/>
  <c r="AE9394" i="2"/>
  <c r="AE9395" i="2"/>
  <c r="AE9396" i="2"/>
  <c r="AE9397" i="2"/>
  <c r="AE9398" i="2"/>
  <c r="AE9399" i="2"/>
  <c r="AE9400" i="2"/>
  <c r="AE9401" i="2"/>
  <c r="AE9402" i="2"/>
  <c r="AE9403" i="2"/>
  <c r="AE9404" i="2"/>
  <c r="AE9405" i="2"/>
  <c r="AE9406" i="2"/>
  <c r="AE9407" i="2"/>
  <c r="AE9408" i="2"/>
  <c r="AE9409" i="2"/>
  <c r="AE9410" i="2"/>
  <c r="AE9411" i="2"/>
  <c r="AE9412" i="2"/>
  <c r="AE9413" i="2"/>
  <c r="AE9414" i="2"/>
  <c r="AE9415" i="2"/>
  <c r="AE9416" i="2"/>
  <c r="AE9417" i="2"/>
  <c r="AE9418" i="2"/>
  <c r="AE9419" i="2"/>
  <c r="AE9420" i="2"/>
  <c r="AE9421" i="2"/>
  <c r="AE9422" i="2"/>
  <c r="AE9423" i="2"/>
  <c r="AE9424" i="2"/>
  <c r="AE9425" i="2"/>
  <c r="AE9426" i="2"/>
  <c r="AE9427" i="2"/>
  <c r="AE9428" i="2"/>
  <c r="AE9429" i="2"/>
  <c r="AE9430" i="2"/>
  <c r="AE9431" i="2"/>
  <c r="AE9432" i="2"/>
  <c r="AE9433" i="2"/>
  <c r="AE9434" i="2"/>
  <c r="AE9435" i="2"/>
  <c r="AE9436" i="2"/>
  <c r="AE9437" i="2"/>
  <c r="AE9438" i="2"/>
  <c r="AE9439" i="2"/>
  <c r="AE9440" i="2"/>
  <c r="AE9441" i="2"/>
  <c r="AE9442" i="2"/>
  <c r="AE9443" i="2"/>
  <c r="AE9444" i="2"/>
  <c r="AE9445" i="2"/>
  <c r="AE9446" i="2"/>
  <c r="AE9447" i="2"/>
  <c r="AE9448" i="2"/>
  <c r="AE9449" i="2"/>
  <c r="AE9450" i="2"/>
  <c r="AE9451" i="2"/>
  <c r="AE9452" i="2"/>
  <c r="AE9453" i="2"/>
  <c r="AE9454" i="2"/>
  <c r="AE9455" i="2"/>
  <c r="AE9456" i="2"/>
  <c r="AE9457" i="2"/>
  <c r="AE9458" i="2"/>
  <c r="AE9459" i="2"/>
  <c r="AE9460" i="2"/>
  <c r="AE9461" i="2"/>
  <c r="AE9462" i="2"/>
  <c r="AE9463" i="2"/>
  <c r="AE9464" i="2"/>
  <c r="AE9465" i="2"/>
  <c r="AE9466" i="2"/>
  <c r="AE9467" i="2"/>
  <c r="AE9468" i="2"/>
  <c r="AE9469" i="2"/>
  <c r="AE9470" i="2"/>
  <c r="AE9471" i="2"/>
  <c r="AE9472" i="2"/>
  <c r="AE9473" i="2"/>
  <c r="AE9474" i="2"/>
  <c r="AE9475" i="2"/>
  <c r="AE9476" i="2"/>
  <c r="AE9477" i="2"/>
  <c r="AE9478" i="2"/>
  <c r="AE9479" i="2"/>
  <c r="AE9480" i="2"/>
  <c r="AE9481" i="2"/>
  <c r="AE9482" i="2"/>
  <c r="AE9483" i="2"/>
  <c r="AE9484" i="2"/>
  <c r="AE9485" i="2"/>
  <c r="AE9486" i="2"/>
  <c r="AE9487" i="2"/>
  <c r="AE9488" i="2"/>
  <c r="AE9489" i="2"/>
  <c r="AE9490" i="2"/>
  <c r="AE9491" i="2"/>
  <c r="AE9492" i="2"/>
  <c r="AE9493" i="2"/>
  <c r="AE9494" i="2"/>
  <c r="AE9495" i="2"/>
  <c r="AE9496" i="2"/>
  <c r="AE9497" i="2"/>
  <c r="AE9498" i="2"/>
  <c r="AE9499" i="2"/>
  <c r="AE9500" i="2"/>
  <c r="AE9501" i="2"/>
  <c r="AE9502" i="2"/>
  <c r="AE9503" i="2"/>
  <c r="AE9504" i="2"/>
  <c r="AE9505" i="2"/>
  <c r="AE9506" i="2"/>
  <c r="AE9507" i="2"/>
  <c r="AE9508" i="2"/>
  <c r="AE9509" i="2"/>
  <c r="AE9510" i="2"/>
  <c r="AE9511" i="2"/>
  <c r="AE9512" i="2"/>
  <c r="AE9513" i="2"/>
  <c r="AE9514" i="2"/>
  <c r="AE9515" i="2"/>
  <c r="AE9516" i="2"/>
  <c r="AE9517" i="2"/>
  <c r="AE9518" i="2"/>
  <c r="AE9519" i="2"/>
  <c r="AE9520" i="2"/>
  <c r="AE9521" i="2"/>
  <c r="AE9522" i="2"/>
  <c r="AE9523" i="2"/>
  <c r="AE9524" i="2"/>
  <c r="AE9525" i="2"/>
  <c r="AE9526" i="2"/>
  <c r="AE9527" i="2"/>
  <c r="AE9528" i="2"/>
  <c r="AE9529" i="2"/>
  <c r="AE9530" i="2"/>
  <c r="AE9531" i="2"/>
  <c r="AE9532" i="2"/>
  <c r="AE9533" i="2"/>
  <c r="AE9534" i="2"/>
  <c r="AE9535" i="2"/>
  <c r="AE9536" i="2"/>
  <c r="AE9537" i="2"/>
  <c r="AE9538" i="2"/>
  <c r="AE9539" i="2"/>
  <c r="AE9540" i="2"/>
  <c r="AE9541" i="2"/>
  <c r="AE9542" i="2"/>
  <c r="AE9543" i="2"/>
  <c r="AE9544" i="2"/>
  <c r="AE9545" i="2"/>
  <c r="AE9546" i="2"/>
  <c r="AE9547" i="2"/>
  <c r="AE9548" i="2"/>
  <c r="AE9549" i="2"/>
  <c r="AE9550" i="2"/>
  <c r="AE9551" i="2"/>
  <c r="AE9552" i="2"/>
  <c r="AE9553" i="2"/>
  <c r="AE9554" i="2"/>
  <c r="AE9555" i="2"/>
  <c r="AE9556" i="2"/>
  <c r="AE9557" i="2"/>
  <c r="AE9558" i="2"/>
  <c r="AE9559" i="2"/>
  <c r="AE9560" i="2"/>
  <c r="AE9561" i="2"/>
  <c r="AE9562" i="2"/>
  <c r="AE9563" i="2"/>
  <c r="AE9564" i="2"/>
  <c r="AE9565" i="2"/>
  <c r="AE9566" i="2"/>
  <c r="AE9567" i="2"/>
  <c r="AE9568" i="2"/>
  <c r="AE9569" i="2"/>
  <c r="AE9570" i="2"/>
  <c r="AE9571" i="2"/>
  <c r="AE9572" i="2"/>
  <c r="AE9573" i="2"/>
  <c r="AE9574" i="2"/>
  <c r="AE9575" i="2"/>
  <c r="AE9576" i="2"/>
  <c r="AE9577" i="2"/>
  <c r="AE9578" i="2"/>
  <c r="AE9579" i="2"/>
  <c r="AE9580" i="2"/>
  <c r="AE9581" i="2"/>
  <c r="AE9582" i="2"/>
  <c r="AE9583" i="2"/>
  <c r="AE9584" i="2"/>
  <c r="AE9585" i="2"/>
  <c r="AE9586" i="2"/>
  <c r="AE9587" i="2"/>
  <c r="AE9588" i="2"/>
  <c r="AE9589" i="2"/>
  <c r="AE9590" i="2"/>
  <c r="AE9591" i="2"/>
  <c r="AE9592" i="2"/>
  <c r="AE9593" i="2"/>
  <c r="AE9594" i="2"/>
  <c r="AE9595" i="2"/>
  <c r="AE9596" i="2"/>
  <c r="AE9597" i="2"/>
  <c r="AE9598" i="2"/>
  <c r="AE9599" i="2"/>
  <c r="AE9600" i="2"/>
  <c r="AE9601" i="2"/>
  <c r="AE9602" i="2"/>
  <c r="AE9603" i="2"/>
  <c r="AE9604" i="2"/>
  <c r="AE9605" i="2"/>
  <c r="AE9606" i="2"/>
  <c r="AE9607" i="2"/>
  <c r="AE9608" i="2"/>
  <c r="AE9609" i="2"/>
  <c r="AE9610" i="2"/>
  <c r="AE9611" i="2"/>
  <c r="AE9612" i="2"/>
  <c r="AE9613" i="2"/>
  <c r="AE9614" i="2"/>
  <c r="AE9615" i="2"/>
  <c r="AE9616" i="2"/>
  <c r="AE9617" i="2"/>
  <c r="AE9618" i="2"/>
  <c r="AE9619" i="2"/>
  <c r="AE9620" i="2"/>
  <c r="AE9621" i="2"/>
  <c r="AE9622" i="2"/>
  <c r="AE9623" i="2"/>
  <c r="AE9624" i="2"/>
  <c r="AE9625" i="2"/>
  <c r="AE9626" i="2"/>
  <c r="AE9627" i="2"/>
  <c r="AE9628" i="2"/>
  <c r="AE9629" i="2"/>
  <c r="AE9630" i="2"/>
  <c r="AE9631" i="2"/>
  <c r="AE9632" i="2"/>
  <c r="AE9633" i="2"/>
  <c r="AE9634" i="2"/>
  <c r="AE9635" i="2"/>
  <c r="AE9636" i="2"/>
  <c r="AE9637" i="2"/>
  <c r="AE9638" i="2"/>
  <c r="AE9639" i="2"/>
  <c r="AE9640" i="2"/>
  <c r="AE9641" i="2"/>
  <c r="AE9642" i="2"/>
  <c r="AE9643" i="2"/>
  <c r="AE9644" i="2"/>
  <c r="AE9645" i="2"/>
  <c r="AE9646" i="2"/>
  <c r="AE9647" i="2"/>
  <c r="AE9648" i="2"/>
  <c r="AE9649" i="2"/>
  <c r="AE9650" i="2"/>
  <c r="AE9651" i="2"/>
  <c r="AE9652" i="2"/>
  <c r="AE9653" i="2"/>
  <c r="AE9654" i="2"/>
  <c r="AE9655" i="2"/>
  <c r="AE9656" i="2"/>
  <c r="AE9657" i="2"/>
  <c r="AE9658" i="2"/>
  <c r="AE9659" i="2"/>
  <c r="AE9660" i="2"/>
  <c r="AE9661" i="2"/>
  <c r="AE9662" i="2"/>
  <c r="AE9663" i="2"/>
  <c r="AE9664" i="2"/>
  <c r="AE9665" i="2"/>
  <c r="AE9666" i="2"/>
  <c r="AE9667" i="2"/>
  <c r="AE9668" i="2"/>
  <c r="AE9669" i="2"/>
  <c r="AE9670" i="2"/>
  <c r="AE9671" i="2"/>
  <c r="AE9672" i="2"/>
  <c r="AE9673" i="2"/>
  <c r="AE9674" i="2"/>
  <c r="AE9675" i="2"/>
  <c r="AE9676" i="2"/>
  <c r="AE9677" i="2"/>
  <c r="AE9678" i="2"/>
  <c r="AE9679" i="2"/>
  <c r="AE9680" i="2"/>
  <c r="AE9681" i="2"/>
  <c r="AE9682" i="2"/>
  <c r="AE9683" i="2"/>
  <c r="AE9684" i="2"/>
  <c r="AE9685" i="2"/>
  <c r="AE9686" i="2"/>
  <c r="AE9687" i="2"/>
  <c r="AE9688" i="2"/>
  <c r="AE9689" i="2"/>
  <c r="AE9690" i="2"/>
  <c r="AE9691" i="2"/>
  <c r="AE9692" i="2"/>
  <c r="AE9693" i="2"/>
  <c r="AE9694" i="2"/>
  <c r="AE9695" i="2"/>
  <c r="AE9696" i="2"/>
  <c r="AE9697" i="2"/>
  <c r="AE9698" i="2"/>
  <c r="AE9699" i="2"/>
  <c r="AE9700" i="2"/>
  <c r="AE9701" i="2"/>
  <c r="AE9702" i="2"/>
  <c r="AE9703" i="2"/>
  <c r="AE9704" i="2"/>
  <c r="AE9705" i="2"/>
  <c r="AE9706" i="2"/>
  <c r="AE9707" i="2"/>
  <c r="AE9708" i="2"/>
  <c r="AE9709" i="2"/>
  <c r="AE9710" i="2"/>
  <c r="AE9711" i="2"/>
  <c r="AE9712" i="2"/>
  <c r="AE9713" i="2"/>
  <c r="AE9714" i="2"/>
  <c r="AE9715" i="2"/>
  <c r="AE9716" i="2"/>
  <c r="AE9717" i="2"/>
  <c r="AE9718" i="2"/>
  <c r="AE9719" i="2"/>
  <c r="AE9720" i="2"/>
  <c r="AE9721" i="2"/>
  <c r="AE9722" i="2"/>
  <c r="AE9723" i="2"/>
  <c r="AE9724" i="2"/>
  <c r="AE9725" i="2"/>
  <c r="AE9726" i="2"/>
  <c r="AE9727" i="2"/>
  <c r="AE9728" i="2"/>
  <c r="AE9729" i="2"/>
  <c r="AE9730" i="2"/>
  <c r="AE9731" i="2"/>
  <c r="AE9732" i="2"/>
  <c r="AE9733" i="2"/>
  <c r="AE9734" i="2"/>
  <c r="AE9735" i="2"/>
  <c r="AE9736" i="2"/>
  <c r="AE9737" i="2"/>
  <c r="AE9738" i="2"/>
  <c r="AE9739" i="2"/>
  <c r="AE9740" i="2"/>
  <c r="AE9741" i="2"/>
  <c r="AE9742" i="2"/>
  <c r="AE9743" i="2"/>
  <c r="AE9744" i="2"/>
  <c r="AE9745" i="2"/>
  <c r="AE9746" i="2"/>
  <c r="AE9747" i="2"/>
  <c r="AE9748" i="2"/>
  <c r="AE9749" i="2"/>
  <c r="AE9750" i="2"/>
  <c r="AE9751" i="2"/>
  <c r="AE9752" i="2"/>
  <c r="AE9753" i="2"/>
  <c r="AE9754" i="2"/>
  <c r="AE9755" i="2"/>
  <c r="AE9756" i="2"/>
  <c r="AE9757" i="2"/>
  <c r="AE9758" i="2"/>
  <c r="AE9759" i="2"/>
  <c r="AE9760" i="2"/>
  <c r="AE9761" i="2"/>
  <c r="AE9762" i="2"/>
  <c r="AE9763" i="2"/>
  <c r="AE9764" i="2"/>
  <c r="AE9765" i="2"/>
  <c r="AE9766" i="2"/>
  <c r="AE9767" i="2"/>
  <c r="AE9768" i="2"/>
  <c r="AE9769" i="2"/>
  <c r="AE9770" i="2"/>
  <c r="AE9771" i="2"/>
  <c r="AE9772" i="2"/>
  <c r="AE9773" i="2"/>
  <c r="AE9774" i="2"/>
  <c r="AE9775" i="2"/>
  <c r="AE9776" i="2"/>
  <c r="AE9777" i="2"/>
  <c r="AE9778" i="2"/>
  <c r="AE9779" i="2"/>
  <c r="AE9780" i="2"/>
  <c r="AE9781" i="2"/>
  <c r="AE9782" i="2"/>
  <c r="AE9783" i="2"/>
  <c r="AE9784" i="2"/>
  <c r="AE9785" i="2"/>
  <c r="AE9786" i="2"/>
  <c r="AE9787" i="2"/>
  <c r="AE9788" i="2"/>
  <c r="AE9789" i="2"/>
  <c r="AE9790" i="2"/>
  <c r="AE9791" i="2"/>
  <c r="AE9792" i="2"/>
  <c r="AE9793" i="2"/>
  <c r="AE9794" i="2"/>
  <c r="AE9795" i="2"/>
  <c r="AE9796" i="2"/>
  <c r="AE9797" i="2"/>
  <c r="AE9798" i="2"/>
  <c r="AE9799" i="2"/>
  <c r="AE9800" i="2"/>
  <c r="AE9801" i="2"/>
  <c r="AE9802" i="2"/>
  <c r="AE9803" i="2"/>
  <c r="AE9804" i="2"/>
  <c r="AE9805" i="2"/>
  <c r="AE9806" i="2"/>
  <c r="AE9807" i="2"/>
  <c r="AE9808" i="2"/>
  <c r="AE9809" i="2"/>
  <c r="AE9810" i="2"/>
  <c r="AE9811" i="2"/>
  <c r="AE9812" i="2"/>
  <c r="AE9813" i="2"/>
  <c r="AE9814" i="2"/>
  <c r="AE9815" i="2"/>
  <c r="AE9816" i="2"/>
  <c r="AE9817" i="2"/>
  <c r="AE9818" i="2"/>
  <c r="AE9819" i="2"/>
  <c r="AE9820" i="2"/>
  <c r="AE9821" i="2"/>
  <c r="AE9822" i="2"/>
  <c r="AE9823" i="2"/>
  <c r="AE9824" i="2"/>
  <c r="AE9825" i="2"/>
  <c r="AE9826" i="2"/>
  <c r="AE9827" i="2"/>
  <c r="AE9828" i="2"/>
  <c r="AE9829" i="2"/>
  <c r="AE9830" i="2"/>
  <c r="AE9831" i="2"/>
  <c r="AE9832" i="2"/>
  <c r="AE9833" i="2"/>
  <c r="AE9834" i="2"/>
  <c r="AE9835" i="2"/>
  <c r="AE9836" i="2"/>
  <c r="AE9837" i="2"/>
  <c r="AE9838" i="2"/>
  <c r="AE9839" i="2"/>
  <c r="AE9840" i="2"/>
  <c r="AE9841" i="2"/>
  <c r="AE9842" i="2"/>
  <c r="AE9843" i="2"/>
  <c r="AE9844" i="2"/>
  <c r="AE9845" i="2"/>
  <c r="AE9846" i="2"/>
  <c r="AE9847" i="2"/>
  <c r="AE9848" i="2"/>
  <c r="AE9849" i="2"/>
  <c r="AE9850" i="2"/>
  <c r="AE9851" i="2"/>
  <c r="AE9852" i="2"/>
  <c r="AE9853" i="2"/>
  <c r="AE9854" i="2"/>
  <c r="AE9855" i="2"/>
  <c r="AE9856" i="2"/>
  <c r="AE9857" i="2"/>
  <c r="AE9858" i="2"/>
  <c r="AE9859" i="2"/>
  <c r="AE9860" i="2"/>
  <c r="AE9861" i="2"/>
  <c r="AE9862" i="2"/>
  <c r="AE9863" i="2"/>
  <c r="AE9864" i="2"/>
  <c r="AE9865" i="2"/>
  <c r="AE9866" i="2"/>
  <c r="AE9867" i="2"/>
  <c r="AE9868" i="2"/>
  <c r="AE9869" i="2"/>
  <c r="AE9870" i="2"/>
  <c r="AE9871" i="2"/>
  <c r="AE9872" i="2"/>
  <c r="AE9873" i="2"/>
  <c r="AE9874" i="2"/>
  <c r="AE9875" i="2"/>
  <c r="AE9876" i="2"/>
  <c r="AE9877" i="2"/>
  <c r="AE9878" i="2"/>
  <c r="AE9879" i="2"/>
  <c r="AE9880" i="2"/>
  <c r="AE9881" i="2"/>
  <c r="AE9882" i="2"/>
  <c r="AE9883" i="2"/>
  <c r="AE9884" i="2"/>
  <c r="AE9885" i="2"/>
  <c r="AE9886" i="2"/>
  <c r="AE9887" i="2"/>
  <c r="AE9888" i="2"/>
  <c r="AE9889" i="2"/>
  <c r="AE9890" i="2"/>
  <c r="AE9891" i="2"/>
  <c r="AE9892" i="2"/>
  <c r="AE9893" i="2"/>
  <c r="AE9894" i="2"/>
  <c r="AE9895" i="2"/>
  <c r="AE9896" i="2"/>
  <c r="AE9897" i="2"/>
  <c r="AE9898" i="2"/>
  <c r="AE9899" i="2"/>
  <c r="AE9900" i="2"/>
  <c r="AE9901" i="2"/>
  <c r="AE9902" i="2"/>
  <c r="AE9903" i="2"/>
  <c r="AE9904" i="2"/>
  <c r="AE9905" i="2"/>
  <c r="AE9906" i="2"/>
  <c r="AE9907" i="2"/>
  <c r="AE9908" i="2"/>
  <c r="AE9909" i="2"/>
  <c r="AE9910" i="2"/>
  <c r="AE9911" i="2"/>
  <c r="AE9912" i="2"/>
  <c r="AE9913" i="2"/>
  <c r="AE9914" i="2"/>
  <c r="AE9915" i="2"/>
  <c r="AE9916" i="2"/>
  <c r="AE9917" i="2"/>
  <c r="AE9918" i="2"/>
  <c r="AE9919" i="2"/>
  <c r="AE9920" i="2"/>
  <c r="AE9921" i="2"/>
  <c r="AE9922" i="2"/>
  <c r="AE9923" i="2"/>
  <c r="AE9924" i="2"/>
  <c r="AE9925" i="2"/>
  <c r="AE9926" i="2"/>
  <c r="AE9927" i="2"/>
  <c r="AE9928" i="2"/>
  <c r="AE9929" i="2"/>
  <c r="AE9930" i="2"/>
  <c r="AE9931" i="2"/>
  <c r="AE9932" i="2"/>
  <c r="AE9933" i="2"/>
  <c r="AE9934" i="2"/>
  <c r="AE9935" i="2"/>
  <c r="AE9936" i="2"/>
  <c r="AE9937" i="2"/>
  <c r="AE9938" i="2"/>
  <c r="AE9939" i="2"/>
  <c r="AE9940" i="2"/>
  <c r="AE9941" i="2"/>
  <c r="AE9942" i="2"/>
  <c r="AE9943" i="2"/>
  <c r="AE9944" i="2"/>
  <c r="AE9945" i="2"/>
  <c r="AE9946" i="2"/>
  <c r="AE9947" i="2"/>
  <c r="AE9948" i="2"/>
  <c r="AE9949" i="2"/>
  <c r="AE9950" i="2"/>
  <c r="AE9951" i="2"/>
  <c r="AE9952" i="2"/>
  <c r="AE9953" i="2"/>
  <c r="AE9954" i="2"/>
  <c r="AE9955" i="2"/>
  <c r="AE9956" i="2"/>
  <c r="AE9957" i="2"/>
  <c r="AE9958" i="2"/>
  <c r="AE9959" i="2"/>
  <c r="AE9960" i="2"/>
  <c r="AE9961" i="2"/>
  <c r="AE9962" i="2"/>
  <c r="AE9963" i="2"/>
  <c r="AE9964" i="2"/>
  <c r="AE9965" i="2"/>
  <c r="AE9966" i="2"/>
  <c r="AE9967" i="2"/>
  <c r="AE9968" i="2"/>
  <c r="AE9969" i="2"/>
  <c r="AE9970" i="2"/>
  <c r="AE9971" i="2"/>
  <c r="AE9972" i="2"/>
  <c r="AE9973" i="2"/>
  <c r="AE9974" i="2"/>
  <c r="AE9975" i="2"/>
  <c r="AE9976" i="2"/>
  <c r="AE9977" i="2"/>
  <c r="AE9978" i="2"/>
  <c r="AE9979" i="2"/>
  <c r="AE9980" i="2"/>
  <c r="AE9981" i="2"/>
  <c r="AE9982" i="2"/>
  <c r="AE9983" i="2"/>
  <c r="AE9984" i="2"/>
  <c r="AE9985" i="2"/>
  <c r="AE9986" i="2"/>
  <c r="AE9987" i="2"/>
  <c r="AE9988" i="2"/>
  <c r="AE9989" i="2"/>
  <c r="AE9990" i="2"/>
  <c r="AE9991" i="2"/>
  <c r="AE9992" i="2"/>
  <c r="AE9993" i="2"/>
  <c r="AE9994" i="2"/>
  <c r="AE9995" i="2"/>
  <c r="AE9996" i="2"/>
  <c r="AE9997" i="2"/>
  <c r="AE9998" i="2"/>
  <c r="AE9999" i="2"/>
  <c r="AE10000" i="2"/>
  <c r="AE10001" i="2"/>
  <c r="AE10002" i="2"/>
  <c r="AE10003" i="2"/>
  <c r="AE10004" i="2"/>
  <c r="AE10005" i="2"/>
  <c r="AE10006" i="2"/>
  <c r="AE10007" i="2"/>
  <c r="AE10008" i="2"/>
  <c r="AE10009" i="2"/>
  <c r="AE10010" i="2"/>
  <c r="AE10011" i="2"/>
  <c r="AE10012" i="2"/>
  <c r="AE10013" i="2"/>
  <c r="AE10014" i="2"/>
  <c r="AE10015" i="2"/>
  <c r="AE10016" i="2"/>
  <c r="AE10017" i="2"/>
  <c r="AE10018" i="2"/>
  <c r="AE10019" i="2"/>
  <c r="AE10020" i="2"/>
  <c r="AE10021" i="2"/>
  <c r="AE10022" i="2"/>
  <c r="AE10023" i="2"/>
  <c r="AE10024" i="2"/>
  <c r="AE10025" i="2"/>
  <c r="AE10026" i="2"/>
  <c r="AE10027" i="2"/>
  <c r="AE10028" i="2"/>
  <c r="AE10029" i="2"/>
  <c r="AE10030" i="2"/>
  <c r="AE10031" i="2"/>
  <c r="AE10032" i="2"/>
  <c r="AE10033" i="2"/>
  <c r="AE10034" i="2"/>
  <c r="AE10035" i="2"/>
  <c r="AE10036" i="2"/>
  <c r="AE10037" i="2"/>
  <c r="AE10038" i="2"/>
  <c r="AE10039" i="2"/>
  <c r="AE10040" i="2"/>
  <c r="AE10041" i="2"/>
  <c r="AE10042" i="2"/>
  <c r="AE10043" i="2"/>
  <c r="AE10044" i="2"/>
  <c r="AE10045" i="2"/>
  <c r="AE10046" i="2"/>
  <c r="AE10047" i="2"/>
  <c r="AE10048" i="2"/>
  <c r="AE10049" i="2"/>
  <c r="AE10050" i="2"/>
  <c r="AE10051" i="2"/>
  <c r="AE10052" i="2"/>
  <c r="AE10053" i="2"/>
  <c r="AE10054" i="2"/>
  <c r="AE10055" i="2"/>
  <c r="AE10056" i="2"/>
  <c r="AE10057" i="2"/>
  <c r="AE10058" i="2"/>
  <c r="AE10059" i="2"/>
  <c r="AE10060" i="2"/>
  <c r="AE10061" i="2"/>
  <c r="AE10062" i="2"/>
  <c r="AE10063" i="2"/>
  <c r="AE10064" i="2"/>
  <c r="AE10065" i="2"/>
  <c r="AE10066" i="2"/>
  <c r="AE10067" i="2"/>
  <c r="AE10068" i="2"/>
  <c r="AE10069" i="2"/>
  <c r="AE10070" i="2"/>
  <c r="AE10071" i="2"/>
  <c r="AE10072" i="2"/>
  <c r="AE10073" i="2"/>
  <c r="AE10074" i="2"/>
  <c r="AE10075" i="2"/>
  <c r="AE10076" i="2"/>
  <c r="AE10077" i="2"/>
  <c r="AE10078" i="2"/>
  <c r="AE10079" i="2"/>
  <c r="AE10080" i="2"/>
  <c r="AE10081" i="2"/>
  <c r="AE10082" i="2"/>
  <c r="AE10083" i="2"/>
  <c r="AE10084" i="2"/>
  <c r="AE10085" i="2"/>
  <c r="AE10086" i="2"/>
  <c r="AE10087" i="2"/>
  <c r="AE10088" i="2"/>
  <c r="AE10089" i="2"/>
  <c r="AE10090" i="2"/>
  <c r="AE10091" i="2"/>
  <c r="AE10092" i="2"/>
  <c r="AE10093" i="2"/>
  <c r="AE10094" i="2"/>
  <c r="AE10095" i="2"/>
  <c r="AE10096" i="2"/>
  <c r="AE10097" i="2"/>
  <c r="AE10098" i="2"/>
  <c r="AE10099" i="2"/>
  <c r="AE10100" i="2"/>
  <c r="AE10101" i="2"/>
  <c r="AE10102" i="2"/>
  <c r="AE10103" i="2"/>
  <c r="AE10104" i="2"/>
  <c r="AE10105" i="2"/>
  <c r="AE10106" i="2"/>
  <c r="AE10107" i="2"/>
  <c r="AE10108" i="2"/>
  <c r="AE10109" i="2"/>
  <c r="AE10110" i="2"/>
  <c r="AE10111" i="2"/>
  <c r="AE10112" i="2"/>
  <c r="AE10113" i="2"/>
  <c r="AE10114" i="2"/>
  <c r="AE10115" i="2"/>
  <c r="AE10116" i="2"/>
  <c r="AE10117" i="2"/>
  <c r="AE10118" i="2"/>
  <c r="AE10119" i="2"/>
  <c r="AE10120" i="2"/>
  <c r="AE10121" i="2"/>
  <c r="AE10122" i="2"/>
  <c r="AE10123" i="2"/>
  <c r="AE10124" i="2"/>
  <c r="AE10125" i="2"/>
  <c r="AE10126" i="2"/>
  <c r="AE10127" i="2"/>
  <c r="AE10128" i="2"/>
  <c r="AE10129" i="2"/>
  <c r="AE10130" i="2"/>
  <c r="AE10131" i="2"/>
  <c r="AE10132" i="2"/>
  <c r="AE10133" i="2"/>
  <c r="AE10134" i="2"/>
  <c r="AE10135" i="2"/>
  <c r="AE10136" i="2"/>
  <c r="AE10137" i="2"/>
  <c r="AE10138" i="2"/>
  <c r="AE10139" i="2"/>
  <c r="AE10140" i="2"/>
  <c r="AE10141" i="2"/>
  <c r="AE10142" i="2"/>
  <c r="AE10143" i="2"/>
  <c r="AE10144" i="2"/>
  <c r="AE10145" i="2"/>
  <c r="AE10146" i="2"/>
  <c r="AE10147" i="2"/>
  <c r="AE10148" i="2"/>
  <c r="AE10149" i="2"/>
  <c r="AE10150" i="2"/>
  <c r="AE10151" i="2"/>
  <c r="AE10152" i="2"/>
  <c r="AE10153" i="2"/>
  <c r="AE10154" i="2"/>
  <c r="AE10155" i="2"/>
  <c r="AE10156" i="2"/>
  <c r="AE10157" i="2"/>
  <c r="AE10158" i="2"/>
  <c r="AE10159" i="2"/>
  <c r="AE10160" i="2"/>
  <c r="AE10161" i="2"/>
  <c r="AE10162" i="2"/>
  <c r="AE10163" i="2"/>
  <c r="AE10164" i="2"/>
  <c r="AE10165" i="2"/>
  <c r="AE10166" i="2"/>
  <c r="AE10167" i="2"/>
  <c r="AE10168" i="2"/>
  <c r="AE10169" i="2"/>
  <c r="AE10170" i="2"/>
  <c r="AE10171" i="2"/>
  <c r="AE10172" i="2"/>
  <c r="AE10173" i="2"/>
  <c r="AE10174" i="2"/>
  <c r="AE10175" i="2"/>
  <c r="AE10176" i="2"/>
  <c r="AE10177" i="2"/>
  <c r="AE10178" i="2"/>
  <c r="AE10179" i="2"/>
  <c r="AE10180" i="2"/>
  <c r="AE10181" i="2"/>
  <c r="AE10182" i="2"/>
  <c r="AE10183" i="2"/>
  <c r="AE10184" i="2"/>
  <c r="AE10185" i="2"/>
  <c r="AE10186" i="2"/>
  <c r="AE10187" i="2"/>
  <c r="AE10188" i="2"/>
  <c r="AE10189" i="2"/>
  <c r="AE10190" i="2"/>
  <c r="AE10191" i="2"/>
  <c r="AE10192" i="2"/>
  <c r="AE10193" i="2"/>
  <c r="AE10194" i="2"/>
  <c r="AE10195" i="2"/>
  <c r="AE10196" i="2"/>
  <c r="AE10197" i="2"/>
  <c r="AE10198" i="2"/>
  <c r="AE10199" i="2"/>
  <c r="AE10200" i="2"/>
  <c r="AE10201" i="2"/>
  <c r="AE10202" i="2"/>
  <c r="AE10203" i="2"/>
  <c r="AE10204" i="2"/>
  <c r="AE10205" i="2"/>
  <c r="AE10206" i="2"/>
  <c r="AE10207" i="2"/>
  <c r="AE10208" i="2"/>
  <c r="AE10209" i="2"/>
  <c r="AE10210" i="2"/>
  <c r="AE10211" i="2"/>
  <c r="AE10212" i="2"/>
  <c r="AE10213" i="2"/>
  <c r="AE10214" i="2"/>
  <c r="AE10215" i="2"/>
  <c r="AE10216" i="2"/>
  <c r="AE10217" i="2"/>
  <c r="AE10218" i="2"/>
  <c r="AE10219" i="2"/>
  <c r="AE10220" i="2"/>
  <c r="AE10221" i="2"/>
  <c r="AE10222" i="2"/>
  <c r="AE10223" i="2"/>
  <c r="AE10224" i="2"/>
  <c r="AE10225" i="2"/>
  <c r="AE10226" i="2"/>
  <c r="AE10227" i="2"/>
  <c r="AE10228" i="2"/>
  <c r="AE10229" i="2"/>
  <c r="AE10230" i="2"/>
  <c r="AE10231" i="2"/>
  <c r="AE10232" i="2"/>
  <c r="AE10233" i="2"/>
  <c r="AE10234" i="2"/>
  <c r="AE10235" i="2"/>
  <c r="AE10236" i="2"/>
  <c r="AE10237" i="2"/>
  <c r="AE10238" i="2"/>
  <c r="AE10239" i="2"/>
  <c r="AE10240" i="2"/>
  <c r="AE10241" i="2"/>
  <c r="AE10242" i="2"/>
  <c r="AE10243" i="2"/>
  <c r="AE10244" i="2"/>
  <c r="AE10245" i="2"/>
  <c r="AE10246" i="2"/>
  <c r="AE10247" i="2"/>
  <c r="AE10248" i="2"/>
  <c r="AE10249" i="2"/>
  <c r="AE10250" i="2"/>
  <c r="AE10251" i="2"/>
  <c r="AE10252" i="2"/>
  <c r="AE10253" i="2"/>
  <c r="AE10254" i="2"/>
  <c r="AE10255" i="2"/>
  <c r="AE10256" i="2"/>
  <c r="AE10257" i="2"/>
  <c r="AE10258" i="2"/>
  <c r="AE10259" i="2"/>
  <c r="AE10260" i="2"/>
  <c r="AE10261" i="2"/>
  <c r="AE10262" i="2"/>
  <c r="AE10263" i="2"/>
  <c r="AE10264" i="2"/>
  <c r="AE10265" i="2"/>
  <c r="AE10266" i="2"/>
  <c r="AE10267" i="2"/>
  <c r="AE10268" i="2"/>
  <c r="AE10269" i="2"/>
  <c r="AE10270" i="2"/>
  <c r="AE10271" i="2"/>
  <c r="AE10272" i="2"/>
  <c r="AE10273" i="2"/>
  <c r="AE10274" i="2"/>
  <c r="AE10275" i="2"/>
  <c r="AE10276" i="2"/>
  <c r="AE10277" i="2"/>
  <c r="AE10278" i="2"/>
  <c r="AE10279" i="2"/>
  <c r="AE10280" i="2"/>
  <c r="AE10281" i="2"/>
  <c r="AE10282" i="2"/>
  <c r="AE10283" i="2"/>
  <c r="AE10284" i="2"/>
  <c r="AE10285" i="2"/>
  <c r="AE10286" i="2"/>
  <c r="AE10287" i="2"/>
  <c r="AE10288" i="2"/>
  <c r="AE10289" i="2"/>
  <c r="AE10290" i="2"/>
  <c r="AE10291" i="2"/>
  <c r="AE10292" i="2"/>
  <c r="AE10293" i="2"/>
  <c r="AE10294" i="2"/>
  <c r="AE10295" i="2"/>
  <c r="AE10296" i="2"/>
  <c r="AE10297" i="2"/>
  <c r="AE10298" i="2"/>
  <c r="AE10299" i="2"/>
  <c r="AE10300" i="2"/>
  <c r="AE10301" i="2"/>
  <c r="AE10302" i="2"/>
  <c r="AE10303" i="2"/>
  <c r="AE10304" i="2"/>
  <c r="AE10305" i="2"/>
  <c r="AE10306" i="2"/>
  <c r="AE10307" i="2"/>
  <c r="AE10308" i="2"/>
  <c r="AE10309" i="2"/>
  <c r="AE10310" i="2"/>
  <c r="AE10311" i="2"/>
  <c r="AE10312" i="2"/>
  <c r="AE10313" i="2"/>
  <c r="AE10314" i="2"/>
  <c r="AE10315" i="2"/>
  <c r="AE10316" i="2"/>
  <c r="AE10317" i="2"/>
  <c r="AE10318" i="2"/>
  <c r="AE10319" i="2"/>
  <c r="AE10320" i="2"/>
  <c r="AE10321" i="2"/>
  <c r="AE10322" i="2"/>
  <c r="AE10323" i="2"/>
  <c r="AE10324" i="2"/>
  <c r="AE10325" i="2"/>
  <c r="AE10326" i="2"/>
  <c r="AE10327" i="2"/>
  <c r="AE10328" i="2"/>
  <c r="AE10329" i="2"/>
  <c r="AE10330" i="2"/>
  <c r="AE10331" i="2"/>
  <c r="AE10332" i="2"/>
  <c r="AE10333" i="2"/>
  <c r="AE10334" i="2"/>
  <c r="AE10335" i="2"/>
  <c r="AE10336" i="2"/>
  <c r="AE10337" i="2"/>
  <c r="AE10338" i="2"/>
  <c r="AE10339" i="2"/>
  <c r="AE10340" i="2"/>
  <c r="AE10341" i="2"/>
  <c r="AE10342" i="2"/>
  <c r="AE10343" i="2"/>
  <c r="AE10344" i="2"/>
  <c r="AE10345" i="2"/>
  <c r="AE10346" i="2"/>
  <c r="AE10347" i="2"/>
  <c r="AE10348" i="2"/>
  <c r="AE10349" i="2"/>
  <c r="AE10350" i="2"/>
  <c r="AE10351" i="2"/>
  <c r="AE10352" i="2"/>
  <c r="AE10353" i="2"/>
  <c r="AE10354" i="2"/>
  <c r="AE10355" i="2"/>
  <c r="AE10356" i="2"/>
  <c r="AE10357" i="2"/>
  <c r="AE10358" i="2"/>
  <c r="AE10359" i="2"/>
  <c r="AE10360" i="2"/>
  <c r="AE10361" i="2"/>
  <c r="AE10362" i="2"/>
  <c r="AE10363" i="2"/>
  <c r="AE10364" i="2"/>
  <c r="AE10365" i="2"/>
  <c r="AE10366" i="2"/>
  <c r="AE10367" i="2"/>
  <c r="AE10368" i="2"/>
  <c r="AE10369" i="2"/>
  <c r="AE10370" i="2"/>
  <c r="AE10371" i="2"/>
  <c r="AE10372" i="2"/>
  <c r="AE10373" i="2"/>
  <c r="AE10374" i="2"/>
  <c r="AE10375" i="2"/>
  <c r="AE10376" i="2"/>
  <c r="AE10377" i="2"/>
  <c r="AE10378" i="2"/>
  <c r="AE10379" i="2"/>
  <c r="AE10380" i="2"/>
  <c r="AE10381" i="2"/>
  <c r="AE10382" i="2"/>
  <c r="AE10383" i="2"/>
  <c r="AE10384" i="2"/>
  <c r="AE10385" i="2"/>
  <c r="AE10386" i="2"/>
  <c r="AE10387" i="2"/>
  <c r="AE10388" i="2"/>
  <c r="AE10389" i="2"/>
  <c r="AE10390" i="2"/>
  <c r="AE10391" i="2"/>
  <c r="AE10392" i="2"/>
  <c r="AE10393" i="2"/>
  <c r="AE10394" i="2"/>
  <c r="AE10395" i="2"/>
  <c r="AE10396" i="2"/>
  <c r="AE10397" i="2"/>
  <c r="AE10398" i="2"/>
  <c r="AE10399" i="2"/>
  <c r="AE10400" i="2"/>
  <c r="AE10401" i="2"/>
  <c r="AE10402" i="2"/>
  <c r="AE10403" i="2"/>
  <c r="AE10404" i="2"/>
  <c r="AE10405" i="2"/>
  <c r="AE10406" i="2"/>
  <c r="AE10407" i="2"/>
  <c r="AE10408" i="2"/>
  <c r="AE10409" i="2"/>
  <c r="AE10410" i="2"/>
  <c r="AE10411" i="2"/>
  <c r="AE10412" i="2"/>
  <c r="AE10413" i="2"/>
  <c r="AE10414" i="2"/>
  <c r="AE10415" i="2"/>
  <c r="AE10416" i="2"/>
  <c r="AE10417" i="2"/>
  <c r="AE10418" i="2"/>
  <c r="AE10419" i="2"/>
  <c r="AE10420" i="2"/>
  <c r="AE10421" i="2"/>
  <c r="AE10422" i="2"/>
  <c r="AE10423" i="2"/>
  <c r="AE10424" i="2"/>
  <c r="AE10425" i="2"/>
  <c r="AE10426" i="2"/>
  <c r="AE10427" i="2"/>
  <c r="AE10428" i="2"/>
  <c r="AE10429" i="2"/>
  <c r="AE10430" i="2"/>
  <c r="AE10431" i="2"/>
  <c r="AE10432" i="2"/>
  <c r="AE10433" i="2"/>
  <c r="AE10434" i="2"/>
  <c r="AE10435" i="2"/>
  <c r="AE10436" i="2"/>
  <c r="AE10437" i="2"/>
  <c r="AE10438" i="2"/>
  <c r="AE10439" i="2"/>
  <c r="AE10440" i="2"/>
  <c r="AE10441" i="2"/>
  <c r="AE10442" i="2"/>
  <c r="AE10443" i="2"/>
  <c r="AE10444" i="2"/>
  <c r="AE10445" i="2"/>
  <c r="AE10446" i="2"/>
  <c r="AE10447" i="2"/>
  <c r="AE10448" i="2"/>
  <c r="AE10449" i="2"/>
  <c r="AE10450" i="2"/>
  <c r="AE10451" i="2"/>
  <c r="AE10452" i="2"/>
  <c r="AE10453" i="2"/>
  <c r="AE10454" i="2"/>
  <c r="AE10455" i="2"/>
  <c r="AE10456" i="2"/>
  <c r="AE10457" i="2"/>
  <c r="AE10458" i="2"/>
  <c r="AE10459" i="2"/>
  <c r="AE10460" i="2"/>
  <c r="AE10461" i="2"/>
  <c r="AE10462" i="2"/>
  <c r="AE10463" i="2"/>
  <c r="AE10464" i="2"/>
  <c r="AE10465" i="2"/>
  <c r="AE10466" i="2"/>
  <c r="AE10467" i="2"/>
  <c r="AE10468" i="2"/>
  <c r="AE10469" i="2"/>
  <c r="AE10470" i="2"/>
  <c r="AE10471" i="2"/>
  <c r="AE10472" i="2"/>
  <c r="AE10473" i="2"/>
  <c r="AE10474" i="2"/>
  <c r="AE10475" i="2"/>
  <c r="AE10476" i="2"/>
  <c r="AE10477" i="2"/>
  <c r="AE10478" i="2"/>
  <c r="AE10479" i="2"/>
  <c r="AE10480" i="2"/>
  <c r="AE10481" i="2"/>
  <c r="AE10482" i="2"/>
  <c r="AE10483" i="2"/>
  <c r="AE10484" i="2"/>
  <c r="AE10485" i="2"/>
  <c r="AE10486" i="2"/>
  <c r="AE10487" i="2"/>
  <c r="AE10488" i="2"/>
  <c r="AE10489" i="2"/>
  <c r="AE10490" i="2"/>
  <c r="AE10491" i="2"/>
  <c r="AE10492" i="2"/>
  <c r="AE10493" i="2"/>
  <c r="AE10494" i="2"/>
  <c r="AE10495" i="2"/>
  <c r="AE10496" i="2"/>
  <c r="AE10497" i="2"/>
  <c r="AE10498" i="2"/>
  <c r="AE10499" i="2"/>
  <c r="AE10500" i="2"/>
  <c r="AE10501" i="2"/>
  <c r="AE10502" i="2"/>
  <c r="AE10503" i="2"/>
  <c r="AE10504" i="2"/>
  <c r="AE10505" i="2"/>
  <c r="AE10506" i="2"/>
  <c r="AE10507" i="2"/>
  <c r="AE10508" i="2"/>
  <c r="AE10509" i="2"/>
  <c r="AE10510" i="2"/>
  <c r="AE10511" i="2"/>
  <c r="AE10512" i="2"/>
  <c r="AE10513" i="2"/>
  <c r="AE10514" i="2"/>
  <c r="AE10515" i="2"/>
  <c r="AE10516" i="2"/>
  <c r="AE10517" i="2"/>
  <c r="AE10518" i="2"/>
  <c r="AE10519" i="2"/>
  <c r="AE10520" i="2"/>
  <c r="AE10521" i="2"/>
  <c r="AE10522" i="2"/>
  <c r="AE10523" i="2"/>
  <c r="AE10524" i="2"/>
  <c r="AE10525" i="2"/>
  <c r="AE10526" i="2"/>
  <c r="AE10527" i="2"/>
  <c r="AE10528" i="2"/>
  <c r="AE10529" i="2"/>
  <c r="AE10530" i="2"/>
  <c r="AE10531" i="2"/>
  <c r="AE10532" i="2"/>
  <c r="AE10533" i="2"/>
  <c r="AE10534" i="2"/>
  <c r="AE10535" i="2"/>
  <c r="AE10536" i="2"/>
  <c r="AE10537" i="2"/>
  <c r="AE10538" i="2"/>
  <c r="AE10539" i="2"/>
  <c r="AE10540" i="2"/>
  <c r="AE10541" i="2"/>
  <c r="AE10542" i="2"/>
  <c r="AE10543" i="2"/>
  <c r="AE10544" i="2"/>
  <c r="AE10545" i="2"/>
  <c r="AE10546" i="2"/>
  <c r="AE10547" i="2"/>
  <c r="AE10548" i="2"/>
  <c r="AE10549" i="2"/>
  <c r="AE10550" i="2"/>
  <c r="AE10551" i="2"/>
  <c r="AE10552" i="2"/>
  <c r="AE10553" i="2"/>
  <c r="AE10554" i="2"/>
  <c r="AE10555" i="2"/>
  <c r="AE10556" i="2"/>
  <c r="AE10557" i="2"/>
  <c r="AE10558" i="2"/>
  <c r="AE10559" i="2"/>
  <c r="AE10560" i="2"/>
  <c r="AE10561" i="2"/>
  <c r="AE10562" i="2"/>
  <c r="AE10563" i="2"/>
  <c r="AE10564" i="2"/>
  <c r="AE10565" i="2"/>
  <c r="AE10566" i="2"/>
  <c r="AE10567" i="2"/>
  <c r="AE10568" i="2"/>
  <c r="AE10569" i="2"/>
  <c r="AE10570" i="2"/>
  <c r="AE10571" i="2"/>
  <c r="AE10572" i="2"/>
  <c r="AE10573" i="2"/>
  <c r="AE10574" i="2"/>
  <c r="AE10575" i="2"/>
  <c r="AE10576" i="2"/>
  <c r="AE10577" i="2"/>
  <c r="AE10578" i="2"/>
  <c r="AE10579" i="2"/>
  <c r="AE10580" i="2"/>
  <c r="AE10581" i="2"/>
  <c r="AE10582" i="2"/>
  <c r="AE10583" i="2"/>
  <c r="AE10584" i="2"/>
  <c r="AE10585" i="2"/>
  <c r="AE10586" i="2"/>
  <c r="AE10587" i="2"/>
  <c r="AE10588" i="2"/>
  <c r="AE10589" i="2"/>
  <c r="AE10590" i="2"/>
  <c r="AE10591" i="2"/>
  <c r="AE10592" i="2"/>
  <c r="AE10593" i="2"/>
  <c r="AE10594" i="2"/>
  <c r="AE10595" i="2"/>
  <c r="AE10596" i="2"/>
  <c r="AE10597" i="2"/>
  <c r="AE10598" i="2"/>
  <c r="AE10599" i="2"/>
  <c r="AE10600" i="2"/>
  <c r="AE10601" i="2"/>
  <c r="AE10602" i="2"/>
  <c r="AE10603" i="2"/>
  <c r="AE10604" i="2"/>
  <c r="AE10605" i="2"/>
  <c r="AE10606" i="2"/>
  <c r="AE10607" i="2"/>
  <c r="AE10608" i="2"/>
  <c r="AE10609" i="2"/>
  <c r="AE10610" i="2"/>
  <c r="AE10611" i="2"/>
  <c r="AE10612" i="2"/>
  <c r="AE10613" i="2"/>
  <c r="AE10614" i="2"/>
  <c r="AE10615" i="2"/>
  <c r="AE10616" i="2"/>
  <c r="AE10617" i="2"/>
  <c r="AE10618" i="2"/>
  <c r="AE10619" i="2"/>
  <c r="AE10620" i="2"/>
  <c r="AE10621" i="2"/>
  <c r="AE10622" i="2"/>
  <c r="AE10623" i="2"/>
  <c r="AE10624" i="2"/>
  <c r="AE10625" i="2"/>
  <c r="AE10626" i="2"/>
  <c r="AE10627" i="2"/>
  <c r="AE10628" i="2"/>
  <c r="AE10629" i="2"/>
  <c r="AE10630" i="2"/>
  <c r="AE10631" i="2"/>
  <c r="AE10632" i="2"/>
  <c r="AE10633" i="2"/>
  <c r="AE10634" i="2"/>
  <c r="AE10635" i="2"/>
  <c r="AE10636" i="2"/>
  <c r="AE10637" i="2"/>
  <c r="AE10638" i="2"/>
  <c r="AE10639" i="2"/>
  <c r="AE10640" i="2"/>
  <c r="AE10641" i="2"/>
  <c r="AE10642" i="2"/>
  <c r="AE10643" i="2"/>
  <c r="AE10644" i="2"/>
  <c r="AE10645" i="2"/>
  <c r="AE10646" i="2"/>
  <c r="AE10647" i="2"/>
  <c r="AE10648" i="2"/>
  <c r="AE10649" i="2"/>
  <c r="AE10650" i="2"/>
  <c r="AE10651" i="2"/>
  <c r="AE10652" i="2"/>
  <c r="AE10653" i="2"/>
  <c r="AE10654" i="2"/>
  <c r="AE10655" i="2"/>
  <c r="AE10656" i="2"/>
  <c r="AE10657" i="2"/>
  <c r="AE10658" i="2"/>
  <c r="AE10659" i="2"/>
  <c r="AE10660" i="2"/>
  <c r="AE10661" i="2"/>
  <c r="AE10662" i="2"/>
  <c r="AE10663" i="2"/>
  <c r="AE10664" i="2"/>
  <c r="AE10665" i="2"/>
  <c r="AE10666" i="2"/>
  <c r="AE10667" i="2"/>
  <c r="AE10668" i="2"/>
  <c r="AE10669" i="2"/>
  <c r="AE10670" i="2"/>
  <c r="AE10671" i="2"/>
  <c r="AE10672" i="2"/>
  <c r="AE10673" i="2"/>
  <c r="AE10674" i="2"/>
  <c r="AE10675" i="2"/>
  <c r="AE10676" i="2"/>
  <c r="AE10677" i="2"/>
  <c r="AE10678" i="2"/>
  <c r="AE10679" i="2"/>
  <c r="AE10680" i="2"/>
  <c r="AE10681" i="2"/>
  <c r="AE10682" i="2"/>
  <c r="AE10683" i="2"/>
  <c r="AE10684" i="2"/>
  <c r="AE10685" i="2"/>
  <c r="AE10686" i="2"/>
  <c r="AE10687" i="2"/>
  <c r="AE10688" i="2"/>
  <c r="AE10689" i="2"/>
  <c r="AE10690" i="2"/>
  <c r="AE10691" i="2"/>
  <c r="AE10692" i="2"/>
  <c r="AE10693" i="2"/>
  <c r="AE10694" i="2"/>
  <c r="AE10695" i="2"/>
  <c r="AE10696" i="2"/>
  <c r="AE10697" i="2"/>
  <c r="AE10698" i="2"/>
  <c r="AE10699" i="2"/>
  <c r="AE10700" i="2"/>
  <c r="AE10701" i="2"/>
  <c r="AE10702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858" i="2"/>
  <c r="AF2859" i="2"/>
  <c r="AF2860" i="2"/>
  <c r="AF2861" i="2"/>
  <c r="AF2862" i="2"/>
  <c r="AF2863" i="2"/>
  <c r="AF2864" i="2"/>
  <c r="AF2865" i="2"/>
  <c r="AF2866" i="2"/>
  <c r="AF2867" i="2"/>
  <c r="AF2868" i="2"/>
  <c r="AF2869" i="2"/>
  <c r="AF2870" i="2"/>
  <c r="AF2871" i="2"/>
  <c r="AF2872" i="2"/>
  <c r="AF2873" i="2"/>
  <c r="AF2874" i="2"/>
  <c r="AF2875" i="2"/>
  <c r="AF2876" i="2"/>
  <c r="AF2877" i="2"/>
  <c r="AF2878" i="2"/>
  <c r="AF2879" i="2"/>
  <c r="AF2880" i="2"/>
  <c r="AF2881" i="2"/>
  <c r="AF2882" i="2"/>
  <c r="AF2883" i="2"/>
  <c r="AF2884" i="2"/>
  <c r="AF2885" i="2"/>
  <c r="AF2886" i="2"/>
  <c r="AF2887" i="2"/>
  <c r="AF2888" i="2"/>
  <c r="AF2889" i="2"/>
  <c r="AF2890" i="2"/>
  <c r="AF2891" i="2"/>
  <c r="AF2892" i="2"/>
  <c r="AF2893" i="2"/>
  <c r="AF2894" i="2"/>
  <c r="AF2895" i="2"/>
  <c r="AF2896" i="2"/>
  <c r="AF2897" i="2"/>
  <c r="AF2898" i="2"/>
  <c r="AF2899" i="2"/>
  <c r="AF2900" i="2"/>
  <c r="AF2901" i="2"/>
  <c r="AF2902" i="2"/>
  <c r="AF2903" i="2"/>
  <c r="AF2904" i="2"/>
  <c r="AF2905" i="2"/>
  <c r="AF2906" i="2"/>
  <c r="AF2907" i="2"/>
  <c r="AF2908" i="2"/>
  <c r="AF2909" i="2"/>
  <c r="AF2910" i="2"/>
  <c r="AF2911" i="2"/>
  <c r="AF2912" i="2"/>
  <c r="AF2913" i="2"/>
  <c r="AF2914" i="2"/>
  <c r="AF2915" i="2"/>
  <c r="AF2916" i="2"/>
  <c r="AF2917" i="2"/>
  <c r="AF2918" i="2"/>
  <c r="AF2919" i="2"/>
  <c r="AF2920" i="2"/>
  <c r="AF2921" i="2"/>
  <c r="AF2922" i="2"/>
  <c r="AF2923" i="2"/>
  <c r="AF2924" i="2"/>
  <c r="AF2925" i="2"/>
  <c r="AF2926" i="2"/>
  <c r="AF2927" i="2"/>
  <c r="AF2928" i="2"/>
  <c r="AF2929" i="2"/>
  <c r="AF2930" i="2"/>
  <c r="AF2931" i="2"/>
  <c r="AF2932" i="2"/>
  <c r="AF2933" i="2"/>
  <c r="AF2934" i="2"/>
  <c r="AF2935" i="2"/>
  <c r="AF2936" i="2"/>
  <c r="AF2937" i="2"/>
  <c r="AF2938" i="2"/>
  <c r="AF2939" i="2"/>
  <c r="AF2940" i="2"/>
  <c r="AF2941" i="2"/>
  <c r="AF2942" i="2"/>
  <c r="AF2943" i="2"/>
  <c r="AF2944" i="2"/>
  <c r="AF2945" i="2"/>
  <c r="AF2946" i="2"/>
  <c r="AF2947" i="2"/>
  <c r="AF2948" i="2"/>
  <c r="AF2949" i="2"/>
  <c r="AF2950" i="2"/>
  <c r="AF2951" i="2"/>
  <c r="AF2952" i="2"/>
  <c r="AF2953" i="2"/>
  <c r="AF2954" i="2"/>
  <c r="AF2955" i="2"/>
  <c r="AF2956" i="2"/>
  <c r="AF2957" i="2"/>
  <c r="AF2958" i="2"/>
  <c r="AF2959" i="2"/>
  <c r="AF2960" i="2"/>
  <c r="AF2961" i="2"/>
  <c r="AF2962" i="2"/>
  <c r="AF2963" i="2"/>
  <c r="AF2964" i="2"/>
  <c r="AF2965" i="2"/>
  <c r="AF2966" i="2"/>
  <c r="AF2967" i="2"/>
  <c r="AF2968" i="2"/>
  <c r="AF2969" i="2"/>
  <c r="AF2970" i="2"/>
  <c r="AF2971" i="2"/>
  <c r="AF2972" i="2"/>
  <c r="AF2973" i="2"/>
  <c r="AF2974" i="2"/>
  <c r="AF2975" i="2"/>
  <c r="AF2976" i="2"/>
  <c r="AF2977" i="2"/>
  <c r="AF2978" i="2"/>
  <c r="AF2979" i="2"/>
  <c r="AF2980" i="2"/>
  <c r="AF2981" i="2"/>
  <c r="AF2982" i="2"/>
  <c r="AF2983" i="2"/>
  <c r="AF2984" i="2"/>
  <c r="AF2985" i="2"/>
  <c r="AF2986" i="2"/>
  <c r="AF2987" i="2"/>
  <c r="AF2988" i="2"/>
  <c r="AF2989" i="2"/>
  <c r="AF2990" i="2"/>
  <c r="AF2991" i="2"/>
  <c r="AF2992" i="2"/>
  <c r="AF2993" i="2"/>
  <c r="AF2994" i="2"/>
  <c r="AF2995" i="2"/>
  <c r="AF2996" i="2"/>
  <c r="AF2997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F3027" i="2"/>
  <c r="AF3028" i="2"/>
  <c r="AF3029" i="2"/>
  <c r="AF3030" i="2"/>
  <c r="AF3031" i="2"/>
  <c r="AF3032" i="2"/>
  <c r="AF3033" i="2"/>
  <c r="AF3034" i="2"/>
  <c r="AF3035" i="2"/>
  <c r="AF3036" i="2"/>
  <c r="AF3037" i="2"/>
  <c r="AF3038" i="2"/>
  <c r="AF3039" i="2"/>
  <c r="AF3040" i="2"/>
  <c r="AF3041" i="2"/>
  <c r="AF3042" i="2"/>
  <c r="AF3043" i="2"/>
  <c r="AF3044" i="2"/>
  <c r="AF3045" i="2"/>
  <c r="AF3046" i="2"/>
  <c r="AF3047" i="2"/>
  <c r="AF3048" i="2"/>
  <c r="AF3049" i="2"/>
  <c r="AF3050" i="2"/>
  <c r="AF3051" i="2"/>
  <c r="AF3052" i="2"/>
  <c r="AF3053" i="2"/>
  <c r="AF3054" i="2"/>
  <c r="AF3055" i="2"/>
  <c r="AF3056" i="2"/>
  <c r="AF3057" i="2"/>
  <c r="AF3058" i="2"/>
  <c r="AF3059" i="2"/>
  <c r="AF3060" i="2"/>
  <c r="AF3061" i="2"/>
  <c r="AF3062" i="2"/>
  <c r="AF3063" i="2"/>
  <c r="AF3064" i="2"/>
  <c r="AF3065" i="2"/>
  <c r="AF3066" i="2"/>
  <c r="AF3067" i="2"/>
  <c r="AF3068" i="2"/>
  <c r="AF3069" i="2"/>
  <c r="AF3070" i="2"/>
  <c r="AF3071" i="2"/>
  <c r="AF3072" i="2"/>
  <c r="AF3073" i="2"/>
  <c r="AF3074" i="2"/>
  <c r="AF3075" i="2"/>
  <c r="AF3076" i="2"/>
  <c r="AF3077" i="2"/>
  <c r="AF3078" i="2"/>
  <c r="AF3079" i="2"/>
  <c r="AF3080" i="2"/>
  <c r="AF3081" i="2"/>
  <c r="AF3082" i="2"/>
  <c r="AF3083" i="2"/>
  <c r="AF3084" i="2"/>
  <c r="AF3085" i="2"/>
  <c r="AF3086" i="2"/>
  <c r="AF3087" i="2"/>
  <c r="AF3088" i="2"/>
  <c r="AF3089" i="2"/>
  <c r="AF3090" i="2"/>
  <c r="AF3091" i="2"/>
  <c r="AF3092" i="2"/>
  <c r="AF3093" i="2"/>
  <c r="AF3094" i="2"/>
  <c r="AF3095" i="2"/>
  <c r="AF3096" i="2"/>
  <c r="AF3097" i="2"/>
  <c r="AF3098" i="2"/>
  <c r="AF3099" i="2"/>
  <c r="AF3100" i="2"/>
  <c r="AF3101" i="2"/>
  <c r="AF3102" i="2"/>
  <c r="AF3103" i="2"/>
  <c r="AF3104" i="2"/>
  <c r="AF3105" i="2"/>
  <c r="AF3106" i="2"/>
  <c r="AF3107" i="2"/>
  <c r="AF3108" i="2"/>
  <c r="AF3109" i="2"/>
  <c r="AF3110" i="2"/>
  <c r="AF3111" i="2"/>
  <c r="AF3112" i="2"/>
  <c r="AF3113" i="2"/>
  <c r="AF3114" i="2"/>
  <c r="AF3115" i="2"/>
  <c r="AF3116" i="2"/>
  <c r="AF3117" i="2"/>
  <c r="AF3118" i="2"/>
  <c r="AF3119" i="2"/>
  <c r="AF3120" i="2"/>
  <c r="AF3121" i="2"/>
  <c r="AF3122" i="2"/>
  <c r="AF3123" i="2"/>
  <c r="AF3124" i="2"/>
  <c r="AF3125" i="2"/>
  <c r="AF3126" i="2"/>
  <c r="AF3127" i="2"/>
  <c r="AF3128" i="2"/>
  <c r="AF3129" i="2"/>
  <c r="AF3130" i="2"/>
  <c r="AF3131" i="2"/>
  <c r="AF3132" i="2"/>
  <c r="AF3133" i="2"/>
  <c r="AF3134" i="2"/>
  <c r="AF3135" i="2"/>
  <c r="AF3136" i="2"/>
  <c r="AF3137" i="2"/>
  <c r="AF3138" i="2"/>
  <c r="AF3139" i="2"/>
  <c r="AF3140" i="2"/>
  <c r="AF3141" i="2"/>
  <c r="AF3142" i="2"/>
  <c r="AF3143" i="2"/>
  <c r="AF3144" i="2"/>
  <c r="AF3145" i="2"/>
  <c r="AF3146" i="2"/>
  <c r="AF3147" i="2"/>
  <c r="AF3148" i="2"/>
  <c r="AF3149" i="2"/>
  <c r="AF3150" i="2"/>
  <c r="AF3151" i="2"/>
  <c r="AF3152" i="2"/>
  <c r="AF3153" i="2"/>
  <c r="AF3154" i="2"/>
  <c r="AF3155" i="2"/>
  <c r="AF3156" i="2"/>
  <c r="AF3157" i="2"/>
  <c r="AF3158" i="2"/>
  <c r="AF3159" i="2"/>
  <c r="AF3160" i="2"/>
  <c r="AF3161" i="2"/>
  <c r="AF3162" i="2"/>
  <c r="AF3163" i="2"/>
  <c r="AF3164" i="2"/>
  <c r="AF3165" i="2"/>
  <c r="AF3166" i="2"/>
  <c r="AF3167" i="2"/>
  <c r="AF3168" i="2"/>
  <c r="AF3169" i="2"/>
  <c r="AF3170" i="2"/>
  <c r="AF3171" i="2"/>
  <c r="AF3172" i="2"/>
  <c r="AF3173" i="2"/>
  <c r="AF3174" i="2"/>
  <c r="AF3175" i="2"/>
  <c r="AF3176" i="2"/>
  <c r="AF3177" i="2"/>
  <c r="AF3178" i="2"/>
  <c r="AF3179" i="2"/>
  <c r="AF3180" i="2"/>
  <c r="AF3181" i="2"/>
  <c r="AF3182" i="2"/>
  <c r="AF3183" i="2"/>
  <c r="AF3184" i="2"/>
  <c r="AF3185" i="2"/>
  <c r="AF3186" i="2"/>
  <c r="AF3187" i="2"/>
  <c r="AF3188" i="2"/>
  <c r="AF3189" i="2"/>
  <c r="AF3190" i="2"/>
  <c r="AF3191" i="2"/>
  <c r="AF3192" i="2"/>
  <c r="AF3193" i="2"/>
  <c r="AF3194" i="2"/>
  <c r="AF3195" i="2"/>
  <c r="AF3196" i="2"/>
  <c r="AF3197" i="2"/>
  <c r="AF3198" i="2"/>
  <c r="AF3199" i="2"/>
  <c r="AF3200" i="2"/>
  <c r="AF3201" i="2"/>
  <c r="AF3202" i="2"/>
  <c r="AF3203" i="2"/>
  <c r="AF3204" i="2"/>
  <c r="AF3205" i="2"/>
  <c r="AF3206" i="2"/>
  <c r="AF3207" i="2"/>
  <c r="AF3208" i="2"/>
  <c r="AF3209" i="2"/>
  <c r="AF3210" i="2"/>
  <c r="AF3211" i="2"/>
  <c r="AF3212" i="2"/>
  <c r="AF3213" i="2"/>
  <c r="AF3214" i="2"/>
  <c r="AF3215" i="2"/>
  <c r="AF3216" i="2"/>
  <c r="AF3217" i="2"/>
  <c r="AF3218" i="2"/>
  <c r="AF3219" i="2"/>
  <c r="AF3220" i="2"/>
  <c r="AF3221" i="2"/>
  <c r="AF3222" i="2"/>
  <c r="AF3223" i="2"/>
  <c r="AF3224" i="2"/>
  <c r="AF3225" i="2"/>
  <c r="AF3226" i="2"/>
  <c r="AF3227" i="2"/>
  <c r="AF3228" i="2"/>
  <c r="AF3229" i="2"/>
  <c r="AF3230" i="2"/>
  <c r="AF3231" i="2"/>
  <c r="AF3232" i="2"/>
  <c r="AF3233" i="2"/>
  <c r="AF3234" i="2"/>
  <c r="AF3235" i="2"/>
  <c r="AF3236" i="2"/>
  <c r="AF3237" i="2"/>
  <c r="AF3238" i="2"/>
  <c r="AF3239" i="2"/>
  <c r="AF3240" i="2"/>
  <c r="AF3241" i="2"/>
  <c r="AF3242" i="2"/>
  <c r="AF3243" i="2"/>
  <c r="AF3244" i="2"/>
  <c r="AF3245" i="2"/>
  <c r="AF3246" i="2"/>
  <c r="AF3247" i="2"/>
  <c r="AF3248" i="2"/>
  <c r="AF3249" i="2"/>
  <c r="AF3250" i="2"/>
  <c r="AF3251" i="2"/>
  <c r="AF3252" i="2"/>
  <c r="AF3253" i="2"/>
  <c r="AF3254" i="2"/>
  <c r="AF3255" i="2"/>
  <c r="AF3256" i="2"/>
  <c r="AF3257" i="2"/>
  <c r="AF3258" i="2"/>
  <c r="AF3259" i="2"/>
  <c r="AF3260" i="2"/>
  <c r="AF3261" i="2"/>
  <c r="AF3262" i="2"/>
  <c r="AF3263" i="2"/>
  <c r="AF3264" i="2"/>
  <c r="AF3265" i="2"/>
  <c r="AF3266" i="2"/>
  <c r="AF3267" i="2"/>
  <c r="AF3268" i="2"/>
  <c r="AF3269" i="2"/>
  <c r="AF3270" i="2"/>
  <c r="AF3271" i="2"/>
  <c r="AF3272" i="2"/>
  <c r="AF3273" i="2"/>
  <c r="AF3274" i="2"/>
  <c r="AF3275" i="2"/>
  <c r="AF3276" i="2"/>
  <c r="AF3277" i="2"/>
  <c r="AF3278" i="2"/>
  <c r="AF3279" i="2"/>
  <c r="AF3280" i="2"/>
  <c r="AF3281" i="2"/>
  <c r="AF3282" i="2"/>
  <c r="AF3283" i="2"/>
  <c r="AF3284" i="2"/>
  <c r="AF3285" i="2"/>
  <c r="AF3286" i="2"/>
  <c r="AF3287" i="2"/>
  <c r="AF3288" i="2"/>
  <c r="AF3289" i="2"/>
  <c r="AF3290" i="2"/>
  <c r="AF3291" i="2"/>
  <c r="AF3292" i="2"/>
  <c r="AF3293" i="2"/>
  <c r="AF3294" i="2"/>
  <c r="AF3295" i="2"/>
  <c r="AF3296" i="2"/>
  <c r="AF3297" i="2"/>
  <c r="AF3298" i="2"/>
  <c r="AF3299" i="2"/>
  <c r="AF3300" i="2"/>
  <c r="AF3301" i="2"/>
  <c r="AF3302" i="2"/>
  <c r="AF3303" i="2"/>
  <c r="AF3304" i="2"/>
  <c r="AF3305" i="2"/>
  <c r="AF3306" i="2"/>
  <c r="AF3307" i="2"/>
  <c r="AF3308" i="2"/>
  <c r="AF3309" i="2"/>
  <c r="AF3310" i="2"/>
  <c r="AF3311" i="2"/>
  <c r="AF3312" i="2"/>
  <c r="AF3313" i="2"/>
  <c r="AF3314" i="2"/>
  <c r="AF3315" i="2"/>
  <c r="AF3316" i="2"/>
  <c r="AF3317" i="2"/>
  <c r="AF3318" i="2"/>
  <c r="AF3319" i="2"/>
  <c r="AF3320" i="2"/>
  <c r="AF3321" i="2"/>
  <c r="AF3322" i="2"/>
  <c r="AF3323" i="2"/>
  <c r="AF3324" i="2"/>
  <c r="AF3325" i="2"/>
  <c r="AF3326" i="2"/>
  <c r="AF3327" i="2"/>
  <c r="AF3328" i="2"/>
  <c r="AF3329" i="2"/>
  <c r="AF3330" i="2"/>
  <c r="AF3331" i="2"/>
  <c r="AF3332" i="2"/>
  <c r="AF3333" i="2"/>
  <c r="AF3334" i="2"/>
  <c r="AF3335" i="2"/>
  <c r="AF3336" i="2"/>
  <c r="AF3337" i="2"/>
  <c r="AF3338" i="2"/>
  <c r="AF3339" i="2"/>
  <c r="AF3340" i="2"/>
  <c r="AF3341" i="2"/>
  <c r="AF3342" i="2"/>
  <c r="AF3343" i="2"/>
  <c r="AF3344" i="2"/>
  <c r="AF3345" i="2"/>
  <c r="AF3346" i="2"/>
  <c r="AF3347" i="2"/>
  <c r="AF3348" i="2"/>
  <c r="AF3349" i="2"/>
  <c r="AF3350" i="2"/>
  <c r="AF3351" i="2"/>
  <c r="AF3352" i="2"/>
  <c r="AF3353" i="2"/>
  <c r="AF3354" i="2"/>
  <c r="AF3355" i="2"/>
  <c r="AF3356" i="2"/>
  <c r="AF3357" i="2"/>
  <c r="AF3358" i="2"/>
  <c r="AF3359" i="2"/>
  <c r="AF3360" i="2"/>
  <c r="AF3361" i="2"/>
  <c r="AF3362" i="2"/>
  <c r="AF3363" i="2"/>
  <c r="AF3364" i="2"/>
  <c r="AF3365" i="2"/>
  <c r="AF3366" i="2"/>
  <c r="AF3367" i="2"/>
  <c r="AF3368" i="2"/>
  <c r="AF3369" i="2"/>
  <c r="AF3370" i="2"/>
  <c r="AF3371" i="2"/>
  <c r="AF3372" i="2"/>
  <c r="AF3373" i="2"/>
  <c r="AF3374" i="2"/>
  <c r="AF3375" i="2"/>
  <c r="AF3376" i="2"/>
  <c r="AF3377" i="2"/>
  <c r="AF3378" i="2"/>
  <c r="AF3379" i="2"/>
  <c r="AF3380" i="2"/>
  <c r="AF3381" i="2"/>
  <c r="AF3382" i="2"/>
  <c r="AF3383" i="2"/>
  <c r="AF3384" i="2"/>
  <c r="AF3385" i="2"/>
  <c r="AF3386" i="2"/>
  <c r="AF3387" i="2"/>
  <c r="AF3388" i="2"/>
  <c r="AF3389" i="2"/>
  <c r="AF3390" i="2"/>
  <c r="AF3391" i="2"/>
  <c r="AF3392" i="2"/>
  <c r="AF3393" i="2"/>
  <c r="AF3394" i="2"/>
  <c r="AF3395" i="2"/>
  <c r="AF3396" i="2"/>
  <c r="AF3397" i="2"/>
  <c r="AF3398" i="2"/>
  <c r="AF3399" i="2"/>
  <c r="AF3400" i="2"/>
  <c r="AF3401" i="2"/>
  <c r="AF3402" i="2"/>
  <c r="AF3403" i="2"/>
  <c r="AF3404" i="2"/>
  <c r="AF3405" i="2"/>
  <c r="AF3406" i="2"/>
  <c r="AF3407" i="2"/>
  <c r="AF3408" i="2"/>
  <c r="AF3409" i="2"/>
  <c r="AF3410" i="2"/>
  <c r="AF3411" i="2"/>
  <c r="AF3412" i="2"/>
  <c r="AF3413" i="2"/>
  <c r="AF3414" i="2"/>
  <c r="AF3415" i="2"/>
  <c r="AF3416" i="2"/>
  <c r="AF3417" i="2"/>
  <c r="AF3418" i="2"/>
  <c r="AF3419" i="2"/>
  <c r="AF3420" i="2"/>
  <c r="AF3421" i="2"/>
  <c r="AF3422" i="2"/>
  <c r="AF3423" i="2"/>
  <c r="AF3424" i="2"/>
  <c r="AF3425" i="2"/>
  <c r="AF3426" i="2"/>
  <c r="AF3427" i="2"/>
  <c r="AF3428" i="2"/>
  <c r="AF3429" i="2"/>
  <c r="AF3430" i="2"/>
  <c r="AF3431" i="2"/>
  <c r="AF3432" i="2"/>
  <c r="AF3433" i="2"/>
  <c r="AF3434" i="2"/>
  <c r="AF3435" i="2"/>
  <c r="AF3436" i="2"/>
  <c r="AF3437" i="2"/>
  <c r="AF3438" i="2"/>
  <c r="AF3439" i="2"/>
  <c r="AF3440" i="2"/>
  <c r="AF3441" i="2"/>
  <c r="AF3442" i="2"/>
  <c r="AF3443" i="2"/>
  <c r="AF3444" i="2"/>
  <c r="AF3445" i="2"/>
  <c r="AF3446" i="2"/>
  <c r="AF3447" i="2"/>
  <c r="AF3448" i="2"/>
  <c r="AF3449" i="2"/>
  <c r="AF3450" i="2"/>
  <c r="AF3451" i="2"/>
  <c r="AF3452" i="2"/>
  <c r="AF3453" i="2"/>
  <c r="AF3454" i="2"/>
  <c r="AF3455" i="2"/>
  <c r="AF3456" i="2"/>
  <c r="AF3457" i="2"/>
  <c r="AF3458" i="2"/>
  <c r="AF3459" i="2"/>
  <c r="AF3460" i="2"/>
  <c r="AF3461" i="2"/>
  <c r="AF3462" i="2"/>
  <c r="AF3463" i="2"/>
  <c r="AF3464" i="2"/>
  <c r="AF3465" i="2"/>
  <c r="AF3466" i="2"/>
  <c r="AF3467" i="2"/>
  <c r="AF3468" i="2"/>
  <c r="AF3469" i="2"/>
  <c r="AF3470" i="2"/>
  <c r="AF3471" i="2"/>
  <c r="AF3472" i="2"/>
  <c r="AF3473" i="2"/>
  <c r="AF3474" i="2"/>
  <c r="AF3475" i="2"/>
  <c r="AF3476" i="2"/>
  <c r="AF3477" i="2"/>
  <c r="AF3478" i="2"/>
  <c r="AF3479" i="2"/>
  <c r="AF3480" i="2"/>
  <c r="AF3481" i="2"/>
  <c r="AF3482" i="2"/>
  <c r="AF3483" i="2"/>
  <c r="AF3484" i="2"/>
  <c r="AF3485" i="2"/>
  <c r="AF3486" i="2"/>
  <c r="AF3487" i="2"/>
  <c r="AF3488" i="2"/>
  <c r="AF3489" i="2"/>
  <c r="AF3490" i="2"/>
  <c r="AF3491" i="2"/>
  <c r="AF3492" i="2"/>
  <c r="AF3493" i="2"/>
  <c r="AF3494" i="2"/>
  <c r="AF3495" i="2"/>
  <c r="AF3496" i="2"/>
  <c r="AF3497" i="2"/>
  <c r="AF3498" i="2"/>
  <c r="AF3499" i="2"/>
  <c r="AF3500" i="2"/>
  <c r="AF3501" i="2"/>
  <c r="AF3502" i="2"/>
  <c r="AF3503" i="2"/>
  <c r="AF3504" i="2"/>
  <c r="AF3505" i="2"/>
  <c r="AF3506" i="2"/>
  <c r="AF3507" i="2"/>
  <c r="AF3508" i="2"/>
  <c r="AF3509" i="2"/>
  <c r="AF3510" i="2"/>
  <c r="AF3511" i="2"/>
  <c r="AF3512" i="2"/>
  <c r="AF3513" i="2"/>
  <c r="AF3514" i="2"/>
  <c r="AF3515" i="2"/>
  <c r="AF3516" i="2"/>
  <c r="AF3517" i="2"/>
  <c r="AF3518" i="2"/>
  <c r="AF3519" i="2"/>
  <c r="AF3520" i="2"/>
  <c r="AF3521" i="2"/>
  <c r="AF3522" i="2"/>
  <c r="AF3523" i="2"/>
  <c r="AF3524" i="2"/>
  <c r="AF3525" i="2"/>
  <c r="AF3526" i="2"/>
  <c r="AF3527" i="2"/>
  <c r="AF3528" i="2"/>
  <c r="AF3529" i="2"/>
  <c r="AF3530" i="2"/>
  <c r="AF3531" i="2"/>
  <c r="AF3532" i="2"/>
  <c r="AF3533" i="2"/>
  <c r="AF3534" i="2"/>
  <c r="AF3535" i="2"/>
  <c r="AF3536" i="2"/>
  <c r="AF3537" i="2"/>
  <c r="AF3538" i="2"/>
  <c r="AF3539" i="2"/>
  <c r="AF3540" i="2"/>
  <c r="AF3541" i="2"/>
  <c r="AF3542" i="2"/>
  <c r="AF3543" i="2"/>
  <c r="AF3544" i="2"/>
  <c r="AF3545" i="2"/>
  <c r="AF3546" i="2"/>
  <c r="AF3547" i="2"/>
  <c r="AF3548" i="2"/>
  <c r="AF3549" i="2"/>
  <c r="AF3550" i="2"/>
  <c r="AF3551" i="2"/>
  <c r="AF3552" i="2"/>
  <c r="AF3553" i="2"/>
  <c r="AF3554" i="2"/>
  <c r="AF3555" i="2"/>
  <c r="AF3556" i="2"/>
  <c r="AF3557" i="2"/>
  <c r="AF3558" i="2"/>
  <c r="AF3559" i="2"/>
  <c r="AF3560" i="2"/>
  <c r="AF3561" i="2"/>
  <c r="AF3562" i="2"/>
  <c r="AF3563" i="2"/>
  <c r="AF3564" i="2"/>
  <c r="AF3565" i="2"/>
  <c r="AF3566" i="2"/>
  <c r="AF3567" i="2"/>
  <c r="AF3568" i="2"/>
  <c r="AF3569" i="2"/>
  <c r="AF3570" i="2"/>
  <c r="AF3571" i="2"/>
  <c r="AF3572" i="2"/>
  <c r="AF3573" i="2"/>
  <c r="AF3574" i="2"/>
  <c r="AF3575" i="2"/>
  <c r="AF3576" i="2"/>
  <c r="AF3577" i="2"/>
  <c r="AF3578" i="2"/>
  <c r="AF3579" i="2"/>
  <c r="AF3580" i="2"/>
  <c r="AF3581" i="2"/>
  <c r="AF3582" i="2"/>
  <c r="AF3583" i="2"/>
  <c r="AF3584" i="2"/>
  <c r="AF3585" i="2"/>
  <c r="AF3586" i="2"/>
  <c r="AF3587" i="2"/>
  <c r="AF3588" i="2"/>
  <c r="AF3589" i="2"/>
  <c r="AF3590" i="2"/>
  <c r="AF3591" i="2"/>
  <c r="AF3592" i="2"/>
  <c r="AF3593" i="2"/>
  <c r="AF3594" i="2"/>
  <c r="AF3595" i="2"/>
  <c r="AF3596" i="2"/>
  <c r="AF3597" i="2"/>
  <c r="AF3598" i="2"/>
  <c r="AF3599" i="2"/>
  <c r="AF3600" i="2"/>
  <c r="AF3601" i="2"/>
  <c r="AF3602" i="2"/>
  <c r="AF3603" i="2"/>
  <c r="AF3604" i="2"/>
  <c r="AF3605" i="2"/>
  <c r="AF3606" i="2"/>
  <c r="AF3607" i="2"/>
  <c r="AF3608" i="2"/>
  <c r="AF3609" i="2"/>
  <c r="AF3610" i="2"/>
  <c r="AF3611" i="2"/>
  <c r="AF3612" i="2"/>
  <c r="AF3613" i="2"/>
  <c r="AF3614" i="2"/>
  <c r="AF3615" i="2"/>
  <c r="AF3616" i="2"/>
  <c r="AF3617" i="2"/>
  <c r="AF3618" i="2"/>
  <c r="AF3619" i="2"/>
  <c r="AF3620" i="2"/>
  <c r="AF3621" i="2"/>
  <c r="AF3622" i="2"/>
  <c r="AF3623" i="2"/>
  <c r="AF3624" i="2"/>
  <c r="AF3625" i="2"/>
  <c r="AF3626" i="2"/>
  <c r="AF3627" i="2"/>
  <c r="AF3628" i="2"/>
  <c r="AF3629" i="2"/>
  <c r="AF3630" i="2"/>
  <c r="AF3631" i="2"/>
  <c r="AF3632" i="2"/>
  <c r="AF3633" i="2"/>
  <c r="AF3634" i="2"/>
  <c r="AF3635" i="2"/>
  <c r="AF3636" i="2"/>
  <c r="AF3637" i="2"/>
  <c r="AF3638" i="2"/>
  <c r="AF3639" i="2"/>
  <c r="AF3640" i="2"/>
  <c r="AF3641" i="2"/>
  <c r="AF3642" i="2"/>
  <c r="AF3643" i="2"/>
  <c r="AF3644" i="2"/>
  <c r="AF3645" i="2"/>
  <c r="AF3646" i="2"/>
  <c r="AF3647" i="2"/>
  <c r="AF3648" i="2"/>
  <c r="AF3649" i="2"/>
  <c r="AF3650" i="2"/>
  <c r="AF3651" i="2"/>
  <c r="AF3652" i="2"/>
  <c r="AF3653" i="2"/>
  <c r="AF3654" i="2"/>
  <c r="AF3655" i="2"/>
  <c r="AF3656" i="2"/>
  <c r="AF3657" i="2"/>
  <c r="AF3658" i="2"/>
  <c r="AF3659" i="2"/>
  <c r="AF3660" i="2"/>
  <c r="AF3661" i="2"/>
  <c r="AF3662" i="2"/>
  <c r="AF3663" i="2"/>
  <c r="AF3664" i="2"/>
  <c r="AF3665" i="2"/>
  <c r="AF3666" i="2"/>
  <c r="AF3667" i="2"/>
  <c r="AF3668" i="2"/>
  <c r="AF3669" i="2"/>
  <c r="AF3670" i="2"/>
  <c r="AF3671" i="2"/>
  <c r="AF3672" i="2"/>
  <c r="AF3673" i="2"/>
  <c r="AF3674" i="2"/>
  <c r="AF3675" i="2"/>
  <c r="AF3676" i="2"/>
  <c r="AF3677" i="2"/>
  <c r="AF3678" i="2"/>
  <c r="AF3679" i="2"/>
  <c r="AF3680" i="2"/>
  <c r="AF3681" i="2"/>
  <c r="AF3682" i="2"/>
  <c r="AF3683" i="2"/>
  <c r="AF3684" i="2"/>
  <c r="AF3685" i="2"/>
  <c r="AF3686" i="2"/>
  <c r="AF3687" i="2"/>
  <c r="AF3688" i="2"/>
  <c r="AF3689" i="2"/>
  <c r="AF3690" i="2"/>
  <c r="AF3691" i="2"/>
  <c r="AF3692" i="2"/>
  <c r="AF3693" i="2"/>
  <c r="AF3694" i="2"/>
  <c r="AF3695" i="2"/>
  <c r="AF3696" i="2"/>
  <c r="AF3697" i="2"/>
  <c r="AF3698" i="2"/>
  <c r="AF3699" i="2"/>
  <c r="AF3700" i="2"/>
  <c r="AF3701" i="2"/>
  <c r="AF3702" i="2"/>
  <c r="AF3703" i="2"/>
  <c r="AF3704" i="2"/>
  <c r="AF3705" i="2"/>
  <c r="AF3706" i="2"/>
  <c r="AF3707" i="2"/>
  <c r="AF3708" i="2"/>
  <c r="AF3709" i="2"/>
  <c r="AF3710" i="2"/>
  <c r="AF3711" i="2"/>
  <c r="AF3712" i="2"/>
  <c r="AF3713" i="2"/>
  <c r="AF3714" i="2"/>
  <c r="AF3715" i="2"/>
  <c r="AF3716" i="2"/>
  <c r="AF3717" i="2"/>
  <c r="AF3718" i="2"/>
  <c r="AF3719" i="2"/>
  <c r="AF3720" i="2"/>
  <c r="AF3721" i="2"/>
  <c r="AF3722" i="2"/>
  <c r="AF3723" i="2"/>
  <c r="AF3724" i="2"/>
  <c r="AF3725" i="2"/>
  <c r="AF3726" i="2"/>
  <c r="AF3727" i="2"/>
  <c r="AF3728" i="2"/>
  <c r="AF3729" i="2"/>
  <c r="AF3730" i="2"/>
  <c r="AF3731" i="2"/>
  <c r="AF3732" i="2"/>
  <c r="AF3733" i="2"/>
  <c r="AF3734" i="2"/>
  <c r="AF3735" i="2"/>
  <c r="AF3736" i="2"/>
  <c r="AF3737" i="2"/>
  <c r="AF3738" i="2"/>
  <c r="AF3739" i="2"/>
  <c r="AF3740" i="2"/>
  <c r="AF3741" i="2"/>
  <c r="AF3742" i="2"/>
  <c r="AF3743" i="2"/>
  <c r="AF3744" i="2"/>
  <c r="AF3745" i="2"/>
  <c r="AF3746" i="2"/>
  <c r="AF3747" i="2"/>
  <c r="AF3748" i="2"/>
  <c r="AF3749" i="2"/>
  <c r="AF3750" i="2"/>
  <c r="AF3751" i="2"/>
  <c r="AF3752" i="2"/>
  <c r="AF3753" i="2"/>
  <c r="AF3754" i="2"/>
  <c r="AF3755" i="2"/>
  <c r="AF3756" i="2"/>
  <c r="AF3757" i="2"/>
  <c r="AF3758" i="2"/>
  <c r="AF3759" i="2"/>
  <c r="AF3760" i="2"/>
  <c r="AF3761" i="2"/>
  <c r="AF3762" i="2"/>
  <c r="AF3763" i="2"/>
  <c r="AF3764" i="2"/>
  <c r="AF3765" i="2"/>
  <c r="AF3766" i="2"/>
  <c r="AF3767" i="2"/>
  <c r="AF3768" i="2"/>
  <c r="AF3769" i="2"/>
  <c r="AF3770" i="2"/>
  <c r="AF3771" i="2"/>
  <c r="AF3772" i="2"/>
  <c r="AF3773" i="2"/>
  <c r="AF3774" i="2"/>
  <c r="AF3775" i="2"/>
  <c r="AF3776" i="2"/>
  <c r="AF3777" i="2"/>
  <c r="AF3778" i="2"/>
  <c r="AF3779" i="2"/>
  <c r="AF3780" i="2"/>
  <c r="AF3781" i="2"/>
  <c r="AF3782" i="2"/>
  <c r="AF3783" i="2"/>
  <c r="AF3784" i="2"/>
  <c r="AF3785" i="2"/>
  <c r="AF3786" i="2"/>
  <c r="AF3787" i="2"/>
  <c r="AF3788" i="2"/>
  <c r="AF3789" i="2"/>
  <c r="AF3790" i="2"/>
  <c r="AF3791" i="2"/>
  <c r="AF3792" i="2"/>
  <c r="AF3793" i="2"/>
  <c r="AF3794" i="2"/>
  <c r="AF3795" i="2"/>
  <c r="AF3796" i="2"/>
  <c r="AF3797" i="2"/>
  <c r="AF3798" i="2"/>
  <c r="AF3799" i="2"/>
  <c r="AF3800" i="2"/>
  <c r="AF3801" i="2"/>
  <c r="AF3802" i="2"/>
  <c r="AF3803" i="2"/>
  <c r="AF3804" i="2"/>
  <c r="AF3805" i="2"/>
  <c r="AF3806" i="2"/>
  <c r="AF3807" i="2"/>
  <c r="AF3808" i="2"/>
  <c r="AF3809" i="2"/>
  <c r="AF3810" i="2"/>
  <c r="AF3811" i="2"/>
  <c r="AF3812" i="2"/>
  <c r="AF3813" i="2"/>
  <c r="AF3814" i="2"/>
  <c r="AF3815" i="2"/>
  <c r="AF3816" i="2"/>
  <c r="AF3817" i="2"/>
  <c r="AF3818" i="2"/>
  <c r="AF3819" i="2"/>
  <c r="AF3820" i="2"/>
  <c r="AF3821" i="2"/>
  <c r="AF3822" i="2"/>
  <c r="AF3823" i="2"/>
  <c r="AF3824" i="2"/>
  <c r="AF3825" i="2"/>
  <c r="AF3826" i="2"/>
  <c r="AF3827" i="2"/>
  <c r="AF3828" i="2"/>
  <c r="AF3829" i="2"/>
  <c r="AF3830" i="2"/>
  <c r="AF3831" i="2"/>
  <c r="AF3832" i="2"/>
  <c r="AF3833" i="2"/>
  <c r="AF3834" i="2"/>
  <c r="AF3835" i="2"/>
  <c r="AF3836" i="2"/>
  <c r="AF3837" i="2"/>
  <c r="AF3838" i="2"/>
  <c r="AF3839" i="2"/>
  <c r="AF3840" i="2"/>
  <c r="AF3841" i="2"/>
  <c r="AF3842" i="2"/>
  <c r="AF3843" i="2"/>
  <c r="AF3844" i="2"/>
  <c r="AF3845" i="2"/>
  <c r="AF3846" i="2"/>
  <c r="AF3847" i="2"/>
  <c r="AF3848" i="2"/>
  <c r="AF3849" i="2"/>
  <c r="AF3850" i="2"/>
  <c r="AF3851" i="2"/>
  <c r="AF3852" i="2"/>
  <c r="AF3853" i="2"/>
  <c r="AF3854" i="2"/>
  <c r="AF3855" i="2"/>
  <c r="AF3856" i="2"/>
  <c r="AF3857" i="2"/>
  <c r="AF3858" i="2"/>
  <c r="AF3859" i="2"/>
  <c r="AF3860" i="2"/>
  <c r="AF3861" i="2"/>
  <c r="AF3862" i="2"/>
  <c r="AF3863" i="2"/>
  <c r="AF3864" i="2"/>
  <c r="AF3865" i="2"/>
  <c r="AF3866" i="2"/>
  <c r="AF3867" i="2"/>
  <c r="AF3868" i="2"/>
  <c r="AF3869" i="2"/>
  <c r="AF3870" i="2"/>
  <c r="AF3871" i="2"/>
  <c r="AF3872" i="2"/>
  <c r="AF3873" i="2"/>
  <c r="AF3874" i="2"/>
  <c r="AF3875" i="2"/>
  <c r="AF3876" i="2"/>
  <c r="AF3877" i="2"/>
  <c r="AF3878" i="2"/>
  <c r="AF3879" i="2"/>
  <c r="AF3880" i="2"/>
  <c r="AF3881" i="2"/>
  <c r="AF3882" i="2"/>
  <c r="AF3883" i="2"/>
  <c r="AF3884" i="2"/>
  <c r="AF3885" i="2"/>
  <c r="AF3886" i="2"/>
  <c r="AF3887" i="2"/>
  <c r="AF3888" i="2"/>
  <c r="AF3889" i="2"/>
  <c r="AF3890" i="2"/>
  <c r="AF3891" i="2"/>
  <c r="AF3892" i="2"/>
  <c r="AF3893" i="2"/>
  <c r="AF3894" i="2"/>
  <c r="AF3895" i="2"/>
  <c r="AF3896" i="2"/>
  <c r="AF3897" i="2"/>
  <c r="AF3898" i="2"/>
  <c r="AF3899" i="2"/>
  <c r="AF3900" i="2"/>
  <c r="AF3901" i="2"/>
  <c r="AF3902" i="2"/>
  <c r="AF3903" i="2"/>
  <c r="AF3904" i="2"/>
  <c r="AF3905" i="2"/>
  <c r="AF3906" i="2"/>
  <c r="AF3907" i="2"/>
  <c r="AF3908" i="2"/>
  <c r="AF3909" i="2"/>
  <c r="AF3910" i="2"/>
  <c r="AF3911" i="2"/>
  <c r="AF3912" i="2"/>
  <c r="AF3913" i="2"/>
  <c r="AF3914" i="2"/>
  <c r="AF3915" i="2"/>
  <c r="AF3916" i="2"/>
  <c r="AF3917" i="2"/>
  <c r="AF3918" i="2"/>
  <c r="AF3919" i="2"/>
  <c r="AF3920" i="2"/>
  <c r="AF3921" i="2"/>
  <c r="AF3922" i="2"/>
  <c r="AF3923" i="2"/>
  <c r="AF3924" i="2"/>
  <c r="AF3925" i="2"/>
  <c r="AF3926" i="2"/>
  <c r="AF3927" i="2"/>
  <c r="AF3928" i="2"/>
  <c r="AF3929" i="2"/>
  <c r="AF3930" i="2"/>
  <c r="AF3931" i="2"/>
  <c r="AF3932" i="2"/>
  <c r="AF3933" i="2"/>
  <c r="AF3934" i="2"/>
  <c r="AF3935" i="2"/>
  <c r="AF3936" i="2"/>
  <c r="AF3937" i="2"/>
  <c r="AF3938" i="2"/>
  <c r="AF3939" i="2"/>
  <c r="AF3940" i="2"/>
  <c r="AF3941" i="2"/>
  <c r="AF3942" i="2"/>
  <c r="AF3943" i="2"/>
  <c r="AF3944" i="2"/>
  <c r="AF3945" i="2"/>
  <c r="AF3946" i="2"/>
  <c r="AF3947" i="2"/>
  <c r="AF3948" i="2"/>
  <c r="AF3949" i="2"/>
  <c r="AF3950" i="2"/>
  <c r="AF3951" i="2"/>
  <c r="AF3952" i="2"/>
  <c r="AF3953" i="2"/>
  <c r="AF3954" i="2"/>
  <c r="AF3955" i="2"/>
  <c r="AF3956" i="2"/>
  <c r="AF3957" i="2"/>
  <c r="AF3958" i="2"/>
  <c r="AF3959" i="2"/>
  <c r="AF3960" i="2"/>
  <c r="AF3961" i="2"/>
  <c r="AF3962" i="2"/>
  <c r="AF3963" i="2"/>
  <c r="AF3964" i="2"/>
  <c r="AF3965" i="2"/>
  <c r="AF3966" i="2"/>
  <c r="AF3967" i="2"/>
  <c r="AF3968" i="2"/>
  <c r="AF3969" i="2"/>
  <c r="AF3970" i="2"/>
  <c r="AF3971" i="2"/>
  <c r="AF3972" i="2"/>
  <c r="AF3973" i="2"/>
  <c r="AF3974" i="2"/>
  <c r="AF3975" i="2"/>
  <c r="AF3976" i="2"/>
  <c r="AF3977" i="2"/>
  <c r="AF3978" i="2"/>
  <c r="AF3979" i="2"/>
  <c r="AF3980" i="2"/>
  <c r="AF3981" i="2"/>
  <c r="AF3982" i="2"/>
  <c r="AF3983" i="2"/>
  <c r="AF3984" i="2"/>
  <c r="AF3985" i="2"/>
  <c r="AF3986" i="2"/>
  <c r="AF3987" i="2"/>
  <c r="AF3988" i="2"/>
  <c r="AF3989" i="2"/>
  <c r="AF3990" i="2"/>
  <c r="AF3991" i="2"/>
  <c r="AF3992" i="2"/>
  <c r="AF3993" i="2"/>
  <c r="AF3994" i="2"/>
  <c r="AF3995" i="2"/>
  <c r="AF3996" i="2"/>
  <c r="AF3997" i="2"/>
  <c r="AF3998" i="2"/>
  <c r="AF3999" i="2"/>
  <c r="AF4000" i="2"/>
  <c r="AF4001" i="2"/>
  <c r="AF4002" i="2"/>
  <c r="AF4003" i="2"/>
  <c r="AF4004" i="2"/>
  <c r="AF4005" i="2"/>
  <c r="AF4006" i="2"/>
  <c r="AF4007" i="2"/>
  <c r="AF4008" i="2"/>
  <c r="AF4009" i="2"/>
  <c r="AF4010" i="2"/>
  <c r="AF4011" i="2"/>
  <c r="AF4012" i="2"/>
  <c r="AF4013" i="2"/>
  <c r="AF4014" i="2"/>
  <c r="AF4015" i="2"/>
  <c r="AF4016" i="2"/>
  <c r="AF4017" i="2"/>
  <c r="AF4018" i="2"/>
  <c r="AF4019" i="2"/>
  <c r="AF4020" i="2"/>
  <c r="AF4021" i="2"/>
  <c r="AF4022" i="2"/>
  <c r="AF4023" i="2"/>
  <c r="AF4024" i="2"/>
  <c r="AF4025" i="2"/>
  <c r="AF4026" i="2"/>
  <c r="AF4027" i="2"/>
  <c r="AF4028" i="2"/>
  <c r="AF4029" i="2"/>
  <c r="AF4030" i="2"/>
  <c r="AF4031" i="2"/>
  <c r="AF4032" i="2"/>
  <c r="AF4033" i="2"/>
  <c r="AF4034" i="2"/>
  <c r="AF4035" i="2"/>
  <c r="AF4036" i="2"/>
  <c r="AF4037" i="2"/>
  <c r="AF4038" i="2"/>
  <c r="AF4039" i="2"/>
  <c r="AF4040" i="2"/>
  <c r="AF4041" i="2"/>
  <c r="AF4042" i="2"/>
  <c r="AF4043" i="2"/>
  <c r="AF4044" i="2"/>
  <c r="AF4045" i="2"/>
  <c r="AF4046" i="2"/>
  <c r="AF4047" i="2"/>
  <c r="AF4048" i="2"/>
  <c r="AF4049" i="2"/>
  <c r="AF4050" i="2"/>
  <c r="AF4051" i="2"/>
  <c r="AF4052" i="2"/>
  <c r="AF4053" i="2"/>
  <c r="AF4054" i="2"/>
  <c r="AF4055" i="2"/>
  <c r="AF4056" i="2"/>
  <c r="AF4057" i="2"/>
  <c r="AF4058" i="2"/>
  <c r="AF4059" i="2"/>
  <c r="AF4060" i="2"/>
  <c r="AF4061" i="2"/>
  <c r="AF4062" i="2"/>
  <c r="AF4063" i="2"/>
  <c r="AF4064" i="2"/>
  <c r="AF4065" i="2"/>
  <c r="AF4066" i="2"/>
  <c r="AF4067" i="2"/>
  <c r="AF4068" i="2"/>
  <c r="AF4069" i="2"/>
  <c r="AF4070" i="2"/>
  <c r="AF4071" i="2"/>
  <c r="AF4072" i="2"/>
  <c r="AF4073" i="2"/>
  <c r="AF4074" i="2"/>
  <c r="AF4075" i="2"/>
  <c r="AF4076" i="2"/>
  <c r="AF4077" i="2"/>
  <c r="AF4078" i="2"/>
  <c r="AF4079" i="2"/>
  <c r="AF4080" i="2"/>
  <c r="AF4081" i="2"/>
  <c r="AF4082" i="2"/>
  <c r="AF4083" i="2"/>
  <c r="AF4084" i="2"/>
  <c r="AF4085" i="2"/>
  <c r="AF4086" i="2"/>
  <c r="AF4087" i="2"/>
  <c r="AF4088" i="2"/>
  <c r="AF4089" i="2"/>
  <c r="AF4090" i="2"/>
  <c r="AF4091" i="2"/>
  <c r="AF4092" i="2"/>
  <c r="AF4093" i="2"/>
  <c r="AF4094" i="2"/>
  <c r="AF4095" i="2"/>
  <c r="AF4096" i="2"/>
  <c r="AF4097" i="2"/>
  <c r="AF4098" i="2"/>
  <c r="AF4099" i="2"/>
  <c r="AF4100" i="2"/>
  <c r="AF4101" i="2"/>
  <c r="AF4102" i="2"/>
  <c r="AF4103" i="2"/>
  <c r="AF4104" i="2"/>
  <c r="AF4105" i="2"/>
  <c r="AF4106" i="2"/>
  <c r="AF4107" i="2"/>
  <c r="AF4108" i="2"/>
  <c r="AF4109" i="2"/>
  <c r="AF4110" i="2"/>
  <c r="AF4111" i="2"/>
  <c r="AF4112" i="2"/>
  <c r="AF4113" i="2"/>
  <c r="AF4114" i="2"/>
  <c r="AF4115" i="2"/>
  <c r="AF4116" i="2"/>
  <c r="AF4117" i="2"/>
  <c r="AF4118" i="2"/>
  <c r="AF4119" i="2"/>
  <c r="AF4120" i="2"/>
  <c r="AF4121" i="2"/>
  <c r="AF4122" i="2"/>
  <c r="AF4123" i="2"/>
  <c r="AF4124" i="2"/>
  <c r="AF4125" i="2"/>
  <c r="AF4126" i="2"/>
  <c r="AF4127" i="2"/>
  <c r="AF4128" i="2"/>
  <c r="AF4129" i="2"/>
  <c r="AF4130" i="2"/>
  <c r="AF4131" i="2"/>
  <c r="AF4132" i="2"/>
  <c r="AF4133" i="2"/>
  <c r="AF4134" i="2"/>
  <c r="AF4135" i="2"/>
  <c r="AF4136" i="2"/>
  <c r="AF4137" i="2"/>
  <c r="AF4138" i="2"/>
  <c r="AF4139" i="2"/>
  <c r="AF4140" i="2"/>
  <c r="AF4141" i="2"/>
  <c r="AF4142" i="2"/>
  <c r="AF4143" i="2"/>
  <c r="AF4144" i="2"/>
  <c r="AF4145" i="2"/>
  <c r="AF4146" i="2"/>
  <c r="AF4147" i="2"/>
  <c r="AF4148" i="2"/>
  <c r="AF4149" i="2"/>
  <c r="AF4150" i="2"/>
  <c r="AF4151" i="2"/>
  <c r="AF4152" i="2"/>
  <c r="AF4153" i="2"/>
  <c r="AF4154" i="2"/>
  <c r="AF4155" i="2"/>
  <c r="AF4156" i="2"/>
  <c r="AF4157" i="2"/>
  <c r="AF4158" i="2"/>
  <c r="AF4159" i="2"/>
  <c r="AF4160" i="2"/>
  <c r="AF4161" i="2"/>
  <c r="AF4162" i="2"/>
  <c r="AF4163" i="2"/>
  <c r="AF4164" i="2"/>
  <c r="AF4165" i="2"/>
  <c r="AF4166" i="2"/>
  <c r="AF4167" i="2"/>
  <c r="AF4168" i="2"/>
  <c r="AF4169" i="2"/>
  <c r="AF4170" i="2"/>
  <c r="AF4171" i="2"/>
  <c r="AF4172" i="2"/>
  <c r="AF4173" i="2"/>
  <c r="AF4174" i="2"/>
  <c r="AF4175" i="2"/>
  <c r="AF4176" i="2"/>
  <c r="AF4177" i="2"/>
  <c r="AF4178" i="2"/>
  <c r="AF4179" i="2"/>
  <c r="AF4180" i="2"/>
  <c r="AF4181" i="2"/>
  <c r="AF4182" i="2"/>
  <c r="AF4183" i="2"/>
  <c r="AF4184" i="2"/>
  <c r="AF4185" i="2"/>
  <c r="AF4186" i="2"/>
  <c r="AF4187" i="2"/>
  <c r="AF4188" i="2"/>
  <c r="AF4189" i="2"/>
  <c r="AF4190" i="2"/>
  <c r="AF4191" i="2"/>
  <c r="AF4192" i="2"/>
  <c r="AF4193" i="2"/>
  <c r="AF4194" i="2"/>
  <c r="AF4195" i="2"/>
  <c r="AF4196" i="2"/>
  <c r="AF4197" i="2"/>
  <c r="AF4198" i="2"/>
  <c r="AF4199" i="2"/>
  <c r="AF4200" i="2"/>
  <c r="AF4201" i="2"/>
  <c r="AF4202" i="2"/>
  <c r="AF4203" i="2"/>
  <c r="AF4204" i="2"/>
  <c r="AF4205" i="2"/>
  <c r="AF4206" i="2"/>
  <c r="AF4207" i="2"/>
  <c r="AF4208" i="2"/>
  <c r="AF4209" i="2"/>
  <c r="AF4210" i="2"/>
  <c r="AF4211" i="2"/>
  <c r="AF4212" i="2"/>
  <c r="AF4213" i="2"/>
  <c r="AF4214" i="2"/>
  <c r="AF4215" i="2"/>
  <c r="AF4216" i="2"/>
  <c r="AF4217" i="2"/>
  <c r="AF4218" i="2"/>
  <c r="AF4219" i="2"/>
  <c r="AF4220" i="2"/>
  <c r="AF4221" i="2"/>
  <c r="AF4222" i="2"/>
  <c r="AF4223" i="2"/>
  <c r="AF4224" i="2"/>
  <c r="AF4225" i="2"/>
  <c r="AF4226" i="2"/>
  <c r="AF4227" i="2"/>
  <c r="AF4228" i="2"/>
  <c r="AF4229" i="2"/>
  <c r="AF4230" i="2"/>
  <c r="AF4231" i="2"/>
  <c r="AF4232" i="2"/>
  <c r="AF4233" i="2"/>
  <c r="AF4234" i="2"/>
  <c r="AF4235" i="2"/>
  <c r="AF4236" i="2"/>
  <c r="AF4237" i="2"/>
  <c r="AF4238" i="2"/>
  <c r="AF4239" i="2"/>
  <c r="AF4240" i="2"/>
  <c r="AF4241" i="2"/>
  <c r="AF4242" i="2"/>
  <c r="AF4243" i="2"/>
  <c r="AF4244" i="2"/>
  <c r="AF4245" i="2"/>
  <c r="AF4246" i="2"/>
  <c r="AF4247" i="2"/>
  <c r="AF4248" i="2"/>
  <c r="AF4249" i="2"/>
  <c r="AF4250" i="2"/>
  <c r="AF4251" i="2"/>
  <c r="AF4252" i="2"/>
  <c r="AF4253" i="2"/>
  <c r="AF4254" i="2"/>
  <c r="AF4255" i="2"/>
  <c r="AF4256" i="2"/>
  <c r="AF4257" i="2"/>
  <c r="AF4258" i="2"/>
  <c r="AF4259" i="2"/>
  <c r="AF4260" i="2"/>
  <c r="AF4261" i="2"/>
  <c r="AF4262" i="2"/>
  <c r="AF4263" i="2"/>
  <c r="AF4264" i="2"/>
  <c r="AF4265" i="2"/>
  <c r="AF4266" i="2"/>
  <c r="AF4267" i="2"/>
  <c r="AF4268" i="2"/>
  <c r="AF4269" i="2"/>
  <c r="AF4270" i="2"/>
  <c r="AF4271" i="2"/>
  <c r="AF4272" i="2"/>
  <c r="AF4273" i="2"/>
  <c r="AF4274" i="2"/>
  <c r="AF4275" i="2"/>
  <c r="AF4276" i="2"/>
  <c r="AF4277" i="2"/>
  <c r="AF4278" i="2"/>
  <c r="AF4279" i="2"/>
  <c r="AF4280" i="2"/>
  <c r="AF4281" i="2"/>
  <c r="AF4282" i="2"/>
  <c r="AF4283" i="2"/>
  <c r="AF4284" i="2"/>
  <c r="AF4285" i="2"/>
  <c r="AF4286" i="2"/>
  <c r="AF4287" i="2"/>
  <c r="AF4288" i="2"/>
  <c r="AF4289" i="2"/>
  <c r="AF4290" i="2"/>
  <c r="AF4291" i="2"/>
  <c r="AF4292" i="2"/>
  <c r="AF4293" i="2"/>
  <c r="AF4294" i="2"/>
  <c r="AF4295" i="2"/>
  <c r="AF4296" i="2"/>
  <c r="AF4297" i="2"/>
  <c r="AF4298" i="2"/>
  <c r="AF4299" i="2"/>
  <c r="AF4300" i="2"/>
  <c r="AF4301" i="2"/>
  <c r="AF4302" i="2"/>
  <c r="AF4303" i="2"/>
  <c r="AF4304" i="2"/>
  <c r="AF4305" i="2"/>
  <c r="AF4306" i="2"/>
  <c r="AF4307" i="2"/>
  <c r="AF4308" i="2"/>
  <c r="AF4309" i="2"/>
  <c r="AF4310" i="2"/>
  <c r="AF4311" i="2"/>
  <c r="AF4312" i="2"/>
  <c r="AF4313" i="2"/>
  <c r="AF4314" i="2"/>
  <c r="AF4315" i="2"/>
  <c r="AF4316" i="2"/>
  <c r="AF4317" i="2"/>
  <c r="AF4318" i="2"/>
  <c r="AF4319" i="2"/>
  <c r="AF4320" i="2"/>
  <c r="AF4321" i="2"/>
  <c r="AF4322" i="2"/>
  <c r="AF4323" i="2"/>
  <c r="AF4324" i="2"/>
  <c r="AF4325" i="2"/>
  <c r="AF4326" i="2"/>
  <c r="AF4327" i="2"/>
  <c r="AF4328" i="2"/>
  <c r="AF4329" i="2"/>
  <c r="AF4330" i="2"/>
  <c r="AF4331" i="2"/>
  <c r="AF4332" i="2"/>
  <c r="AF4333" i="2"/>
  <c r="AF4334" i="2"/>
  <c r="AF4335" i="2"/>
  <c r="AF4336" i="2"/>
  <c r="AF4337" i="2"/>
  <c r="AF4338" i="2"/>
  <c r="AF4339" i="2"/>
  <c r="AF4340" i="2"/>
  <c r="AF4341" i="2"/>
  <c r="AF4342" i="2"/>
  <c r="AF4343" i="2"/>
  <c r="AF4344" i="2"/>
  <c r="AF4345" i="2"/>
  <c r="AF4346" i="2"/>
  <c r="AF4347" i="2"/>
  <c r="AF4348" i="2"/>
  <c r="AF4349" i="2"/>
  <c r="AF4350" i="2"/>
  <c r="AF4351" i="2"/>
  <c r="AF4352" i="2"/>
  <c r="AF4353" i="2"/>
  <c r="AF4354" i="2"/>
  <c r="AF4355" i="2"/>
  <c r="AF4356" i="2"/>
  <c r="AF4357" i="2"/>
  <c r="AF4358" i="2"/>
  <c r="AF4359" i="2"/>
  <c r="AF4360" i="2"/>
  <c r="AF4361" i="2"/>
  <c r="AF4362" i="2"/>
  <c r="AF4363" i="2"/>
  <c r="AF4364" i="2"/>
  <c r="AF4365" i="2"/>
  <c r="AF4366" i="2"/>
  <c r="AF4367" i="2"/>
  <c r="AF4368" i="2"/>
  <c r="AF4369" i="2"/>
  <c r="AF4370" i="2"/>
  <c r="AF4371" i="2"/>
  <c r="AF4372" i="2"/>
  <c r="AF4373" i="2"/>
  <c r="AF4374" i="2"/>
  <c r="AF4375" i="2"/>
  <c r="AF4376" i="2"/>
  <c r="AF4377" i="2"/>
  <c r="AF4378" i="2"/>
  <c r="AF4379" i="2"/>
  <c r="AF4380" i="2"/>
  <c r="AF4381" i="2"/>
  <c r="AF4382" i="2"/>
  <c r="AF4383" i="2"/>
  <c r="AF4384" i="2"/>
  <c r="AF4385" i="2"/>
  <c r="AF4386" i="2"/>
  <c r="AF4387" i="2"/>
  <c r="AF4388" i="2"/>
  <c r="AF4389" i="2"/>
  <c r="AF4390" i="2"/>
  <c r="AF4391" i="2"/>
  <c r="AF4392" i="2"/>
  <c r="AF4393" i="2"/>
  <c r="AF4394" i="2"/>
  <c r="AF4395" i="2"/>
  <c r="AF4396" i="2"/>
  <c r="AF4397" i="2"/>
  <c r="AF4398" i="2"/>
  <c r="AF4399" i="2"/>
  <c r="AF4400" i="2"/>
  <c r="AF4401" i="2"/>
  <c r="AF4402" i="2"/>
  <c r="AF4403" i="2"/>
  <c r="AF4404" i="2"/>
  <c r="AF4405" i="2"/>
  <c r="AF4406" i="2"/>
  <c r="AF4407" i="2"/>
  <c r="AF4408" i="2"/>
  <c r="AF4409" i="2"/>
  <c r="AF4410" i="2"/>
  <c r="AF4411" i="2"/>
  <c r="AF4412" i="2"/>
  <c r="AF4413" i="2"/>
  <c r="AF4414" i="2"/>
  <c r="AF4415" i="2"/>
  <c r="AF4416" i="2"/>
  <c r="AF4417" i="2"/>
  <c r="AF4418" i="2"/>
  <c r="AF4419" i="2"/>
  <c r="AF4420" i="2"/>
  <c r="AF4421" i="2"/>
  <c r="AF4422" i="2"/>
  <c r="AF4423" i="2"/>
  <c r="AF4424" i="2"/>
  <c r="AF4425" i="2"/>
  <c r="AF4426" i="2"/>
  <c r="AF4427" i="2"/>
  <c r="AF4428" i="2"/>
  <c r="AF4429" i="2"/>
  <c r="AF4430" i="2"/>
  <c r="AF4431" i="2"/>
  <c r="AF4432" i="2"/>
  <c r="AF4433" i="2"/>
  <c r="AF4434" i="2"/>
  <c r="AF4435" i="2"/>
  <c r="AF4436" i="2"/>
  <c r="AF4437" i="2"/>
  <c r="AF4438" i="2"/>
  <c r="AF4439" i="2"/>
  <c r="AF4440" i="2"/>
  <c r="AF4441" i="2"/>
  <c r="AF4442" i="2"/>
  <c r="AF4443" i="2"/>
  <c r="AF4444" i="2"/>
  <c r="AF4445" i="2"/>
  <c r="AF4446" i="2"/>
  <c r="AF4447" i="2"/>
  <c r="AF4448" i="2"/>
  <c r="AF4449" i="2"/>
  <c r="AF4450" i="2"/>
  <c r="AF4451" i="2"/>
  <c r="AF4452" i="2"/>
  <c r="AF4453" i="2"/>
  <c r="AF4454" i="2"/>
  <c r="AF4455" i="2"/>
  <c r="AF4456" i="2"/>
  <c r="AF4457" i="2"/>
  <c r="AF4458" i="2"/>
  <c r="AF4459" i="2"/>
  <c r="AF4460" i="2"/>
  <c r="AF4461" i="2"/>
  <c r="AF4462" i="2"/>
  <c r="AF4463" i="2"/>
  <c r="AF4464" i="2"/>
  <c r="AF4465" i="2"/>
  <c r="AF4466" i="2"/>
  <c r="AF4467" i="2"/>
  <c r="AF4468" i="2"/>
  <c r="AF4469" i="2"/>
  <c r="AF4470" i="2"/>
  <c r="AF4471" i="2"/>
  <c r="AF4472" i="2"/>
  <c r="AF4473" i="2"/>
  <c r="AF4474" i="2"/>
  <c r="AF4475" i="2"/>
  <c r="AF4476" i="2"/>
  <c r="AF4477" i="2"/>
  <c r="AF4478" i="2"/>
  <c r="AF4479" i="2"/>
  <c r="AF4480" i="2"/>
  <c r="AF4481" i="2"/>
  <c r="AF4482" i="2"/>
  <c r="AF4483" i="2"/>
  <c r="AF4484" i="2"/>
  <c r="AF4485" i="2"/>
  <c r="AF4486" i="2"/>
  <c r="AF4487" i="2"/>
  <c r="AF4488" i="2"/>
  <c r="AF4489" i="2"/>
  <c r="AF4490" i="2"/>
  <c r="AF4491" i="2"/>
  <c r="AF4492" i="2"/>
  <c r="AF4493" i="2"/>
  <c r="AF4494" i="2"/>
  <c r="AF4495" i="2"/>
  <c r="AF4496" i="2"/>
  <c r="AF4497" i="2"/>
  <c r="AF4498" i="2"/>
  <c r="AF4499" i="2"/>
  <c r="AF4500" i="2"/>
  <c r="AF4501" i="2"/>
  <c r="AF4502" i="2"/>
  <c r="AF4503" i="2"/>
  <c r="AF4504" i="2"/>
  <c r="AF4505" i="2"/>
  <c r="AF4506" i="2"/>
  <c r="AF4507" i="2"/>
  <c r="AF4508" i="2"/>
  <c r="AF4509" i="2"/>
  <c r="AF4510" i="2"/>
  <c r="AF4511" i="2"/>
  <c r="AF4512" i="2"/>
  <c r="AF4513" i="2"/>
  <c r="AF4514" i="2"/>
  <c r="AF4515" i="2"/>
  <c r="AF4516" i="2"/>
  <c r="AF4517" i="2"/>
  <c r="AF4518" i="2"/>
  <c r="AF4519" i="2"/>
  <c r="AF4520" i="2"/>
  <c r="AF4521" i="2"/>
  <c r="AF4522" i="2"/>
  <c r="AF4523" i="2"/>
  <c r="AF4524" i="2"/>
  <c r="AF4525" i="2"/>
  <c r="AF4526" i="2"/>
  <c r="AF4527" i="2"/>
  <c r="AF4528" i="2"/>
  <c r="AF4529" i="2"/>
  <c r="AF4530" i="2"/>
  <c r="AF4531" i="2"/>
  <c r="AF4532" i="2"/>
  <c r="AF4533" i="2"/>
  <c r="AF4534" i="2"/>
  <c r="AF4535" i="2"/>
  <c r="AF4536" i="2"/>
  <c r="AF4537" i="2"/>
  <c r="AF4538" i="2"/>
  <c r="AF4539" i="2"/>
  <c r="AF4540" i="2"/>
  <c r="AF4541" i="2"/>
  <c r="AF4542" i="2"/>
  <c r="AF4543" i="2"/>
  <c r="AF4544" i="2"/>
  <c r="AF4545" i="2"/>
  <c r="AF4546" i="2"/>
  <c r="AF4547" i="2"/>
  <c r="AF4548" i="2"/>
  <c r="AF4549" i="2"/>
  <c r="AF4550" i="2"/>
  <c r="AF4551" i="2"/>
  <c r="AF4552" i="2"/>
  <c r="AF4553" i="2"/>
  <c r="AF4554" i="2"/>
  <c r="AF4555" i="2"/>
  <c r="AF4556" i="2"/>
  <c r="AF4557" i="2"/>
  <c r="AF4558" i="2"/>
  <c r="AF4559" i="2"/>
  <c r="AF4560" i="2"/>
  <c r="AF4561" i="2"/>
  <c r="AF4562" i="2"/>
  <c r="AF4563" i="2"/>
  <c r="AF4564" i="2"/>
  <c r="AF4565" i="2"/>
  <c r="AF4566" i="2"/>
  <c r="AF4567" i="2"/>
  <c r="AF4568" i="2"/>
  <c r="AF4569" i="2"/>
  <c r="AF4570" i="2"/>
  <c r="AF4571" i="2"/>
  <c r="AF4572" i="2"/>
  <c r="AF4573" i="2"/>
  <c r="AF4574" i="2"/>
  <c r="AF4575" i="2"/>
  <c r="AF4576" i="2"/>
  <c r="AF4577" i="2"/>
  <c r="AF4578" i="2"/>
  <c r="AF4579" i="2"/>
  <c r="AF4580" i="2"/>
  <c r="AF4581" i="2"/>
  <c r="AF4582" i="2"/>
  <c r="AF4583" i="2"/>
  <c r="AF4584" i="2"/>
  <c r="AF4585" i="2"/>
  <c r="AF4586" i="2"/>
  <c r="AF4587" i="2"/>
  <c r="AF4588" i="2"/>
  <c r="AF4589" i="2"/>
  <c r="AF4590" i="2"/>
  <c r="AF4591" i="2"/>
  <c r="AF4592" i="2"/>
  <c r="AF4593" i="2"/>
  <c r="AF4594" i="2"/>
  <c r="AF4595" i="2"/>
  <c r="AF4596" i="2"/>
  <c r="AF4597" i="2"/>
  <c r="AF4598" i="2"/>
  <c r="AF4599" i="2"/>
  <c r="AF4600" i="2"/>
  <c r="AF4601" i="2"/>
  <c r="AF4602" i="2"/>
  <c r="AF4603" i="2"/>
  <c r="AF4604" i="2"/>
  <c r="AF4605" i="2"/>
  <c r="AF4606" i="2"/>
  <c r="AF4607" i="2"/>
  <c r="AF4608" i="2"/>
  <c r="AF4609" i="2"/>
  <c r="AF4610" i="2"/>
  <c r="AF4611" i="2"/>
  <c r="AF4612" i="2"/>
  <c r="AF4613" i="2"/>
  <c r="AF4614" i="2"/>
  <c r="AF4615" i="2"/>
  <c r="AF4616" i="2"/>
  <c r="AF4617" i="2"/>
  <c r="AF4618" i="2"/>
  <c r="AF4619" i="2"/>
  <c r="AF4620" i="2"/>
  <c r="AF4621" i="2"/>
  <c r="AF4622" i="2"/>
  <c r="AF4623" i="2"/>
  <c r="AF4624" i="2"/>
  <c r="AF4625" i="2"/>
  <c r="AF4626" i="2"/>
  <c r="AF4627" i="2"/>
  <c r="AF4628" i="2"/>
  <c r="AF4629" i="2"/>
  <c r="AF4630" i="2"/>
  <c r="AF4631" i="2"/>
  <c r="AF4632" i="2"/>
  <c r="AF4633" i="2"/>
  <c r="AF4634" i="2"/>
  <c r="AF4635" i="2"/>
  <c r="AF4636" i="2"/>
  <c r="AF4637" i="2"/>
  <c r="AF4638" i="2"/>
  <c r="AF4639" i="2"/>
  <c r="AF4640" i="2"/>
  <c r="AF4641" i="2"/>
  <c r="AF4642" i="2"/>
  <c r="AF4643" i="2"/>
  <c r="AF4644" i="2"/>
  <c r="AF4645" i="2"/>
  <c r="AF4646" i="2"/>
  <c r="AF4647" i="2"/>
  <c r="AF4648" i="2"/>
  <c r="AF4649" i="2"/>
  <c r="AF4650" i="2"/>
  <c r="AF4651" i="2"/>
  <c r="AF4652" i="2"/>
  <c r="AF4653" i="2"/>
  <c r="AF4654" i="2"/>
  <c r="AF4655" i="2"/>
  <c r="AF4656" i="2"/>
  <c r="AF4657" i="2"/>
  <c r="AF4658" i="2"/>
  <c r="AF4659" i="2"/>
  <c r="AF4660" i="2"/>
  <c r="AF4661" i="2"/>
  <c r="AF4662" i="2"/>
  <c r="AF4663" i="2"/>
  <c r="AF4664" i="2"/>
  <c r="AF4665" i="2"/>
  <c r="AF4666" i="2"/>
  <c r="AF4667" i="2"/>
  <c r="AF4668" i="2"/>
  <c r="AF4669" i="2"/>
  <c r="AF4670" i="2"/>
  <c r="AF4671" i="2"/>
  <c r="AF4672" i="2"/>
  <c r="AF4673" i="2"/>
  <c r="AF4674" i="2"/>
  <c r="AF4675" i="2"/>
  <c r="AF4676" i="2"/>
  <c r="AF4677" i="2"/>
  <c r="AF4678" i="2"/>
  <c r="AF4679" i="2"/>
  <c r="AF4680" i="2"/>
  <c r="AF4681" i="2"/>
  <c r="AF4682" i="2"/>
  <c r="AF4683" i="2"/>
  <c r="AF4684" i="2"/>
  <c r="AF4685" i="2"/>
  <c r="AF4686" i="2"/>
  <c r="AF4687" i="2"/>
  <c r="AF4688" i="2"/>
  <c r="AF4689" i="2"/>
  <c r="AF4690" i="2"/>
  <c r="AF4691" i="2"/>
  <c r="AF4692" i="2"/>
  <c r="AF4693" i="2"/>
  <c r="AF4694" i="2"/>
  <c r="AF4695" i="2"/>
  <c r="AF4696" i="2"/>
  <c r="AF4697" i="2"/>
  <c r="AF4698" i="2"/>
  <c r="AF4699" i="2"/>
  <c r="AF4700" i="2"/>
  <c r="AF4701" i="2"/>
  <c r="AF4702" i="2"/>
  <c r="AF4703" i="2"/>
  <c r="AF4704" i="2"/>
  <c r="AF4705" i="2"/>
  <c r="AF4706" i="2"/>
  <c r="AF4707" i="2"/>
  <c r="AF4708" i="2"/>
  <c r="AF4709" i="2"/>
  <c r="AF4710" i="2"/>
  <c r="AF4711" i="2"/>
  <c r="AF4712" i="2"/>
  <c r="AF4713" i="2"/>
  <c r="AF4714" i="2"/>
  <c r="AF4715" i="2"/>
  <c r="AF4716" i="2"/>
  <c r="AF4717" i="2"/>
  <c r="AF4718" i="2"/>
  <c r="AF4719" i="2"/>
  <c r="AF4720" i="2"/>
  <c r="AF4721" i="2"/>
  <c r="AF4722" i="2"/>
  <c r="AF4723" i="2"/>
  <c r="AF4724" i="2"/>
  <c r="AF4725" i="2"/>
  <c r="AF4726" i="2"/>
  <c r="AF4727" i="2"/>
  <c r="AF4728" i="2"/>
  <c r="AF4729" i="2"/>
  <c r="AF4730" i="2"/>
  <c r="AF4731" i="2"/>
  <c r="AF4732" i="2"/>
  <c r="AF4733" i="2"/>
  <c r="AF4734" i="2"/>
  <c r="AF4735" i="2"/>
  <c r="AF4736" i="2"/>
  <c r="AF4737" i="2"/>
  <c r="AF4738" i="2"/>
  <c r="AF4739" i="2"/>
  <c r="AF4740" i="2"/>
  <c r="AF4741" i="2"/>
  <c r="AF4742" i="2"/>
  <c r="AF4743" i="2"/>
  <c r="AF4744" i="2"/>
  <c r="AF4745" i="2"/>
  <c r="AF4746" i="2"/>
  <c r="AF4747" i="2"/>
  <c r="AF4748" i="2"/>
  <c r="AF4749" i="2"/>
  <c r="AF4750" i="2"/>
  <c r="AF4751" i="2"/>
  <c r="AF4752" i="2"/>
  <c r="AF4753" i="2"/>
  <c r="AF4754" i="2"/>
  <c r="AF4755" i="2"/>
  <c r="AF4756" i="2"/>
  <c r="AF4757" i="2"/>
  <c r="AF4758" i="2"/>
  <c r="AF4759" i="2"/>
  <c r="AF4760" i="2"/>
  <c r="AF4761" i="2"/>
  <c r="AF4762" i="2"/>
  <c r="AF4763" i="2"/>
  <c r="AF4764" i="2"/>
  <c r="AF4765" i="2"/>
  <c r="AF4766" i="2"/>
  <c r="AF4767" i="2"/>
  <c r="AF4768" i="2"/>
  <c r="AF4769" i="2"/>
  <c r="AF4770" i="2"/>
  <c r="AF4771" i="2"/>
  <c r="AF4772" i="2"/>
  <c r="AF4773" i="2"/>
  <c r="AF4774" i="2"/>
  <c r="AF4775" i="2"/>
  <c r="AF4776" i="2"/>
  <c r="AF4777" i="2"/>
  <c r="AF4778" i="2"/>
  <c r="AF4779" i="2"/>
  <c r="AF4780" i="2"/>
  <c r="AF4781" i="2"/>
  <c r="AF4782" i="2"/>
  <c r="AF4783" i="2"/>
  <c r="AF4784" i="2"/>
  <c r="AF4785" i="2"/>
  <c r="AF4786" i="2"/>
  <c r="AF4787" i="2"/>
  <c r="AF4788" i="2"/>
  <c r="AF4789" i="2"/>
  <c r="AF4790" i="2"/>
  <c r="AF4791" i="2"/>
  <c r="AF4792" i="2"/>
  <c r="AF4793" i="2"/>
  <c r="AF4794" i="2"/>
  <c r="AF4795" i="2"/>
  <c r="AF4796" i="2"/>
  <c r="AF4797" i="2"/>
  <c r="AF4798" i="2"/>
  <c r="AF4799" i="2"/>
  <c r="AF4800" i="2"/>
  <c r="AF4801" i="2"/>
  <c r="AF4802" i="2"/>
  <c r="AF4803" i="2"/>
  <c r="AF4804" i="2"/>
  <c r="AF4805" i="2"/>
  <c r="AF4806" i="2"/>
  <c r="AF4807" i="2"/>
  <c r="AF4808" i="2"/>
  <c r="AF4809" i="2"/>
  <c r="AF4810" i="2"/>
  <c r="AF4811" i="2"/>
  <c r="AF4812" i="2"/>
  <c r="AF4813" i="2"/>
  <c r="AF4814" i="2"/>
  <c r="AF4815" i="2"/>
  <c r="AF4816" i="2"/>
  <c r="AF4817" i="2"/>
  <c r="AF4818" i="2"/>
  <c r="AF4819" i="2"/>
  <c r="AF4820" i="2"/>
  <c r="AF4821" i="2"/>
  <c r="AF4822" i="2"/>
  <c r="AF4823" i="2"/>
  <c r="AF4824" i="2"/>
  <c r="AF4825" i="2"/>
  <c r="AF4826" i="2"/>
  <c r="AF4827" i="2"/>
  <c r="AF4828" i="2"/>
  <c r="AF4829" i="2"/>
  <c r="AF4830" i="2"/>
  <c r="AF4831" i="2"/>
  <c r="AF4832" i="2"/>
  <c r="AF4833" i="2"/>
  <c r="AF4834" i="2"/>
  <c r="AF4835" i="2"/>
  <c r="AF4836" i="2"/>
  <c r="AF4837" i="2"/>
  <c r="AF4838" i="2"/>
  <c r="AF4839" i="2"/>
  <c r="AF4840" i="2"/>
  <c r="AF4841" i="2"/>
  <c r="AF4842" i="2"/>
  <c r="AF4843" i="2"/>
  <c r="AF4844" i="2"/>
  <c r="AF4845" i="2"/>
  <c r="AF4846" i="2"/>
  <c r="AF4847" i="2"/>
  <c r="AF4848" i="2"/>
  <c r="AF4849" i="2"/>
  <c r="AF4850" i="2"/>
  <c r="AF4851" i="2"/>
  <c r="AF4852" i="2"/>
  <c r="AF4853" i="2"/>
  <c r="AF4854" i="2"/>
  <c r="AF4855" i="2"/>
  <c r="AF4856" i="2"/>
  <c r="AF4857" i="2"/>
  <c r="AF4858" i="2"/>
  <c r="AF4859" i="2"/>
  <c r="AF4860" i="2"/>
  <c r="AF4861" i="2"/>
  <c r="AF4862" i="2"/>
  <c r="AF4863" i="2"/>
  <c r="AF4864" i="2"/>
  <c r="AF4865" i="2"/>
  <c r="AF4866" i="2"/>
  <c r="AF4867" i="2"/>
  <c r="AF4868" i="2"/>
  <c r="AF4869" i="2"/>
  <c r="AF4870" i="2"/>
  <c r="AF4871" i="2"/>
  <c r="AF4872" i="2"/>
  <c r="AF4873" i="2"/>
  <c r="AF4874" i="2"/>
  <c r="AF4875" i="2"/>
  <c r="AF4876" i="2"/>
  <c r="AF4877" i="2"/>
  <c r="AF4878" i="2"/>
  <c r="AF4879" i="2"/>
  <c r="AF4880" i="2"/>
  <c r="AF4881" i="2"/>
  <c r="AF4882" i="2"/>
  <c r="AF4883" i="2"/>
  <c r="AF4884" i="2"/>
  <c r="AF4885" i="2"/>
  <c r="AF4886" i="2"/>
  <c r="AF4887" i="2"/>
  <c r="AF4888" i="2"/>
  <c r="AF4889" i="2"/>
  <c r="AF4890" i="2"/>
  <c r="AF4891" i="2"/>
  <c r="AF4892" i="2"/>
  <c r="AF4893" i="2"/>
  <c r="AF4894" i="2"/>
  <c r="AF4895" i="2"/>
  <c r="AF4896" i="2"/>
  <c r="AF4897" i="2"/>
  <c r="AF4898" i="2"/>
  <c r="AF4899" i="2"/>
  <c r="AF4900" i="2"/>
  <c r="AF4901" i="2"/>
  <c r="AF4902" i="2"/>
  <c r="AF4903" i="2"/>
  <c r="AF4904" i="2"/>
  <c r="AF4905" i="2"/>
  <c r="AF4906" i="2"/>
  <c r="AF4907" i="2"/>
  <c r="AF4908" i="2"/>
  <c r="AF4909" i="2"/>
  <c r="AF4910" i="2"/>
  <c r="AF4911" i="2"/>
  <c r="AF4912" i="2"/>
  <c r="AF4913" i="2"/>
  <c r="AF4914" i="2"/>
  <c r="AF4915" i="2"/>
  <c r="AF4916" i="2"/>
  <c r="AF4917" i="2"/>
  <c r="AF4918" i="2"/>
  <c r="AF4919" i="2"/>
  <c r="AF4920" i="2"/>
  <c r="AF4921" i="2"/>
  <c r="AF4922" i="2"/>
  <c r="AF4923" i="2"/>
  <c r="AF4924" i="2"/>
  <c r="AF4925" i="2"/>
  <c r="AF4926" i="2"/>
  <c r="AF4927" i="2"/>
  <c r="AF4928" i="2"/>
  <c r="AF4929" i="2"/>
  <c r="AF4930" i="2"/>
  <c r="AF4931" i="2"/>
  <c r="AF4932" i="2"/>
  <c r="AF4933" i="2"/>
  <c r="AF4934" i="2"/>
  <c r="AF4935" i="2"/>
  <c r="AF4936" i="2"/>
  <c r="AF4937" i="2"/>
  <c r="AF4938" i="2"/>
  <c r="AF4939" i="2"/>
  <c r="AF4940" i="2"/>
  <c r="AF4941" i="2"/>
  <c r="AF4942" i="2"/>
  <c r="AF4943" i="2"/>
  <c r="AF4944" i="2"/>
  <c r="AF4945" i="2"/>
  <c r="AF4946" i="2"/>
  <c r="AF4947" i="2"/>
  <c r="AF4948" i="2"/>
  <c r="AF4949" i="2"/>
  <c r="AF4950" i="2"/>
  <c r="AF4951" i="2"/>
  <c r="AF4952" i="2"/>
  <c r="AF4953" i="2"/>
  <c r="AF4954" i="2"/>
  <c r="AF4955" i="2"/>
  <c r="AF4956" i="2"/>
  <c r="AF4957" i="2"/>
  <c r="AF4958" i="2"/>
  <c r="AF4959" i="2"/>
  <c r="AF4960" i="2"/>
  <c r="AF4961" i="2"/>
  <c r="AF4962" i="2"/>
  <c r="AF4963" i="2"/>
  <c r="AF4964" i="2"/>
  <c r="AF4965" i="2"/>
  <c r="AF4966" i="2"/>
  <c r="AF4967" i="2"/>
  <c r="AF4968" i="2"/>
  <c r="AF4969" i="2"/>
  <c r="AF4970" i="2"/>
  <c r="AF4971" i="2"/>
  <c r="AF4972" i="2"/>
  <c r="AF4973" i="2"/>
  <c r="AF4974" i="2"/>
  <c r="AF4975" i="2"/>
  <c r="AF4976" i="2"/>
  <c r="AF4977" i="2"/>
  <c r="AF4978" i="2"/>
  <c r="AF4979" i="2"/>
  <c r="AF4980" i="2"/>
  <c r="AF4981" i="2"/>
  <c r="AF4982" i="2"/>
  <c r="AF4983" i="2"/>
  <c r="AF4984" i="2"/>
  <c r="AF4985" i="2"/>
  <c r="AF4986" i="2"/>
  <c r="AF4987" i="2"/>
  <c r="AF4988" i="2"/>
  <c r="AF4989" i="2"/>
  <c r="AF4990" i="2"/>
  <c r="AF4991" i="2"/>
  <c r="AF4992" i="2"/>
  <c r="AF4993" i="2"/>
  <c r="AF4994" i="2"/>
  <c r="AF4995" i="2"/>
  <c r="AF4996" i="2"/>
  <c r="AF4997" i="2"/>
  <c r="AF4998" i="2"/>
  <c r="AF4999" i="2"/>
  <c r="AF5000" i="2"/>
  <c r="AF5001" i="2"/>
  <c r="AF5002" i="2"/>
  <c r="AF5003" i="2"/>
  <c r="AF5004" i="2"/>
  <c r="AF5005" i="2"/>
  <c r="AF5006" i="2"/>
  <c r="AF5007" i="2"/>
  <c r="AF5008" i="2"/>
  <c r="AF5009" i="2"/>
  <c r="AF5010" i="2"/>
  <c r="AF5011" i="2"/>
  <c r="AF5012" i="2"/>
  <c r="AF5013" i="2"/>
  <c r="AF5014" i="2"/>
  <c r="AF5015" i="2"/>
  <c r="AF5016" i="2"/>
  <c r="AF5017" i="2"/>
  <c r="AF5018" i="2"/>
  <c r="AF5019" i="2"/>
  <c r="AF5020" i="2"/>
  <c r="AF5021" i="2"/>
  <c r="AF5022" i="2"/>
  <c r="AF5023" i="2"/>
  <c r="AF5024" i="2"/>
  <c r="AF5025" i="2"/>
  <c r="AF5026" i="2"/>
  <c r="AF5027" i="2"/>
  <c r="AF5028" i="2"/>
  <c r="AF5029" i="2"/>
  <c r="AF5030" i="2"/>
  <c r="AF5031" i="2"/>
  <c r="AF5032" i="2"/>
  <c r="AF5033" i="2"/>
  <c r="AF5034" i="2"/>
  <c r="AF5035" i="2"/>
  <c r="AF5036" i="2"/>
  <c r="AF5037" i="2"/>
  <c r="AF5038" i="2"/>
  <c r="AF5039" i="2"/>
  <c r="AF5040" i="2"/>
  <c r="AF5041" i="2"/>
  <c r="AF5042" i="2"/>
  <c r="AF5043" i="2"/>
  <c r="AF5044" i="2"/>
  <c r="AF5045" i="2"/>
  <c r="AF5046" i="2"/>
  <c r="AF5047" i="2"/>
  <c r="AF5048" i="2"/>
  <c r="AF5049" i="2"/>
  <c r="AF5050" i="2"/>
  <c r="AF5051" i="2"/>
  <c r="AF5052" i="2"/>
  <c r="AF5053" i="2"/>
  <c r="AF5054" i="2"/>
  <c r="AF5055" i="2"/>
  <c r="AF5056" i="2"/>
  <c r="AF5057" i="2"/>
  <c r="AF5058" i="2"/>
  <c r="AF5059" i="2"/>
  <c r="AF5060" i="2"/>
  <c r="AF5061" i="2"/>
  <c r="AF5062" i="2"/>
  <c r="AF5063" i="2"/>
  <c r="AF5064" i="2"/>
  <c r="AF5065" i="2"/>
  <c r="AF5066" i="2"/>
  <c r="AF5067" i="2"/>
  <c r="AF5068" i="2"/>
  <c r="AF5069" i="2"/>
  <c r="AF5070" i="2"/>
  <c r="AF5071" i="2"/>
  <c r="AF5072" i="2"/>
  <c r="AF5073" i="2"/>
  <c r="AF5074" i="2"/>
  <c r="AF5075" i="2"/>
  <c r="AF5076" i="2"/>
  <c r="AF5077" i="2"/>
  <c r="AF5078" i="2"/>
  <c r="AF5079" i="2"/>
  <c r="AF5080" i="2"/>
  <c r="AF5081" i="2"/>
  <c r="AF5082" i="2"/>
  <c r="AF5083" i="2"/>
  <c r="AF5084" i="2"/>
  <c r="AF5085" i="2"/>
  <c r="AF5086" i="2"/>
  <c r="AF5087" i="2"/>
  <c r="AF5088" i="2"/>
  <c r="AF5089" i="2"/>
  <c r="AF5090" i="2"/>
  <c r="AF5091" i="2"/>
  <c r="AF5092" i="2"/>
  <c r="AF5093" i="2"/>
  <c r="AF5094" i="2"/>
  <c r="AF5095" i="2"/>
  <c r="AF5096" i="2"/>
  <c r="AF5097" i="2"/>
  <c r="AF5098" i="2"/>
  <c r="AF5099" i="2"/>
  <c r="AF5100" i="2"/>
  <c r="AF5101" i="2"/>
  <c r="AF5102" i="2"/>
  <c r="AF5103" i="2"/>
  <c r="AF5104" i="2"/>
  <c r="AF5105" i="2"/>
  <c r="AF5106" i="2"/>
  <c r="AF5107" i="2"/>
  <c r="AF5108" i="2"/>
  <c r="AF5109" i="2"/>
  <c r="AF5110" i="2"/>
  <c r="AF5111" i="2"/>
  <c r="AF5112" i="2"/>
  <c r="AF5113" i="2"/>
  <c r="AF5114" i="2"/>
  <c r="AF5115" i="2"/>
  <c r="AF5116" i="2"/>
  <c r="AF5117" i="2"/>
  <c r="AF5118" i="2"/>
  <c r="AF5119" i="2"/>
  <c r="AF5120" i="2"/>
  <c r="AF5121" i="2"/>
  <c r="AF5122" i="2"/>
  <c r="AF5123" i="2"/>
  <c r="AF5124" i="2"/>
  <c r="AF5125" i="2"/>
  <c r="AF5126" i="2"/>
  <c r="AF5127" i="2"/>
  <c r="AF5128" i="2"/>
  <c r="AF5129" i="2"/>
  <c r="AF5130" i="2"/>
  <c r="AF5131" i="2"/>
  <c r="AF5132" i="2"/>
  <c r="AF5133" i="2"/>
  <c r="AF5134" i="2"/>
  <c r="AF5135" i="2"/>
  <c r="AF5136" i="2"/>
  <c r="AF5137" i="2"/>
  <c r="AF5138" i="2"/>
  <c r="AF5139" i="2"/>
  <c r="AF5140" i="2"/>
  <c r="AF5141" i="2"/>
  <c r="AF5142" i="2"/>
  <c r="AF5143" i="2"/>
  <c r="AF5144" i="2"/>
  <c r="AF5145" i="2"/>
  <c r="AF5146" i="2"/>
  <c r="AF5147" i="2"/>
  <c r="AF5148" i="2"/>
  <c r="AF5149" i="2"/>
  <c r="AF5150" i="2"/>
  <c r="AF5151" i="2"/>
  <c r="AF5152" i="2"/>
  <c r="AF5153" i="2"/>
  <c r="AF5154" i="2"/>
  <c r="AF5155" i="2"/>
  <c r="AF5156" i="2"/>
  <c r="AF5157" i="2"/>
  <c r="AF5158" i="2"/>
  <c r="AF5159" i="2"/>
  <c r="AF5160" i="2"/>
  <c r="AF5161" i="2"/>
  <c r="AF5162" i="2"/>
  <c r="AF5163" i="2"/>
  <c r="AF5164" i="2"/>
  <c r="AF5165" i="2"/>
  <c r="AF5166" i="2"/>
  <c r="AF5167" i="2"/>
  <c r="AF5168" i="2"/>
  <c r="AF5169" i="2"/>
  <c r="AF5170" i="2"/>
  <c r="AF5171" i="2"/>
  <c r="AF5172" i="2"/>
  <c r="AF5173" i="2"/>
  <c r="AF5174" i="2"/>
  <c r="AF5175" i="2"/>
  <c r="AF5176" i="2"/>
  <c r="AF5177" i="2"/>
  <c r="AF5178" i="2"/>
  <c r="AF5179" i="2"/>
  <c r="AF5180" i="2"/>
  <c r="AF5181" i="2"/>
  <c r="AF5182" i="2"/>
  <c r="AF5183" i="2"/>
  <c r="AF5184" i="2"/>
  <c r="AF5185" i="2"/>
  <c r="AF5186" i="2"/>
  <c r="AF5187" i="2"/>
  <c r="AF5188" i="2"/>
  <c r="AF5189" i="2"/>
  <c r="AF5190" i="2"/>
  <c r="AF5191" i="2"/>
  <c r="AF5192" i="2"/>
  <c r="AF5193" i="2"/>
  <c r="AF5194" i="2"/>
  <c r="AF5195" i="2"/>
  <c r="AF5196" i="2"/>
  <c r="AF5197" i="2"/>
  <c r="AF5198" i="2"/>
  <c r="AF5199" i="2"/>
  <c r="AF5200" i="2"/>
  <c r="AF5201" i="2"/>
  <c r="AF5202" i="2"/>
  <c r="AF5203" i="2"/>
  <c r="AF5204" i="2"/>
  <c r="AF5205" i="2"/>
  <c r="AF5206" i="2"/>
  <c r="AF5207" i="2"/>
  <c r="AF5208" i="2"/>
  <c r="AF5209" i="2"/>
  <c r="AF5210" i="2"/>
  <c r="AF5211" i="2"/>
  <c r="AF5212" i="2"/>
  <c r="AF5213" i="2"/>
  <c r="AF5214" i="2"/>
  <c r="AF5215" i="2"/>
  <c r="AF5216" i="2"/>
  <c r="AF5217" i="2"/>
  <c r="AF5218" i="2"/>
  <c r="AF5219" i="2"/>
  <c r="AF5220" i="2"/>
  <c r="AF5221" i="2"/>
  <c r="AF5222" i="2"/>
  <c r="AF5223" i="2"/>
  <c r="AF5224" i="2"/>
  <c r="AF5225" i="2"/>
  <c r="AF5226" i="2"/>
  <c r="AF5227" i="2"/>
  <c r="AF5228" i="2"/>
  <c r="AF5229" i="2"/>
  <c r="AF5230" i="2"/>
  <c r="AF5231" i="2"/>
  <c r="AF5232" i="2"/>
  <c r="AF5233" i="2"/>
  <c r="AF5234" i="2"/>
  <c r="AF5235" i="2"/>
  <c r="AF5236" i="2"/>
  <c r="AF5237" i="2"/>
  <c r="AF5238" i="2"/>
  <c r="AF5239" i="2"/>
  <c r="AF5240" i="2"/>
  <c r="AF5241" i="2"/>
  <c r="AF5242" i="2"/>
  <c r="AF5243" i="2"/>
  <c r="AF5244" i="2"/>
  <c r="AF5245" i="2"/>
  <c r="AF5246" i="2"/>
  <c r="AF5247" i="2"/>
  <c r="AF5248" i="2"/>
  <c r="AF5249" i="2"/>
  <c r="AF5250" i="2"/>
  <c r="AF5251" i="2"/>
  <c r="AF5252" i="2"/>
  <c r="AF5253" i="2"/>
  <c r="AF5254" i="2"/>
  <c r="AF5255" i="2"/>
  <c r="AF5256" i="2"/>
  <c r="AF5257" i="2"/>
  <c r="AF5258" i="2"/>
  <c r="AF5259" i="2"/>
  <c r="AF5260" i="2"/>
  <c r="AF5261" i="2"/>
  <c r="AF5262" i="2"/>
  <c r="AF5263" i="2"/>
  <c r="AF5264" i="2"/>
  <c r="AF5265" i="2"/>
  <c r="AF5266" i="2"/>
  <c r="AF5267" i="2"/>
  <c r="AF5268" i="2"/>
  <c r="AF5269" i="2"/>
  <c r="AF5270" i="2"/>
  <c r="AF5271" i="2"/>
  <c r="AF5272" i="2"/>
  <c r="AF5273" i="2"/>
  <c r="AF5274" i="2"/>
  <c r="AF5275" i="2"/>
  <c r="AF5276" i="2"/>
  <c r="AF5277" i="2"/>
  <c r="AF5278" i="2"/>
  <c r="AF5279" i="2"/>
  <c r="AF5280" i="2"/>
  <c r="AF5281" i="2"/>
  <c r="AF5282" i="2"/>
  <c r="AF5283" i="2"/>
  <c r="AF5284" i="2"/>
  <c r="AF5285" i="2"/>
  <c r="AF5286" i="2"/>
  <c r="AF5287" i="2"/>
  <c r="AF5288" i="2"/>
  <c r="AF5289" i="2"/>
  <c r="AF5290" i="2"/>
  <c r="AF5291" i="2"/>
  <c r="AF5292" i="2"/>
  <c r="AF5293" i="2"/>
  <c r="AF5294" i="2"/>
  <c r="AF5295" i="2"/>
  <c r="AF5296" i="2"/>
  <c r="AF5297" i="2"/>
  <c r="AF5298" i="2"/>
  <c r="AF5299" i="2"/>
  <c r="AF5300" i="2"/>
  <c r="AF5301" i="2"/>
  <c r="AF5302" i="2"/>
  <c r="AF5303" i="2"/>
  <c r="AF5304" i="2"/>
  <c r="AF5305" i="2"/>
  <c r="AF5306" i="2"/>
  <c r="AF5307" i="2"/>
  <c r="AF5308" i="2"/>
  <c r="AF5309" i="2"/>
  <c r="AF5310" i="2"/>
  <c r="AF5311" i="2"/>
  <c r="AF5312" i="2"/>
  <c r="AF5313" i="2"/>
  <c r="AF5314" i="2"/>
  <c r="AF5315" i="2"/>
  <c r="AF5316" i="2"/>
  <c r="AF5317" i="2"/>
  <c r="AF5318" i="2"/>
  <c r="AF5319" i="2"/>
  <c r="AF5320" i="2"/>
  <c r="AF5321" i="2"/>
  <c r="AF5322" i="2"/>
  <c r="AF5323" i="2"/>
  <c r="AF5324" i="2"/>
  <c r="AF5325" i="2"/>
  <c r="AF5326" i="2"/>
  <c r="AF5327" i="2"/>
  <c r="AF5328" i="2"/>
  <c r="AF5329" i="2"/>
  <c r="AF5330" i="2"/>
  <c r="AF5331" i="2"/>
  <c r="AF5332" i="2"/>
  <c r="AF5333" i="2"/>
  <c r="AF5334" i="2"/>
  <c r="AF5335" i="2"/>
  <c r="AF5336" i="2"/>
  <c r="AF5337" i="2"/>
  <c r="AF5338" i="2"/>
  <c r="AF5339" i="2"/>
  <c r="AF5340" i="2"/>
  <c r="AF5341" i="2"/>
  <c r="AF5342" i="2"/>
  <c r="AF5343" i="2"/>
  <c r="AF5344" i="2"/>
  <c r="AF5345" i="2"/>
  <c r="AF5346" i="2"/>
  <c r="AF5347" i="2"/>
  <c r="AF5348" i="2"/>
  <c r="AF5349" i="2"/>
  <c r="AF5350" i="2"/>
  <c r="AF5351" i="2"/>
  <c r="AF5352" i="2"/>
  <c r="AF5353" i="2"/>
  <c r="AF5354" i="2"/>
  <c r="AF5355" i="2"/>
  <c r="AF5356" i="2"/>
  <c r="AF5357" i="2"/>
  <c r="AF5358" i="2"/>
  <c r="AF5359" i="2"/>
  <c r="AF5360" i="2"/>
  <c r="AF5361" i="2"/>
  <c r="AF5362" i="2"/>
  <c r="AF5363" i="2"/>
  <c r="AF5364" i="2"/>
  <c r="AF5365" i="2"/>
  <c r="AF5366" i="2"/>
  <c r="AF5367" i="2"/>
  <c r="AF5368" i="2"/>
  <c r="AF5369" i="2"/>
  <c r="AF5370" i="2"/>
  <c r="AF5371" i="2"/>
  <c r="AF5372" i="2"/>
  <c r="AF5373" i="2"/>
  <c r="AF5374" i="2"/>
  <c r="AF5375" i="2"/>
  <c r="AF5376" i="2"/>
  <c r="AF5377" i="2"/>
  <c r="AF5378" i="2"/>
  <c r="AF5379" i="2"/>
  <c r="AF5380" i="2"/>
  <c r="AF5381" i="2"/>
  <c r="AF5382" i="2"/>
  <c r="AF5383" i="2"/>
  <c r="AF5384" i="2"/>
  <c r="AF5385" i="2"/>
  <c r="AF5386" i="2"/>
  <c r="AF5387" i="2"/>
  <c r="AF5388" i="2"/>
  <c r="AF5389" i="2"/>
  <c r="AF5390" i="2"/>
  <c r="AF5391" i="2"/>
  <c r="AF5392" i="2"/>
  <c r="AF5393" i="2"/>
  <c r="AF5394" i="2"/>
  <c r="AF5395" i="2"/>
  <c r="AF5396" i="2"/>
  <c r="AF5397" i="2"/>
  <c r="AF5398" i="2"/>
  <c r="AF5399" i="2"/>
  <c r="AF5400" i="2"/>
  <c r="AF5401" i="2"/>
  <c r="AF5402" i="2"/>
  <c r="AF5403" i="2"/>
  <c r="AF5404" i="2"/>
  <c r="AF5405" i="2"/>
  <c r="AF5406" i="2"/>
  <c r="AF5407" i="2"/>
  <c r="AF5408" i="2"/>
  <c r="AF5409" i="2"/>
  <c r="AF5410" i="2"/>
  <c r="AF5411" i="2"/>
  <c r="AF5412" i="2"/>
  <c r="AF5413" i="2"/>
  <c r="AF5414" i="2"/>
  <c r="AF5415" i="2"/>
  <c r="AF5416" i="2"/>
  <c r="AF5417" i="2"/>
  <c r="AF5418" i="2"/>
  <c r="AF5419" i="2"/>
  <c r="AF5420" i="2"/>
  <c r="AF5421" i="2"/>
  <c r="AF5422" i="2"/>
  <c r="AF5423" i="2"/>
  <c r="AF5424" i="2"/>
  <c r="AF5425" i="2"/>
  <c r="AF5426" i="2"/>
  <c r="AF5427" i="2"/>
  <c r="AF5428" i="2"/>
  <c r="AF5429" i="2"/>
  <c r="AF5430" i="2"/>
  <c r="AF5431" i="2"/>
  <c r="AF5432" i="2"/>
  <c r="AF5433" i="2"/>
  <c r="AF5434" i="2"/>
  <c r="AF5435" i="2"/>
  <c r="AF5436" i="2"/>
  <c r="AF5437" i="2"/>
  <c r="AF5438" i="2"/>
  <c r="AF5439" i="2"/>
  <c r="AF5440" i="2"/>
  <c r="AF5441" i="2"/>
  <c r="AF5442" i="2"/>
  <c r="AF5443" i="2"/>
  <c r="AF5444" i="2"/>
  <c r="AF5445" i="2"/>
  <c r="AF5446" i="2"/>
  <c r="AF5447" i="2"/>
  <c r="AF5448" i="2"/>
  <c r="AF5449" i="2"/>
  <c r="AF5450" i="2"/>
  <c r="AF5451" i="2"/>
  <c r="AF5452" i="2"/>
  <c r="AF5453" i="2"/>
  <c r="AF5454" i="2"/>
  <c r="AF5455" i="2"/>
  <c r="AF5456" i="2"/>
  <c r="AF5457" i="2"/>
  <c r="AF5458" i="2"/>
  <c r="AF5459" i="2"/>
  <c r="AF5460" i="2"/>
  <c r="AF5461" i="2"/>
  <c r="AF5462" i="2"/>
  <c r="AF5463" i="2"/>
  <c r="AF5464" i="2"/>
  <c r="AF5465" i="2"/>
  <c r="AF5466" i="2"/>
  <c r="AF5467" i="2"/>
  <c r="AF5468" i="2"/>
  <c r="AF5469" i="2"/>
  <c r="AF5470" i="2"/>
  <c r="AF5471" i="2"/>
  <c r="AF5472" i="2"/>
  <c r="AF5473" i="2"/>
  <c r="AF5474" i="2"/>
  <c r="AF5475" i="2"/>
  <c r="AF5476" i="2"/>
  <c r="AF5477" i="2"/>
  <c r="AF5478" i="2"/>
  <c r="AF5479" i="2"/>
  <c r="AF5480" i="2"/>
  <c r="AF5481" i="2"/>
  <c r="AF5482" i="2"/>
  <c r="AF5483" i="2"/>
  <c r="AF5484" i="2"/>
  <c r="AF5485" i="2"/>
  <c r="AF5486" i="2"/>
  <c r="AF5487" i="2"/>
  <c r="AF5488" i="2"/>
  <c r="AF5489" i="2"/>
  <c r="AF5490" i="2"/>
  <c r="AF5491" i="2"/>
  <c r="AF5492" i="2"/>
  <c r="AF5493" i="2"/>
  <c r="AF5494" i="2"/>
  <c r="AF5495" i="2"/>
  <c r="AF5496" i="2"/>
  <c r="AF5497" i="2"/>
  <c r="AF5498" i="2"/>
  <c r="AF5499" i="2"/>
  <c r="AF5500" i="2"/>
  <c r="AF5501" i="2"/>
  <c r="AF5502" i="2"/>
  <c r="AF5503" i="2"/>
  <c r="AF5504" i="2"/>
  <c r="AF5505" i="2"/>
  <c r="AF5506" i="2"/>
  <c r="AF5507" i="2"/>
  <c r="AF5508" i="2"/>
  <c r="AF5509" i="2"/>
  <c r="AF5510" i="2"/>
  <c r="AF5511" i="2"/>
  <c r="AF5512" i="2"/>
  <c r="AF5513" i="2"/>
  <c r="AF5514" i="2"/>
  <c r="AF5515" i="2"/>
  <c r="AF5516" i="2"/>
  <c r="AF5517" i="2"/>
  <c r="AF5518" i="2"/>
  <c r="AF5519" i="2"/>
  <c r="AF5520" i="2"/>
  <c r="AF5521" i="2"/>
  <c r="AF5522" i="2"/>
  <c r="AF5523" i="2"/>
  <c r="AF5524" i="2"/>
  <c r="AF5525" i="2"/>
  <c r="AF5526" i="2"/>
  <c r="AF5527" i="2"/>
  <c r="AF5528" i="2"/>
  <c r="AF5529" i="2"/>
  <c r="AF5530" i="2"/>
  <c r="AF5531" i="2"/>
  <c r="AF5532" i="2"/>
  <c r="AF5533" i="2"/>
  <c r="AF5534" i="2"/>
  <c r="AF5535" i="2"/>
  <c r="AF5536" i="2"/>
  <c r="AF5537" i="2"/>
  <c r="AF5538" i="2"/>
  <c r="AF5539" i="2"/>
  <c r="AF5540" i="2"/>
  <c r="AF5541" i="2"/>
  <c r="AF5542" i="2"/>
  <c r="AF5543" i="2"/>
  <c r="AF5544" i="2"/>
  <c r="AF5545" i="2"/>
  <c r="AF5546" i="2"/>
  <c r="AF5547" i="2"/>
  <c r="AF5548" i="2"/>
  <c r="AF5549" i="2"/>
  <c r="AF5550" i="2"/>
  <c r="AF5551" i="2"/>
  <c r="AF5552" i="2"/>
  <c r="AF5553" i="2"/>
  <c r="AF5554" i="2"/>
  <c r="AF5555" i="2"/>
  <c r="AF5556" i="2"/>
  <c r="AF5557" i="2"/>
  <c r="AF5558" i="2"/>
  <c r="AF5559" i="2"/>
  <c r="AF5560" i="2"/>
  <c r="AF5561" i="2"/>
  <c r="AF5562" i="2"/>
  <c r="AF5563" i="2"/>
  <c r="AF5564" i="2"/>
  <c r="AF5565" i="2"/>
  <c r="AF5566" i="2"/>
  <c r="AF5567" i="2"/>
  <c r="AF5568" i="2"/>
  <c r="AF5569" i="2"/>
  <c r="AF5570" i="2"/>
  <c r="AF5571" i="2"/>
  <c r="AF5572" i="2"/>
  <c r="AF5573" i="2"/>
  <c r="AF5574" i="2"/>
  <c r="AF5575" i="2"/>
  <c r="AF5576" i="2"/>
  <c r="AF5577" i="2"/>
  <c r="AF5578" i="2"/>
  <c r="AF5579" i="2"/>
  <c r="AF5580" i="2"/>
  <c r="AF5581" i="2"/>
  <c r="AF5582" i="2"/>
  <c r="AF5583" i="2"/>
  <c r="AF5584" i="2"/>
  <c r="AF5585" i="2"/>
  <c r="AF5586" i="2"/>
  <c r="AF5587" i="2"/>
  <c r="AF5588" i="2"/>
  <c r="AF5589" i="2"/>
  <c r="AF5590" i="2"/>
  <c r="AF5591" i="2"/>
  <c r="AF5592" i="2"/>
  <c r="AF5593" i="2"/>
  <c r="AF5594" i="2"/>
  <c r="AF5595" i="2"/>
  <c r="AF5596" i="2"/>
  <c r="AF5597" i="2"/>
  <c r="AF5598" i="2"/>
  <c r="AF5599" i="2"/>
  <c r="AF5600" i="2"/>
  <c r="AF5601" i="2"/>
  <c r="AF5602" i="2"/>
  <c r="AF5603" i="2"/>
  <c r="AF5604" i="2"/>
  <c r="AF5605" i="2"/>
  <c r="AF5606" i="2"/>
  <c r="AF5607" i="2"/>
  <c r="AF5608" i="2"/>
  <c r="AF5609" i="2"/>
  <c r="AF5610" i="2"/>
  <c r="AF5611" i="2"/>
  <c r="AF5612" i="2"/>
  <c r="AF5613" i="2"/>
  <c r="AF5614" i="2"/>
  <c r="AF5615" i="2"/>
  <c r="AF5616" i="2"/>
  <c r="AF5617" i="2"/>
  <c r="AF5618" i="2"/>
  <c r="AF5619" i="2"/>
  <c r="AF5620" i="2"/>
  <c r="AF5621" i="2"/>
  <c r="AF5622" i="2"/>
  <c r="AF5623" i="2"/>
  <c r="AF5624" i="2"/>
  <c r="AF5625" i="2"/>
  <c r="AF5626" i="2"/>
  <c r="AF5627" i="2"/>
  <c r="AF5628" i="2"/>
  <c r="AF5629" i="2"/>
  <c r="AF5630" i="2"/>
  <c r="AF5631" i="2"/>
  <c r="AF5632" i="2"/>
  <c r="AF5633" i="2"/>
  <c r="AF5634" i="2"/>
  <c r="AF5635" i="2"/>
  <c r="AF5636" i="2"/>
  <c r="AF5637" i="2"/>
  <c r="AF5638" i="2"/>
  <c r="AF5639" i="2"/>
  <c r="AF5640" i="2"/>
  <c r="AF5641" i="2"/>
  <c r="AF5642" i="2"/>
  <c r="AF5643" i="2"/>
  <c r="AF5644" i="2"/>
  <c r="AF5645" i="2"/>
  <c r="AF5646" i="2"/>
  <c r="AF5647" i="2"/>
  <c r="AF5648" i="2"/>
  <c r="AF5649" i="2"/>
  <c r="AF5650" i="2"/>
  <c r="AF5651" i="2"/>
  <c r="AF5652" i="2"/>
  <c r="AF5653" i="2"/>
  <c r="AF5654" i="2"/>
  <c r="AF5655" i="2"/>
  <c r="AF5656" i="2"/>
  <c r="AF5657" i="2"/>
  <c r="AF5658" i="2"/>
  <c r="AF5659" i="2"/>
  <c r="AF5660" i="2"/>
  <c r="AF5661" i="2"/>
  <c r="AF5662" i="2"/>
  <c r="AF5663" i="2"/>
  <c r="AF5664" i="2"/>
  <c r="AF5665" i="2"/>
  <c r="AF5666" i="2"/>
  <c r="AF5667" i="2"/>
  <c r="AF5668" i="2"/>
  <c r="AF5669" i="2"/>
  <c r="AF5670" i="2"/>
  <c r="AF5671" i="2"/>
  <c r="AF5672" i="2"/>
  <c r="AF5673" i="2"/>
  <c r="AF5674" i="2"/>
  <c r="AF5675" i="2"/>
  <c r="AF5676" i="2"/>
  <c r="AF5677" i="2"/>
  <c r="AF5678" i="2"/>
  <c r="AF5679" i="2"/>
  <c r="AF5680" i="2"/>
  <c r="AF5681" i="2"/>
  <c r="AF5682" i="2"/>
  <c r="AF5683" i="2"/>
  <c r="AF5684" i="2"/>
  <c r="AF5685" i="2"/>
  <c r="AF5686" i="2"/>
  <c r="AF5687" i="2"/>
  <c r="AF5688" i="2"/>
  <c r="AF5689" i="2"/>
  <c r="AF5690" i="2"/>
  <c r="AF5691" i="2"/>
  <c r="AF5692" i="2"/>
  <c r="AF5693" i="2"/>
  <c r="AF5694" i="2"/>
  <c r="AF5695" i="2"/>
  <c r="AF5696" i="2"/>
  <c r="AF5697" i="2"/>
  <c r="AF5698" i="2"/>
  <c r="AF5699" i="2"/>
  <c r="AF5700" i="2"/>
  <c r="AF5701" i="2"/>
  <c r="AF5702" i="2"/>
  <c r="AF5703" i="2"/>
  <c r="AF5704" i="2"/>
  <c r="AF5705" i="2"/>
  <c r="AF5706" i="2"/>
  <c r="AF5707" i="2"/>
  <c r="AF5708" i="2"/>
  <c r="AF5709" i="2"/>
  <c r="AF5710" i="2"/>
  <c r="AF5711" i="2"/>
  <c r="AF5712" i="2"/>
  <c r="AF5713" i="2"/>
  <c r="AF5714" i="2"/>
  <c r="AF5715" i="2"/>
  <c r="AF5716" i="2"/>
  <c r="AF5717" i="2"/>
  <c r="AF5718" i="2"/>
  <c r="AF5719" i="2"/>
  <c r="AF5720" i="2"/>
  <c r="AF5721" i="2"/>
  <c r="AF5722" i="2"/>
  <c r="AF5723" i="2"/>
  <c r="AF5724" i="2"/>
  <c r="AF5725" i="2"/>
  <c r="AF5726" i="2"/>
  <c r="AF5727" i="2"/>
  <c r="AF5728" i="2"/>
  <c r="AF5729" i="2"/>
  <c r="AF5730" i="2"/>
  <c r="AF5731" i="2"/>
  <c r="AF5732" i="2"/>
  <c r="AF5733" i="2"/>
  <c r="AF5734" i="2"/>
  <c r="AF5735" i="2"/>
  <c r="AF5736" i="2"/>
  <c r="AF5737" i="2"/>
  <c r="AF5738" i="2"/>
  <c r="AF5739" i="2"/>
  <c r="AF5740" i="2"/>
  <c r="AF5741" i="2"/>
  <c r="AF5742" i="2"/>
  <c r="AF5743" i="2"/>
  <c r="AF5744" i="2"/>
  <c r="AF5745" i="2"/>
  <c r="AF5746" i="2"/>
  <c r="AF5747" i="2"/>
  <c r="AF5748" i="2"/>
  <c r="AF5749" i="2"/>
  <c r="AF5750" i="2"/>
  <c r="AF5751" i="2"/>
  <c r="AF5752" i="2"/>
  <c r="AF5753" i="2"/>
  <c r="AF5754" i="2"/>
  <c r="AF5755" i="2"/>
  <c r="AF5756" i="2"/>
  <c r="AF5757" i="2"/>
  <c r="AF5758" i="2"/>
  <c r="AF5759" i="2"/>
  <c r="AF5760" i="2"/>
  <c r="AF5761" i="2"/>
  <c r="AF5762" i="2"/>
  <c r="AF5763" i="2"/>
  <c r="AF5764" i="2"/>
  <c r="AF5765" i="2"/>
  <c r="AF5766" i="2"/>
  <c r="AF5767" i="2"/>
  <c r="AF5768" i="2"/>
  <c r="AF5769" i="2"/>
  <c r="AF5770" i="2"/>
  <c r="AF5771" i="2"/>
  <c r="AF5772" i="2"/>
  <c r="AF5773" i="2"/>
  <c r="AF5774" i="2"/>
  <c r="AF5775" i="2"/>
  <c r="AF5776" i="2"/>
  <c r="AF5777" i="2"/>
  <c r="AF5778" i="2"/>
  <c r="AF5779" i="2"/>
  <c r="AF5780" i="2"/>
  <c r="AF5781" i="2"/>
  <c r="AF5782" i="2"/>
  <c r="AF5783" i="2"/>
  <c r="AF5784" i="2"/>
  <c r="AF5785" i="2"/>
  <c r="AF5786" i="2"/>
  <c r="AF5787" i="2"/>
  <c r="AF5788" i="2"/>
  <c r="AF5789" i="2"/>
  <c r="AF5790" i="2"/>
  <c r="AF5791" i="2"/>
  <c r="AF5792" i="2"/>
  <c r="AF5793" i="2"/>
  <c r="AF5794" i="2"/>
  <c r="AF5795" i="2"/>
  <c r="AF5796" i="2"/>
  <c r="AF5797" i="2"/>
  <c r="AF5798" i="2"/>
  <c r="AF5799" i="2"/>
  <c r="AF5800" i="2"/>
  <c r="AF5801" i="2"/>
  <c r="AF5802" i="2"/>
  <c r="AF5803" i="2"/>
  <c r="AF5804" i="2"/>
  <c r="AF5805" i="2"/>
  <c r="AF5806" i="2"/>
  <c r="AF5807" i="2"/>
  <c r="AF5808" i="2"/>
  <c r="AF5809" i="2"/>
  <c r="AF5810" i="2"/>
  <c r="AF5811" i="2"/>
  <c r="AF5812" i="2"/>
  <c r="AF5813" i="2"/>
  <c r="AF5814" i="2"/>
  <c r="AF5815" i="2"/>
  <c r="AF5816" i="2"/>
  <c r="AF5817" i="2"/>
  <c r="AF5818" i="2"/>
  <c r="AF5819" i="2"/>
  <c r="AF5820" i="2"/>
  <c r="AF5821" i="2"/>
  <c r="AF5822" i="2"/>
  <c r="AF5823" i="2"/>
  <c r="AF5824" i="2"/>
  <c r="AF5825" i="2"/>
  <c r="AF5826" i="2"/>
  <c r="AF5827" i="2"/>
  <c r="AF5828" i="2"/>
  <c r="AF5829" i="2"/>
  <c r="AF5830" i="2"/>
  <c r="AF5831" i="2"/>
  <c r="AF5832" i="2"/>
  <c r="AF5833" i="2"/>
  <c r="AF5834" i="2"/>
  <c r="AF5835" i="2"/>
  <c r="AF5836" i="2"/>
  <c r="AF5837" i="2"/>
  <c r="AF5838" i="2"/>
  <c r="AF5839" i="2"/>
  <c r="AF5840" i="2"/>
  <c r="AF5841" i="2"/>
  <c r="AF5842" i="2"/>
  <c r="AF5843" i="2"/>
  <c r="AF5844" i="2"/>
  <c r="AF5845" i="2"/>
  <c r="AF5846" i="2"/>
  <c r="AF5847" i="2"/>
  <c r="AF5848" i="2"/>
  <c r="AF5849" i="2"/>
  <c r="AF5850" i="2"/>
  <c r="AF5851" i="2"/>
  <c r="AF5852" i="2"/>
  <c r="AF5853" i="2"/>
  <c r="AF5854" i="2"/>
  <c r="AF5855" i="2"/>
  <c r="AF5856" i="2"/>
  <c r="AF5857" i="2"/>
  <c r="AF5858" i="2"/>
  <c r="AF5859" i="2"/>
  <c r="AF5860" i="2"/>
  <c r="AF5861" i="2"/>
  <c r="AF5862" i="2"/>
  <c r="AF5863" i="2"/>
  <c r="AF5864" i="2"/>
  <c r="AF5865" i="2"/>
  <c r="AF5866" i="2"/>
  <c r="AF5867" i="2"/>
  <c r="AF5868" i="2"/>
  <c r="AF5869" i="2"/>
  <c r="AF5870" i="2"/>
  <c r="AF5871" i="2"/>
  <c r="AF5872" i="2"/>
  <c r="AF5873" i="2"/>
  <c r="AF5874" i="2"/>
  <c r="AF5875" i="2"/>
  <c r="AF5876" i="2"/>
  <c r="AF5877" i="2"/>
  <c r="AF5878" i="2"/>
  <c r="AF5879" i="2"/>
  <c r="AF5880" i="2"/>
  <c r="AF5881" i="2"/>
  <c r="AF5882" i="2"/>
  <c r="AF5883" i="2"/>
  <c r="AF5884" i="2"/>
  <c r="AF5885" i="2"/>
  <c r="AF5886" i="2"/>
  <c r="AF5887" i="2"/>
  <c r="AF5888" i="2"/>
  <c r="AF5889" i="2"/>
  <c r="AF5890" i="2"/>
  <c r="AF5891" i="2"/>
  <c r="AF5892" i="2"/>
  <c r="AF5893" i="2"/>
  <c r="AF5894" i="2"/>
  <c r="AF5895" i="2"/>
  <c r="AF5896" i="2"/>
  <c r="AF5897" i="2"/>
  <c r="AF5898" i="2"/>
  <c r="AF5899" i="2"/>
  <c r="AF5900" i="2"/>
  <c r="AF5901" i="2"/>
  <c r="AF5902" i="2"/>
  <c r="AF5903" i="2"/>
  <c r="AF5904" i="2"/>
  <c r="AF5905" i="2"/>
  <c r="AF5906" i="2"/>
  <c r="AF5907" i="2"/>
  <c r="AF5908" i="2"/>
  <c r="AF5909" i="2"/>
  <c r="AF5910" i="2"/>
  <c r="AF5911" i="2"/>
  <c r="AF5912" i="2"/>
  <c r="AF5913" i="2"/>
  <c r="AF5914" i="2"/>
  <c r="AF5915" i="2"/>
  <c r="AF5916" i="2"/>
  <c r="AF5917" i="2"/>
  <c r="AF5918" i="2"/>
  <c r="AF5919" i="2"/>
  <c r="AF5920" i="2"/>
  <c r="AF5921" i="2"/>
  <c r="AF5922" i="2"/>
  <c r="AF5923" i="2"/>
  <c r="AF5924" i="2"/>
  <c r="AF5925" i="2"/>
  <c r="AF5926" i="2"/>
  <c r="AF5927" i="2"/>
  <c r="AF5928" i="2"/>
  <c r="AF5929" i="2"/>
  <c r="AF5930" i="2"/>
  <c r="AF5931" i="2"/>
  <c r="AF5932" i="2"/>
  <c r="AF5933" i="2"/>
  <c r="AF5934" i="2"/>
  <c r="AF5935" i="2"/>
  <c r="AF5936" i="2"/>
  <c r="AF5937" i="2"/>
  <c r="AF5938" i="2"/>
  <c r="AF5939" i="2"/>
  <c r="AF5940" i="2"/>
  <c r="AF5941" i="2"/>
  <c r="AF5942" i="2"/>
  <c r="AF5943" i="2"/>
  <c r="AF5944" i="2"/>
  <c r="AF5945" i="2"/>
  <c r="AF5946" i="2"/>
  <c r="AF5947" i="2"/>
  <c r="AF5948" i="2"/>
  <c r="AF5949" i="2"/>
  <c r="AF5950" i="2"/>
  <c r="AF5951" i="2"/>
  <c r="AF5952" i="2"/>
  <c r="AF5953" i="2"/>
  <c r="AF5954" i="2"/>
  <c r="AF5955" i="2"/>
  <c r="AF5956" i="2"/>
  <c r="AF5957" i="2"/>
  <c r="AF5958" i="2"/>
  <c r="AF5959" i="2"/>
  <c r="AF5960" i="2"/>
  <c r="AF5961" i="2"/>
  <c r="AF5962" i="2"/>
  <c r="AF5963" i="2"/>
  <c r="AF5964" i="2"/>
  <c r="AF5965" i="2"/>
  <c r="AF5966" i="2"/>
  <c r="AF5967" i="2"/>
  <c r="AF5968" i="2"/>
  <c r="AF5969" i="2"/>
  <c r="AF5970" i="2"/>
  <c r="AF5971" i="2"/>
  <c r="AF5972" i="2"/>
  <c r="AF5973" i="2"/>
  <c r="AF5974" i="2"/>
  <c r="AF5975" i="2"/>
  <c r="AF5976" i="2"/>
  <c r="AF5977" i="2"/>
  <c r="AF5978" i="2"/>
  <c r="AF5979" i="2"/>
  <c r="AF5980" i="2"/>
  <c r="AF5981" i="2"/>
  <c r="AF5982" i="2"/>
  <c r="AF5983" i="2"/>
  <c r="AF5984" i="2"/>
  <c r="AF5985" i="2"/>
  <c r="AF5986" i="2"/>
  <c r="AF5987" i="2"/>
  <c r="AF5988" i="2"/>
  <c r="AF5989" i="2"/>
  <c r="AF5990" i="2"/>
  <c r="AF5991" i="2"/>
  <c r="AF5992" i="2"/>
  <c r="AF5993" i="2"/>
  <c r="AF5994" i="2"/>
  <c r="AF5995" i="2"/>
  <c r="AF5996" i="2"/>
  <c r="AF5997" i="2"/>
  <c r="AF5998" i="2"/>
  <c r="AF5999" i="2"/>
  <c r="AF6000" i="2"/>
  <c r="AF6001" i="2"/>
  <c r="AF6002" i="2"/>
  <c r="AF6003" i="2"/>
  <c r="AF6004" i="2"/>
  <c r="AF6005" i="2"/>
  <c r="AF6006" i="2"/>
  <c r="AF6007" i="2"/>
  <c r="AF6008" i="2"/>
  <c r="AF6009" i="2"/>
  <c r="AF6010" i="2"/>
  <c r="AF6011" i="2"/>
  <c r="AF6012" i="2"/>
  <c r="AF6013" i="2"/>
  <c r="AF6014" i="2"/>
  <c r="AF6015" i="2"/>
  <c r="AF6016" i="2"/>
  <c r="AF6017" i="2"/>
  <c r="AF6018" i="2"/>
  <c r="AF6019" i="2"/>
  <c r="AF6020" i="2"/>
  <c r="AF6021" i="2"/>
  <c r="AF6022" i="2"/>
  <c r="AF6023" i="2"/>
  <c r="AF6024" i="2"/>
  <c r="AF6025" i="2"/>
  <c r="AF6026" i="2"/>
  <c r="AF6027" i="2"/>
  <c r="AF6028" i="2"/>
  <c r="AF6029" i="2"/>
  <c r="AF6030" i="2"/>
  <c r="AF6031" i="2"/>
  <c r="AF6032" i="2"/>
  <c r="AF6033" i="2"/>
  <c r="AF6034" i="2"/>
  <c r="AF6035" i="2"/>
  <c r="AF6036" i="2"/>
  <c r="AF6037" i="2"/>
  <c r="AF6038" i="2"/>
  <c r="AF6039" i="2"/>
  <c r="AF6040" i="2"/>
  <c r="AF6041" i="2"/>
  <c r="AF6042" i="2"/>
  <c r="AF6043" i="2"/>
  <c r="AF6044" i="2"/>
  <c r="AF6045" i="2"/>
  <c r="AF6046" i="2"/>
  <c r="AF6047" i="2"/>
  <c r="AF6048" i="2"/>
  <c r="AF6049" i="2"/>
  <c r="AF6050" i="2"/>
  <c r="AF6051" i="2"/>
  <c r="AF6052" i="2"/>
  <c r="AF6053" i="2"/>
  <c r="AF6054" i="2"/>
  <c r="AF6055" i="2"/>
  <c r="AF6056" i="2"/>
  <c r="AF6057" i="2"/>
  <c r="AF6058" i="2"/>
  <c r="AF6059" i="2"/>
  <c r="AF6060" i="2"/>
  <c r="AF6061" i="2"/>
  <c r="AF6062" i="2"/>
  <c r="AF6063" i="2"/>
  <c r="AF6064" i="2"/>
  <c r="AF6065" i="2"/>
  <c r="AF6066" i="2"/>
  <c r="AF6067" i="2"/>
  <c r="AF6068" i="2"/>
  <c r="AF6069" i="2"/>
  <c r="AF6070" i="2"/>
  <c r="AF6071" i="2"/>
  <c r="AF6072" i="2"/>
  <c r="AF6073" i="2"/>
  <c r="AF6074" i="2"/>
  <c r="AF6075" i="2"/>
  <c r="AF6076" i="2"/>
  <c r="AF6077" i="2"/>
  <c r="AF6078" i="2"/>
  <c r="AF6079" i="2"/>
  <c r="AF6080" i="2"/>
  <c r="AF6081" i="2"/>
  <c r="AF6082" i="2"/>
  <c r="AF6083" i="2"/>
  <c r="AF6084" i="2"/>
  <c r="AF6085" i="2"/>
  <c r="AF6086" i="2"/>
  <c r="AF6087" i="2"/>
  <c r="AF6088" i="2"/>
  <c r="AF6089" i="2"/>
  <c r="AF6090" i="2"/>
  <c r="AF6091" i="2"/>
  <c r="AF6092" i="2"/>
  <c r="AF6093" i="2"/>
  <c r="AF6094" i="2"/>
  <c r="AF6095" i="2"/>
  <c r="AF6096" i="2"/>
  <c r="AF6097" i="2"/>
  <c r="AF6098" i="2"/>
  <c r="AF6099" i="2"/>
  <c r="AF6100" i="2"/>
  <c r="AF6101" i="2"/>
  <c r="AF6102" i="2"/>
  <c r="AF6103" i="2"/>
  <c r="AF6104" i="2"/>
  <c r="AF6105" i="2"/>
  <c r="AF6106" i="2"/>
  <c r="AF6107" i="2"/>
  <c r="AF6108" i="2"/>
  <c r="AF6109" i="2"/>
  <c r="AF6110" i="2"/>
  <c r="AF6111" i="2"/>
  <c r="AF6112" i="2"/>
  <c r="AF6113" i="2"/>
  <c r="AF6114" i="2"/>
  <c r="AF6115" i="2"/>
  <c r="AF6116" i="2"/>
  <c r="AF6117" i="2"/>
  <c r="AF6118" i="2"/>
  <c r="AF6119" i="2"/>
  <c r="AF6120" i="2"/>
  <c r="AF6121" i="2"/>
  <c r="AF6122" i="2"/>
  <c r="AF6123" i="2"/>
  <c r="AF6124" i="2"/>
  <c r="AF6125" i="2"/>
  <c r="AF6126" i="2"/>
  <c r="AF6127" i="2"/>
  <c r="AF6128" i="2"/>
  <c r="AF6129" i="2"/>
  <c r="AF6130" i="2"/>
  <c r="AF6131" i="2"/>
  <c r="AF6132" i="2"/>
  <c r="AF6133" i="2"/>
  <c r="AF6134" i="2"/>
  <c r="AF6135" i="2"/>
  <c r="AF6136" i="2"/>
  <c r="AF6137" i="2"/>
  <c r="AF6138" i="2"/>
  <c r="AF6139" i="2"/>
  <c r="AF6140" i="2"/>
  <c r="AF6141" i="2"/>
  <c r="AF6142" i="2"/>
  <c r="AF6143" i="2"/>
  <c r="AF6144" i="2"/>
  <c r="AF6145" i="2"/>
  <c r="AF6146" i="2"/>
  <c r="AF6147" i="2"/>
  <c r="AF6148" i="2"/>
  <c r="AF6149" i="2"/>
  <c r="AF6150" i="2"/>
  <c r="AF6151" i="2"/>
  <c r="AF6152" i="2"/>
  <c r="AF6153" i="2"/>
  <c r="AF6154" i="2"/>
  <c r="AF6155" i="2"/>
  <c r="AF6156" i="2"/>
  <c r="AF6157" i="2"/>
  <c r="AF6158" i="2"/>
  <c r="AF6159" i="2"/>
  <c r="AF6160" i="2"/>
  <c r="AF6161" i="2"/>
  <c r="AF6162" i="2"/>
  <c r="AF6163" i="2"/>
  <c r="AF6164" i="2"/>
  <c r="AF6165" i="2"/>
  <c r="AF6166" i="2"/>
  <c r="AF6167" i="2"/>
  <c r="AF6168" i="2"/>
  <c r="AF6169" i="2"/>
  <c r="AF6170" i="2"/>
  <c r="AF6171" i="2"/>
  <c r="AF6172" i="2"/>
  <c r="AF6173" i="2"/>
  <c r="AF6174" i="2"/>
  <c r="AF6175" i="2"/>
  <c r="AF6176" i="2"/>
  <c r="AF6177" i="2"/>
  <c r="AF6178" i="2"/>
  <c r="AF6179" i="2"/>
  <c r="AF6180" i="2"/>
  <c r="AF6181" i="2"/>
  <c r="AF6182" i="2"/>
  <c r="AF6183" i="2"/>
  <c r="AF6184" i="2"/>
  <c r="AF6185" i="2"/>
  <c r="AF6186" i="2"/>
  <c r="AF6187" i="2"/>
  <c r="AF6188" i="2"/>
  <c r="AF6189" i="2"/>
  <c r="AF6190" i="2"/>
  <c r="AF6191" i="2"/>
  <c r="AF6192" i="2"/>
  <c r="AF6193" i="2"/>
  <c r="AF6194" i="2"/>
  <c r="AF6195" i="2"/>
  <c r="AF6196" i="2"/>
  <c r="AF6197" i="2"/>
  <c r="AF6198" i="2"/>
  <c r="AF6199" i="2"/>
  <c r="AF6200" i="2"/>
  <c r="AF6201" i="2"/>
  <c r="AF6202" i="2"/>
  <c r="AF6203" i="2"/>
  <c r="AF6204" i="2"/>
  <c r="AF6205" i="2"/>
  <c r="AF6206" i="2"/>
  <c r="AF6207" i="2"/>
  <c r="AF6208" i="2"/>
  <c r="AF6209" i="2"/>
  <c r="AF6210" i="2"/>
  <c r="AF6211" i="2"/>
  <c r="AF6212" i="2"/>
  <c r="AF6213" i="2"/>
  <c r="AF6214" i="2"/>
  <c r="AF6215" i="2"/>
  <c r="AF6216" i="2"/>
  <c r="AF6217" i="2"/>
  <c r="AF6218" i="2"/>
  <c r="AF6219" i="2"/>
  <c r="AF6220" i="2"/>
  <c r="AF6221" i="2"/>
  <c r="AF6222" i="2"/>
  <c r="AF6223" i="2"/>
  <c r="AF6224" i="2"/>
  <c r="AF6225" i="2"/>
  <c r="AF6226" i="2"/>
  <c r="AF6227" i="2"/>
  <c r="AF6228" i="2"/>
  <c r="AF6229" i="2"/>
  <c r="AF6230" i="2"/>
  <c r="AF6231" i="2"/>
  <c r="AF6232" i="2"/>
  <c r="AF6233" i="2"/>
  <c r="AF6234" i="2"/>
  <c r="AF6235" i="2"/>
  <c r="AF6236" i="2"/>
  <c r="AF6237" i="2"/>
  <c r="AF6238" i="2"/>
  <c r="AF6239" i="2"/>
  <c r="AF6240" i="2"/>
  <c r="AF6241" i="2"/>
  <c r="AF6242" i="2"/>
  <c r="AF6243" i="2"/>
  <c r="AF6244" i="2"/>
  <c r="AF6245" i="2"/>
  <c r="AF6246" i="2"/>
  <c r="AF6247" i="2"/>
  <c r="AF6248" i="2"/>
  <c r="AF6249" i="2"/>
  <c r="AF6250" i="2"/>
  <c r="AF6251" i="2"/>
  <c r="AF6252" i="2"/>
  <c r="AF6253" i="2"/>
  <c r="AF6254" i="2"/>
  <c r="AF6255" i="2"/>
  <c r="AF6256" i="2"/>
  <c r="AF6257" i="2"/>
  <c r="AF6258" i="2"/>
  <c r="AF6259" i="2"/>
  <c r="AF6260" i="2"/>
  <c r="AF6261" i="2"/>
  <c r="AF6262" i="2"/>
  <c r="AF6263" i="2"/>
  <c r="AF6264" i="2"/>
  <c r="AF6265" i="2"/>
  <c r="AF6266" i="2"/>
  <c r="AF6267" i="2"/>
  <c r="AF6268" i="2"/>
  <c r="AF6269" i="2"/>
  <c r="AF6270" i="2"/>
  <c r="AF6271" i="2"/>
  <c r="AF6272" i="2"/>
  <c r="AF6273" i="2"/>
  <c r="AF6274" i="2"/>
  <c r="AF6275" i="2"/>
  <c r="AF6276" i="2"/>
  <c r="AF6277" i="2"/>
  <c r="AF6278" i="2"/>
  <c r="AF6279" i="2"/>
  <c r="AF6280" i="2"/>
  <c r="AF6281" i="2"/>
  <c r="AF6282" i="2"/>
  <c r="AF6283" i="2"/>
  <c r="AF6284" i="2"/>
  <c r="AF6285" i="2"/>
  <c r="AF6286" i="2"/>
  <c r="AF6287" i="2"/>
  <c r="AF6288" i="2"/>
  <c r="AF6289" i="2"/>
  <c r="AF6290" i="2"/>
  <c r="AF6291" i="2"/>
  <c r="AF6292" i="2"/>
  <c r="AF6293" i="2"/>
  <c r="AF6294" i="2"/>
  <c r="AF6295" i="2"/>
  <c r="AF6296" i="2"/>
  <c r="AF6297" i="2"/>
  <c r="AF6298" i="2"/>
  <c r="AF6299" i="2"/>
  <c r="AF6300" i="2"/>
  <c r="AF6301" i="2"/>
  <c r="AF6302" i="2"/>
  <c r="AF6303" i="2"/>
  <c r="AF6304" i="2"/>
  <c r="AF6305" i="2"/>
  <c r="AF6306" i="2"/>
  <c r="AF6307" i="2"/>
  <c r="AF6308" i="2"/>
  <c r="AF6309" i="2"/>
  <c r="AF6310" i="2"/>
  <c r="AF6311" i="2"/>
  <c r="AF6312" i="2"/>
  <c r="AF6313" i="2"/>
  <c r="AF6314" i="2"/>
  <c r="AF6315" i="2"/>
  <c r="AF6316" i="2"/>
  <c r="AF6317" i="2"/>
  <c r="AF6318" i="2"/>
  <c r="AF6319" i="2"/>
  <c r="AF6320" i="2"/>
  <c r="AF6321" i="2"/>
  <c r="AF6322" i="2"/>
  <c r="AF6323" i="2"/>
  <c r="AF6324" i="2"/>
  <c r="AF6325" i="2"/>
  <c r="AF6326" i="2"/>
  <c r="AF6327" i="2"/>
  <c r="AF6328" i="2"/>
  <c r="AF6329" i="2"/>
  <c r="AF6330" i="2"/>
  <c r="AF6331" i="2"/>
  <c r="AF6332" i="2"/>
  <c r="AF6333" i="2"/>
  <c r="AF6334" i="2"/>
  <c r="AF6335" i="2"/>
  <c r="AF6336" i="2"/>
  <c r="AF6337" i="2"/>
  <c r="AF6338" i="2"/>
  <c r="AF6339" i="2"/>
  <c r="AF6340" i="2"/>
  <c r="AF6341" i="2"/>
  <c r="AF6342" i="2"/>
  <c r="AF6343" i="2"/>
  <c r="AF6344" i="2"/>
  <c r="AF6345" i="2"/>
  <c r="AF6346" i="2"/>
  <c r="AF6347" i="2"/>
  <c r="AF6348" i="2"/>
  <c r="AF6349" i="2"/>
  <c r="AF6350" i="2"/>
  <c r="AF6351" i="2"/>
  <c r="AF6352" i="2"/>
  <c r="AF6353" i="2"/>
  <c r="AF6354" i="2"/>
  <c r="AF6355" i="2"/>
  <c r="AF6356" i="2"/>
  <c r="AF6357" i="2"/>
  <c r="AF6358" i="2"/>
  <c r="AF6359" i="2"/>
  <c r="AF6360" i="2"/>
  <c r="AF6361" i="2"/>
  <c r="AF6362" i="2"/>
  <c r="AF6363" i="2"/>
  <c r="AF6364" i="2"/>
  <c r="AF6365" i="2"/>
  <c r="AF6366" i="2"/>
  <c r="AF6367" i="2"/>
  <c r="AF6368" i="2"/>
  <c r="AF6369" i="2"/>
  <c r="AF6370" i="2"/>
  <c r="AF6371" i="2"/>
  <c r="AF6372" i="2"/>
  <c r="AF6373" i="2"/>
  <c r="AF6374" i="2"/>
  <c r="AF6375" i="2"/>
  <c r="AF6376" i="2"/>
  <c r="AF6377" i="2"/>
  <c r="AF6378" i="2"/>
  <c r="AF6379" i="2"/>
  <c r="AF6380" i="2"/>
  <c r="AF6381" i="2"/>
  <c r="AF6382" i="2"/>
  <c r="AF6383" i="2"/>
  <c r="AF6384" i="2"/>
  <c r="AF6385" i="2"/>
  <c r="AF6386" i="2"/>
  <c r="AF6387" i="2"/>
  <c r="AF6388" i="2"/>
  <c r="AF6389" i="2"/>
  <c r="AF6390" i="2"/>
  <c r="AF6391" i="2"/>
  <c r="AF6392" i="2"/>
  <c r="AF6393" i="2"/>
  <c r="AF6394" i="2"/>
  <c r="AF6395" i="2"/>
  <c r="AF6396" i="2"/>
  <c r="AF6397" i="2"/>
  <c r="AF6398" i="2"/>
  <c r="AF6399" i="2"/>
  <c r="AF6400" i="2"/>
  <c r="AF6401" i="2"/>
  <c r="AF6402" i="2"/>
  <c r="AF6403" i="2"/>
  <c r="AF6404" i="2"/>
  <c r="AF6405" i="2"/>
  <c r="AF6406" i="2"/>
  <c r="AF6407" i="2"/>
  <c r="AF6408" i="2"/>
  <c r="AF6409" i="2"/>
  <c r="AF6410" i="2"/>
  <c r="AF6411" i="2"/>
  <c r="AF6412" i="2"/>
  <c r="AF6413" i="2"/>
  <c r="AF6414" i="2"/>
  <c r="AF6415" i="2"/>
  <c r="AF6416" i="2"/>
  <c r="AF6417" i="2"/>
  <c r="AF6418" i="2"/>
  <c r="AF6419" i="2"/>
  <c r="AF6420" i="2"/>
  <c r="AF6421" i="2"/>
  <c r="AF6422" i="2"/>
  <c r="AF6423" i="2"/>
  <c r="AF6424" i="2"/>
  <c r="AF6425" i="2"/>
  <c r="AF6426" i="2"/>
  <c r="AF6427" i="2"/>
  <c r="AF6428" i="2"/>
  <c r="AF6429" i="2"/>
  <c r="AF6430" i="2"/>
  <c r="AF6431" i="2"/>
  <c r="AF6432" i="2"/>
  <c r="AF6433" i="2"/>
  <c r="AF6434" i="2"/>
  <c r="AF6435" i="2"/>
  <c r="AF6436" i="2"/>
  <c r="AF6437" i="2"/>
  <c r="AF6438" i="2"/>
  <c r="AF6439" i="2"/>
  <c r="AF6440" i="2"/>
  <c r="AF6441" i="2"/>
  <c r="AF6442" i="2"/>
  <c r="AF6443" i="2"/>
  <c r="AF6444" i="2"/>
  <c r="AF6445" i="2"/>
  <c r="AF6446" i="2"/>
  <c r="AF6447" i="2"/>
  <c r="AF6448" i="2"/>
  <c r="AF6449" i="2"/>
  <c r="AF6450" i="2"/>
  <c r="AF6451" i="2"/>
  <c r="AF6452" i="2"/>
  <c r="AF6453" i="2"/>
  <c r="AF6454" i="2"/>
  <c r="AF6455" i="2"/>
  <c r="AF6456" i="2"/>
  <c r="AF6457" i="2"/>
  <c r="AF6458" i="2"/>
  <c r="AF6459" i="2"/>
  <c r="AF6460" i="2"/>
  <c r="AF6461" i="2"/>
  <c r="AF6462" i="2"/>
  <c r="AF6463" i="2"/>
  <c r="AF6464" i="2"/>
  <c r="AF6465" i="2"/>
  <c r="AF6466" i="2"/>
  <c r="AF6467" i="2"/>
  <c r="AF6468" i="2"/>
  <c r="AF6469" i="2"/>
  <c r="AF6470" i="2"/>
  <c r="AF6471" i="2"/>
  <c r="AF6472" i="2"/>
  <c r="AF6473" i="2"/>
  <c r="AF6474" i="2"/>
  <c r="AF6475" i="2"/>
  <c r="AF6476" i="2"/>
  <c r="AF6477" i="2"/>
  <c r="AF6478" i="2"/>
  <c r="AF6479" i="2"/>
  <c r="AF6480" i="2"/>
  <c r="AF6481" i="2"/>
  <c r="AF6482" i="2"/>
  <c r="AF6483" i="2"/>
  <c r="AF6484" i="2"/>
  <c r="AF6485" i="2"/>
  <c r="AF6486" i="2"/>
  <c r="AF6487" i="2"/>
  <c r="AF6488" i="2"/>
  <c r="AF6489" i="2"/>
  <c r="AF6490" i="2"/>
  <c r="AF6491" i="2"/>
  <c r="AF6492" i="2"/>
  <c r="AF6493" i="2"/>
  <c r="AF6494" i="2"/>
  <c r="AF6495" i="2"/>
  <c r="AF6496" i="2"/>
  <c r="AF6497" i="2"/>
  <c r="AF6498" i="2"/>
  <c r="AF6499" i="2"/>
  <c r="AF6500" i="2"/>
  <c r="AF6501" i="2"/>
  <c r="AF6502" i="2"/>
  <c r="AF6503" i="2"/>
  <c r="AF6504" i="2"/>
  <c r="AF6505" i="2"/>
  <c r="AF6506" i="2"/>
  <c r="AF6507" i="2"/>
  <c r="AF6508" i="2"/>
  <c r="AF6509" i="2"/>
  <c r="AF6510" i="2"/>
  <c r="AF6511" i="2"/>
  <c r="AF6512" i="2"/>
  <c r="AF6513" i="2"/>
  <c r="AF6514" i="2"/>
  <c r="AF6515" i="2"/>
  <c r="AF6516" i="2"/>
  <c r="AF6517" i="2"/>
  <c r="AF6518" i="2"/>
  <c r="AF6519" i="2"/>
  <c r="AF6520" i="2"/>
  <c r="AF6521" i="2"/>
  <c r="AF6522" i="2"/>
  <c r="AF6523" i="2"/>
  <c r="AF6524" i="2"/>
  <c r="AF6525" i="2"/>
  <c r="AF6526" i="2"/>
  <c r="AF6527" i="2"/>
  <c r="AF6528" i="2"/>
  <c r="AF6529" i="2"/>
  <c r="AF6530" i="2"/>
  <c r="AF6531" i="2"/>
  <c r="AF6532" i="2"/>
  <c r="AF6533" i="2"/>
  <c r="AF6534" i="2"/>
  <c r="AF6535" i="2"/>
  <c r="AF6536" i="2"/>
  <c r="AF6537" i="2"/>
  <c r="AF6538" i="2"/>
  <c r="AF6539" i="2"/>
  <c r="AF6540" i="2"/>
  <c r="AF6541" i="2"/>
  <c r="AF6542" i="2"/>
  <c r="AF6543" i="2"/>
  <c r="AF6544" i="2"/>
  <c r="AF6545" i="2"/>
  <c r="AF6546" i="2"/>
  <c r="AF6547" i="2"/>
  <c r="AF6548" i="2"/>
  <c r="AF6549" i="2"/>
  <c r="AF6550" i="2"/>
  <c r="AF6551" i="2"/>
  <c r="AF6552" i="2"/>
  <c r="AF6553" i="2"/>
  <c r="AF6554" i="2"/>
  <c r="AF6555" i="2"/>
  <c r="AF6556" i="2"/>
  <c r="AF6557" i="2"/>
  <c r="AF6558" i="2"/>
  <c r="AF6559" i="2"/>
  <c r="AF6560" i="2"/>
  <c r="AF6561" i="2"/>
  <c r="AF6562" i="2"/>
  <c r="AF6563" i="2"/>
  <c r="AF6564" i="2"/>
  <c r="AF6565" i="2"/>
  <c r="AF6566" i="2"/>
  <c r="AF6567" i="2"/>
  <c r="AF6568" i="2"/>
  <c r="AF6569" i="2"/>
  <c r="AF6570" i="2"/>
  <c r="AF6571" i="2"/>
  <c r="AF6572" i="2"/>
  <c r="AF6573" i="2"/>
  <c r="AF6574" i="2"/>
  <c r="AF6575" i="2"/>
  <c r="AF6576" i="2"/>
  <c r="AF6577" i="2"/>
  <c r="AF6578" i="2"/>
  <c r="AF6579" i="2"/>
  <c r="AF6580" i="2"/>
  <c r="AF6581" i="2"/>
  <c r="AF6582" i="2"/>
  <c r="AF6583" i="2"/>
  <c r="AF6584" i="2"/>
  <c r="AF6585" i="2"/>
  <c r="AF6586" i="2"/>
  <c r="AF6587" i="2"/>
  <c r="AF6588" i="2"/>
  <c r="AF6589" i="2"/>
  <c r="AF6590" i="2"/>
  <c r="AF6591" i="2"/>
  <c r="AF6592" i="2"/>
  <c r="AF6593" i="2"/>
  <c r="AF6594" i="2"/>
  <c r="AF6595" i="2"/>
  <c r="AF6596" i="2"/>
  <c r="AF6597" i="2"/>
  <c r="AF6598" i="2"/>
  <c r="AF6599" i="2"/>
  <c r="AF6600" i="2"/>
  <c r="AF6601" i="2"/>
  <c r="AF6602" i="2"/>
  <c r="AF6603" i="2"/>
  <c r="AF6604" i="2"/>
  <c r="AF6605" i="2"/>
  <c r="AF6606" i="2"/>
  <c r="AF6607" i="2"/>
  <c r="AF6608" i="2"/>
  <c r="AF6609" i="2"/>
  <c r="AF6610" i="2"/>
  <c r="AF6611" i="2"/>
  <c r="AF6612" i="2"/>
  <c r="AF6613" i="2"/>
  <c r="AF6614" i="2"/>
  <c r="AF6615" i="2"/>
  <c r="AF6616" i="2"/>
  <c r="AF6617" i="2"/>
  <c r="AF6618" i="2"/>
  <c r="AF6619" i="2"/>
  <c r="AF6620" i="2"/>
  <c r="AF6621" i="2"/>
  <c r="AF6622" i="2"/>
  <c r="AF6623" i="2"/>
  <c r="AF6624" i="2"/>
  <c r="AF6625" i="2"/>
  <c r="AF6626" i="2"/>
  <c r="AF6627" i="2"/>
  <c r="AF6628" i="2"/>
  <c r="AF6629" i="2"/>
  <c r="AF6630" i="2"/>
  <c r="AF6631" i="2"/>
  <c r="AF6632" i="2"/>
  <c r="AF6633" i="2"/>
  <c r="AF6634" i="2"/>
  <c r="AF6635" i="2"/>
  <c r="AF6636" i="2"/>
  <c r="AF6637" i="2"/>
  <c r="AF6638" i="2"/>
  <c r="AF6639" i="2"/>
  <c r="AF6640" i="2"/>
  <c r="AF6641" i="2"/>
  <c r="AF6642" i="2"/>
  <c r="AF6643" i="2"/>
  <c r="AF6644" i="2"/>
  <c r="AF6645" i="2"/>
  <c r="AF6646" i="2"/>
  <c r="AF6647" i="2"/>
  <c r="AF6648" i="2"/>
  <c r="AF6649" i="2"/>
  <c r="AF6650" i="2"/>
  <c r="AF6651" i="2"/>
  <c r="AF6652" i="2"/>
  <c r="AF6653" i="2"/>
  <c r="AF6654" i="2"/>
  <c r="AF6655" i="2"/>
  <c r="AF6656" i="2"/>
  <c r="AF6657" i="2"/>
  <c r="AF6658" i="2"/>
  <c r="AF6659" i="2"/>
  <c r="AF6660" i="2"/>
  <c r="AF6661" i="2"/>
  <c r="AF6662" i="2"/>
  <c r="AF6663" i="2"/>
  <c r="AF6664" i="2"/>
  <c r="AF6665" i="2"/>
  <c r="AF6666" i="2"/>
  <c r="AF6667" i="2"/>
  <c r="AF6668" i="2"/>
  <c r="AF6669" i="2"/>
  <c r="AF6670" i="2"/>
  <c r="AF6671" i="2"/>
  <c r="AF6672" i="2"/>
  <c r="AF6673" i="2"/>
  <c r="AF6674" i="2"/>
  <c r="AF6675" i="2"/>
  <c r="AF6676" i="2"/>
  <c r="AF6677" i="2"/>
  <c r="AF6678" i="2"/>
  <c r="AF6679" i="2"/>
  <c r="AF6680" i="2"/>
  <c r="AF6681" i="2"/>
  <c r="AF6682" i="2"/>
  <c r="AF6683" i="2"/>
  <c r="AF6684" i="2"/>
  <c r="AF6685" i="2"/>
  <c r="AF6686" i="2"/>
  <c r="AF6687" i="2"/>
  <c r="AF6688" i="2"/>
  <c r="AF6689" i="2"/>
  <c r="AF6690" i="2"/>
  <c r="AF6691" i="2"/>
  <c r="AF6692" i="2"/>
  <c r="AF6693" i="2"/>
  <c r="AF6694" i="2"/>
  <c r="AF6695" i="2"/>
  <c r="AF6696" i="2"/>
  <c r="AF6697" i="2"/>
  <c r="AF6698" i="2"/>
  <c r="AF6699" i="2"/>
  <c r="AF6700" i="2"/>
  <c r="AF6701" i="2"/>
  <c r="AF6702" i="2"/>
  <c r="AF6703" i="2"/>
  <c r="AF6704" i="2"/>
  <c r="AF6705" i="2"/>
  <c r="AF6706" i="2"/>
  <c r="AF6707" i="2"/>
  <c r="AF6708" i="2"/>
  <c r="AF6709" i="2"/>
  <c r="AF6710" i="2"/>
  <c r="AF6711" i="2"/>
  <c r="AF6712" i="2"/>
  <c r="AF6713" i="2"/>
  <c r="AF6714" i="2"/>
  <c r="AF6715" i="2"/>
  <c r="AF6716" i="2"/>
  <c r="AF6717" i="2"/>
  <c r="AF6718" i="2"/>
  <c r="AF6719" i="2"/>
  <c r="AF6720" i="2"/>
  <c r="AF6721" i="2"/>
  <c r="AF6722" i="2"/>
  <c r="AF6723" i="2"/>
  <c r="AF6724" i="2"/>
  <c r="AF6725" i="2"/>
  <c r="AF6726" i="2"/>
  <c r="AF6727" i="2"/>
  <c r="AF6728" i="2"/>
  <c r="AF6729" i="2"/>
  <c r="AF6730" i="2"/>
  <c r="AF6731" i="2"/>
  <c r="AF6732" i="2"/>
  <c r="AF6733" i="2"/>
  <c r="AF6734" i="2"/>
  <c r="AF6735" i="2"/>
  <c r="AF6736" i="2"/>
  <c r="AF6737" i="2"/>
  <c r="AF6738" i="2"/>
  <c r="AF6739" i="2"/>
  <c r="AF6740" i="2"/>
  <c r="AF6741" i="2"/>
  <c r="AF6742" i="2"/>
  <c r="AF6743" i="2"/>
  <c r="AF6744" i="2"/>
  <c r="AF6745" i="2"/>
  <c r="AF6746" i="2"/>
  <c r="AF6747" i="2"/>
  <c r="AF6748" i="2"/>
  <c r="AF6749" i="2"/>
  <c r="AF6750" i="2"/>
  <c r="AF6751" i="2"/>
  <c r="AF6752" i="2"/>
  <c r="AF6753" i="2"/>
  <c r="AF6754" i="2"/>
  <c r="AF6755" i="2"/>
  <c r="AF6756" i="2"/>
  <c r="AF6757" i="2"/>
  <c r="AF6758" i="2"/>
  <c r="AF6759" i="2"/>
  <c r="AF6760" i="2"/>
  <c r="AF6761" i="2"/>
  <c r="AF6762" i="2"/>
  <c r="AF6763" i="2"/>
  <c r="AF6764" i="2"/>
  <c r="AF6765" i="2"/>
  <c r="AF6766" i="2"/>
  <c r="AF6767" i="2"/>
  <c r="AF6768" i="2"/>
  <c r="AF6769" i="2"/>
  <c r="AF6770" i="2"/>
  <c r="AF6771" i="2"/>
  <c r="AF6772" i="2"/>
  <c r="AF6773" i="2"/>
  <c r="AF6774" i="2"/>
  <c r="AF6775" i="2"/>
  <c r="AF6776" i="2"/>
  <c r="AF6777" i="2"/>
  <c r="AF6778" i="2"/>
  <c r="AF6779" i="2"/>
  <c r="AF6780" i="2"/>
  <c r="AF6781" i="2"/>
  <c r="AF6782" i="2"/>
  <c r="AF6783" i="2"/>
  <c r="AF6784" i="2"/>
  <c r="AF6785" i="2"/>
  <c r="AF6786" i="2"/>
  <c r="AF6787" i="2"/>
  <c r="AF6788" i="2"/>
  <c r="AF6789" i="2"/>
  <c r="AF6790" i="2"/>
  <c r="AF6791" i="2"/>
  <c r="AF6792" i="2"/>
  <c r="AF6793" i="2"/>
  <c r="AF6794" i="2"/>
  <c r="AF6795" i="2"/>
  <c r="AF6796" i="2"/>
  <c r="AF6797" i="2"/>
  <c r="AF6798" i="2"/>
  <c r="AF6799" i="2"/>
  <c r="AF6800" i="2"/>
  <c r="AF6801" i="2"/>
  <c r="AF6802" i="2"/>
  <c r="AF6803" i="2"/>
  <c r="AF6804" i="2"/>
  <c r="AF6805" i="2"/>
  <c r="AF6806" i="2"/>
  <c r="AF6807" i="2"/>
  <c r="AF6808" i="2"/>
  <c r="AF6809" i="2"/>
  <c r="AF6810" i="2"/>
  <c r="AF6811" i="2"/>
  <c r="AF6812" i="2"/>
  <c r="AF6813" i="2"/>
  <c r="AF6814" i="2"/>
  <c r="AF6815" i="2"/>
  <c r="AF6816" i="2"/>
  <c r="AF6817" i="2"/>
  <c r="AF6818" i="2"/>
  <c r="AF6819" i="2"/>
  <c r="AF6820" i="2"/>
  <c r="AF6821" i="2"/>
  <c r="AF6822" i="2"/>
  <c r="AF6823" i="2"/>
  <c r="AF6824" i="2"/>
  <c r="AF6825" i="2"/>
  <c r="AF6826" i="2"/>
  <c r="AF6827" i="2"/>
  <c r="AF6828" i="2"/>
  <c r="AF6829" i="2"/>
  <c r="AF6830" i="2"/>
  <c r="AF6831" i="2"/>
  <c r="AF6832" i="2"/>
  <c r="AF6833" i="2"/>
  <c r="AF6834" i="2"/>
  <c r="AF6835" i="2"/>
  <c r="AF6836" i="2"/>
  <c r="AF6837" i="2"/>
  <c r="AF6838" i="2"/>
  <c r="AF6839" i="2"/>
  <c r="AF6840" i="2"/>
  <c r="AF6841" i="2"/>
  <c r="AF6842" i="2"/>
  <c r="AF6843" i="2"/>
  <c r="AF6844" i="2"/>
  <c r="AF6845" i="2"/>
  <c r="AF6846" i="2"/>
  <c r="AF6847" i="2"/>
  <c r="AF6848" i="2"/>
  <c r="AF6849" i="2"/>
  <c r="AF6850" i="2"/>
  <c r="AF6851" i="2"/>
  <c r="AF6852" i="2"/>
  <c r="AF6853" i="2"/>
  <c r="AF6854" i="2"/>
  <c r="AF6855" i="2"/>
  <c r="AF6856" i="2"/>
  <c r="AF6857" i="2"/>
  <c r="AF6858" i="2"/>
  <c r="AF6859" i="2"/>
  <c r="AF6860" i="2"/>
  <c r="AF6861" i="2"/>
  <c r="AF6862" i="2"/>
  <c r="AF6863" i="2"/>
  <c r="AF6864" i="2"/>
  <c r="AF6865" i="2"/>
  <c r="AF6866" i="2"/>
  <c r="AF6867" i="2"/>
  <c r="AF6868" i="2"/>
  <c r="AF6869" i="2"/>
  <c r="AF6870" i="2"/>
  <c r="AF6871" i="2"/>
  <c r="AF6872" i="2"/>
  <c r="AF6873" i="2"/>
  <c r="AF6874" i="2"/>
  <c r="AF6875" i="2"/>
  <c r="AF6876" i="2"/>
  <c r="AF6877" i="2"/>
  <c r="AF6878" i="2"/>
  <c r="AF6879" i="2"/>
  <c r="AF6880" i="2"/>
  <c r="AF6881" i="2"/>
  <c r="AF6882" i="2"/>
  <c r="AF6883" i="2"/>
  <c r="AF6884" i="2"/>
  <c r="AF6885" i="2"/>
  <c r="AF6886" i="2"/>
  <c r="AF6887" i="2"/>
  <c r="AF6888" i="2"/>
  <c r="AF6889" i="2"/>
  <c r="AF6890" i="2"/>
  <c r="AF6891" i="2"/>
  <c r="AF6892" i="2"/>
  <c r="AF6893" i="2"/>
  <c r="AF6894" i="2"/>
  <c r="AF6895" i="2"/>
  <c r="AF6896" i="2"/>
  <c r="AF6897" i="2"/>
  <c r="AF6898" i="2"/>
  <c r="AF6899" i="2"/>
  <c r="AF6900" i="2"/>
  <c r="AF6901" i="2"/>
  <c r="AF6902" i="2"/>
  <c r="AF6903" i="2"/>
  <c r="AF6904" i="2"/>
  <c r="AF6905" i="2"/>
  <c r="AF6906" i="2"/>
  <c r="AF6907" i="2"/>
  <c r="AF6908" i="2"/>
  <c r="AF6909" i="2"/>
  <c r="AF6910" i="2"/>
  <c r="AF6911" i="2"/>
  <c r="AF6912" i="2"/>
  <c r="AF6913" i="2"/>
  <c r="AF6914" i="2"/>
  <c r="AF6915" i="2"/>
  <c r="AF6916" i="2"/>
  <c r="AF6917" i="2"/>
  <c r="AF6918" i="2"/>
  <c r="AF6919" i="2"/>
  <c r="AF6920" i="2"/>
  <c r="AF6921" i="2"/>
  <c r="AF6922" i="2"/>
  <c r="AF6923" i="2"/>
  <c r="AF6924" i="2"/>
  <c r="AF6925" i="2"/>
  <c r="AF6926" i="2"/>
  <c r="AF6927" i="2"/>
  <c r="AF6928" i="2"/>
  <c r="AF6929" i="2"/>
  <c r="AF6930" i="2"/>
  <c r="AF6931" i="2"/>
  <c r="AF6932" i="2"/>
  <c r="AF6933" i="2"/>
  <c r="AF6934" i="2"/>
  <c r="AF6935" i="2"/>
  <c r="AF6936" i="2"/>
  <c r="AF6937" i="2"/>
  <c r="AF6938" i="2"/>
  <c r="AF6939" i="2"/>
  <c r="AF6940" i="2"/>
  <c r="AF6941" i="2"/>
  <c r="AF6942" i="2"/>
  <c r="AF6943" i="2"/>
  <c r="AF6944" i="2"/>
  <c r="AF6945" i="2"/>
  <c r="AF6946" i="2"/>
  <c r="AF6947" i="2"/>
  <c r="AF6948" i="2"/>
  <c r="AF6949" i="2"/>
  <c r="AF6950" i="2"/>
  <c r="AF6951" i="2"/>
  <c r="AF6952" i="2"/>
  <c r="AF6953" i="2"/>
  <c r="AF6954" i="2"/>
  <c r="AF6955" i="2"/>
  <c r="AF6956" i="2"/>
  <c r="AF6957" i="2"/>
  <c r="AF6958" i="2"/>
  <c r="AF6959" i="2"/>
  <c r="AF6960" i="2"/>
  <c r="AF6961" i="2"/>
  <c r="AF6962" i="2"/>
  <c r="AF6963" i="2"/>
  <c r="AF6964" i="2"/>
  <c r="AF6965" i="2"/>
  <c r="AF6966" i="2"/>
  <c r="AF6967" i="2"/>
  <c r="AF6968" i="2"/>
  <c r="AF6969" i="2"/>
  <c r="AF6970" i="2"/>
  <c r="AF6971" i="2"/>
  <c r="AF6972" i="2"/>
  <c r="AF6973" i="2"/>
  <c r="AF6974" i="2"/>
  <c r="AF6975" i="2"/>
  <c r="AF6976" i="2"/>
  <c r="AF6977" i="2"/>
  <c r="AF6978" i="2"/>
  <c r="AF6979" i="2"/>
  <c r="AF6980" i="2"/>
  <c r="AF6981" i="2"/>
  <c r="AF6982" i="2"/>
  <c r="AF6983" i="2"/>
  <c r="AF6984" i="2"/>
  <c r="AF6985" i="2"/>
  <c r="AF6986" i="2"/>
  <c r="AF6987" i="2"/>
  <c r="AF6988" i="2"/>
  <c r="AF6989" i="2"/>
  <c r="AF6990" i="2"/>
  <c r="AF6991" i="2"/>
  <c r="AF6992" i="2"/>
  <c r="AF6993" i="2"/>
  <c r="AF6994" i="2"/>
  <c r="AF6995" i="2"/>
  <c r="AF6996" i="2"/>
  <c r="AF6997" i="2"/>
  <c r="AF6998" i="2"/>
  <c r="AF6999" i="2"/>
  <c r="AF7000" i="2"/>
  <c r="AF7001" i="2"/>
  <c r="AF7002" i="2"/>
  <c r="AF7003" i="2"/>
  <c r="AF7004" i="2"/>
  <c r="AF7005" i="2"/>
  <c r="AF7006" i="2"/>
  <c r="AF7007" i="2"/>
  <c r="AF7008" i="2"/>
  <c r="AF7009" i="2"/>
  <c r="AF7010" i="2"/>
  <c r="AF7011" i="2"/>
  <c r="AF7012" i="2"/>
  <c r="AF7013" i="2"/>
  <c r="AF7014" i="2"/>
  <c r="AF7015" i="2"/>
  <c r="AF7016" i="2"/>
  <c r="AF7017" i="2"/>
  <c r="AF7018" i="2"/>
  <c r="AF7019" i="2"/>
  <c r="AF7020" i="2"/>
  <c r="AF7021" i="2"/>
  <c r="AF7022" i="2"/>
  <c r="AF7023" i="2"/>
  <c r="AF7024" i="2"/>
  <c r="AF7025" i="2"/>
  <c r="AF7026" i="2"/>
  <c r="AF7027" i="2"/>
  <c r="AF7028" i="2"/>
  <c r="AF7029" i="2"/>
  <c r="AF7030" i="2"/>
  <c r="AF7031" i="2"/>
  <c r="AF7032" i="2"/>
  <c r="AF7033" i="2"/>
  <c r="AF7034" i="2"/>
  <c r="AF7035" i="2"/>
  <c r="AF7036" i="2"/>
  <c r="AF7037" i="2"/>
  <c r="AF7038" i="2"/>
  <c r="AF7039" i="2"/>
  <c r="AF7040" i="2"/>
  <c r="AF7041" i="2"/>
  <c r="AF7042" i="2"/>
  <c r="AF7043" i="2"/>
  <c r="AF7044" i="2"/>
  <c r="AF7045" i="2"/>
  <c r="AF7046" i="2"/>
  <c r="AF7047" i="2"/>
  <c r="AF7048" i="2"/>
  <c r="AF7049" i="2"/>
  <c r="AF7050" i="2"/>
  <c r="AF7051" i="2"/>
  <c r="AF7052" i="2"/>
  <c r="AF7053" i="2"/>
  <c r="AF7054" i="2"/>
  <c r="AF7055" i="2"/>
  <c r="AF7056" i="2"/>
  <c r="AF7057" i="2"/>
  <c r="AF7058" i="2"/>
  <c r="AF7059" i="2"/>
  <c r="AF7060" i="2"/>
  <c r="AF7061" i="2"/>
  <c r="AF7062" i="2"/>
  <c r="AF7063" i="2"/>
  <c r="AF7064" i="2"/>
  <c r="AF7065" i="2"/>
  <c r="AF7066" i="2"/>
  <c r="AF7067" i="2"/>
  <c r="AF7068" i="2"/>
  <c r="AF7069" i="2"/>
  <c r="AF7070" i="2"/>
  <c r="AF7071" i="2"/>
  <c r="AF7072" i="2"/>
  <c r="AF7073" i="2"/>
  <c r="AF7074" i="2"/>
  <c r="AF7075" i="2"/>
  <c r="AF7076" i="2"/>
  <c r="AF7077" i="2"/>
  <c r="AF7078" i="2"/>
  <c r="AF7079" i="2"/>
  <c r="AF7080" i="2"/>
  <c r="AF7081" i="2"/>
  <c r="AF7082" i="2"/>
  <c r="AF7083" i="2"/>
  <c r="AF7084" i="2"/>
  <c r="AF7085" i="2"/>
  <c r="AF7086" i="2"/>
  <c r="AF7087" i="2"/>
  <c r="AF7088" i="2"/>
  <c r="AF7089" i="2"/>
  <c r="AF7090" i="2"/>
  <c r="AF7091" i="2"/>
  <c r="AF7092" i="2"/>
  <c r="AF7093" i="2"/>
  <c r="AF7094" i="2"/>
  <c r="AF7095" i="2"/>
  <c r="AF7096" i="2"/>
  <c r="AF7097" i="2"/>
  <c r="AF7098" i="2"/>
  <c r="AF7099" i="2"/>
  <c r="AF7100" i="2"/>
  <c r="AF7101" i="2"/>
  <c r="AF7102" i="2"/>
  <c r="AF7103" i="2"/>
  <c r="AF7104" i="2"/>
  <c r="AF7105" i="2"/>
  <c r="AF7106" i="2"/>
  <c r="AF7107" i="2"/>
  <c r="AF7108" i="2"/>
  <c r="AF7109" i="2"/>
  <c r="AF7110" i="2"/>
  <c r="AF7111" i="2"/>
  <c r="AF7112" i="2"/>
  <c r="AF7113" i="2"/>
  <c r="AF7114" i="2"/>
  <c r="AF7115" i="2"/>
  <c r="AF7116" i="2"/>
  <c r="AF7117" i="2"/>
  <c r="AF7118" i="2"/>
  <c r="AF7119" i="2"/>
  <c r="AF7120" i="2"/>
  <c r="AF7121" i="2"/>
  <c r="AF7122" i="2"/>
  <c r="AF7123" i="2"/>
  <c r="AF7124" i="2"/>
  <c r="AF7125" i="2"/>
  <c r="AF7126" i="2"/>
  <c r="AF7127" i="2"/>
  <c r="AF7128" i="2"/>
  <c r="AF7129" i="2"/>
  <c r="AF7130" i="2"/>
  <c r="AF7131" i="2"/>
  <c r="AF7132" i="2"/>
  <c r="AF7133" i="2"/>
  <c r="AF7134" i="2"/>
  <c r="AF7135" i="2"/>
  <c r="AF7136" i="2"/>
  <c r="AF7137" i="2"/>
  <c r="AF7138" i="2"/>
  <c r="AF7139" i="2"/>
  <c r="AF7140" i="2"/>
  <c r="AF7141" i="2"/>
  <c r="AF7142" i="2"/>
  <c r="AF7143" i="2"/>
  <c r="AF7144" i="2"/>
  <c r="AF7145" i="2"/>
  <c r="AF7146" i="2"/>
  <c r="AF7147" i="2"/>
  <c r="AF7148" i="2"/>
  <c r="AF7149" i="2"/>
  <c r="AF7150" i="2"/>
  <c r="AF7151" i="2"/>
  <c r="AF7152" i="2"/>
  <c r="AF7153" i="2"/>
  <c r="AF7154" i="2"/>
  <c r="AF7155" i="2"/>
  <c r="AF7156" i="2"/>
  <c r="AF7157" i="2"/>
  <c r="AF7158" i="2"/>
  <c r="AF7159" i="2"/>
  <c r="AF7160" i="2"/>
  <c r="AF7161" i="2"/>
  <c r="AF7162" i="2"/>
  <c r="AF7163" i="2"/>
  <c r="AF7164" i="2"/>
  <c r="AF7165" i="2"/>
  <c r="AF7166" i="2"/>
  <c r="AF7167" i="2"/>
  <c r="AF7168" i="2"/>
  <c r="AF7169" i="2"/>
  <c r="AF7170" i="2"/>
  <c r="AF7171" i="2"/>
  <c r="AF7172" i="2"/>
  <c r="AF7173" i="2"/>
  <c r="AF7174" i="2"/>
  <c r="AF7175" i="2"/>
  <c r="AF7176" i="2"/>
  <c r="AF7177" i="2"/>
  <c r="AF7178" i="2"/>
  <c r="AF7179" i="2"/>
  <c r="AF7180" i="2"/>
  <c r="AF7181" i="2"/>
  <c r="AF7182" i="2"/>
  <c r="AF7183" i="2"/>
  <c r="AF7184" i="2"/>
  <c r="AF7185" i="2"/>
  <c r="AF7186" i="2"/>
  <c r="AF7187" i="2"/>
  <c r="AF7188" i="2"/>
  <c r="AF7189" i="2"/>
  <c r="AF7190" i="2"/>
  <c r="AF7191" i="2"/>
  <c r="AF7192" i="2"/>
  <c r="AF7193" i="2"/>
  <c r="AF7194" i="2"/>
  <c r="AF7195" i="2"/>
  <c r="AF7196" i="2"/>
  <c r="AF7197" i="2"/>
  <c r="AF7198" i="2"/>
  <c r="AF7199" i="2"/>
  <c r="AF7200" i="2"/>
  <c r="AF7201" i="2"/>
  <c r="AF7202" i="2"/>
  <c r="AF7203" i="2"/>
  <c r="AF7204" i="2"/>
  <c r="AF7205" i="2"/>
  <c r="AF7206" i="2"/>
  <c r="AF7207" i="2"/>
  <c r="AF7208" i="2"/>
  <c r="AF7209" i="2"/>
  <c r="AF7210" i="2"/>
  <c r="AF7211" i="2"/>
  <c r="AF7212" i="2"/>
  <c r="AF7213" i="2"/>
  <c r="AF7214" i="2"/>
  <c r="AF7215" i="2"/>
  <c r="AF7216" i="2"/>
  <c r="AF7217" i="2"/>
  <c r="AF7218" i="2"/>
  <c r="AF7219" i="2"/>
  <c r="AF7220" i="2"/>
  <c r="AF7221" i="2"/>
  <c r="AF7222" i="2"/>
  <c r="AF7223" i="2"/>
  <c r="AF7224" i="2"/>
  <c r="AF7225" i="2"/>
  <c r="AF7226" i="2"/>
  <c r="AF7227" i="2"/>
  <c r="AF7228" i="2"/>
  <c r="AF7229" i="2"/>
  <c r="AF7230" i="2"/>
  <c r="AF7231" i="2"/>
  <c r="AF7232" i="2"/>
  <c r="AF7233" i="2"/>
  <c r="AF7234" i="2"/>
  <c r="AF7235" i="2"/>
  <c r="AF7236" i="2"/>
  <c r="AF7237" i="2"/>
  <c r="AF7238" i="2"/>
  <c r="AF7239" i="2"/>
  <c r="AF7240" i="2"/>
  <c r="AF7241" i="2"/>
  <c r="AF7242" i="2"/>
  <c r="AF7243" i="2"/>
  <c r="AF7244" i="2"/>
  <c r="AF7245" i="2"/>
  <c r="AF7246" i="2"/>
  <c r="AF7247" i="2"/>
  <c r="AF7248" i="2"/>
  <c r="AF7249" i="2"/>
  <c r="AF7250" i="2"/>
  <c r="AF7251" i="2"/>
  <c r="AF7252" i="2"/>
  <c r="AF7253" i="2"/>
  <c r="AF7254" i="2"/>
  <c r="AF7255" i="2"/>
  <c r="AF7256" i="2"/>
  <c r="AF7257" i="2"/>
  <c r="AF7258" i="2"/>
  <c r="AF7259" i="2"/>
  <c r="AF7260" i="2"/>
  <c r="AF7261" i="2"/>
  <c r="AF7262" i="2"/>
  <c r="AF7263" i="2"/>
  <c r="AF7264" i="2"/>
  <c r="AF7265" i="2"/>
  <c r="AF7266" i="2"/>
  <c r="AF7267" i="2"/>
  <c r="AF7268" i="2"/>
  <c r="AF7269" i="2"/>
  <c r="AF7270" i="2"/>
  <c r="AF7271" i="2"/>
  <c r="AF7272" i="2"/>
  <c r="AF7273" i="2"/>
  <c r="AF7274" i="2"/>
  <c r="AF7275" i="2"/>
  <c r="AF7276" i="2"/>
  <c r="AF7277" i="2"/>
  <c r="AF7278" i="2"/>
  <c r="AF7279" i="2"/>
  <c r="AF7280" i="2"/>
  <c r="AF7281" i="2"/>
  <c r="AF7282" i="2"/>
  <c r="AF7283" i="2"/>
  <c r="AF7284" i="2"/>
  <c r="AF7285" i="2"/>
  <c r="AF7286" i="2"/>
  <c r="AF7287" i="2"/>
  <c r="AF7288" i="2"/>
  <c r="AF7289" i="2"/>
  <c r="AF7290" i="2"/>
  <c r="AF7291" i="2"/>
  <c r="AF7292" i="2"/>
  <c r="AF7293" i="2"/>
  <c r="AF7294" i="2"/>
  <c r="AF7295" i="2"/>
  <c r="AF7296" i="2"/>
  <c r="AF7297" i="2"/>
  <c r="AF7298" i="2"/>
  <c r="AF7299" i="2"/>
  <c r="AF7300" i="2"/>
  <c r="AF7301" i="2"/>
  <c r="AF7302" i="2"/>
  <c r="AF7303" i="2"/>
  <c r="AF7304" i="2"/>
  <c r="AF7305" i="2"/>
  <c r="AF7306" i="2"/>
  <c r="AF7307" i="2"/>
  <c r="AF7308" i="2"/>
  <c r="AF7309" i="2"/>
  <c r="AF7310" i="2"/>
  <c r="AF7311" i="2"/>
  <c r="AF7312" i="2"/>
  <c r="AF7313" i="2"/>
  <c r="AF7314" i="2"/>
  <c r="AF7315" i="2"/>
  <c r="AF7316" i="2"/>
  <c r="AF7317" i="2"/>
  <c r="AF7318" i="2"/>
  <c r="AF7319" i="2"/>
  <c r="AF7320" i="2"/>
  <c r="AF7321" i="2"/>
  <c r="AF7322" i="2"/>
  <c r="AF7323" i="2"/>
  <c r="AF7324" i="2"/>
  <c r="AF7325" i="2"/>
  <c r="AF7326" i="2"/>
  <c r="AF7327" i="2"/>
  <c r="AF7328" i="2"/>
  <c r="AF7329" i="2"/>
  <c r="AF7330" i="2"/>
  <c r="AF7331" i="2"/>
  <c r="AF7332" i="2"/>
  <c r="AF7333" i="2"/>
  <c r="AF7334" i="2"/>
  <c r="AF7335" i="2"/>
  <c r="AF7336" i="2"/>
  <c r="AF7337" i="2"/>
  <c r="AF7338" i="2"/>
  <c r="AF7339" i="2"/>
  <c r="AF7340" i="2"/>
  <c r="AF7341" i="2"/>
  <c r="AF7342" i="2"/>
  <c r="AF7343" i="2"/>
  <c r="AF7344" i="2"/>
  <c r="AF7345" i="2"/>
  <c r="AF7346" i="2"/>
  <c r="AF7347" i="2"/>
  <c r="AF7348" i="2"/>
  <c r="AF7349" i="2"/>
  <c r="AF7350" i="2"/>
  <c r="AF7351" i="2"/>
  <c r="AF7352" i="2"/>
  <c r="AF7353" i="2"/>
  <c r="AF7354" i="2"/>
  <c r="AF7355" i="2"/>
  <c r="AF7356" i="2"/>
  <c r="AF7357" i="2"/>
  <c r="AF7358" i="2"/>
  <c r="AF7359" i="2"/>
  <c r="AF7360" i="2"/>
  <c r="AF7361" i="2"/>
  <c r="AF7362" i="2"/>
  <c r="AF7363" i="2"/>
  <c r="AF7364" i="2"/>
  <c r="AF7365" i="2"/>
  <c r="AF7366" i="2"/>
  <c r="AF7367" i="2"/>
  <c r="AF7368" i="2"/>
  <c r="AF7369" i="2"/>
  <c r="AF7370" i="2"/>
  <c r="AF7371" i="2"/>
  <c r="AF7372" i="2"/>
  <c r="AF7373" i="2"/>
  <c r="AF7374" i="2"/>
  <c r="AF7375" i="2"/>
  <c r="AF7376" i="2"/>
  <c r="AF7377" i="2"/>
  <c r="AF7378" i="2"/>
  <c r="AF7379" i="2"/>
  <c r="AF7380" i="2"/>
  <c r="AF7381" i="2"/>
  <c r="AF7382" i="2"/>
  <c r="AF7383" i="2"/>
  <c r="AF7384" i="2"/>
  <c r="AF7385" i="2"/>
  <c r="AF7386" i="2"/>
  <c r="AF7387" i="2"/>
  <c r="AF7388" i="2"/>
  <c r="AF7389" i="2"/>
  <c r="AF7390" i="2"/>
  <c r="AF7391" i="2"/>
  <c r="AF7392" i="2"/>
  <c r="AF7393" i="2"/>
  <c r="AF7394" i="2"/>
  <c r="AF7395" i="2"/>
  <c r="AF7396" i="2"/>
  <c r="AF7397" i="2"/>
  <c r="AF7398" i="2"/>
  <c r="AF7399" i="2"/>
  <c r="AF7400" i="2"/>
  <c r="AF7401" i="2"/>
  <c r="AF7402" i="2"/>
  <c r="AF7403" i="2"/>
  <c r="AF7404" i="2"/>
  <c r="AF7405" i="2"/>
  <c r="AF7406" i="2"/>
  <c r="AF7407" i="2"/>
  <c r="AF7408" i="2"/>
  <c r="AF7409" i="2"/>
  <c r="AF7410" i="2"/>
  <c r="AF7411" i="2"/>
  <c r="AF7412" i="2"/>
  <c r="AF7413" i="2"/>
  <c r="AF7414" i="2"/>
  <c r="AF7415" i="2"/>
  <c r="AF7416" i="2"/>
  <c r="AF7417" i="2"/>
  <c r="AF7418" i="2"/>
  <c r="AF7419" i="2"/>
  <c r="AF7420" i="2"/>
  <c r="AF7421" i="2"/>
  <c r="AF7422" i="2"/>
  <c r="AF7423" i="2"/>
  <c r="AF7424" i="2"/>
  <c r="AF7425" i="2"/>
  <c r="AF7426" i="2"/>
  <c r="AF7427" i="2"/>
  <c r="AF7428" i="2"/>
  <c r="AF7429" i="2"/>
  <c r="AF7430" i="2"/>
  <c r="AF7431" i="2"/>
  <c r="AF7432" i="2"/>
  <c r="AF7433" i="2"/>
  <c r="AF7434" i="2"/>
  <c r="AF7435" i="2"/>
  <c r="AF7436" i="2"/>
  <c r="AF7437" i="2"/>
  <c r="AF7438" i="2"/>
  <c r="AF7439" i="2"/>
  <c r="AF7440" i="2"/>
  <c r="AF7441" i="2"/>
  <c r="AF7442" i="2"/>
  <c r="AF7443" i="2"/>
  <c r="AF7444" i="2"/>
  <c r="AF7445" i="2"/>
  <c r="AF7446" i="2"/>
  <c r="AF7447" i="2"/>
  <c r="AF7448" i="2"/>
  <c r="AF7449" i="2"/>
  <c r="AF7450" i="2"/>
  <c r="AF7451" i="2"/>
  <c r="AF7452" i="2"/>
  <c r="AF7453" i="2"/>
  <c r="AF7454" i="2"/>
  <c r="AF7455" i="2"/>
  <c r="AF7456" i="2"/>
  <c r="AF7457" i="2"/>
  <c r="AF7458" i="2"/>
  <c r="AF7459" i="2"/>
  <c r="AF7460" i="2"/>
  <c r="AF7461" i="2"/>
  <c r="AF7462" i="2"/>
  <c r="AF7463" i="2"/>
  <c r="AF7464" i="2"/>
  <c r="AF7465" i="2"/>
  <c r="AF7466" i="2"/>
  <c r="AF7467" i="2"/>
  <c r="AF7468" i="2"/>
  <c r="AF7469" i="2"/>
  <c r="AF7470" i="2"/>
  <c r="AF7471" i="2"/>
  <c r="AF7472" i="2"/>
  <c r="AF7473" i="2"/>
  <c r="AF7474" i="2"/>
  <c r="AF7475" i="2"/>
  <c r="AF7476" i="2"/>
  <c r="AF7477" i="2"/>
  <c r="AF7478" i="2"/>
  <c r="AF7479" i="2"/>
  <c r="AF7480" i="2"/>
  <c r="AF7481" i="2"/>
  <c r="AF7482" i="2"/>
  <c r="AF7483" i="2"/>
  <c r="AF7484" i="2"/>
  <c r="AF7485" i="2"/>
  <c r="AF7486" i="2"/>
  <c r="AF7487" i="2"/>
  <c r="AF7488" i="2"/>
  <c r="AF7489" i="2"/>
  <c r="AF7490" i="2"/>
  <c r="AF7491" i="2"/>
  <c r="AF7492" i="2"/>
  <c r="AF7493" i="2"/>
  <c r="AF7494" i="2"/>
  <c r="AF7495" i="2"/>
  <c r="AF7496" i="2"/>
  <c r="AF7497" i="2"/>
  <c r="AF7498" i="2"/>
  <c r="AF7499" i="2"/>
  <c r="AF7500" i="2"/>
  <c r="AF7501" i="2"/>
  <c r="AF7502" i="2"/>
  <c r="AF7503" i="2"/>
  <c r="AF7504" i="2"/>
  <c r="AF7505" i="2"/>
  <c r="AF7506" i="2"/>
  <c r="AF7507" i="2"/>
  <c r="AF7508" i="2"/>
  <c r="AF7509" i="2"/>
  <c r="AF7510" i="2"/>
  <c r="AF7511" i="2"/>
  <c r="AF7512" i="2"/>
  <c r="AF7513" i="2"/>
  <c r="AF7514" i="2"/>
  <c r="AF7515" i="2"/>
  <c r="AF7516" i="2"/>
  <c r="AF7517" i="2"/>
  <c r="AF7518" i="2"/>
  <c r="AF7519" i="2"/>
  <c r="AF7520" i="2"/>
  <c r="AF7521" i="2"/>
  <c r="AF7522" i="2"/>
  <c r="AF7523" i="2"/>
  <c r="AF7524" i="2"/>
  <c r="AF7525" i="2"/>
  <c r="AF7526" i="2"/>
  <c r="AF7527" i="2"/>
  <c r="AF7528" i="2"/>
  <c r="AF7529" i="2"/>
  <c r="AF7530" i="2"/>
  <c r="AF7531" i="2"/>
  <c r="AF7532" i="2"/>
  <c r="AF7533" i="2"/>
  <c r="AF7534" i="2"/>
  <c r="AF7535" i="2"/>
  <c r="AF7536" i="2"/>
  <c r="AF7537" i="2"/>
  <c r="AF7538" i="2"/>
  <c r="AF7539" i="2"/>
  <c r="AF7540" i="2"/>
  <c r="AF7541" i="2"/>
  <c r="AF7542" i="2"/>
  <c r="AF7543" i="2"/>
  <c r="AF7544" i="2"/>
  <c r="AF7545" i="2"/>
  <c r="AF7546" i="2"/>
  <c r="AF7547" i="2"/>
  <c r="AF7548" i="2"/>
  <c r="AF7549" i="2"/>
  <c r="AF7550" i="2"/>
  <c r="AF7551" i="2"/>
  <c r="AF7552" i="2"/>
  <c r="AF7553" i="2"/>
  <c r="AF7554" i="2"/>
  <c r="AF7555" i="2"/>
  <c r="AF7556" i="2"/>
  <c r="AF7557" i="2"/>
  <c r="AF7558" i="2"/>
  <c r="AF7559" i="2"/>
  <c r="AF7560" i="2"/>
  <c r="AF7561" i="2"/>
  <c r="AF7562" i="2"/>
  <c r="AF7563" i="2"/>
  <c r="AF7564" i="2"/>
  <c r="AF7565" i="2"/>
  <c r="AF7566" i="2"/>
  <c r="AF7567" i="2"/>
  <c r="AF7568" i="2"/>
  <c r="AF7569" i="2"/>
  <c r="AF7570" i="2"/>
  <c r="AF7571" i="2"/>
  <c r="AF7572" i="2"/>
  <c r="AF7573" i="2"/>
  <c r="AF7574" i="2"/>
  <c r="AF7575" i="2"/>
  <c r="AF7576" i="2"/>
  <c r="AF7577" i="2"/>
  <c r="AF7578" i="2"/>
  <c r="AF7579" i="2"/>
  <c r="AF7580" i="2"/>
  <c r="AF7581" i="2"/>
  <c r="AF7582" i="2"/>
  <c r="AF7583" i="2"/>
  <c r="AF7584" i="2"/>
  <c r="AF7585" i="2"/>
  <c r="AF7586" i="2"/>
  <c r="AF7587" i="2"/>
  <c r="AF7588" i="2"/>
  <c r="AF7589" i="2"/>
  <c r="AF7590" i="2"/>
  <c r="AF7591" i="2"/>
  <c r="AF7592" i="2"/>
  <c r="AF7593" i="2"/>
  <c r="AF7594" i="2"/>
  <c r="AF7595" i="2"/>
  <c r="AF7596" i="2"/>
  <c r="AF7597" i="2"/>
  <c r="AF7598" i="2"/>
  <c r="AF7599" i="2"/>
  <c r="AF7600" i="2"/>
  <c r="AF7601" i="2"/>
  <c r="AF7602" i="2"/>
  <c r="AF7603" i="2"/>
  <c r="AF7604" i="2"/>
  <c r="AF7605" i="2"/>
  <c r="AF7606" i="2"/>
  <c r="AF7607" i="2"/>
  <c r="AF7608" i="2"/>
  <c r="AF7609" i="2"/>
  <c r="AF7610" i="2"/>
  <c r="AF7611" i="2"/>
  <c r="AF7612" i="2"/>
  <c r="AF7613" i="2"/>
  <c r="AF7614" i="2"/>
  <c r="AF7615" i="2"/>
  <c r="AF7616" i="2"/>
  <c r="AF7617" i="2"/>
  <c r="AF7618" i="2"/>
  <c r="AF7619" i="2"/>
  <c r="AF7620" i="2"/>
  <c r="AF7621" i="2"/>
  <c r="AF7622" i="2"/>
  <c r="AF7623" i="2"/>
  <c r="AF7624" i="2"/>
  <c r="AF7625" i="2"/>
  <c r="AF7626" i="2"/>
  <c r="AF7627" i="2"/>
  <c r="AF7628" i="2"/>
  <c r="AF7629" i="2"/>
  <c r="AF7630" i="2"/>
  <c r="AF7631" i="2"/>
  <c r="AF7632" i="2"/>
  <c r="AF7633" i="2"/>
  <c r="AF7634" i="2"/>
  <c r="AF7635" i="2"/>
  <c r="AF7636" i="2"/>
  <c r="AF7637" i="2"/>
  <c r="AF7638" i="2"/>
  <c r="AF7639" i="2"/>
  <c r="AF7640" i="2"/>
  <c r="AF7641" i="2"/>
  <c r="AF7642" i="2"/>
  <c r="AF7643" i="2"/>
  <c r="AF7644" i="2"/>
  <c r="AF7645" i="2"/>
  <c r="AF7646" i="2"/>
  <c r="AF7647" i="2"/>
  <c r="AF7648" i="2"/>
  <c r="AF7649" i="2"/>
  <c r="AF7650" i="2"/>
  <c r="AF7651" i="2"/>
  <c r="AF7652" i="2"/>
  <c r="AF7653" i="2"/>
  <c r="AF7654" i="2"/>
  <c r="AF7655" i="2"/>
  <c r="AF7656" i="2"/>
  <c r="AF7657" i="2"/>
  <c r="AF7658" i="2"/>
  <c r="AF7659" i="2"/>
  <c r="AF7660" i="2"/>
  <c r="AF7661" i="2"/>
  <c r="AF7662" i="2"/>
  <c r="AF7663" i="2"/>
  <c r="AF7664" i="2"/>
  <c r="AF7665" i="2"/>
  <c r="AF7666" i="2"/>
  <c r="AF7667" i="2"/>
  <c r="AF7668" i="2"/>
  <c r="AF7669" i="2"/>
  <c r="AF7670" i="2"/>
  <c r="AF7671" i="2"/>
  <c r="AF7672" i="2"/>
  <c r="AF7673" i="2"/>
  <c r="AF7674" i="2"/>
  <c r="AF7675" i="2"/>
  <c r="AF7676" i="2"/>
  <c r="AF7677" i="2"/>
  <c r="AF7678" i="2"/>
  <c r="AF7679" i="2"/>
  <c r="AF7680" i="2"/>
  <c r="AF7681" i="2"/>
  <c r="AF7682" i="2"/>
  <c r="AF7683" i="2"/>
  <c r="AF7684" i="2"/>
  <c r="AF7685" i="2"/>
  <c r="AF7686" i="2"/>
  <c r="AF7687" i="2"/>
  <c r="AF7688" i="2"/>
  <c r="AF7689" i="2"/>
  <c r="AF7690" i="2"/>
  <c r="AF7691" i="2"/>
  <c r="AF7692" i="2"/>
  <c r="AF7693" i="2"/>
  <c r="AF7694" i="2"/>
  <c r="AF7695" i="2"/>
  <c r="AF7696" i="2"/>
  <c r="AF7697" i="2"/>
  <c r="AF7698" i="2"/>
  <c r="AF7699" i="2"/>
  <c r="AF7700" i="2"/>
  <c r="AF7701" i="2"/>
  <c r="AF7702" i="2"/>
  <c r="AF7703" i="2"/>
  <c r="AF7704" i="2"/>
  <c r="AF7705" i="2"/>
  <c r="AF7706" i="2"/>
  <c r="AF7707" i="2"/>
  <c r="AF7708" i="2"/>
  <c r="AF7709" i="2"/>
  <c r="AF7710" i="2"/>
  <c r="AF7711" i="2"/>
  <c r="AF7712" i="2"/>
  <c r="AF7713" i="2"/>
  <c r="AF7714" i="2"/>
  <c r="AF7715" i="2"/>
  <c r="AF7716" i="2"/>
  <c r="AF7717" i="2"/>
  <c r="AF7718" i="2"/>
  <c r="AF7719" i="2"/>
  <c r="AF7720" i="2"/>
  <c r="AF7721" i="2"/>
  <c r="AF7722" i="2"/>
  <c r="AF7723" i="2"/>
  <c r="AF7724" i="2"/>
  <c r="AF7725" i="2"/>
  <c r="AF7726" i="2"/>
  <c r="AF7727" i="2"/>
  <c r="AF7728" i="2"/>
  <c r="AF7729" i="2"/>
  <c r="AF7730" i="2"/>
  <c r="AF7731" i="2"/>
  <c r="AF7732" i="2"/>
  <c r="AF7733" i="2"/>
  <c r="AF7734" i="2"/>
  <c r="AF7735" i="2"/>
  <c r="AF7736" i="2"/>
  <c r="AF7737" i="2"/>
  <c r="AF7738" i="2"/>
  <c r="AF7739" i="2"/>
  <c r="AF7740" i="2"/>
  <c r="AF7741" i="2"/>
  <c r="AF7742" i="2"/>
  <c r="AF7743" i="2"/>
  <c r="AF7744" i="2"/>
  <c r="AF7745" i="2"/>
  <c r="AF7746" i="2"/>
  <c r="AF7747" i="2"/>
  <c r="AF7748" i="2"/>
  <c r="AF7749" i="2"/>
  <c r="AF7750" i="2"/>
  <c r="AF7751" i="2"/>
  <c r="AF7752" i="2"/>
  <c r="AF7753" i="2"/>
  <c r="AF7754" i="2"/>
  <c r="AF7755" i="2"/>
  <c r="AF7756" i="2"/>
  <c r="AF7757" i="2"/>
  <c r="AF7758" i="2"/>
  <c r="AF7759" i="2"/>
  <c r="AF7760" i="2"/>
  <c r="AF7761" i="2"/>
  <c r="AF7762" i="2"/>
  <c r="AF7763" i="2"/>
  <c r="AF7764" i="2"/>
  <c r="AF7765" i="2"/>
  <c r="AF7766" i="2"/>
  <c r="AF7767" i="2"/>
  <c r="AF7768" i="2"/>
  <c r="AF7769" i="2"/>
  <c r="AF7770" i="2"/>
  <c r="AF7771" i="2"/>
  <c r="AF7772" i="2"/>
  <c r="AF7773" i="2"/>
  <c r="AF7774" i="2"/>
  <c r="AF7775" i="2"/>
  <c r="AF7776" i="2"/>
  <c r="AF7777" i="2"/>
  <c r="AF7778" i="2"/>
  <c r="AF7779" i="2"/>
  <c r="AF7780" i="2"/>
  <c r="AF7781" i="2"/>
  <c r="AF7782" i="2"/>
  <c r="AF7783" i="2"/>
  <c r="AF7784" i="2"/>
  <c r="AF7785" i="2"/>
  <c r="AF7786" i="2"/>
  <c r="AF7787" i="2"/>
  <c r="AF7788" i="2"/>
  <c r="AF7789" i="2"/>
  <c r="AF7790" i="2"/>
  <c r="AF7791" i="2"/>
  <c r="AF7792" i="2"/>
  <c r="AF7793" i="2"/>
  <c r="AF7794" i="2"/>
  <c r="AF7795" i="2"/>
  <c r="AF7796" i="2"/>
  <c r="AF7797" i="2"/>
  <c r="AF7798" i="2"/>
  <c r="AF7799" i="2"/>
  <c r="AF7800" i="2"/>
  <c r="AF7801" i="2"/>
  <c r="AF7802" i="2"/>
  <c r="AF7803" i="2"/>
  <c r="AF7804" i="2"/>
  <c r="AF7805" i="2"/>
  <c r="AF7806" i="2"/>
  <c r="AF7807" i="2"/>
  <c r="AF7808" i="2"/>
  <c r="AF7809" i="2"/>
  <c r="AF7810" i="2"/>
  <c r="AF7811" i="2"/>
  <c r="AF7812" i="2"/>
  <c r="AF7813" i="2"/>
  <c r="AF7814" i="2"/>
  <c r="AF7815" i="2"/>
  <c r="AF7816" i="2"/>
  <c r="AF7817" i="2"/>
  <c r="AF7818" i="2"/>
  <c r="AF7819" i="2"/>
  <c r="AF7820" i="2"/>
  <c r="AF7821" i="2"/>
  <c r="AF7822" i="2"/>
  <c r="AF7823" i="2"/>
  <c r="AF7824" i="2"/>
  <c r="AF7825" i="2"/>
  <c r="AF7826" i="2"/>
  <c r="AF7827" i="2"/>
  <c r="AF7828" i="2"/>
  <c r="AF7829" i="2"/>
  <c r="AF7830" i="2"/>
  <c r="AF7831" i="2"/>
  <c r="AF7832" i="2"/>
  <c r="AF7833" i="2"/>
  <c r="AF7834" i="2"/>
  <c r="AF7835" i="2"/>
  <c r="AF7836" i="2"/>
  <c r="AF7837" i="2"/>
  <c r="AF7838" i="2"/>
  <c r="AF7839" i="2"/>
  <c r="AF7840" i="2"/>
  <c r="AF7841" i="2"/>
  <c r="AF7842" i="2"/>
  <c r="AF7843" i="2"/>
  <c r="AF7844" i="2"/>
  <c r="AF7845" i="2"/>
  <c r="AF7846" i="2"/>
  <c r="AF7847" i="2"/>
  <c r="AF7848" i="2"/>
  <c r="AF7849" i="2"/>
  <c r="AF7850" i="2"/>
  <c r="AF7851" i="2"/>
  <c r="AF7852" i="2"/>
  <c r="AF7853" i="2"/>
  <c r="AF7854" i="2"/>
  <c r="AF7855" i="2"/>
  <c r="AF7856" i="2"/>
  <c r="AF7857" i="2"/>
  <c r="AF7858" i="2"/>
  <c r="AF7859" i="2"/>
  <c r="AF7860" i="2"/>
  <c r="AF7861" i="2"/>
  <c r="AF7862" i="2"/>
  <c r="AF7863" i="2"/>
  <c r="AF7864" i="2"/>
  <c r="AF7865" i="2"/>
  <c r="AF7866" i="2"/>
  <c r="AF7867" i="2"/>
  <c r="AF7868" i="2"/>
  <c r="AF7869" i="2"/>
  <c r="AF7870" i="2"/>
  <c r="AF7871" i="2"/>
  <c r="AF7872" i="2"/>
  <c r="AF7873" i="2"/>
  <c r="AF7874" i="2"/>
  <c r="AF7875" i="2"/>
  <c r="AF7876" i="2"/>
  <c r="AF7877" i="2"/>
  <c r="AF7878" i="2"/>
  <c r="AF7879" i="2"/>
  <c r="AF7880" i="2"/>
  <c r="AF7881" i="2"/>
  <c r="AF7882" i="2"/>
  <c r="AF7883" i="2"/>
  <c r="AF7884" i="2"/>
  <c r="AF7885" i="2"/>
  <c r="AF7886" i="2"/>
  <c r="AF7887" i="2"/>
  <c r="AF7888" i="2"/>
  <c r="AF7889" i="2"/>
  <c r="AF7890" i="2"/>
  <c r="AF7891" i="2"/>
  <c r="AF7892" i="2"/>
  <c r="AF7893" i="2"/>
  <c r="AF7894" i="2"/>
  <c r="AF7895" i="2"/>
  <c r="AF7896" i="2"/>
  <c r="AF7897" i="2"/>
  <c r="AF7898" i="2"/>
  <c r="AF7899" i="2"/>
  <c r="AF7900" i="2"/>
  <c r="AF7901" i="2"/>
  <c r="AF7902" i="2"/>
  <c r="AF7903" i="2"/>
  <c r="AF7904" i="2"/>
  <c r="AF7905" i="2"/>
  <c r="AF7906" i="2"/>
  <c r="AF7907" i="2"/>
  <c r="AF7908" i="2"/>
  <c r="AF7909" i="2"/>
  <c r="AF7910" i="2"/>
  <c r="AF7911" i="2"/>
  <c r="AF7912" i="2"/>
  <c r="AF7913" i="2"/>
  <c r="AF7914" i="2"/>
  <c r="AF7915" i="2"/>
  <c r="AF7916" i="2"/>
  <c r="AF7917" i="2"/>
  <c r="AF7918" i="2"/>
  <c r="AF7919" i="2"/>
  <c r="AF7920" i="2"/>
  <c r="AF7921" i="2"/>
  <c r="AF7922" i="2"/>
  <c r="AF7923" i="2"/>
  <c r="AF7924" i="2"/>
  <c r="AF7925" i="2"/>
  <c r="AF7926" i="2"/>
  <c r="AF7927" i="2"/>
  <c r="AF7928" i="2"/>
  <c r="AF7929" i="2"/>
  <c r="AF7930" i="2"/>
  <c r="AF7931" i="2"/>
  <c r="AF7932" i="2"/>
  <c r="AF7933" i="2"/>
  <c r="AF7934" i="2"/>
  <c r="AF7935" i="2"/>
  <c r="AF7936" i="2"/>
  <c r="AF7937" i="2"/>
  <c r="AF7938" i="2"/>
  <c r="AF7939" i="2"/>
  <c r="AF7940" i="2"/>
  <c r="AF7941" i="2"/>
  <c r="AF7942" i="2"/>
  <c r="AF7943" i="2"/>
  <c r="AF7944" i="2"/>
  <c r="AF7945" i="2"/>
  <c r="AF7946" i="2"/>
  <c r="AF7947" i="2"/>
  <c r="AF7948" i="2"/>
  <c r="AF7949" i="2"/>
  <c r="AF7950" i="2"/>
  <c r="AF7951" i="2"/>
  <c r="AF7952" i="2"/>
  <c r="AF7953" i="2"/>
  <c r="AF7954" i="2"/>
  <c r="AF7955" i="2"/>
  <c r="AF7956" i="2"/>
  <c r="AF7957" i="2"/>
  <c r="AF7958" i="2"/>
  <c r="AF7959" i="2"/>
  <c r="AF7960" i="2"/>
  <c r="AF7961" i="2"/>
  <c r="AF7962" i="2"/>
  <c r="AF7963" i="2"/>
  <c r="AF7964" i="2"/>
  <c r="AF7965" i="2"/>
  <c r="AF7966" i="2"/>
  <c r="AF7967" i="2"/>
  <c r="AF7968" i="2"/>
  <c r="AF7969" i="2"/>
  <c r="AF7970" i="2"/>
  <c r="AF7971" i="2"/>
  <c r="AF7972" i="2"/>
  <c r="AF7973" i="2"/>
  <c r="AF7974" i="2"/>
  <c r="AF7975" i="2"/>
  <c r="AF7976" i="2"/>
  <c r="AF7977" i="2"/>
  <c r="AF7978" i="2"/>
  <c r="AF7979" i="2"/>
  <c r="AF7980" i="2"/>
  <c r="AF7981" i="2"/>
  <c r="AF7982" i="2"/>
  <c r="AF7983" i="2"/>
  <c r="AF7984" i="2"/>
  <c r="AF7985" i="2"/>
  <c r="AF7986" i="2"/>
  <c r="AF7987" i="2"/>
  <c r="AF7988" i="2"/>
  <c r="AF7989" i="2"/>
  <c r="AF7990" i="2"/>
  <c r="AF7991" i="2"/>
  <c r="AF7992" i="2"/>
  <c r="AF7993" i="2"/>
  <c r="AF7994" i="2"/>
  <c r="AF7995" i="2"/>
  <c r="AF7996" i="2"/>
  <c r="AF7997" i="2"/>
  <c r="AF7998" i="2"/>
  <c r="AF7999" i="2"/>
  <c r="AF8000" i="2"/>
  <c r="AF8001" i="2"/>
  <c r="AF8002" i="2"/>
  <c r="AF8003" i="2"/>
  <c r="AF8004" i="2"/>
  <c r="AF8005" i="2"/>
  <c r="AF8006" i="2"/>
  <c r="AF8007" i="2"/>
  <c r="AF8008" i="2"/>
  <c r="AF8009" i="2"/>
  <c r="AF8010" i="2"/>
  <c r="AF8011" i="2"/>
  <c r="AF8012" i="2"/>
  <c r="AF8013" i="2"/>
  <c r="AF8014" i="2"/>
  <c r="AF8015" i="2"/>
  <c r="AF8016" i="2"/>
  <c r="AF8017" i="2"/>
  <c r="AF8018" i="2"/>
  <c r="AF8019" i="2"/>
  <c r="AF8020" i="2"/>
  <c r="AF8021" i="2"/>
  <c r="AF8022" i="2"/>
  <c r="AF8023" i="2"/>
  <c r="AF8024" i="2"/>
  <c r="AF8025" i="2"/>
  <c r="AF8026" i="2"/>
  <c r="AF8027" i="2"/>
  <c r="AF8028" i="2"/>
  <c r="AF8029" i="2"/>
  <c r="AF8030" i="2"/>
  <c r="AF8031" i="2"/>
  <c r="AF8032" i="2"/>
  <c r="AF8033" i="2"/>
  <c r="AF8034" i="2"/>
  <c r="AF8035" i="2"/>
  <c r="AF8036" i="2"/>
  <c r="AF8037" i="2"/>
  <c r="AF8038" i="2"/>
  <c r="AF8039" i="2"/>
  <c r="AF8040" i="2"/>
  <c r="AF8041" i="2"/>
  <c r="AF8042" i="2"/>
  <c r="AF8043" i="2"/>
  <c r="AF8044" i="2"/>
  <c r="AF8045" i="2"/>
  <c r="AF8046" i="2"/>
  <c r="AF8047" i="2"/>
  <c r="AF8048" i="2"/>
  <c r="AF8049" i="2"/>
  <c r="AF8050" i="2"/>
  <c r="AF8051" i="2"/>
  <c r="AF8052" i="2"/>
  <c r="AF8053" i="2"/>
  <c r="AF8054" i="2"/>
  <c r="AF8055" i="2"/>
  <c r="AF8056" i="2"/>
  <c r="AF8057" i="2"/>
  <c r="AF8058" i="2"/>
  <c r="AF8059" i="2"/>
  <c r="AF8060" i="2"/>
  <c r="AF8061" i="2"/>
  <c r="AF8062" i="2"/>
  <c r="AF8063" i="2"/>
  <c r="AF8064" i="2"/>
  <c r="AF8065" i="2"/>
  <c r="AF8066" i="2"/>
  <c r="AF8067" i="2"/>
  <c r="AF8068" i="2"/>
  <c r="AF8069" i="2"/>
  <c r="AF8070" i="2"/>
  <c r="AF8071" i="2"/>
  <c r="AF8072" i="2"/>
  <c r="AF8073" i="2"/>
  <c r="AF8074" i="2"/>
  <c r="AF8075" i="2"/>
  <c r="AF8076" i="2"/>
  <c r="AF8077" i="2"/>
  <c r="AF8078" i="2"/>
  <c r="AF8079" i="2"/>
  <c r="AF8080" i="2"/>
  <c r="AF8081" i="2"/>
  <c r="AF8082" i="2"/>
  <c r="AF8083" i="2"/>
  <c r="AF8084" i="2"/>
  <c r="AF8085" i="2"/>
  <c r="AF8086" i="2"/>
  <c r="AF8087" i="2"/>
  <c r="AF8088" i="2"/>
  <c r="AF8089" i="2"/>
  <c r="AF8090" i="2"/>
  <c r="AF8091" i="2"/>
  <c r="AF8092" i="2"/>
  <c r="AF8093" i="2"/>
  <c r="AF8094" i="2"/>
  <c r="AF8095" i="2"/>
  <c r="AF8096" i="2"/>
  <c r="AF8097" i="2"/>
  <c r="AF8098" i="2"/>
  <c r="AF8099" i="2"/>
  <c r="AF8100" i="2"/>
  <c r="AF8101" i="2"/>
  <c r="AF8102" i="2"/>
  <c r="AF8103" i="2"/>
  <c r="AF8104" i="2"/>
  <c r="AF8105" i="2"/>
  <c r="AF8106" i="2"/>
  <c r="AF8107" i="2"/>
  <c r="AF8108" i="2"/>
  <c r="AF8109" i="2"/>
  <c r="AF8110" i="2"/>
  <c r="AF8111" i="2"/>
  <c r="AF8112" i="2"/>
  <c r="AF8113" i="2"/>
  <c r="AF8114" i="2"/>
  <c r="AF8115" i="2"/>
  <c r="AF8116" i="2"/>
  <c r="AF8117" i="2"/>
  <c r="AF8118" i="2"/>
  <c r="AF8119" i="2"/>
  <c r="AF8120" i="2"/>
  <c r="AF8121" i="2"/>
  <c r="AF8122" i="2"/>
  <c r="AF8123" i="2"/>
  <c r="AF8124" i="2"/>
  <c r="AF8125" i="2"/>
  <c r="AF8126" i="2"/>
  <c r="AF8127" i="2"/>
  <c r="AF8128" i="2"/>
  <c r="AF8129" i="2"/>
  <c r="AF8130" i="2"/>
  <c r="AF8131" i="2"/>
  <c r="AF8132" i="2"/>
  <c r="AF8133" i="2"/>
  <c r="AF8134" i="2"/>
  <c r="AF8135" i="2"/>
  <c r="AF8136" i="2"/>
  <c r="AF8137" i="2"/>
  <c r="AF8138" i="2"/>
  <c r="AF8139" i="2"/>
  <c r="AF8140" i="2"/>
  <c r="AF8141" i="2"/>
  <c r="AF8142" i="2"/>
  <c r="AF8143" i="2"/>
  <c r="AF8144" i="2"/>
  <c r="AF8145" i="2"/>
  <c r="AF8146" i="2"/>
  <c r="AF8147" i="2"/>
  <c r="AF8148" i="2"/>
  <c r="AF8149" i="2"/>
  <c r="AF8150" i="2"/>
  <c r="AF8151" i="2"/>
  <c r="AF8152" i="2"/>
  <c r="AF8153" i="2"/>
  <c r="AF8154" i="2"/>
  <c r="AF8155" i="2"/>
  <c r="AF8156" i="2"/>
  <c r="AF8157" i="2"/>
  <c r="AF8158" i="2"/>
  <c r="AF8159" i="2"/>
  <c r="AF8160" i="2"/>
  <c r="AF8161" i="2"/>
  <c r="AF8162" i="2"/>
  <c r="AF8163" i="2"/>
  <c r="AF8164" i="2"/>
  <c r="AF8165" i="2"/>
  <c r="AF8166" i="2"/>
  <c r="AF8167" i="2"/>
  <c r="AF8168" i="2"/>
  <c r="AF8169" i="2"/>
  <c r="AF8170" i="2"/>
  <c r="AF8171" i="2"/>
  <c r="AF8172" i="2"/>
  <c r="AF8173" i="2"/>
  <c r="AF8174" i="2"/>
  <c r="AF8175" i="2"/>
  <c r="AF8176" i="2"/>
  <c r="AF8177" i="2"/>
  <c r="AF8178" i="2"/>
  <c r="AF8179" i="2"/>
  <c r="AF8180" i="2"/>
  <c r="AF8181" i="2"/>
  <c r="AF8182" i="2"/>
  <c r="AF8183" i="2"/>
  <c r="AF8184" i="2"/>
  <c r="AF8185" i="2"/>
  <c r="AF8186" i="2"/>
  <c r="AF8187" i="2"/>
  <c r="AF8188" i="2"/>
  <c r="AF8189" i="2"/>
  <c r="AF8190" i="2"/>
  <c r="AF8191" i="2"/>
  <c r="AF8192" i="2"/>
  <c r="AF8193" i="2"/>
  <c r="AF8194" i="2"/>
  <c r="AF8195" i="2"/>
  <c r="AF8196" i="2"/>
  <c r="AF8197" i="2"/>
  <c r="AF8198" i="2"/>
  <c r="AF8199" i="2"/>
  <c r="AF8200" i="2"/>
  <c r="AF8201" i="2"/>
  <c r="AF8202" i="2"/>
  <c r="AF8203" i="2"/>
  <c r="AF8204" i="2"/>
  <c r="AF8205" i="2"/>
  <c r="AF8206" i="2"/>
  <c r="AF8207" i="2"/>
  <c r="AF8208" i="2"/>
  <c r="AF8209" i="2"/>
  <c r="AF8210" i="2"/>
  <c r="AF8211" i="2"/>
  <c r="AF8212" i="2"/>
  <c r="AF8213" i="2"/>
  <c r="AF8214" i="2"/>
  <c r="AF8215" i="2"/>
  <c r="AF8216" i="2"/>
  <c r="AF8217" i="2"/>
  <c r="AF8218" i="2"/>
  <c r="AF8219" i="2"/>
  <c r="AF8220" i="2"/>
  <c r="AF8221" i="2"/>
  <c r="AF8222" i="2"/>
  <c r="AF8223" i="2"/>
  <c r="AF8224" i="2"/>
  <c r="AF8225" i="2"/>
  <c r="AF8226" i="2"/>
  <c r="AF8227" i="2"/>
  <c r="AF8228" i="2"/>
  <c r="AF8229" i="2"/>
  <c r="AF8230" i="2"/>
  <c r="AF8231" i="2"/>
  <c r="AF8232" i="2"/>
  <c r="AF8233" i="2"/>
  <c r="AF8234" i="2"/>
  <c r="AF8235" i="2"/>
  <c r="AF8236" i="2"/>
  <c r="AF8237" i="2"/>
  <c r="AF8238" i="2"/>
  <c r="AF8239" i="2"/>
  <c r="AF8240" i="2"/>
  <c r="AF8241" i="2"/>
  <c r="AF8242" i="2"/>
  <c r="AF8243" i="2"/>
  <c r="AF8244" i="2"/>
  <c r="AF8245" i="2"/>
  <c r="AF8246" i="2"/>
  <c r="AF8247" i="2"/>
  <c r="AF8248" i="2"/>
  <c r="AF8249" i="2"/>
  <c r="AF8250" i="2"/>
  <c r="AF8251" i="2"/>
  <c r="AF8252" i="2"/>
  <c r="AF8253" i="2"/>
  <c r="AF8254" i="2"/>
  <c r="AF8255" i="2"/>
  <c r="AF8256" i="2"/>
  <c r="AF8257" i="2"/>
  <c r="AF8258" i="2"/>
  <c r="AF8259" i="2"/>
  <c r="AF8260" i="2"/>
  <c r="AF8261" i="2"/>
  <c r="AF8262" i="2"/>
  <c r="AF8263" i="2"/>
  <c r="AF8264" i="2"/>
  <c r="AF8265" i="2"/>
  <c r="AF8266" i="2"/>
  <c r="AF8267" i="2"/>
  <c r="AF8268" i="2"/>
  <c r="AF8269" i="2"/>
  <c r="AF8270" i="2"/>
  <c r="AF8271" i="2"/>
  <c r="AF8272" i="2"/>
  <c r="AF8273" i="2"/>
  <c r="AF8274" i="2"/>
  <c r="AF8275" i="2"/>
  <c r="AF8276" i="2"/>
  <c r="AF8277" i="2"/>
  <c r="AF8278" i="2"/>
  <c r="AF8279" i="2"/>
  <c r="AF8280" i="2"/>
  <c r="AF8281" i="2"/>
  <c r="AF8282" i="2"/>
  <c r="AF8283" i="2"/>
  <c r="AF8284" i="2"/>
  <c r="AF8285" i="2"/>
  <c r="AF8286" i="2"/>
  <c r="AF8287" i="2"/>
  <c r="AF8288" i="2"/>
  <c r="AF8289" i="2"/>
  <c r="AF8290" i="2"/>
  <c r="AF8291" i="2"/>
  <c r="AF8292" i="2"/>
  <c r="AF8293" i="2"/>
  <c r="AF8294" i="2"/>
  <c r="AF8295" i="2"/>
  <c r="AF8296" i="2"/>
  <c r="AF8297" i="2"/>
  <c r="AF8298" i="2"/>
  <c r="AF8299" i="2"/>
  <c r="AF8300" i="2"/>
  <c r="AF8301" i="2"/>
  <c r="AF8302" i="2"/>
  <c r="AF8303" i="2"/>
  <c r="AF8304" i="2"/>
  <c r="AF8305" i="2"/>
  <c r="AF8306" i="2"/>
  <c r="AF8307" i="2"/>
  <c r="AF8308" i="2"/>
  <c r="AF8309" i="2"/>
  <c r="AF8310" i="2"/>
  <c r="AF8311" i="2"/>
  <c r="AF8312" i="2"/>
  <c r="AF8313" i="2"/>
  <c r="AF8314" i="2"/>
  <c r="AF8315" i="2"/>
  <c r="AF8316" i="2"/>
  <c r="AF8317" i="2"/>
  <c r="AF8318" i="2"/>
  <c r="AF8319" i="2"/>
  <c r="AF8320" i="2"/>
  <c r="AF8321" i="2"/>
  <c r="AF8322" i="2"/>
  <c r="AF8323" i="2"/>
  <c r="AF8324" i="2"/>
  <c r="AF8325" i="2"/>
  <c r="AF8326" i="2"/>
  <c r="AF8327" i="2"/>
  <c r="AF8328" i="2"/>
  <c r="AF8329" i="2"/>
  <c r="AF8330" i="2"/>
  <c r="AF8331" i="2"/>
  <c r="AF8332" i="2"/>
  <c r="AF8333" i="2"/>
  <c r="AF8334" i="2"/>
  <c r="AF8335" i="2"/>
  <c r="AF8336" i="2"/>
  <c r="AF8337" i="2"/>
  <c r="AF8338" i="2"/>
  <c r="AF8339" i="2"/>
  <c r="AF8340" i="2"/>
  <c r="AF8341" i="2"/>
  <c r="AF8342" i="2"/>
  <c r="AF8343" i="2"/>
  <c r="AF8344" i="2"/>
  <c r="AF8345" i="2"/>
  <c r="AF8346" i="2"/>
  <c r="AF8347" i="2"/>
  <c r="AF8348" i="2"/>
  <c r="AF8349" i="2"/>
  <c r="AF8350" i="2"/>
  <c r="AF8351" i="2"/>
  <c r="AF8352" i="2"/>
  <c r="AF8353" i="2"/>
  <c r="AF8354" i="2"/>
  <c r="AF8355" i="2"/>
  <c r="AF8356" i="2"/>
  <c r="AF8357" i="2"/>
  <c r="AF8358" i="2"/>
  <c r="AF8359" i="2"/>
  <c r="AF8360" i="2"/>
  <c r="AF8361" i="2"/>
  <c r="AF8362" i="2"/>
  <c r="AF8363" i="2"/>
  <c r="AF8364" i="2"/>
  <c r="AF8365" i="2"/>
  <c r="AF8366" i="2"/>
  <c r="AF8367" i="2"/>
  <c r="AF8368" i="2"/>
  <c r="AF8369" i="2"/>
  <c r="AF8370" i="2"/>
  <c r="AF8371" i="2"/>
  <c r="AF8372" i="2"/>
  <c r="AF8373" i="2"/>
  <c r="AF8374" i="2"/>
  <c r="AF8375" i="2"/>
  <c r="AF8376" i="2"/>
  <c r="AF8377" i="2"/>
  <c r="AF8378" i="2"/>
  <c r="AF8379" i="2"/>
  <c r="AF8380" i="2"/>
  <c r="AF8381" i="2"/>
  <c r="AF8382" i="2"/>
  <c r="AF8383" i="2"/>
  <c r="AF8384" i="2"/>
  <c r="AF8385" i="2"/>
  <c r="AF8386" i="2"/>
  <c r="AF8387" i="2"/>
  <c r="AF8388" i="2"/>
  <c r="AF8389" i="2"/>
  <c r="AF8390" i="2"/>
  <c r="AF8391" i="2"/>
  <c r="AF8392" i="2"/>
  <c r="AF8393" i="2"/>
  <c r="AF8394" i="2"/>
  <c r="AF8395" i="2"/>
  <c r="AF8396" i="2"/>
  <c r="AF8397" i="2"/>
  <c r="AF8398" i="2"/>
  <c r="AF8399" i="2"/>
  <c r="AF8400" i="2"/>
  <c r="AF8401" i="2"/>
  <c r="AF8402" i="2"/>
  <c r="AF8403" i="2"/>
  <c r="AF8404" i="2"/>
  <c r="AF8405" i="2"/>
  <c r="AF8406" i="2"/>
  <c r="AF8407" i="2"/>
  <c r="AF8408" i="2"/>
  <c r="AF8409" i="2"/>
  <c r="AF8410" i="2"/>
  <c r="AF8411" i="2"/>
  <c r="AF8412" i="2"/>
  <c r="AF8413" i="2"/>
  <c r="AF8414" i="2"/>
  <c r="AF8415" i="2"/>
  <c r="AF8416" i="2"/>
  <c r="AF8417" i="2"/>
  <c r="AF8418" i="2"/>
  <c r="AF8419" i="2"/>
  <c r="AF8420" i="2"/>
  <c r="AF8421" i="2"/>
  <c r="AF8422" i="2"/>
  <c r="AF8423" i="2"/>
  <c r="AF8424" i="2"/>
  <c r="AF8425" i="2"/>
  <c r="AF8426" i="2"/>
  <c r="AF8427" i="2"/>
  <c r="AF8428" i="2"/>
  <c r="AF8429" i="2"/>
  <c r="AF8430" i="2"/>
  <c r="AF8431" i="2"/>
  <c r="AF8432" i="2"/>
  <c r="AF8433" i="2"/>
  <c r="AF8434" i="2"/>
  <c r="AF8435" i="2"/>
  <c r="AF8436" i="2"/>
  <c r="AF8437" i="2"/>
  <c r="AF8438" i="2"/>
  <c r="AF8439" i="2"/>
  <c r="AF8440" i="2"/>
  <c r="AF8441" i="2"/>
  <c r="AF8442" i="2"/>
  <c r="AF8443" i="2"/>
  <c r="AF8444" i="2"/>
  <c r="AF8445" i="2"/>
  <c r="AF8446" i="2"/>
  <c r="AF8447" i="2"/>
  <c r="AF8448" i="2"/>
  <c r="AF8449" i="2"/>
  <c r="AF8450" i="2"/>
  <c r="AF8451" i="2"/>
  <c r="AF8452" i="2"/>
  <c r="AF8453" i="2"/>
  <c r="AF8454" i="2"/>
  <c r="AF8455" i="2"/>
  <c r="AF8456" i="2"/>
  <c r="AF8457" i="2"/>
  <c r="AF8458" i="2"/>
  <c r="AF8459" i="2"/>
  <c r="AF8460" i="2"/>
  <c r="AF8461" i="2"/>
  <c r="AF8462" i="2"/>
  <c r="AF8463" i="2"/>
  <c r="AF8464" i="2"/>
  <c r="AF8465" i="2"/>
  <c r="AF8466" i="2"/>
  <c r="AF8467" i="2"/>
  <c r="AF8468" i="2"/>
  <c r="AF8469" i="2"/>
  <c r="AF8470" i="2"/>
  <c r="AF8471" i="2"/>
  <c r="AF8472" i="2"/>
  <c r="AF8473" i="2"/>
  <c r="AF8474" i="2"/>
  <c r="AF8475" i="2"/>
  <c r="AF8476" i="2"/>
  <c r="AF8477" i="2"/>
  <c r="AF8478" i="2"/>
  <c r="AF8479" i="2"/>
  <c r="AF8480" i="2"/>
  <c r="AF8481" i="2"/>
  <c r="AF8482" i="2"/>
  <c r="AF8483" i="2"/>
  <c r="AF8484" i="2"/>
  <c r="AF8485" i="2"/>
  <c r="AF8486" i="2"/>
  <c r="AF8487" i="2"/>
  <c r="AF8488" i="2"/>
  <c r="AF8489" i="2"/>
  <c r="AF8490" i="2"/>
  <c r="AF8491" i="2"/>
  <c r="AF8492" i="2"/>
  <c r="AF8493" i="2"/>
  <c r="AF8494" i="2"/>
  <c r="AF8495" i="2"/>
  <c r="AF8496" i="2"/>
  <c r="AF8497" i="2"/>
  <c r="AF8498" i="2"/>
  <c r="AF8499" i="2"/>
  <c r="AF8500" i="2"/>
  <c r="AF8501" i="2"/>
  <c r="AF8502" i="2"/>
  <c r="AF8503" i="2"/>
  <c r="AF8504" i="2"/>
  <c r="AF8505" i="2"/>
  <c r="AF8506" i="2"/>
  <c r="AF8507" i="2"/>
  <c r="AF8508" i="2"/>
  <c r="AF8509" i="2"/>
  <c r="AF8510" i="2"/>
  <c r="AF8511" i="2"/>
  <c r="AF8512" i="2"/>
  <c r="AF8513" i="2"/>
  <c r="AF8514" i="2"/>
  <c r="AF8515" i="2"/>
  <c r="AF8516" i="2"/>
  <c r="AF8517" i="2"/>
  <c r="AF8518" i="2"/>
  <c r="AF8519" i="2"/>
  <c r="AF8520" i="2"/>
  <c r="AF8521" i="2"/>
  <c r="AF8522" i="2"/>
  <c r="AF8523" i="2"/>
  <c r="AF8524" i="2"/>
  <c r="AF8525" i="2"/>
  <c r="AF8526" i="2"/>
  <c r="AF8527" i="2"/>
  <c r="AF8528" i="2"/>
  <c r="AF8529" i="2"/>
  <c r="AF8530" i="2"/>
  <c r="AF8531" i="2"/>
  <c r="AF8532" i="2"/>
  <c r="AF8533" i="2"/>
  <c r="AF8534" i="2"/>
  <c r="AF8535" i="2"/>
  <c r="AF8536" i="2"/>
  <c r="AF8537" i="2"/>
  <c r="AF8538" i="2"/>
  <c r="AF8539" i="2"/>
  <c r="AF8540" i="2"/>
  <c r="AF8541" i="2"/>
  <c r="AF8542" i="2"/>
  <c r="AF8543" i="2"/>
  <c r="AF8544" i="2"/>
  <c r="AF8545" i="2"/>
  <c r="AF8546" i="2"/>
  <c r="AF8547" i="2"/>
  <c r="AF8548" i="2"/>
  <c r="AF8549" i="2"/>
  <c r="AF8550" i="2"/>
  <c r="AF8551" i="2"/>
  <c r="AF8552" i="2"/>
  <c r="AF8553" i="2"/>
  <c r="AF8554" i="2"/>
  <c r="AF8555" i="2"/>
  <c r="AF8556" i="2"/>
  <c r="AF8557" i="2"/>
  <c r="AF8558" i="2"/>
  <c r="AF8559" i="2"/>
  <c r="AF8560" i="2"/>
  <c r="AF8561" i="2"/>
  <c r="AF8562" i="2"/>
  <c r="AF8563" i="2"/>
  <c r="AF8564" i="2"/>
  <c r="AF8565" i="2"/>
  <c r="AF8566" i="2"/>
  <c r="AF8567" i="2"/>
  <c r="AF8568" i="2"/>
  <c r="AF8569" i="2"/>
  <c r="AF8570" i="2"/>
  <c r="AF8571" i="2"/>
  <c r="AF8572" i="2"/>
  <c r="AF8573" i="2"/>
  <c r="AF8574" i="2"/>
  <c r="AF8575" i="2"/>
  <c r="AF8576" i="2"/>
  <c r="AF8577" i="2"/>
  <c r="AF8578" i="2"/>
  <c r="AF8579" i="2"/>
  <c r="AF8580" i="2"/>
  <c r="AF8581" i="2"/>
  <c r="AF8582" i="2"/>
  <c r="AF8583" i="2"/>
  <c r="AF8584" i="2"/>
  <c r="AF8585" i="2"/>
  <c r="AF8586" i="2"/>
  <c r="AF8587" i="2"/>
  <c r="AF8588" i="2"/>
  <c r="AF8589" i="2"/>
  <c r="AF8590" i="2"/>
  <c r="AF8591" i="2"/>
  <c r="AF8592" i="2"/>
  <c r="AF8593" i="2"/>
  <c r="AF8594" i="2"/>
  <c r="AF8595" i="2"/>
  <c r="AF8596" i="2"/>
  <c r="AF8597" i="2"/>
  <c r="AF8598" i="2"/>
  <c r="AF8599" i="2"/>
  <c r="AF8600" i="2"/>
  <c r="AF8601" i="2"/>
  <c r="AF8602" i="2"/>
  <c r="AF8603" i="2"/>
  <c r="AF8604" i="2"/>
  <c r="AF8605" i="2"/>
  <c r="AF8606" i="2"/>
  <c r="AF8607" i="2"/>
  <c r="AF8608" i="2"/>
  <c r="AF8609" i="2"/>
  <c r="AF8610" i="2"/>
  <c r="AF8611" i="2"/>
  <c r="AF8612" i="2"/>
  <c r="AF8613" i="2"/>
  <c r="AF8614" i="2"/>
  <c r="AF8615" i="2"/>
  <c r="AF8616" i="2"/>
  <c r="AF8617" i="2"/>
  <c r="AF8618" i="2"/>
  <c r="AF8619" i="2"/>
  <c r="AF8620" i="2"/>
  <c r="AF8621" i="2"/>
  <c r="AF8622" i="2"/>
  <c r="AF8623" i="2"/>
  <c r="AF8624" i="2"/>
  <c r="AF8625" i="2"/>
  <c r="AF8626" i="2"/>
  <c r="AF8627" i="2"/>
  <c r="AF8628" i="2"/>
  <c r="AF8629" i="2"/>
  <c r="AF8630" i="2"/>
  <c r="AF8631" i="2"/>
  <c r="AF8632" i="2"/>
  <c r="AF8633" i="2"/>
  <c r="AF8634" i="2"/>
  <c r="AF8635" i="2"/>
  <c r="AF8636" i="2"/>
  <c r="AF8637" i="2"/>
  <c r="AF8638" i="2"/>
  <c r="AF8639" i="2"/>
  <c r="AF8640" i="2"/>
  <c r="AF8641" i="2"/>
  <c r="AF8642" i="2"/>
  <c r="AF8643" i="2"/>
  <c r="AF8644" i="2"/>
  <c r="AF8645" i="2"/>
  <c r="AF8646" i="2"/>
  <c r="AF8647" i="2"/>
  <c r="AF8648" i="2"/>
  <c r="AF8649" i="2"/>
  <c r="AF8650" i="2"/>
  <c r="AF8651" i="2"/>
  <c r="AF8652" i="2"/>
  <c r="AF8653" i="2"/>
  <c r="AF8654" i="2"/>
  <c r="AF8655" i="2"/>
  <c r="AF8656" i="2"/>
  <c r="AF8657" i="2"/>
  <c r="AF8658" i="2"/>
  <c r="AF8659" i="2"/>
  <c r="AF8660" i="2"/>
  <c r="AF8661" i="2"/>
  <c r="AF8662" i="2"/>
  <c r="AF8663" i="2"/>
  <c r="AF8664" i="2"/>
  <c r="AF8665" i="2"/>
  <c r="AF8666" i="2"/>
  <c r="AF8667" i="2"/>
  <c r="AF8668" i="2"/>
  <c r="AF8669" i="2"/>
  <c r="AF8670" i="2"/>
  <c r="AF8671" i="2"/>
  <c r="AF8672" i="2"/>
  <c r="AF8673" i="2"/>
  <c r="AF8674" i="2"/>
  <c r="AF8675" i="2"/>
  <c r="AF8676" i="2"/>
  <c r="AF8677" i="2"/>
  <c r="AF8678" i="2"/>
  <c r="AF8679" i="2"/>
  <c r="AF8680" i="2"/>
  <c r="AF8681" i="2"/>
  <c r="AF8682" i="2"/>
  <c r="AF8683" i="2"/>
  <c r="AF8684" i="2"/>
  <c r="AF8685" i="2"/>
  <c r="AF8686" i="2"/>
  <c r="AF8687" i="2"/>
  <c r="AF8688" i="2"/>
  <c r="AF8689" i="2"/>
  <c r="AF8690" i="2"/>
  <c r="AF8691" i="2"/>
  <c r="AF8692" i="2"/>
  <c r="AF8693" i="2"/>
  <c r="AF8694" i="2"/>
  <c r="AF8695" i="2"/>
  <c r="AF8696" i="2"/>
  <c r="AF8697" i="2"/>
  <c r="AF8698" i="2"/>
  <c r="AF8699" i="2"/>
  <c r="AF8700" i="2"/>
  <c r="AF8701" i="2"/>
  <c r="AF8702" i="2"/>
  <c r="AF8703" i="2"/>
  <c r="AF8704" i="2"/>
  <c r="AF8705" i="2"/>
  <c r="AF8706" i="2"/>
  <c r="AF8707" i="2"/>
  <c r="AF8708" i="2"/>
  <c r="AF8709" i="2"/>
  <c r="AF8710" i="2"/>
  <c r="AF8711" i="2"/>
  <c r="AF8712" i="2"/>
  <c r="AF8713" i="2"/>
  <c r="AF8714" i="2"/>
  <c r="AF8715" i="2"/>
  <c r="AF8716" i="2"/>
  <c r="AF8717" i="2"/>
  <c r="AF8718" i="2"/>
  <c r="AF8719" i="2"/>
  <c r="AF8720" i="2"/>
  <c r="AF8721" i="2"/>
  <c r="AF8722" i="2"/>
  <c r="AF8723" i="2"/>
  <c r="AF8724" i="2"/>
  <c r="AF8725" i="2"/>
  <c r="AF8726" i="2"/>
  <c r="AF8727" i="2"/>
  <c r="AF8728" i="2"/>
  <c r="AF8729" i="2"/>
  <c r="AF8730" i="2"/>
  <c r="AF8731" i="2"/>
  <c r="AF8732" i="2"/>
  <c r="AF8733" i="2"/>
  <c r="AF8734" i="2"/>
  <c r="AF8735" i="2"/>
  <c r="AF8736" i="2"/>
  <c r="AF8737" i="2"/>
  <c r="AF8738" i="2"/>
  <c r="AF8739" i="2"/>
  <c r="AF8740" i="2"/>
  <c r="AF8741" i="2"/>
  <c r="AF8742" i="2"/>
  <c r="AF8743" i="2"/>
  <c r="AF8744" i="2"/>
  <c r="AF8745" i="2"/>
  <c r="AF8746" i="2"/>
  <c r="AF8747" i="2"/>
  <c r="AF8748" i="2"/>
  <c r="AF8749" i="2"/>
  <c r="AF8750" i="2"/>
  <c r="AF8751" i="2"/>
  <c r="AF8752" i="2"/>
  <c r="AF8753" i="2"/>
  <c r="AF8754" i="2"/>
  <c r="AF8755" i="2"/>
  <c r="AF8756" i="2"/>
  <c r="AF8757" i="2"/>
  <c r="AF8758" i="2"/>
  <c r="AF8759" i="2"/>
  <c r="AF8760" i="2"/>
  <c r="AF8761" i="2"/>
  <c r="AF8762" i="2"/>
  <c r="AF8763" i="2"/>
  <c r="AF8764" i="2"/>
  <c r="AF8765" i="2"/>
  <c r="AF8766" i="2"/>
  <c r="AF8767" i="2"/>
  <c r="AF8768" i="2"/>
  <c r="AF8769" i="2"/>
  <c r="AF8770" i="2"/>
  <c r="AF8771" i="2"/>
  <c r="AF8772" i="2"/>
  <c r="AF8773" i="2"/>
  <c r="AF8774" i="2"/>
  <c r="AF8775" i="2"/>
  <c r="AF8776" i="2"/>
  <c r="AF8777" i="2"/>
  <c r="AF8778" i="2"/>
  <c r="AF8779" i="2"/>
  <c r="AF8780" i="2"/>
  <c r="AF8781" i="2"/>
  <c r="AF8782" i="2"/>
  <c r="AF8783" i="2"/>
  <c r="AF8784" i="2"/>
  <c r="AF8785" i="2"/>
  <c r="AF8786" i="2"/>
  <c r="AF8787" i="2"/>
  <c r="AF8788" i="2"/>
  <c r="AF8789" i="2"/>
  <c r="AF8790" i="2"/>
  <c r="AF8791" i="2"/>
  <c r="AF8792" i="2"/>
  <c r="AF8793" i="2"/>
  <c r="AF8794" i="2"/>
  <c r="AF8795" i="2"/>
  <c r="AF8796" i="2"/>
  <c r="AF8797" i="2"/>
  <c r="AF8798" i="2"/>
  <c r="AF8799" i="2"/>
  <c r="AF8800" i="2"/>
  <c r="AF8801" i="2"/>
  <c r="AF8802" i="2"/>
  <c r="AF8803" i="2"/>
  <c r="AF8804" i="2"/>
  <c r="AF8805" i="2"/>
  <c r="AF8806" i="2"/>
  <c r="AF8807" i="2"/>
  <c r="AF8808" i="2"/>
  <c r="AF8809" i="2"/>
  <c r="AF8810" i="2"/>
  <c r="AF8811" i="2"/>
  <c r="AF8812" i="2"/>
  <c r="AF8813" i="2"/>
  <c r="AF8814" i="2"/>
  <c r="AF8815" i="2"/>
  <c r="AF8816" i="2"/>
  <c r="AF8817" i="2"/>
  <c r="AF8818" i="2"/>
  <c r="AF8819" i="2"/>
  <c r="AF8820" i="2"/>
  <c r="AF8821" i="2"/>
  <c r="AF8822" i="2"/>
  <c r="AF8823" i="2"/>
  <c r="AF8824" i="2"/>
  <c r="AF8825" i="2"/>
  <c r="AF8826" i="2"/>
  <c r="AF8827" i="2"/>
  <c r="AF8828" i="2"/>
  <c r="AF8829" i="2"/>
  <c r="AF8830" i="2"/>
  <c r="AF8831" i="2"/>
  <c r="AF8832" i="2"/>
  <c r="AF8833" i="2"/>
  <c r="AF8834" i="2"/>
  <c r="AF8835" i="2"/>
  <c r="AF8836" i="2"/>
  <c r="AF8837" i="2"/>
  <c r="AF8838" i="2"/>
  <c r="AF8839" i="2"/>
  <c r="AF8840" i="2"/>
  <c r="AF8841" i="2"/>
  <c r="AF8842" i="2"/>
  <c r="AF8843" i="2"/>
  <c r="AF8844" i="2"/>
  <c r="AF8845" i="2"/>
  <c r="AF8846" i="2"/>
  <c r="AF8847" i="2"/>
  <c r="AF8848" i="2"/>
  <c r="AF8849" i="2"/>
  <c r="AF8850" i="2"/>
  <c r="AF8851" i="2"/>
  <c r="AF8852" i="2"/>
  <c r="AF8853" i="2"/>
  <c r="AF8854" i="2"/>
  <c r="AF8855" i="2"/>
  <c r="AF8856" i="2"/>
  <c r="AF8857" i="2"/>
  <c r="AF8858" i="2"/>
  <c r="AF8859" i="2"/>
  <c r="AF8860" i="2"/>
  <c r="AF8861" i="2"/>
  <c r="AF8862" i="2"/>
  <c r="AF8863" i="2"/>
  <c r="AF8864" i="2"/>
  <c r="AF8865" i="2"/>
  <c r="AF8866" i="2"/>
  <c r="AF8867" i="2"/>
  <c r="AF8868" i="2"/>
  <c r="AF8869" i="2"/>
  <c r="AF8870" i="2"/>
  <c r="AF8871" i="2"/>
  <c r="AF8872" i="2"/>
  <c r="AF8873" i="2"/>
  <c r="AF8874" i="2"/>
  <c r="AF8875" i="2"/>
  <c r="AF8876" i="2"/>
  <c r="AF8877" i="2"/>
  <c r="AF8878" i="2"/>
  <c r="AF8879" i="2"/>
  <c r="AF8880" i="2"/>
  <c r="AF8881" i="2"/>
  <c r="AF8882" i="2"/>
  <c r="AF8883" i="2"/>
  <c r="AF8884" i="2"/>
  <c r="AF8885" i="2"/>
  <c r="AF8886" i="2"/>
  <c r="AF8887" i="2"/>
  <c r="AF8888" i="2"/>
  <c r="AF8889" i="2"/>
  <c r="AF8890" i="2"/>
  <c r="AF8891" i="2"/>
  <c r="AF8892" i="2"/>
  <c r="AF8893" i="2"/>
  <c r="AF8894" i="2"/>
  <c r="AF8895" i="2"/>
  <c r="AF8896" i="2"/>
  <c r="AF8897" i="2"/>
  <c r="AF8898" i="2"/>
  <c r="AF8899" i="2"/>
  <c r="AF8900" i="2"/>
  <c r="AF8901" i="2"/>
  <c r="AF8902" i="2"/>
  <c r="AF8903" i="2"/>
  <c r="AF8904" i="2"/>
  <c r="AF8905" i="2"/>
  <c r="AF8906" i="2"/>
  <c r="AF8907" i="2"/>
  <c r="AF8908" i="2"/>
  <c r="AF8909" i="2"/>
  <c r="AF8910" i="2"/>
  <c r="AF8911" i="2"/>
  <c r="AF8912" i="2"/>
  <c r="AF8913" i="2"/>
  <c r="AF8914" i="2"/>
  <c r="AF8915" i="2"/>
  <c r="AF8916" i="2"/>
  <c r="AF8917" i="2"/>
  <c r="AF8918" i="2"/>
  <c r="AF8919" i="2"/>
  <c r="AF8920" i="2"/>
  <c r="AF8921" i="2"/>
  <c r="AF8922" i="2"/>
  <c r="AF8923" i="2"/>
  <c r="AF8924" i="2"/>
  <c r="AF8925" i="2"/>
  <c r="AF8926" i="2"/>
  <c r="AF8927" i="2"/>
  <c r="AF8928" i="2"/>
  <c r="AF8929" i="2"/>
  <c r="AF8930" i="2"/>
  <c r="AF8931" i="2"/>
  <c r="AF8932" i="2"/>
  <c r="AF8933" i="2"/>
  <c r="AF8934" i="2"/>
  <c r="AF8935" i="2"/>
  <c r="AF8936" i="2"/>
  <c r="AF8937" i="2"/>
  <c r="AF8938" i="2"/>
  <c r="AF8939" i="2"/>
  <c r="AF8940" i="2"/>
  <c r="AF8941" i="2"/>
  <c r="AF8942" i="2"/>
  <c r="AF8943" i="2"/>
  <c r="AF8944" i="2"/>
  <c r="AF8945" i="2"/>
  <c r="AF8946" i="2"/>
  <c r="AF8947" i="2"/>
  <c r="AF8948" i="2"/>
  <c r="AF8949" i="2"/>
  <c r="AF8950" i="2"/>
  <c r="AF8951" i="2"/>
  <c r="AF8952" i="2"/>
  <c r="AF8953" i="2"/>
  <c r="AF8954" i="2"/>
  <c r="AF8955" i="2"/>
  <c r="AF8956" i="2"/>
  <c r="AF8957" i="2"/>
  <c r="AF8958" i="2"/>
  <c r="AF8959" i="2"/>
  <c r="AF8960" i="2"/>
  <c r="AF8961" i="2"/>
  <c r="AF8962" i="2"/>
  <c r="AF8963" i="2"/>
  <c r="AF8964" i="2"/>
  <c r="AF8965" i="2"/>
  <c r="AF8966" i="2"/>
  <c r="AF8967" i="2"/>
  <c r="AF8968" i="2"/>
  <c r="AF8969" i="2"/>
  <c r="AF8970" i="2"/>
  <c r="AF8971" i="2"/>
  <c r="AF8972" i="2"/>
  <c r="AF8973" i="2"/>
  <c r="AF8974" i="2"/>
  <c r="AF8975" i="2"/>
  <c r="AF8976" i="2"/>
  <c r="AF8977" i="2"/>
  <c r="AF8978" i="2"/>
  <c r="AF8979" i="2"/>
  <c r="AF8980" i="2"/>
  <c r="AF8981" i="2"/>
  <c r="AF8982" i="2"/>
  <c r="AF8983" i="2"/>
  <c r="AF8984" i="2"/>
  <c r="AF8985" i="2"/>
  <c r="AF8986" i="2"/>
  <c r="AF8987" i="2"/>
  <c r="AF8988" i="2"/>
  <c r="AF8989" i="2"/>
  <c r="AF8990" i="2"/>
  <c r="AF8991" i="2"/>
  <c r="AF8992" i="2"/>
  <c r="AF8993" i="2"/>
  <c r="AF8994" i="2"/>
  <c r="AF8995" i="2"/>
  <c r="AF8996" i="2"/>
  <c r="AF8997" i="2"/>
  <c r="AF8998" i="2"/>
  <c r="AF8999" i="2"/>
  <c r="AF9000" i="2"/>
  <c r="AF9001" i="2"/>
  <c r="AF9002" i="2"/>
  <c r="AF9003" i="2"/>
  <c r="AF9004" i="2"/>
  <c r="AF9005" i="2"/>
  <c r="AF9006" i="2"/>
  <c r="AF9007" i="2"/>
  <c r="AF9008" i="2"/>
  <c r="AF9009" i="2"/>
  <c r="AF9010" i="2"/>
  <c r="AF9011" i="2"/>
  <c r="AF9012" i="2"/>
  <c r="AF9013" i="2"/>
  <c r="AF9014" i="2"/>
  <c r="AF9015" i="2"/>
  <c r="AF9016" i="2"/>
  <c r="AF9017" i="2"/>
  <c r="AF9018" i="2"/>
  <c r="AF9019" i="2"/>
  <c r="AF9020" i="2"/>
  <c r="AF9021" i="2"/>
  <c r="AF9022" i="2"/>
  <c r="AF9023" i="2"/>
  <c r="AF9024" i="2"/>
  <c r="AF9025" i="2"/>
  <c r="AF9026" i="2"/>
  <c r="AF9027" i="2"/>
  <c r="AF9028" i="2"/>
  <c r="AF9029" i="2"/>
  <c r="AF9030" i="2"/>
  <c r="AF9031" i="2"/>
  <c r="AF9032" i="2"/>
  <c r="AF9033" i="2"/>
  <c r="AF9034" i="2"/>
  <c r="AF9035" i="2"/>
  <c r="AF9036" i="2"/>
  <c r="AF9037" i="2"/>
  <c r="AF9038" i="2"/>
  <c r="AF9039" i="2"/>
  <c r="AF9040" i="2"/>
  <c r="AF9041" i="2"/>
  <c r="AF9042" i="2"/>
  <c r="AF9043" i="2"/>
  <c r="AF9044" i="2"/>
  <c r="AF9045" i="2"/>
  <c r="AF9046" i="2"/>
  <c r="AF9047" i="2"/>
  <c r="AF9048" i="2"/>
  <c r="AF9049" i="2"/>
  <c r="AF9050" i="2"/>
  <c r="AF9051" i="2"/>
  <c r="AF9052" i="2"/>
  <c r="AF9053" i="2"/>
  <c r="AF9054" i="2"/>
  <c r="AF9055" i="2"/>
  <c r="AF9056" i="2"/>
  <c r="AF9057" i="2"/>
  <c r="AF9058" i="2"/>
  <c r="AF9059" i="2"/>
  <c r="AF9060" i="2"/>
  <c r="AF9061" i="2"/>
  <c r="AF9062" i="2"/>
  <c r="AF9063" i="2"/>
  <c r="AF9064" i="2"/>
  <c r="AF9065" i="2"/>
  <c r="AF9066" i="2"/>
  <c r="AF9067" i="2"/>
  <c r="AF9068" i="2"/>
  <c r="AF9069" i="2"/>
  <c r="AF9070" i="2"/>
  <c r="AF9071" i="2"/>
  <c r="AF9072" i="2"/>
  <c r="AF9073" i="2"/>
  <c r="AF9074" i="2"/>
  <c r="AF9075" i="2"/>
  <c r="AF9076" i="2"/>
  <c r="AF9077" i="2"/>
  <c r="AF9078" i="2"/>
  <c r="AF9079" i="2"/>
  <c r="AF9080" i="2"/>
  <c r="AF9081" i="2"/>
  <c r="AF9082" i="2"/>
  <c r="AF9083" i="2"/>
  <c r="AF9084" i="2"/>
  <c r="AF9085" i="2"/>
  <c r="AF9086" i="2"/>
  <c r="AF9087" i="2"/>
  <c r="AF9088" i="2"/>
  <c r="AF9089" i="2"/>
  <c r="AF9090" i="2"/>
  <c r="AF9091" i="2"/>
  <c r="AF9092" i="2"/>
  <c r="AF9093" i="2"/>
  <c r="AF9094" i="2"/>
  <c r="AF9095" i="2"/>
  <c r="AF9096" i="2"/>
  <c r="AF9097" i="2"/>
  <c r="AF9098" i="2"/>
  <c r="AF9099" i="2"/>
  <c r="AF9100" i="2"/>
  <c r="AF9101" i="2"/>
  <c r="AF9102" i="2"/>
  <c r="AF9103" i="2"/>
  <c r="AF9104" i="2"/>
  <c r="AF9105" i="2"/>
  <c r="AF9106" i="2"/>
  <c r="AF9107" i="2"/>
  <c r="AF9108" i="2"/>
  <c r="AF9109" i="2"/>
  <c r="AF9110" i="2"/>
  <c r="AF9111" i="2"/>
  <c r="AF9112" i="2"/>
  <c r="AF9113" i="2"/>
  <c r="AF9114" i="2"/>
  <c r="AF9115" i="2"/>
  <c r="AF9116" i="2"/>
  <c r="AF9117" i="2"/>
  <c r="AF9118" i="2"/>
  <c r="AF9119" i="2"/>
  <c r="AF9120" i="2"/>
  <c r="AF9121" i="2"/>
  <c r="AF9122" i="2"/>
  <c r="AF9123" i="2"/>
  <c r="AF9124" i="2"/>
  <c r="AF9125" i="2"/>
  <c r="AF9126" i="2"/>
  <c r="AF9127" i="2"/>
  <c r="AF9128" i="2"/>
  <c r="AF9129" i="2"/>
  <c r="AF9130" i="2"/>
  <c r="AF9131" i="2"/>
  <c r="AF9132" i="2"/>
  <c r="AF9133" i="2"/>
  <c r="AF9134" i="2"/>
  <c r="AF9135" i="2"/>
  <c r="AF9136" i="2"/>
  <c r="AF9137" i="2"/>
  <c r="AF9138" i="2"/>
  <c r="AF9139" i="2"/>
  <c r="AF9140" i="2"/>
  <c r="AF9141" i="2"/>
  <c r="AF9142" i="2"/>
  <c r="AF9143" i="2"/>
  <c r="AF9144" i="2"/>
  <c r="AF9145" i="2"/>
  <c r="AF9146" i="2"/>
  <c r="AF9147" i="2"/>
  <c r="AF9148" i="2"/>
  <c r="AF9149" i="2"/>
  <c r="AF9150" i="2"/>
  <c r="AF9151" i="2"/>
  <c r="AF9152" i="2"/>
  <c r="AF9153" i="2"/>
  <c r="AF9154" i="2"/>
  <c r="AF9155" i="2"/>
  <c r="AF9156" i="2"/>
  <c r="AF9157" i="2"/>
  <c r="AF9158" i="2"/>
  <c r="AF9159" i="2"/>
  <c r="AF9160" i="2"/>
  <c r="AF9161" i="2"/>
  <c r="AF9162" i="2"/>
  <c r="AF9163" i="2"/>
  <c r="AF9164" i="2"/>
  <c r="AF9165" i="2"/>
  <c r="AF9166" i="2"/>
  <c r="AF9167" i="2"/>
  <c r="AF9168" i="2"/>
  <c r="AF9169" i="2"/>
  <c r="AF9170" i="2"/>
  <c r="AF9171" i="2"/>
  <c r="AF9172" i="2"/>
  <c r="AF9173" i="2"/>
  <c r="AF9174" i="2"/>
  <c r="AF9175" i="2"/>
  <c r="AF9176" i="2"/>
  <c r="AF9177" i="2"/>
  <c r="AF9178" i="2"/>
  <c r="AF9179" i="2"/>
  <c r="AF9180" i="2"/>
  <c r="AF9181" i="2"/>
  <c r="AF9182" i="2"/>
  <c r="AF9183" i="2"/>
  <c r="AF9184" i="2"/>
  <c r="AF9185" i="2"/>
  <c r="AF9186" i="2"/>
  <c r="AF9187" i="2"/>
  <c r="AF9188" i="2"/>
  <c r="AF9189" i="2"/>
  <c r="AF9190" i="2"/>
  <c r="AF9191" i="2"/>
  <c r="AF9192" i="2"/>
  <c r="AF9193" i="2"/>
  <c r="AF9194" i="2"/>
  <c r="AF9195" i="2"/>
  <c r="AF9196" i="2"/>
  <c r="AF9197" i="2"/>
  <c r="AF9198" i="2"/>
  <c r="AF9199" i="2"/>
  <c r="AF9200" i="2"/>
  <c r="AF9201" i="2"/>
  <c r="AF9202" i="2"/>
  <c r="AF9203" i="2"/>
  <c r="AF9204" i="2"/>
  <c r="AF9205" i="2"/>
  <c r="AF9206" i="2"/>
  <c r="AF9207" i="2"/>
  <c r="AF9208" i="2"/>
  <c r="AF9209" i="2"/>
  <c r="AF9210" i="2"/>
  <c r="AF9211" i="2"/>
  <c r="AF9212" i="2"/>
  <c r="AF9213" i="2"/>
  <c r="AF9214" i="2"/>
  <c r="AF9215" i="2"/>
  <c r="AF9216" i="2"/>
  <c r="AF9217" i="2"/>
  <c r="AF9218" i="2"/>
  <c r="AF9219" i="2"/>
  <c r="AF9220" i="2"/>
  <c r="AF9221" i="2"/>
  <c r="AF9222" i="2"/>
  <c r="AF9223" i="2"/>
  <c r="AF9224" i="2"/>
  <c r="AF9225" i="2"/>
  <c r="AF9226" i="2"/>
  <c r="AF9227" i="2"/>
  <c r="AF9228" i="2"/>
  <c r="AF9229" i="2"/>
  <c r="AF9230" i="2"/>
  <c r="AF9231" i="2"/>
  <c r="AF9232" i="2"/>
  <c r="AF9233" i="2"/>
  <c r="AF9234" i="2"/>
  <c r="AF9235" i="2"/>
  <c r="AF9236" i="2"/>
  <c r="AF9237" i="2"/>
  <c r="AF9238" i="2"/>
  <c r="AF9239" i="2"/>
  <c r="AF9240" i="2"/>
  <c r="AF9241" i="2"/>
  <c r="AF9242" i="2"/>
  <c r="AF9243" i="2"/>
  <c r="AF9244" i="2"/>
  <c r="AF9245" i="2"/>
  <c r="AF9246" i="2"/>
  <c r="AF9247" i="2"/>
  <c r="AF9248" i="2"/>
  <c r="AF9249" i="2"/>
  <c r="AF9250" i="2"/>
  <c r="AF9251" i="2"/>
  <c r="AF9252" i="2"/>
  <c r="AF9253" i="2"/>
  <c r="AF9254" i="2"/>
  <c r="AF9255" i="2"/>
  <c r="AF9256" i="2"/>
  <c r="AF9257" i="2"/>
  <c r="AF9258" i="2"/>
  <c r="AF9259" i="2"/>
  <c r="AF9260" i="2"/>
  <c r="AF9261" i="2"/>
  <c r="AF9262" i="2"/>
  <c r="AF9263" i="2"/>
  <c r="AF9264" i="2"/>
  <c r="AF9265" i="2"/>
  <c r="AF9266" i="2"/>
  <c r="AF9267" i="2"/>
  <c r="AF9268" i="2"/>
  <c r="AF9269" i="2"/>
  <c r="AF9270" i="2"/>
  <c r="AF9271" i="2"/>
  <c r="AF9272" i="2"/>
  <c r="AF9273" i="2"/>
  <c r="AF9274" i="2"/>
  <c r="AF9275" i="2"/>
  <c r="AF9276" i="2"/>
  <c r="AF9277" i="2"/>
  <c r="AF9278" i="2"/>
  <c r="AF9279" i="2"/>
  <c r="AF9280" i="2"/>
  <c r="AF9281" i="2"/>
  <c r="AF9282" i="2"/>
  <c r="AF9283" i="2"/>
  <c r="AF9284" i="2"/>
  <c r="AF9285" i="2"/>
  <c r="AF9286" i="2"/>
  <c r="AF9287" i="2"/>
  <c r="AF9288" i="2"/>
  <c r="AF9289" i="2"/>
  <c r="AF9290" i="2"/>
  <c r="AF9291" i="2"/>
  <c r="AF9292" i="2"/>
  <c r="AF9293" i="2"/>
  <c r="AF9294" i="2"/>
  <c r="AF9295" i="2"/>
  <c r="AF9296" i="2"/>
  <c r="AF9297" i="2"/>
  <c r="AF9298" i="2"/>
  <c r="AF9299" i="2"/>
  <c r="AF9300" i="2"/>
  <c r="AF9301" i="2"/>
  <c r="AF9302" i="2"/>
  <c r="AF9303" i="2"/>
  <c r="AF9304" i="2"/>
  <c r="AF9305" i="2"/>
  <c r="AF9306" i="2"/>
  <c r="AF9307" i="2"/>
  <c r="AF9308" i="2"/>
  <c r="AF9309" i="2"/>
  <c r="AF9310" i="2"/>
  <c r="AF9311" i="2"/>
  <c r="AF9312" i="2"/>
  <c r="AF9313" i="2"/>
  <c r="AF9314" i="2"/>
  <c r="AF9315" i="2"/>
  <c r="AF9316" i="2"/>
  <c r="AF9317" i="2"/>
  <c r="AF9318" i="2"/>
  <c r="AF9319" i="2"/>
  <c r="AF9320" i="2"/>
  <c r="AF9321" i="2"/>
  <c r="AF9322" i="2"/>
  <c r="AF9323" i="2"/>
  <c r="AF9324" i="2"/>
  <c r="AF9325" i="2"/>
  <c r="AF9326" i="2"/>
  <c r="AF9327" i="2"/>
  <c r="AF9328" i="2"/>
  <c r="AF9329" i="2"/>
  <c r="AF9330" i="2"/>
  <c r="AF9331" i="2"/>
  <c r="AF9332" i="2"/>
  <c r="AF9333" i="2"/>
  <c r="AF9334" i="2"/>
  <c r="AF9335" i="2"/>
  <c r="AF9336" i="2"/>
  <c r="AF9337" i="2"/>
  <c r="AF9338" i="2"/>
  <c r="AF9339" i="2"/>
  <c r="AF9340" i="2"/>
  <c r="AF9341" i="2"/>
  <c r="AF9342" i="2"/>
  <c r="AF9343" i="2"/>
  <c r="AF9344" i="2"/>
  <c r="AF9345" i="2"/>
  <c r="AF9346" i="2"/>
  <c r="AF9347" i="2"/>
  <c r="AF9348" i="2"/>
  <c r="AF9349" i="2"/>
  <c r="AF9350" i="2"/>
  <c r="AF9351" i="2"/>
  <c r="AF9352" i="2"/>
  <c r="AF9353" i="2"/>
  <c r="AF9354" i="2"/>
  <c r="AF9355" i="2"/>
  <c r="AF9356" i="2"/>
  <c r="AF9357" i="2"/>
  <c r="AF9358" i="2"/>
  <c r="AF9359" i="2"/>
  <c r="AF9360" i="2"/>
  <c r="AF9361" i="2"/>
  <c r="AF9362" i="2"/>
  <c r="AF9363" i="2"/>
  <c r="AF9364" i="2"/>
  <c r="AF9365" i="2"/>
  <c r="AF9366" i="2"/>
  <c r="AF9367" i="2"/>
  <c r="AF9368" i="2"/>
  <c r="AF9369" i="2"/>
  <c r="AF9370" i="2"/>
  <c r="AF9371" i="2"/>
  <c r="AF9372" i="2"/>
  <c r="AF9373" i="2"/>
  <c r="AF9374" i="2"/>
  <c r="AF9375" i="2"/>
  <c r="AF9376" i="2"/>
  <c r="AF9377" i="2"/>
  <c r="AF9378" i="2"/>
  <c r="AF9379" i="2"/>
  <c r="AF9380" i="2"/>
  <c r="AF9381" i="2"/>
  <c r="AF9382" i="2"/>
  <c r="AF9383" i="2"/>
  <c r="AF9384" i="2"/>
  <c r="AF9385" i="2"/>
  <c r="AF9386" i="2"/>
  <c r="AF9387" i="2"/>
  <c r="AF9388" i="2"/>
  <c r="AF9389" i="2"/>
  <c r="AF9390" i="2"/>
  <c r="AF9391" i="2"/>
  <c r="AF9392" i="2"/>
  <c r="AF9393" i="2"/>
  <c r="AF9394" i="2"/>
  <c r="AF9395" i="2"/>
  <c r="AF9396" i="2"/>
  <c r="AF9397" i="2"/>
  <c r="AF9398" i="2"/>
  <c r="AF9399" i="2"/>
  <c r="AF9400" i="2"/>
  <c r="AF9401" i="2"/>
  <c r="AF9402" i="2"/>
  <c r="AF9403" i="2"/>
  <c r="AF9404" i="2"/>
  <c r="AF9405" i="2"/>
  <c r="AF9406" i="2"/>
  <c r="AF9407" i="2"/>
  <c r="AF9408" i="2"/>
  <c r="AF9409" i="2"/>
  <c r="AF9410" i="2"/>
  <c r="AF9411" i="2"/>
  <c r="AF9412" i="2"/>
  <c r="AF9413" i="2"/>
  <c r="AF9414" i="2"/>
  <c r="AF9415" i="2"/>
  <c r="AF9416" i="2"/>
  <c r="AF9417" i="2"/>
  <c r="AF9418" i="2"/>
  <c r="AF9419" i="2"/>
  <c r="AF9420" i="2"/>
  <c r="AF9421" i="2"/>
  <c r="AF9422" i="2"/>
  <c r="AF9423" i="2"/>
  <c r="AF9424" i="2"/>
  <c r="AF9425" i="2"/>
  <c r="AF9426" i="2"/>
  <c r="AF9427" i="2"/>
  <c r="AF9428" i="2"/>
  <c r="AF9429" i="2"/>
  <c r="AF9430" i="2"/>
  <c r="AF9431" i="2"/>
  <c r="AF9432" i="2"/>
  <c r="AF9433" i="2"/>
  <c r="AF9434" i="2"/>
  <c r="AF9435" i="2"/>
  <c r="AF9436" i="2"/>
  <c r="AF9437" i="2"/>
  <c r="AF9438" i="2"/>
  <c r="AF9439" i="2"/>
  <c r="AF9440" i="2"/>
  <c r="AF9441" i="2"/>
  <c r="AF9442" i="2"/>
  <c r="AF9443" i="2"/>
  <c r="AF9444" i="2"/>
  <c r="AF9445" i="2"/>
  <c r="AF9446" i="2"/>
  <c r="AF9447" i="2"/>
  <c r="AF9448" i="2"/>
  <c r="AF9449" i="2"/>
  <c r="AF9450" i="2"/>
  <c r="AF9451" i="2"/>
  <c r="AF9452" i="2"/>
  <c r="AF9453" i="2"/>
  <c r="AF9454" i="2"/>
  <c r="AF9455" i="2"/>
  <c r="AF9456" i="2"/>
  <c r="AF9457" i="2"/>
  <c r="AF9458" i="2"/>
  <c r="AF9459" i="2"/>
  <c r="AF9460" i="2"/>
  <c r="AF9461" i="2"/>
  <c r="AF9462" i="2"/>
  <c r="AF9463" i="2"/>
  <c r="AF9464" i="2"/>
  <c r="AF9465" i="2"/>
  <c r="AF9466" i="2"/>
  <c r="AF9467" i="2"/>
  <c r="AF9468" i="2"/>
  <c r="AF9469" i="2"/>
  <c r="AF9470" i="2"/>
  <c r="AF9471" i="2"/>
  <c r="AF9472" i="2"/>
  <c r="AF9473" i="2"/>
  <c r="AF9474" i="2"/>
  <c r="AF9475" i="2"/>
  <c r="AF9476" i="2"/>
  <c r="AF9477" i="2"/>
  <c r="AF9478" i="2"/>
  <c r="AF9479" i="2"/>
  <c r="AF9480" i="2"/>
  <c r="AF9481" i="2"/>
  <c r="AF9482" i="2"/>
  <c r="AF9483" i="2"/>
  <c r="AF9484" i="2"/>
  <c r="AF9485" i="2"/>
  <c r="AF9486" i="2"/>
  <c r="AF9487" i="2"/>
  <c r="AF9488" i="2"/>
  <c r="AF9489" i="2"/>
  <c r="AF9490" i="2"/>
  <c r="AF9491" i="2"/>
  <c r="AF9492" i="2"/>
  <c r="AF9493" i="2"/>
  <c r="AF9494" i="2"/>
  <c r="AF9495" i="2"/>
  <c r="AF9496" i="2"/>
  <c r="AF9497" i="2"/>
  <c r="AF9498" i="2"/>
  <c r="AF9499" i="2"/>
  <c r="AF9500" i="2"/>
  <c r="AF9501" i="2"/>
  <c r="AF9502" i="2"/>
  <c r="AF9503" i="2"/>
  <c r="AF9504" i="2"/>
  <c r="AF9505" i="2"/>
  <c r="AF9506" i="2"/>
  <c r="AF9507" i="2"/>
  <c r="AF9508" i="2"/>
  <c r="AF9509" i="2"/>
  <c r="AF9510" i="2"/>
  <c r="AF9511" i="2"/>
  <c r="AF9512" i="2"/>
  <c r="AF9513" i="2"/>
  <c r="AF9514" i="2"/>
  <c r="AF9515" i="2"/>
  <c r="AF9516" i="2"/>
  <c r="AF9517" i="2"/>
  <c r="AF9518" i="2"/>
  <c r="AF9519" i="2"/>
  <c r="AF9520" i="2"/>
  <c r="AF9521" i="2"/>
  <c r="AF9522" i="2"/>
  <c r="AF9523" i="2"/>
  <c r="AF9524" i="2"/>
  <c r="AF9525" i="2"/>
  <c r="AF9526" i="2"/>
  <c r="AF9527" i="2"/>
  <c r="AF9528" i="2"/>
  <c r="AF9529" i="2"/>
  <c r="AF9530" i="2"/>
  <c r="AF9531" i="2"/>
  <c r="AF9532" i="2"/>
  <c r="AF9533" i="2"/>
  <c r="AF9534" i="2"/>
  <c r="AF9535" i="2"/>
  <c r="AF9536" i="2"/>
  <c r="AF9537" i="2"/>
  <c r="AF9538" i="2"/>
  <c r="AF9539" i="2"/>
  <c r="AF9540" i="2"/>
  <c r="AF9541" i="2"/>
  <c r="AF9542" i="2"/>
  <c r="AF9543" i="2"/>
  <c r="AF9544" i="2"/>
  <c r="AF9545" i="2"/>
  <c r="AF9546" i="2"/>
  <c r="AF9547" i="2"/>
  <c r="AF9548" i="2"/>
  <c r="AF9549" i="2"/>
  <c r="AF9550" i="2"/>
  <c r="AF9551" i="2"/>
  <c r="AF9552" i="2"/>
  <c r="AF9553" i="2"/>
  <c r="AF9554" i="2"/>
  <c r="AF9555" i="2"/>
  <c r="AF9556" i="2"/>
  <c r="AF9557" i="2"/>
  <c r="AF9558" i="2"/>
  <c r="AF9559" i="2"/>
  <c r="AF9560" i="2"/>
  <c r="AF9561" i="2"/>
  <c r="AF9562" i="2"/>
  <c r="AF9563" i="2"/>
  <c r="AF9564" i="2"/>
  <c r="AF9565" i="2"/>
  <c r="AF9566" i="2"/>
  <c r="AF9567" i="2"/>
  <c r="AF9568" i="2"/>
  <c r="AF9569" i="2"/>
  <c r="AF9570" i="2"/>
  <c r="AF9571" i="2"/>
  <c r="AF9572" i="2"/>
  <c r="AF9573" i="2"/>
  <c r="AF9574" i="2"/>
  <c r="AF9575" i="2"/>
  <c r="AF9576" i="2"/>
  <c r="AF9577" i="2"/>
  <c r="AF9578" i="2"/>
  <c r="AF9579" i="2"/>
  <c r="AF9580" i="2"/>
  <c r="AF9581" i="2"/>
  <c r="AF9582" i="2"/>
  <c r="AF9583" i="2"/>
  <c r="AF9584" i="2"/>
  <c r="AF9585" i="2"/>
  <c r="AF9586" i="2"/>
  <c r="AF9587" i="2"/>
  <c r="AF9588" i="2"/>
  <c r="AF9589" i="2"/>
  <c r="AF9590" i="2"/>
  <c r="AF9591" i="2"/>
  <c r="AF9592" i="2"/>
  <c r="AF9593" i="2"/>
  <c r="AF9594" i="2"/>
  <c r="AF9595" i="2"/>
  <c r="AF9596" i="2"/>
  <c r="AF9597" i="2"/>
  <c r="AF9598" i="2"/>
  <c r="AF9599" i="2"/>
  <c r="AF9600" i="2"/>
  <c r="AF9601" i="2"/>
  <c r="AF9602" i="2"/>
  <c r="AF9603" i="2"/>
  <c r="AF9604" i="2"/>
  <c r="AF9605" i="2"/>
  <c r="AF9606" i="2"/>
  <c r="AF9607" i="2"/>
  <c r="AF9608" i="2"/>
  <c r="AF9609" i="2"/>
  <c r="AF9610" i="2"/>
  <c r="AF9611" i="2"/>
  <c r="AF9612" i="2"/>
  <c r="AF9613" i="2"/>
  <c r="AF9614" i="2"/>
  <c r="AF9615" i="2"/>
  <c r="AF9616" i="2"/>
  <c r="AF9617" i="2"/>
  <c r="AF9618" i="2"/>
  <c r="AF9619" i="2"/>
  <c r="AF9620" i="2"/>
  <c r="AF9621" i="2"/>
  <c r="AF9622" i="2"/>
  <c r="AF9623" i="2"/>
  <c r="AF9624" i="2"/>
  <c r="AF9625" i="2"/>
  <c r="AF9626" i="2"/>
  <c r="AF9627" i="2"/>
  <c r="AF9628" i="2"/>
  <c r="AF9629" i="2"/>
  <c r="AF9630" i="2"/>
  <c r="AF9631" i="2"/>
  <c r="AF9632" i="2"/>
  <c r="AF9633" i="2"/>
  <c r="AF9634" i="2"/>
  <c r="AF9635" i="2"/>
  <c r="AF9636" i="2"/>
  <c r="AF9637" i="2"/>
  <c r="AF9638" i="2"/>
  <c r="AF9639" i="2"/>
  <c r="AF9640" i="2"/>
  <c r="AF9641" i="2"/>
  <c r="AF9642" i="2"/>
  <c r="AF9643" i="2"/>
  <c r="AF9644" i="2"/>
  <c r="AF9645" i="2"/>
  <c r="AF9646" i="2"/>
  <c r="AF9647" i="2"/>
  <c r="AF9648" i="2"/>
  <c r="AF9649" i="2"/>
  <c r="AF9650" i="2"/>
  <c r="AF9651" i="2"/>
  <c r="AF9652" i="2"/>
  <c r="AF9653" i="2"/>
  <c r="AF9654" i="2"/>
  <c r="AF9655" i="2"/>
  <c r="AF9656" i="2"/>
  <c r="AF9657" i="2"/>
  <c r="AF9658" i="2"/>
  <c r="AF9659" i="2"/>
  <c r="AF9660" i="2"/>
  <c r="AF9661" i="2"/>
  <c r="AF9662" i="2"/>
  <c r="AF9663" i="2"/>
  <c r="AF9664" i="2"/>
  <c r="AF9665" i="2"/>
  <c r="AF9666" i="2"/>
  <c r="AF9667" i="2"/>
  <c r="AF9668" i="2"/>
  <c r="AF9669" i="2"/>
  <c r="AF9670" i="2"/>
  <c r="AF9671" i="2"/>
  <c r="AF9672" i="2"/>
  <c r="AF9673" i="2"/>
  <c r="AF9674" i="2"/>
  <c r="AF9675" i="2"/>
  <c r="AF9676" i="2"/>
  <c r="AF9677" i="2"/>
  <c r="AF9678" i="2"/>
  <c r="AF9679" i="2"/>
  <c r="AF9680" i="2"/>
  <c r="AF9681" i="2"/>
  <c r="AF9682" i="2"/>
  <c r="AF9683" i="2"/>
  <c r="AF9684" i="2"/>
  <c r="AF9685" i="2"/>
  <c r="AF9686" i="2"/>
  <c r="AF9687" i="2"/>
  <c r="AF9688" i="2"/>
  <c r="AF9689" i="2"/>
  <c r="AF9690" i="2"/>
  <c r="AF9691" i="2"/>
  <c r="AF9692" i="2"/>
  <c r="AF9693" i="2"/>
  <c r="AF9694" i="2"/>
  <c r="AF9695" i="2"/>
  <c r="AF9696" i="2"/>
  <c r="AF9697" i="2"/>
  <c r="AF9698" i="2"/>
  <c r="AF9699" i="2"/>
  <c r="AF9700" i="2"/>
  <c r="AF9701" i="2"/>
  <c r="AF9702" i="2"/>
  <c r="AF9703" i="2"/>
  <c r="AF9704" i="2"/>
  <c r="AF9705" i="2"/>
  <c r="AF9706" i="2"/>
  <c r="AF9707" i="2"/>
  <c r="AF9708" i="2"/>
  <c r="AF9709" i="2"/>
  <c r="AF9710" i="2"/>
  <c r="AF9711" i="2"/>
  <c r="AF9712" i="2"/>
  <c r="AF9713" i="2"/>
  <c r="AF9714" i="2"/>
  <c r="AF9715" i="2"/>
  <c r="AF9716" i="2"/>
  <c r="AF9717" i="2"/>
  <c r="AF9718" i="2"/>
  <c r="AF9719" i="2"/>
  <c r="AF9720" i="2"/>
  <c r="AF9721" i="2"/>
  <c r="AF9722" i="2"/>
  <c r="AF9723" i="2"/>
  <c r="AF9724" i="2"/>
  <c r="AF9725" i="2"/>
  <c r="AF9726" i="2"/>
  <c r="AF9727" i="2"/>
  <c r="AF9728" i="2"/>
  <c r="AF9729" i="2"/>
  <c r="AF9730" i="2"/>
  <c r="AF9731" i="2"/>
  <c r="AF9732" i="2"/>
  <c r="AF9733" i="2"/>
  <c r="AF9734" i="2"/>
  <c r="AF9735" i="2"/>
  <c r="AF9736" i="2"/>
  <c r="AF9737" i="2"/>
  <c r="AF9738" i="2"/>
  <c r="AF9739" i="2"/>
  <c r="AF9740" i="2"/>
  <c r="AF9741" i="2"/>
  <c r="AF9742" i="2"/>
  <c r="AF9743" i="2"/>
  <c r="AF9744" i="2"/>
  <c r="AF9745" i="2"/>
  <c r="AF9746" i="2"/>
  <c r="AF9747" i="2"/>
  <c r="AF9748" i="2"/>
  <c r="AF9749" i="2"/>
  <c r="AF9750" i="2"/>
  <c r="AF9751" i="2"/>
  <c r="AF9752" i="2"/>
  <c r="AF9753" i="2"/>
  <c r="AF9754" i="2"/>
  <c r="AF9755" i="2"/>
  <c r="AF9756" i="2"/>
  <c r="AF9757" i="2"/>
  <c r="AF9758" i="2"/>
  <c r="AF9759" i="2"/>
  <c r="AF9760" i="2"/>
  <c r="AF9761" i="2"/>
  <c r="AF9762" i="2"/>
  <c r="AF9763" i="2"/>
  <c r="AF9764" i="2"/>
  <c r="AF9765" i="2"/>
  <c r="AF9766" i="2"/>
  <c r="AF9767" i="2"/>
  <c r="AF9768" i="2"/>
  <c r="AF9769" i="2"/>
  <c r="AF9770" i="2"/>
  <c r="AF9771" i="2"/>
  <c r="AF9772" i="2"/>
  <c r="AF9773" i="2"/>
  <c r="AF9774" i="2"/>
  <c r="AF9775" i="2"/>
  <c r="AF9776" i="2"/>
  <c r="AF9777" i="2"/>
  <c r="AF9778" i="2"/>
  <c r="AF9779" i="2"/>
  <c r="AF9780" i="2"/>
  <c r="AF9781" i="2"/>
  <c r="AF9782" i="2"/>
  <c r="AF9783" i="2"/>
  <c r="AF9784" i="2"/>
  <c r="AF9785" i="2"/>
  <c r="AF9786" i="2"/>
  <c r="AF9787" i="2"/>
  <c r="AF9788" i="2"/>
  <c r="AF9789" i="2"/>
  <c r="AF9790" i="2"/>
  <c r="AF9791" i="2"/>
  <c r="AF9792" i="2"/>
  <c r="AF9793" i="2"/>
  <c r="AF9794" i="2"/>
  <c r="AF9795" i="2"/>
  <c r="AF9796" i="2"/>
  <c r="AF9797" i="2"/>
  <c r="AF9798" i="2"/>
  <c r="AF9799" i="2"/>
  <c r="AF9800" i="2"/>
  <c r="AF9801" i="2"/>
  <c r="AF9802" i="2"/>
  <c r="AF9803" i="2"/>
  <c r="AF9804" i="2"/>
  <c r="AF9805" i="2"/>
  <c r="AF9806" i="2"/>
  <c r="AF9807" i="2"/>
  <c r="AF9808" i="2"/>
  <c r="AF9809" i="2"/>
  <c r="AF9810" i="2"/>
  <c r="AF9811" i="2"/>
  <c r="AF9812" i="2"/>
  <c r="AF9813" i="2"/>
  <c r="AF9814" i="2"/>
  <c r="AF9815" i="2"/>
  <c r="AF9816" i="2"/>
  <c r="AF9817" i="2"/>
  <c r="AF9818" i="2"/>
  <c r="AF9819" i="2"/>
  <c r="AF9820" i="2"/>
  <c r="AF9821" i="2"/>
  <c r="AF9822" i="2"/>
  <c r="AF9823" i="2"/>
  <c r="AF9824" i="2"/>
  <c r="AF9825" i="2"/>
  <c r="AF9826" i="2"/>
  <c r="AF9827" i="2"/>
  <c r="AF9828" i="2"/>
  <c r="AF9829" i="2"/>
  <c r="AF9830" i="2"/>
  <c r="AF9831" i="2"/>
  <c r="AF9832" i="2"/>
  <c r="AF9833" i="2"/>
  <c r="AF9834" i="2"/>
  <c r="AF9835" i="2"/>
  <c r="AF9836" i="2"/>
  <c r="AF9837" i="2"/>
  <c r="AF9838" i="2"/>
  <c r="AF9839" i="2"/>
  <c r="AF9840" i="2"/>
  <c r="AF9841" i="2"/>
  <c r="AF9842" i="2"/>
  <c r="AF9843" i="2"/>
  <c r="AF9844" i="2"/>
  <c r="AF9845" i="2"/>
  <c r="AF9846" i="2"/>
  <c r="AF9847" i="2"/>
  <c r="AF9848" i="2"/>
  <c r="AF9849" i="2"/>
  <c r="AF9850" i="2"/>
  <c r="AF9851" i="2"/>
  <c r="AF9852" i="2"/>
  <c r="AF9853" i="2"/>
  <c r="AF9854" i="2"/>
  <c r="AF9855" i="2"/>
  <c r="AF9856" i="2"/>
  <c r="AF9857" i="2"/>
  <c r="AF9858" i="2"/>
  <c r="AF9859" i="2"/>
  <c r="AF9860" i="2"/>
  <c r="AF9861" i="2"/>
  <c r="AF9862" i="2"/>
  <c r="AF9863" i="2"/>
  <c r="AF9864" i="2"/>
  <c r="AF9865" i="2"/>
  <c r="AF9866" i="2"/>
  <c r="AF9867" i="2"/>
  <c r="AF9868" i="2"/>
  <c r="AF9869" i="2"/>
  <c r="AF9870" i="2"/>
  <c r="AF9871" i="2"/>
  <c r="AF9872" i="2"/>
  <c r="AF9873" i="2"/>
  <c r="AF9874" i="2"/>
  <c r="AF9875" i="2"/>
  <c r="AF9876" i="2"/>
  <c r="AF9877" i="2"/>
  <c r="AF9878" i="2"/>
  <c r="AF9879" i="2"/>
  <c r="AF9880" i="2"/>
  <c r="AF9881" i="2"/>
  <c r="AF9882" i="2"/>
  <c r="AF9883" i="2"/>
  <c r="AF9884" i="2"/>
  <c r="AF9885" i="2"/>
  <c r="AF9886" i="2"/>
  <c r="AF9887" i="2"/>
  <c r="AF9888" i="2"/>
  <c r="AF9889" i="2"/>
  <c r="AF9890" i="2"/>
  <c r="AF9891" i="2"/>
  <c r="AF9892" i="2"/>
  <c r="AF9893" i="2"/>
  <c r="AF9894" i="2"/>
  <c r="AF9895" i="2"/>
  <c r="AF9896" i="2"/>
  <c r="AF9897" i="2"/>
  <c r="AF9898" i="2"/>
  <c r="AF9899" i="2"/>
  <c r="AF9900" i="2"/>
  <c r="AF9901" i="2"/>
  <c r="AF9902" i="2"/>
  <c r="AF9903" i="2"/>
  <c r="AF9904" i="2"/>
  <c r="AF9905" i="2"/>
  <c r="AF9906" i="2"/>
  <c r="AF9907" i="2"/>
  <c r="AF9908" i="2"/>
  <c r="AF9909" i="2"/>
  <c r="AF9910" i="2"/>
  <c r="AF9911" i="2"/>
  <c r="AF9912" i="2"/>
  <c r="AF9913" i="2"/>
  <c r="AF9914" i="2"/>
  <c r="AF9915" i="2"/>
  <c r="AF9916" i="2"/>
  <c r="AF9917" i="2"/>
  <c r="AF9918" i="2"/>
  <c r="AF9919" i="2"/>
  <c r="AF9920" i="2"/>
  <c r="AF9921" i="2"/>
  <c r="AF9922" i="2"/>
  <c r="AF9923" i="2"/>
  <c r="AF9924" i="2"/>
  <c r="AF9925" i="2"/>
  <c r="AF9926" i="2"/>
  <c r="AF9927" i="2"/>
  <c r="AF9928" i="2"/>
  <c r="AF9929" i="2"/>
  <c r="AF9930" i="2"/>
  <c r="AF9931" i="2"/>
  <c r="AF9932" i="2"/>
  <c r="AF9933" i="2"/>
  <c r="AF9934" i="2"/>
  <c r="AF9935" i="2"/>
  <c r="AF9936" i="2"/>
  <c r="AF9937" i="2"/>
  <c r="AF9938" i="2"/>
  <c r="AF9939" i="2"/>
  <c r="AF9940" i="2"/>
  <c r="AF9941" i="2"/>
  <c r="AF9942" i="2"/>
  <c r="AF9943" i="2"/>
  <c r="AF9944" i="2"/>
  <c r="AF9945" i="2"/>
  <c r="AF9946" i="2"/>
  <c r="AF9947" i="2"/>
  <c r="AF9948" i="2"/>
  <c r="AF9949" i="2"/>
  <c r="AF9950" i="2"/>
  <c r="AF9951" i="2"/>
  <c r="AF9952" i="2"/>
  <c r="AF9953" i="2"/>
  <c r="AF9954" i="2"/>
  <c r="AF9955" i="2"/>
  <c r="AF9956" i="2"/>
  <c r="AF9957" i="2"/>
  <c r="AF9958" i="2"/>
  <c r="AF9959" i="2"/>
  <c r="AF9960" i="2"/>
  <c r="AF9961" i="2"/>
  <c r="AF9962" i="2"/>
  <c r="AF9963" i="2"/>
  <c r="AF9964" i="2"/>
  <c r="AF9965" i="2"/>
  <c r="AF9966" i="2"/>
  <c r="AF9967" i="2"/>
  <c r="AF9968" i="2"/>
  <c r="AF9969" i="2"/>
  <c r="AF9970" i="2"/>
  <c r="AF9971" i="2"/>
  <c r="AF9972" i="2"/>
  <c r="AF9973" i="2"/>
  <c r="AF9974" i="2"/>
  <c r="AF9975" i="2"/>
  <c r="AF9976" i="2"/>
  <c r="AF9977" i="2"/>
  <c r="AF9978" i="2"/>
  <c r="AF9979" i="2"/>
  <c r="AF9980" i="2"/>
  <c r="AF9981" i="2"/>
  <c r="AF9982" i="2"/>
  <c r="AF9983" i="2"/>
  <c r="AF9984" i="2"/>
  <c r="AF9985" i="2"/>
  <c r="AF9986" i="2"/>
  <c r="AF9987" i="2"/>
  <c r="AF9988" i="2"/>
  <c r="AF9989" i="2"/>
  <c r="AF9990" i="2"/>
  <c r="AF9991" i="2"/>
  <c r="AF9992" i="2"/>
  <c r="AF9993" i="2"/>
  <c r="AF9994" i="2"/>
  <c r="AF9995" i="2"/>
  <c r="AF9996" i="2"/>
  <c r="AF9997" i="2"/>
  <c r="AF9998" i="2"/>
  <c r="AF9999" i="2"/>
  <c r="AF10000" i="2"/>
  <c r="AF10001" i="2"/>
  <c r="AF10002" i="2"/>
  <c r="AF10003" i="2"/>
  <c r="AF10004" i="2"/>
  <c r="AF10005" i="2"/>
  <c r="AF10006" i="2"/>
  <c r="AF10007" i="2"/>
  <c r="AF10008" i="2"/>
  <c r="AF10009" i="2"/>
  <c r="AF10010" i="2"/>
  <c r="AF10011" i="2"/>
  <c r="AF10012" i="2"/>
  <c r="AF10013" i="2"/>
  <c r="AF10014" i="2"/>
  <c r="AF10015" i="2"/>
  <c r="AF10016" i="2"/>
  <c r="AF10017" i="2"/>
  <c r="AF10018" i="2"/>
  <c r="AF10019" i="2"/>
  <c r="AF10020" i="2"/>
  <c r="AF10021" i="2"/>
  <c r="AF10022" i="2"/>
  <c r="AF10023" i="2"/>
  <c r="AF10024" i="2"/>
  <c r="AF10025" i="2"/>
  <c r="AF10026" i="2"/>
  <c r="AF10027" i="2"/>
  <c r="AF10028" i="2"/>
  <c r="AF10029" i="2"/>
  <c r="AF10030" i="2"/>
  <c r="AF10031" i="2"/>
  <c r="AF10032" i="2"/>
  <c r="AF10033" i="2"/>
  <c r="AF10034" i="2"/>
  <c r="AF10035" i="2"/>
  <c r="AF10036" i="2"/>
  <c r="AF10037" i="2"/>
  <c r="AF10038" i="2"/>
  <c r="AF10039" i="2"/>
  <c r="AF10040" i="2"/>
  <c r="AF10041" i="2"/>
  <c r="AF10042" i="2"/>
  <c r="AF10043" i="2"/>
  <c r="AF10044" i="2"/>
  <c r="AF10045" i="2"/>
  <c r="AF10046" i="2"/>
  <c r="AF10047" i="2"/>
  <c r="AF10048" i="2"/>
  <c r="AF10049" i="2"/>
  <c r="AF10050" i="2"/>
  <c r="AF10051" i="2"/>
  <c r="AF10052" i="2"/>
  <c r="AF10053" i="2"/>
  <c r="AF10054" i="2"/>
  <c r="AF10055" i="2"/>
  <c r="AF10056" i="2"/>
  <c r="AF10057" i="2"/>
  <c r="AF10058" i="2"/>
  <c r="AF10059" i="2"/>
  <c r="AF10060" i="2"/>
  <c r="AF10061" i="2"/>
  <c r="AF10062" i="2"/>
  <c r="AF10063" i="2"/>
  <c r="AF10064" i="2"/>
  <c r="AF10065" i="2"/>
  <c r="AF10066" i="2"/>
  <c r="AF10067" i="2"/>
  <c r="AF10068" i="2"/>
  <c r="AF10069" i="2"/>
  <c r="AF10070" i="2"/>
  <c r="AF10071" i="2"/>
  <c r="AF10072" i="2"/>
  <c r="AF10073" i="2"/>
  <c r="AF10074" i="2"/>
  <c r="AF10075" i="2"/>
  <c r="AF10076" i="2"/>
  <c r="AF10077" i="2"/>
  <c r="AF10078" i="2"/>
  <c r="AF10079" i="2"/>
  <c r="AF10080" i="2"/>
  <c r="AF10081" i="2"/>
  <c r="AF10082" i="2"/>
  <c r="AF10083" i="2"/>
  <c r="AF10084" i="2"/>
  <c r="AF10085" i="2"/>
  <c r="AF10086" i="2"/>
  <c r="AF10087" i="2"/>
  <c r="AF10088" i="2"/>
  <c r="AF10089" i="2"/>
  <c r="AF10090" i="2"/>
  <c r="AF10091" i="2"/>
  <c r="AF10092" i="2"/>
  <c r="AF10093" i="2"/>
  <c r="AF10094" i="2"/>
  <c r="AF10095" i="2"/>
  <c r="AF10096" i="2"/>
  <c r="AF10097" i="2"/>
  <c r="AF10098" i="2"/>
  <c r="AF10099" i="2"/>
  <c r="AF10100" i="2"/>
  <c r="AF10101" i="2"/>
  <c r="AF10102" i="2"/>
  <c r="AF10103" i="2"/>
  <c r="AF10104" i="2"/>
  <c r="AF10105" i="2"/>
  <c r="AF10106" i="2"/>
  <c r="AF10107" i="2"/>
  <c r="AF10108" i="2"/>
  <c r="AF10109" i="2"/>
  <c r="AF10110" i="2"/>
  <c r="AF10111" i="2"/>
  <c r="AF10112" i="2"/>
  <c r="AF10113" i="2"/>
  <c r="AF10114" i="2"/>
  <c r="AF10115" i="2"/>
  <c r="AF10116" i="2"/>
  <c r="AF10117" i="2"/>
  <c r="AF10118" i="2"/>
  <c r="AF10119" i="2"/>
  <c r="AF10120" i="2"/>
  <c r="AF10121" i="2"/>
  <c r="AF10122" i="2"/>
  <c r="AF10123" i="2"/>
  <c r="AF10124" i="2"/>
  <c r="AF10125" i="2"/>
  <c r="AF10126" i="2"/>
  <c r="AF10127" i="2"/>
  <c r="AF10128" i="2"/>
  <c r="AF10129" i="2"/>
  <c r="AF10130" i="2"/>
  <c r="AF10131" i="2"/>
  <c r="AF10132" i="2"/>
  <c r="AF10133" i="2"/>
  <c r="AF10134" i="2"/>
  <c r="AF10135" i="2"/>
  <c r="AF10136" i="2"/>
  <c r="AF10137" i="2"/>
  <c r="AF10138" i="2"/>
  <c r="AF10139" i="2"/>
  <c r="AF10140" i="2"/>
  <c r="AF10141" i="2"/>
  <c r="AF10142" i="2"/>
  <c r="AF10143" i="2"/>
  <c r="AF10144" i="2"/>
  <c r="AF10145" i="2"/>
  <c r="AF10146" i="2"/>
  <c r="AF10147" i="2"/>
  <c r="AF10148" i="2"/>
  <c r="AF10149" i="2"/>
  <c r="AF10150" i="2"/>
  <c r="AF10151" i="2"/>
  <c r="AF10152" i="2"/>
  <c r="AF10153" i="2"/>
  <c r="AF10154" i="2"/>
  <c r="AF10155" i="2"/>
  <c r="AF10156" i="2"/>
  <c r="AF10157" i="2"/>
  <c r="AF10158" i="2"/>
  <c r="AF10159" i="2"/>
  <c r="AF10160" i="2"/>
  <c r="AF10161" i="2"/>
  <c r="AF10162" i="2"/>
  <c r="AF10163" i="2"/>
  <c r="AF10164" i="2"/>
  <c r="AF10165" i="2"/>
  <c r="AF10166" i="2"/>
  <c r="AF10167" i="2"/>
  <c r="AF10168" i="2"/>
  <c r="AF10169" i="2"/>
  <c r="AF10170" i="2"/>
  <c r="AF10171" i="2"/>
  <c r="AF10172" i="2"/>
  <c r="AF10173" i="2"/>
  <c r="AF10174" i="2"/>
  <c r="AF10175" i="2"/>
  <c r="AF10176" i="2"/>
  <c r="AF10177" i="2"/>
  <c r="AF10178" i="2"/>
  <c r="AF10179" i="2"/>
  <c r="AF10180" i="2"/>
  <c r="AF10181" i="2"/>
  <c r="AF10182" i="2"/>
  <c r="AF10183" i="2"/>
  <c r="AF10184" i="2"/>
  <c r="AF10185" i="2"/>
  <c r="AF10186" i="2"/>
  <c r="AF10187" i="2"/>
  <c r="AF10188" i="2"/>
  <c r="AF10189" i="2"/>
  <c r="AF10190" i="2"/>
  <c r="AF10191" i="2"/>
  <c r="AF10192" i="2"/>
  <c r="AF10193" i="2"/>
  <c r="AF10194" i="2"/>
  <c r="AF10195" i="2"/>
  <c r="AF10196" i="2"/>
  <c r="AF10197" i="2"/>
  <c r="AF10198" i="2"/>
  <c r="AF10199" i="2"/>
  <c r="AF10200" i="2"/>
  <c r="AF10201" i="2"/>
  <c r="AF10202" i="2"/>
  <c r="AF10203" i="2"/>
  <c r="AF10204" i="2"/>
  <c r="AF10205" i="2"/>
  <c r="AF10206" i="2"/>
  <c r="AF10207" i="2"/>
  <c r="AF10208" i="2"/>
  <c r="AF10209" i="2"/>
  <c r="AF10210" i="2"/>
  <c r="AF10211" i="2"/>
  <c r="AF10212" i="2"/>
  <c r="AF10213" i="2"/>
  <c r="AF10214" i="2"/>
  <c r="AF10215" i="2"/>
  <c r="AF10216" i="2"/>
  <c r="AF10217" i="2"/>
  <c r="AF10218" i="2"/>
  <c r="AF10219" i="2"/>
  <c r="AF10220" i="2"/>
  <c r="AF10221" i="2"/>
  <c r="AF10222" i="2"/>
  <c r="AF10223" i="2"/>
  <c r="AF10224" i="2"/>
  <c r="AF10225" i="2"/>
  <c r="AF10226" i="2"/>
  <c r="AF10227" i="2"/>
  <c r="AF10228" i="2"/>
  <c r="AF10229" i="2"/>
  <c r="AF10230" i="2"/>
  <c r="AF10231" i="2"/>
  <c r="AF10232" i="2"/>
  <c r="AF10233" i="2"/>
  <c r="AF10234" i="2"/>
  <c r="AF10235" i="2"/>
  <c r="AF10236" i="2"/>
  <c r="AF10237" i="2"/>
  <c r="AF10238" i="2"/>
  <c r="AF10239" i="2"/>
  <c r="AF10240" i="2"/>
  <c r="AF10241" i="2"/>
  <c r="AF10242" i="2"/>
  <c r="AF10243" i="2"/>
  <c r="AF10244" i="2"/>
  <c r="AF10245" i="2"/>
  <c r="AF10246" i="2"/>
  <c r="AF10247" i="2"/>
  <c r="AF10248" i="2"/>
  <c r="AF10249" i="2"/>
  <c r="AF10250" i="2"/>
  <c r="AF10251" i="2"/>
  <c r="AF10252" i="2"/>
  <c r="AF10253" i="2"/>
  <c r="AF10254" i="2"/>
  <c r="AF10255" i="2"/>
  <c r="AF10256" i="2"/>
  <c r="AF10257" i="2"/>
  <c r="AF10258" i="2"/>
  <c r="AF10259" i="2"/>
  <c r="AF10260" i="2"/>
  <c r="AF10261" i="2"/>
  <c r="AF10262" i="2"/>
  <c r="AF10263" i="2"/>
  <c r="AF10264" i="2"/>
  <c r="AF10265" i="2"/>
  <c r="AF10266" i="2"/>
  <c r="AF10267" i="2"/>
  <c r="AF10268" i="2"/>
  <c r="AF10269" i="2"/>
  <c r="AF10270" i="2"/>
  <c r="AF10271" i="2"/>
  <c r="AF10272" i="2"/>
  <c r="AF10273" i="2"/>
  <c r="AF10274" i="2"/>
  <c r="AF10275" i="2"/>
  <c r="AF10276" i="2"/>
  <c r="AF10277" i="2"/>
  <c r="AF10278" i="2"/>
  <c r="AF10279" i="2"/>
  <c r="AF10280" i="2"/>
  <c r="AF10281" i="2"/>
  <c r="AF10282" i="2"/>
  <c r="AF10283" i="2"/>
  <c r="AF10284" i="2"/>
  <c r="AF10285" i="2"/>
  <c r="AF10286" i="2"/>
  <c r="AF10287" i="2"/>
  <c r="AF10288" i="2"/>
  <c r="AF10289" i="2"/>
  <c r="AF10290" i="2"/>
  <c r="AF10291" i="2"/>
  <c r="AF10292" i="2"/>
  <c r="AF10293" i="2"/>
  <c r="AF10294" i="2"/>
  <c r="AF10295" i="2"/>
  <c r="AF10296" i="2"/>
  <c r="AF10297" i="2"/>
  <c r="AF10298" i="2"/>
  <c r="AF10299" i="2"/>
  <c r="AF10300" i="2"/>
  <c r="AF10301" i="2"/>
  <c r="AF10302" i="2"/>
  <c r="AF10303" i="2"/>
  <c r="AF10304" i="2"/>
  <c r="AF10305" i="2"/>
  <c r="AF10306" i="2"/>
  <c r="AF10307" i="2"/>
  <c r="AF10308" i="2"/>
  <c r="AF10309" i="2"/>
  <c r="AF10310" i="2"/>
  <c r="AF10311" i="2"/>
  <c r="AF10312" i="2"/>
  <c r="AF10313" i="2"/>
  <c r="AF10314" i="2"/>
  <c r="AF10315" i="2"/>
  <c r="AF10316" i="2"/>
  <c r="AF10317" i="2"/>
  <c r="AF10318" i="2"/>
  <c r="AF10319" i="2"/>
  <c r="AF10320" i="2"/>
  <c r="AF10321" i="2"/>
  <c r="AF10322" i="2"/>
  <c r="AF10323" i="2"/>
  <c r="AF10324" i="2"/>
  <c r="AF10325" i="2"/>
  <c r="AF10326" i="2"/>
  <c r="AF10327" i="2"/>
  <c r="AF10328" i="2"/>
  <c r="AF10329" i="2"/>
  <c r="AF10330" i="2"/>
  <c r="AF10331" i="2"/>
  <c r="AF10332" i="2"/>
  <c r="AF10333" i="2"/>
  <c r="AF10334" i="2"/>
  <c r="AF10335" i="2"/>
  <c r="AF10336" i="2"/>
  <c r="AF10337" i="2"/>
  <c r="AF10338" i="2"/>
  <c r="AF10339" i="2"/>
  <c r="AF10340" i="2"/>
  <c r="AF10341" i="2"/>
  <c r="AF10342" i="2"/>
  <c r="AF10343" i="2"/>
  <c r="AF10344" i="2"/>
  <c r="AF10345" i="2"/>
  <c r="AF10346" i="2"/>
  <c r="AF10347" i="2"/>
  <c r="AF10348" i="2"/>
  <c r="AF10349" i="2"/>
  <c r="AF10350" i="2"/>
  <c r="AF10351" i="2"/>
  <c r="AF10352" i="2"/>
  <c r="AF10353" i="2"/>
  <c r="AF10354" i="2"/>
  <c r="AF10355" i="2"/>
  <c r="AF10356" i="2"/>
  <c r="AF10357" i="2"/>
  <c r="AF10358" i="2"/>
  <c r="AF10359" i="2"/>
  <c r="AF10360" i="2"/>
  <c r="AF10361" i="2"/>
  <c r="AF10362" i="2"/>
  <c r="AF10363" i="2"/>
  <c r="AF10364" i="2"/>
  <c r="AF10365" i="2"/>
  <c r="AF10366" i="2"/>
  <c r="AF10367" i="2"/>
  <c r="AF10368" i="2"/>
  <c r="AF10369" i="2"/>
  <c r="AF10370" i="2"/>
  <c r="AF10371" i="2"/>
  <c r="AF10372" i="2"/>
  <c r="AF10373" i="2"/>
  <c r="AF10374" i="2"/>
  <c r="AF10375" i="2"/>
  <c r="AF10376" i="2"/>
  <c r="AF10377" i="2"/>
  <c r="AF10378" i="2"/>
  <c r="AF10379" i="2"/>
  <c r="AF10380" i="2"/>
  <c r="AF10381" i="2"/>
  <c r="AF10382" i="2"/>
  <c r="AF10383" i="2"/>
  <c r="AF10384" i="2"/>
  <c r="AF10385" i="2"/>
  <c r="AF10386" i="2"/>
  <c r="AF10387" i="2"/>
  <c r="AF10388" i="2"/>
  <c r="AF10389" i="2"/>
  <c r="AF10390" i="2"/>
  <c r="AF10391" i="2"/>
  <c r="AF10392" i="2"/>
  <c r="AF10393" i="2"/>
  <c r="AF10394" i="2"/>
  <c r="AF10395" i="2"/>
  <c r="AF10396" i="2"/>
  <c r="AF10397" i="2"/>
  <c r="AF10398" i="2"/>
  <c r="AF10399" i="2"/>
  <c r="AF10400" i="2"/>
  <c r="AF10401" i="2"/>
  <c r="AF10402" i="2"/>
  <c r="AF10403" i="2"/>
  <c r="AF10404" i="2"/>
  <c r="AF10405" i="2"/>
  <c r="AF10406" i="2"/>
  <c r="AF10407" i="2"/>
  <c r="AF10408" i="2"/>
  <c r="AF10409" i="2"/>
  <c r="AF10410" i="2"/>
  <c r="AF10411" i="2"/>
  <c r="AF10412" i="2"/>
  <c r="AF10413" i="2"/>
  <c r="AF10414" i="2"/>
  <c r="AF10415" i="2"/>
  <c r="AF10416" i="2"/>
  <c r="AF10417" i="2"/>
  <c r="AF10418" i="2"/>
  <c r="AF10419" i="2"/>
  <c r="AF10420" i="2"/>
  <c r="AF10421" i="2"/>
  <c r="AF10422" i="2"/>
  <c r="AF10423" i="2"/>
  <c r="AF10424" i="2"/>
  <c r="AF10425" i="2"/>
  <c r="AF10426" i="2"/>
  <c r="AF10427" i="2"/>
  <c r="AF10428" i="2"/>
  <c r="AF10429" i="2"/>
  <c r="AF10430" i="2"/>
  <c r="AF10431" i="2"/>
  <c r="AF10432" i="2"/>
  <c r="AF10433" i="2"/>
  <c r="AF10434" i="2"/>
  <c r="AF10435" i="2"/>
  <c r="AF10436" i="2"/>
  <c r="AF10437" i="2"/>
  <c r="AF10438" i="2"/>
  <c r="AF10439" i="2"/>
  <c r="AF10440" i="2"/>
  <c r="AF10441" i="2"/>
  <c r="AF10442" i="2"/>
  <c r="AF10443" i="2"/>
  <c r="AF10444" i="2"/>
  <c r="AF10445" i="2"/>
  <c r="AF10446" i="2"/>
  <c r="AF10447" i="2"/>
  <c r="AF10448" i="2"/>
  <c r="AF10449" i="2"/>
  <c r="AF10450" i="2"/>
  <c r="AF10451" i="2"/>
  <c r="AF10452" i="2"/>
  <c r="AF10453" i="2"/>
  <c r="AF10454" i="2"/>
  <c r="AF10455" i="2"/>
  <c r="AF10456" i="2"/>
  <c r="AF10457" i="2"/>
  <c r="AF10458" i="2"/>
  <c r="AF10459" i="2"/>
  <c r="AF10460" i="2"/>
  <c r="AF10461" i="2"/>
  <c r="AF10462" i="2"/>
  <c r="AF10463" i="2"/>
  <c r="AF10464" i="2"/>
  <c r="AF10465" i="2"/>
  <c r="AF10466" i="2"/>
  <c r="AF10467" i="2"/>
  <c r="AF10468" i="2"/>
  <c r="AF10469" i="2"/>
  <c r="AF10470" i="2"/>
  <c r="AF10471" i="2"/>
  <c r="AF10472" i="2"/>
  <c r="AF10473" i="2"/>
  <c r="AF10474" i="2"/>
  <c r="AF10475" i="2"/>
  <c r="AF10476" i="2"/>
  <c r="AF10477" i="2"/>
  <c r="AF10478" i="2"/>
  <c r="AF10479" i="2"/>
  <c r="AF10480" i="2"/>
  <c r="AF10481" i="2"/>
  <c r="AF10482" i="2"/>
  <c r="AF10483" i="2"/>
  <c r="AF10484" i="2"/>
  <c r="AF10485" i="2"/>
  <c r="AF10486" i="2"/>
  <c r="AF10487" i="2"/>
  <c r="AF10488" i="2"/>
  <c r="AF10489" i="2"/>
  <c r="AF10490" i="2"/>
  <c r="AF10491" i="2"/>
  <c r="AF10492" i="2"/>
  <c r="AF10493" i="2"/>
  <c r="AF10494" i="2"/>
  <c r="AF10495" i="2"/>
  <c r="AF10496" i="2"/>
  <c r="AF10497" i="2"/>
  <c r="AF10498" i="2"/>
  <c r="AF10499" i="2"/>
  <c r="AF10500" i="2"/>
  <c r="AF10501" i="2"/>
  <c r="AF10502" i="2"/>
  <c r="AF10503" i="2"/>
  <c r="AF10504" i="2"/>
  <c r="AF10505" i="2"/>
  <c r="AF10506" i="2"/>
  <c r="AF10507" i="2"/>
  <c r="AF10508" i="2"/>
  <c r="AF10509" i="2"/>
  <c r="AF10510" i="2"/>
  <c r="AF10511" i="2"/>
  <c r="AF10512" i="2"/>
  <c r="AF10513" i="2"/>
  <c r="AF10514" i="2"/>
  <c r="AF10515" i="2"/>
  <c r="AF10516" i="2"/>
  <c r="AF10517" i="2"/>
  <c r="AF10518" i="2"/>
  <c r="AF10519" i="2"/>
  <c r="AF10520" i="2"/>
  <c r="AF10521" i="2"/>
  <c r="AF10522" i="2"/>
  <c r="AF10523" i="2"/>
  <c r="AF10524" i="2"/>
  <c r="AF10525" i="2"/>
  <c r="AF10526" i="2"/>
  <c r="AF10527" i="2"/>
  <c r="AF10528" i="2"/>
  <c r="AF10529" i="2"/>
  <c r="AF10530" i="2"/>
  <c r="AF10531" i="2"/>
  <c r="AF10532" i="2"/>
  <c r="AF10533" i="2"/>
  <c r="AF10534" i="2"/>
  <c r="AF10535" i="2"/>
  <c r="AF10536" i="2"/>
  <c r="AF10537" i="2"/>
  <c r="AF10538" i="2"/>
  <c r="AF10539" i="2"/>
  <c r="AF10540" i="2"/>
  <c r="AF10541" i="2"/>
  <c r="AF10542" i="2"/>
  <c r="AF10543" i="2"/>
  <c r="AF10544" i="2"/>
  <c r="AF10545" i="2"/>
  <c r="AF10546" i="2"/>
  <c r="AF10547" i="2"/>
  <c r="AF10548" i="2"/>
  <c r="AF10549" i="2"/>
  <c r="AF10550" i="2"/>
  <c r="AF10551" i="2"/>
  <c r="AF10552" i="2"/>
  <c r="AF10553" i="2"/>
  <c r="AF10554" i="2"/>
  <c r="AF10555" i="2"/>
  <c r="AF10556" i="2"/>
  <c r="AF10557" i="2"/>
  <c r="AF10558" i="2"/>
  <c r="AF10559" i="2"/>
  <c r="AF10560" i="2"/>
  <c r="AF10561" i="2"/>
  <c r="AF10562" i="2"/>
  <c r="AF10563" i="2"/>
  <c r="AF10564" i="2"/>
  <c r="AF10565" i="2"/>
  <c r="AF10566" i="2"/>
  <c r="AF10567" i="2"/>
  <c r="AF10568" i="2"/>
  <c r="AF10569" i="2"/>
  <c r="AF10570" i="2"/>
  <c r="AF10571" i="2"/>
  <c r="AF10572" i="2"/>
  <c r="AF10573" i="2"/>
  <c r="AF10574" i="2"/>
  <c r="AF10575" i="2"/>
  <c r="AF10576" i="2"/>
  <c r="AF10577" i="2"/>
  <c r="AF10578" i="2"/>
  <c r="AF10579" i="2"/>
  <c r="AF10580" i="2"/>
  <c r="AF10581" i="2"/>
  <c r="AF10582" i="2"/>
  <c r="AF10583" i="2"/>
  <c r="AF10584" i="2"/>
  <c r="AF10585" i="2"/>
  <c r="AF10586" i="2"/>
  <c r="AF10587" i="2"/>
  <c r="AF10588" i="2"/>
  <c r="AF10589" i="2"/>
  <c r="AF10590" i="2"/>
  <c r="AF10591" i="2"/>
  <c r="AF10592" i="2"/>
  <c r="AF10593" i="2"/>
  <c r="AF10594" i="2"/>
  <c r="AF10595" i="2"/>
  <c r="AF10596" i="2"/>
  <c r="AF10597" i="2"/>
  <c r="AF10598" i="2"/>
  <c r="AF10599" i="2"/>
  <c r="AF10600" i="2"/>
  <c r="AF10601" i="2"/>
  <c r="AF10602" i="2"/>
  <c r="AF10603" i="2"/>
  <c r="AF10604" i="2"/>
  <c r="AF10605" i="2"/>
  <c r="AF10606" i="2"/>
  <c r="AF10607" i="2"/>
  <c r="AF10608" i="2"/>
  <c r="AF10609" i="2"/>
  <c r="AF10610" i="2"/>
  <c r="AF10611" i="2"/>
  <c r="AF10612" i="2"/>
  <c r="AF10613" i="2"/>
  <c r="AF10614" i="2"/>
  <c r="AF10615" i="2"/>
  <c r="AF10616" i="2"/>
  <c r="AF10617" i="2"/>
  <c r="AF10618" i="2"/>
  <c r="AF10619" i="2"/>
  <c r="AF10620" i="2"/>
  <c r="AF10621" i="2"/>
  <c r="AF10622" i="2"/>
  <c r="AF10623" i="2"/>
  <c r="AF10624" i="2"/>
  <c r="AF10625" i="2"/>
  <c r="AF10626" i="2"/>
  <c r="AF10627" i="2"/>
  <c r="AF10628" i="2"/>
  <c r="AF10629" i="2"/>
  <c r="AF10630" i="2"/>
  <c r="AF10631" i="2"/>
  <c r="AF10632" i="2"/>
  <c r="AF10633" i="2"/>
  <c r="AF10634" i="2"/>
  <c r="AF10635" i="2"/>
  <c r="AF10636" i="2"/>
  <c r="AF10637" i="2"/>
  <c r="AF10638" i="2"/>
  <c r="AF10639" i="2"/>
  <c r="AF10640" i="2"/>
  <c r="AF10641" i="2"/>
  <c r="AF10642" i="2"/>
  <c r="AF10643" i="2"/>
  <c r="AF10644" i="2"/>
  <c r="AF10645" i="2"/>
  <c r="AF10646" i="2"/>
  <c r="AF10647" i="2"/>
  <c r="AF10648" i="2"/>
  <c r="AF10649" i="2"/>
  <c r="AF10650" i="2"/>
  <c r="AF10651" i="2"/>
  <c r="AF10652" i="2"/>
  <c r="AF10653" i="2"/>
  <c r="AF10654" i="2"/>
  <c r="AF10655" i="2"/>
  <c r="AF10656" i="2"/>
  <c r="AF10657" i="2"/>
  <c r="AF10658" i="2"/>
  <c r="AF10659" i="2"/>
  <c r="AF10660" i="2"/>
  <c r="AF10661" i="2"/>
  <c r="AF10662" i="2"/>
  <c r="AF10663" i="2"/>
  <c r="AF10664" i="2"/>
  <c r="AF10665" i="2"/>
  <c r="AF10666" i="2"/>
  <c r="AF10667" i="2"/>
  <c r="AF10668" i="2"/>
  <c r="AF10669" i="2"/>
  <c r="AF10670" i="2"/>
  <c r="AF10671" i="2"/>
  <c r="AF10672" i="2"/>
  <c r="AF10673" i="2"/>
  <c r="AF10674" i="2"/>
  <c r="AF10675" i="2"/>
  <c r="AF10676" i="2"/>
  <c r="AF10677" i="2"/>
  <c r="AF10678" i="2"/>
  <c r="AF10679" i="2"/>
  <c r="AF10680" i="2"/>
  <c r="AF10681" i="2"/>
  <c r="AF10682" i="2"/>
  <c r="AF10683" i="2"/>
  <c r="AF10684" i="2"/>
  <c r="AF10685" i="2"/>
  <c r="AF10686" i="2"/>
  <c r="AF10687" i="2"/>
  <c r="AF10688" i="2"/>
  <c r="AF10689" i="2"/>
  <c r="AF10690" i="2"/>
  <c r="AF10691" i="2"/>
  <c r="AF10692" i="2"/>
  <c r="AF10693" i="2"/>
  <c r="AF10694" i="2"/>
  <c r="AF10695" i="2"/>
  <c r="AF10696" i="2"/>
  <c r="AF10697" i="2"/>
  <c r="AF10698" i="2"/>
  <c r="AF10699" i="2"/>
  <c r="AF10700" i="2"/>
  <c r="AF10701" i="2"/>
  <c r="AF10702" i="2"/>
  <c r="A4" i="3" l="1"/>
  <c r="A4" i="2"/>
  <c r="H9" i="3" l="1"/>
  <c r="H10" i="3"/>
  <c r="G10" i="3"/>
  <c r="G9" i="3"/>
  <c r="F10" i="3"/>
  <c r="F9" i="3"/>
  <c r="E10" i="3"/>
  <c r="E9" i="3"/>
  <c r="E7" i="3"/>
  <c r="E12" i="2" l="1"/>
  <c r="E11" i="2"/>
  <c r="E10" i="2"/>
  <c r="E9" i="2"/>
  <c r="L9" i="3"/>
  <c r="L10" i="3"/>
  <c r="I12" i="2" l="1"/>
  <c r="I11" i="2"/>
  <c r="I10" i="2"/>
  <c r="I9" i="2"/>
  <c r="G8" i="2"/>
  <c r="I10" i="3"/>
  <c r="G8" i="3"/>
  <c r="A61" i="2" l="1"/>
  <c r="A59" i="3" s="1"/>
  <c r="A60" i="2" l="1"/>
  <c r="A58" i="3" s="1"/>
  <c r="A15" i="2"/>
  <c r="A13" i="3" s="1"/>
  <c r="A59" i="2" l="1"/>
  <c r="A57" i="3" s="1"/>
  <c r="A58" i="2" l="1"/>
  <c r="A56" i="3" s="1"/>
  <c r="AC1" i="2"/>
  <c r="A48" i="2" l="1"/>
  <c r="A46" i="3" s="1"/>
  <c r="A57" i="2"/>
  <c r="A55" i="3" s="1"/>
  <c r="A44" i="2"/>
  <c r="A32" i="2"/>
  <c r="A30" i="3" s="1"/>
  <c r="F44" i="2" l="1" a="1"/>
  <c r="F44" i="2" s="1"/>
  <c r="E44" i="2" a="1"/>
  <c r="E44" i="2" s="1"/>
  <c r="A43" i="2"/>
  <c r="A41" i="3" s="1"/>
  <c r="E41" i="3" s="1" a="1"/>
  <c r="E41" i="3" s="1"/>
  <c r="A56" i="2"/>
  <c r="A54" i="3" s="1"/>
  <c r="H44" i="2" a="1"/>
  <c r="H44" i="2" s="1"/>
  <c r="C44" i="2" a="1"/>
  <c r="C44" i="2" s="1"/>
  <c r="A42" i="3"/>
  <c r="E42" i="3" s="1" a="1"/>
  <c r="E42" i="3" s="1"/>
  <c r="B44" i="2" a="1"/>
  <c r="B44" i="2" s="1"/>
  <c r="C43" i="2" a="1"/>
  <c r="C43" i="2" s="1"/>
  <c r="H43" i="2" a="1"/>
  <c r="H43" i="2" s="1"/>
  <c r="B43" i="2" a="1"/>
  <c r="B43" i="2" s="1"/>
  <c r="J42" i="3" l="1" a="1"/>
  <c r="J42" i="3" s="1"/>
  <c r="H42" i="3" a="1"/>
  <c r="H42" i="3" s="1"/>
  <c r="F42" i="3" a="1"/>
  <c r="F42" i="3" s="1"/>
  <c r="G42" i="3" a="1"/>
  <c r="G42" i="3" s="1"/>
  <c r="J41" i="3" a="1"/>
  <c r="J41" i="3" s="1"/>
  <c r="F41" i="3" a="1"/>
  <c r="F41" i="3" s="1"/>
  <c r="G41" i="3" a="1"/>
  <c r="G41" i="3" s="1"/>
  <c r="H41" i="3" a="1"/>
  <c r="H41" i="3" s="1"/>
  <c r="A42" i="2"/>
  <c r="F42" i="2" s="1" a="1"/>
  <c r="F42" i="2" s="1"/>
  <c r="L44" i="2"/>
  <c r="K44" i="2"/>
  <c r="F43" i="2" a="1"/>
  <c r="F43" i="2" s="1"/>
  <c r="L43" i="2" s="1"/>
  <c r="E43" i="2" a="1"/>
  <c r="E43" i="2" s="1"/>
  <c r="K43" i="2" s="1"/>
  <c r="A55" i="2"/>
  <c r="M41" i="3" a="1"/>
  <c r="M41" i="3" s="1"/>
  <c r="D41" i="3" a="1"/>
  <c r="D41" i="3" s="1"/>
  <c r="L41" i="3" a="1"/>
  <c r="L41" i="3" s="1"/>
  <c r="C41" i="3" a="1"/>
  <c r="C41" i="3" s="1"/>
  <c r="K41" i="3" a="1"/>
  <c r="K41" i="3" s="1"/>
  <c r="B41" i="3" a="1"/>
  <c r="B41" i="3" s="1"/>
  <c r="N41" i="3" a="1"/>
  <c r="N41" i="3" s="1"/>
  <c r="I41" i="3" a="1"/>
  <c r="I41" i="3" s="1"/>
  <c r="M42" i="3" a="1"/>
  <c r="M42" i="3" s="1"/>
  <c r="D42" i="3" a="1"/>
  <c r="D42" i="3" s="1"/>
  <c r="L42" i="3" a="1"/>
  <c r="L42" i="3" s="1"/>
  <c r="C42" i="3" a="1"/>
  <c r="C42" i="3" s="1"/>
  <c r="K42" i="3" a="1"/>
  <c r="K42" i="3" s="1"/>
  <c r="B42" i="3" a="1"/>
  <c r="B42" i="3" s="1"/>
  <c r="N42" i="3" a="1"/>
  <c r="N42" i="3" s="1"/>
  <c r="I42" i="3" a="1"/>
  <c r="I42" i="3" s="1"/>
  <c r="A41" i="2"/>
  <c r="H42" i="2" a="1"/>
  <c r="H42" i="2" s="1"/>
  <c r="C42" i="2" a="1"/>
  <c r="C42" i="2" s="1"/>
  <c r="B42" i="2" a="1"/>
  <c r="B42" i="2" s="1"/>
  <c r="A40" i="3"/>
  <c r="E40" i="3" s="1" a="1"/>
  <c r="E40" i="3" s="1"/>
  <c r="J40" i="3" l="1" a="1"/>
  <c r="J40" i="3" s="1"/>
  <c r="G40" i="3" a="1"/>
  <c r="G40" i="3" s="1"/>
  <c r="F40" i="3" a="1"/>
  <c r="F40" i="3" s="1"/>
  <c r="H40" i="3" a="1"/>
  <c r="H40" i="3" s="1"/>
  <c r="E42" i="2" a="1"/>
  <c r="E42" i="2" s="1"/>
  <c r="K42" i="2" s="1"/>
  <c r="L42" i="2"/>
  <c r="D44" i="2"/>
  <c r="J44" i="2" s="1"/>
  <c r="D43" i="2"/>
  <c r="J43" i="2" s="1"/>
  <c r="F41" i="2" a="1"/>
  <c r="F41" i="2" s="1"/>
  <c r="E41" i="2" a="1"/>
  <c r="E41" i="2" s="1"/>
  <c r="A53" i="3"/>
  <c r="A54" i="2"/>
  <c r="M40" i="3" a="1"/>
  <c r="M40" i="3" s="1"/>
  <c r="D40" i="3" a="1"/>
  <c r="D40" i="3" s="1"/>
  <c r="L40" i="3" a="1"/>
  <c r="L40" i="3" s="1"/>
  <c r="C40" i="3" a="1"/>
  <c r="C40" i="3" s="1"/>
  <c r="K40" i="3" a="1"/>
  <c r="K40" i="3" s="1"/>
  <c r="B40" i="3" a="1"/>
  <c r="B40" i="3" s="1"/>
  <c r="N40" i="3" a="1"/>
  <c r="N40" i="3" s="1"/>
  <c r="I40" i="3" a="1"/>
  <c r="I40" i="3" s="1"/>
  <c r="A40" i="2"/>
  <c r="A39" i="3"/>
  <c r="E39" i="3" s="1" a="1"/>
  <c r="E39" i="3" s="1"/>
  <c r="C41" i="2" a="1"/>
  <c r="C41" i="2" s="1"/>
  <c r="H41" i="2" a="1"/>
  <c r="H41" i="2" s="1"/>
  <c r="B41" i="2" a="1"/>
  <c r="B41" i="2" s="1"/>
  <c r="A3" i="2"/>
  <c r="J39" i="3" l="1" a="1"/>
  <c r="J39" i="3" s="1"/>
  <c r="H39" i="3" a="1"/>
  <c r="H39" i="3" s="1"/>
  <c r="G39" i="3" a="1"/>
  <c r="G39" i="3" s="1"/>
  <c r="F39" i="3" a="1"/>
  <c r="F39" i="3" s="1"/>
  <c r="K41" i="2"/>
  <c r="L41" i="2"/>
  <c r="D42" i="2"/>
  <c r="J42" i="2" s="1"/>
  <c r="M43" i="2"/>
  <c r="N43" i="2" s="1"/>
  <c r="G43" i="2"/>
  <c r="I43" i="2" s="1"/>
  <c r="M44" i="2"/>
  <c r="N44" i="2" s="1"/>
  <c r="G44" i="2"/>
  <c r="I44" i="2" s="1"/>
  <c r="F40" i="2" a="1"/>
  <c r="F40" i="2" s="1"/>
  <c r="E40" i="2" a="1"/>
  <c r="E40" i="2" s="1"/>
  <c r="A3" i="3"/>
  <c r="A52" i="3"/>
  <c r="A53" i="2"/>
  <c r="M39" i="3" a="1"/>
  <c r="M39" i="3" s="1"/>
  <c r="D39" i="3" a="1"/>
  <c r="D39" i="3" s="1"/>
  <c r="L39" i="3" a="1"/>
  <c r="L39" i="3" s="1"/>
  <c r="C39" i="3" a="1"/>
  <c r="C39" i="3" s="1"/>
  <c r="K39" i="3" a="1"/>
  <c r="K39" i="3" s="1"/>
  <c r="B39" i="3" a="1"/>
  <c r="B39" i="3" s="1"/>
  <c r="N39" i="3" a="1"/>
  <c r="N39" i="3" s="1"/>
  <c r="I39" i="3" a="1"/>
  <c r="I39" i="3" s="1"/>
  <c r="A39" i="2"/>
  <c r="H40" i="2" a="1"/>
  <c r="H40" i="2" s="1"/>
  <c r="C40" i="2" a="1"/>
  <c r="C40" i="2" s="1"/>
  <c r="A38" i="3"/>
  <c r="E38" i="3" s="1" a="1"/>
  <c r="E38" i="3" s="1"/>
  <c r="B40" i="2" a="1"/>
  <c r="B40" i="2" s="1"/>
  <c r="J38" i="3" l="1" a="1"/>
  <c r="J38" i="3" s="1"/>
  <c r="H38" i="3" a="1"/>
  <c r="H38" i="3" s="1"/>
  <c r="G38" i="3" a="1"/>
  <c r="G38" i="3" s="1"/>
  <c r="F38" i="3" a="1"/>
  <c r="F38" i="3" s="1"/>
  <c r="L40" i="2"/>
  <c r="K40" i="2"/>
  <c r="D41" i="2"/>
  <c r="J41" i="2" s="1"/>
  <c r="F39" i="2" a="1"/>
  <c r="F39" i="2" s="1"/>
  <c r="E39" i="2" a="1"/>
  <c r="E39" i="2" s="1"/>
  <c r="A52" i="2"/>
  <c r="A51" i="3"/>
  <c r="M38" i="3" a="1"/>
  <c r="M38" i="3" s="1"/>
  <c r="D38" i="3" a="1"/>
  <c r="D38" i="3" s="1"/>
  <c r="L38" i="3" a="1"/>
  <c r="L38" i="3" s="1"/>
  <c r="C38" i="3" a="1"/>
  <c r="C38" i="3" s="1"/>
  <c r="K38" i="3" a="1"/>
  <c r="K38" i="3" s="1"/>
  <c r="B38" i="3" a="1"/>
  <c r="B38" i="3" s="1"/>
  <c r="N38" i="3" a="1"/>
  <c r="N38" i="3" s="1"/>
  <c r="I38" i="3" a="1"/>
  <c r="I38" i="3" s="1"/>
  <c r="A38" i="2"/>
  <c r="A37" i="3"/>
  <c r="E37" i="3" s="1" a="1"/>
  <c r="E37" i="3" s="1"/>
  <c r="C39" i="2" a="1"/>
  <c r="C39" i="2" s="1"/>
  <c r="B39" i="2" a="1"/>
  <c r="B39" i="2" s="1"/>
  <c r="H39" i="2" a="1"/>
  <c r="H39" i="2" s="1"/>
  <c r="A28" i="2"/>
  <c r="J37" i="3" l="1" a="1"/>
  <c r="J37" i="3" s="1"/>
  <c r="H37" i="3" a="1"/>
  <c r="H37" i="3" s="1"/>
  <c r="G37" i="3" a="1"/>
  <c r="G37" i="3" s="1"/>
  <c r="F37" i="3" a="1"/>
  <c r="F37" i="3" s="1"/>
  <c r="D40" i="2"/>
  <c r="J40" i="2" s="1"/>
  <c r="L39" i="2"/>
  <c r="K39" i="2"/>
  <c r="F28" i="2" a="1"/>
  <c r="F28" i="2" s="1"/>
  <c r="E28" i="2" a="1"/>
  <c r="E28" i="2" s="1"/>
  <c r="F38" i="2" a="1"/>
  <c r="F38" i="2" s="1"/>
  <c r="E38" i="2" a="1"/>
  <c r="E38" i="2" s="1"/>
  <c r="A26" i="3"/>
  <c r="E26" i="3" s="1" a="1"/>
  <c r="E26" i="3" s="1"/>
  <c r="A51" i="2"/>
  <c r="A50" i="3"/>
  <c r="M37" i="3" a="1"/>
  <c r="M37" i="3" s="1"/>
  <c r="D37" i="3" a="1"/>
  <c r="D37" i="3" s="1"/>
  <c r="L37" i="3" a="1"/>
  <c r="L37" i="3" s="1"/>
  <c r="C37" i="3" a="1"/>
  <c r="C37" i="3" s="1"/>
  <c r="K37" i="3" a="1"/>
  <c r="K37" i="3" s="1"/>
  <c r="B37" i="3" a="1"/>
  <c r="B37" i="3" s="1"/>
  <c r="N37" i="3" a="1"/>
  <c r="N37" i="3" s="1"/>
  <c r="I37" i="3" a="1"/>
  <c r="I37" i="3" s="1"/>
  <c r="A37" i="2"/>
  <c r="H38" i="2" a="1"/>
  <c r="H38" i="2" s="1"/>
  <c r="C38" i="2" a="1"/>
  <c r="C38" i="2" s="1"/>
  <c r="B38" i="2" a="1"/>
  <c r="B38" i="2" s="1"/>
  <c r="A36" i="3"/>
  <c r="E36" i="3" s="1" a="1"/>
  <c r="E36" i="3" s="1"/>
  <c r="D26" i="3" a="1"/>
  <c r="D26" i="3" s="1"/>
  <c r="A27" i="2"/>
  <c r="H28" i="2" a="1"/>
  <c r="H28" i="2" s="1"/>
  <c r="B28" i="2" a="1"/>
  <c r="B28" i="2" s="1"/>
  <c r="C28" i="2" a="1"/>
  <c r="C28" i="2" s="1"/>
  <c r="H26" i="3" l="1" a="1"/>
  <c r="H26" i="3" s="1"/>
  <c r="G26" i="3" a="1"/>
  <c r="G26" i="3" s="1"/>
  <c r="F26" i="3" a="1"/>
  <c r="F26" i="3" s="1"/>
  <c r="J36" i="3" a="1"/>
  <c r="J36" i="3" s="1"/>
  <c r="H36" i="3" a="1"/>
  <c r="H36" i="3" s="1"/>
  <c r="G36" i="3" a="1"/>
  <c r="G36" i="3" s="1"/>
  <c r="F36" i="3" a="1"/>
  <c r="F36" i="3" s="1"/>
  <c r="K26" i="3" a="1"/>
  <c r="K26" i="3" s="1"/>
  <c r="J26" i="3" a="1"/>
  <c r="J26" i="3" s="1"/>
  <c r="K28" i="2"/>
  <c r="L28" i="2"/>
  <c r="K38" i="2"/>
  <c r="L38" i="2"/>
  <c r="D39" i="2"/>
  <c r="J39" i="2" s="1"/>
  <c r="M26" i="3" a="1"/>
  <c r="M26" i="3" s="1"/>
  <c r="I26" i="3" a="1"/>
  <c r="I26" i="3" s="1"/>
  <c r="N26" i="3" a="1"/>
  <c r="N26" i="3" s="1"/>
  <c r="B26" i="3" a="1"/>
  <c r="B26" i="3" s="1"/>
  <c r="C26" i="3" a="1"/>
  <c r="C26" i="3" s="1"/>
  <c r="L26" i="3" a="1"/>
  <c r="L26" i="3" s="1"/>
  <c r="F27" i="2" a="1"/>
  <c r="F27" i="2" s="1"/>
  <c r="E27" i="2" a="1"/>
  <c r="E27" i="2" s="1"/>
  <c r="F37" i="2" a="1"/>
  <c r="F37" i="2" s="1"/>
  <c r="E37" i="2" a="1"/>
  <c r="E37" i="2" s="1"/>
  <c r="A25" i="3"/>
  <c r="E25" i="3" s="1" a="1"/>
  <c r="E25" i="3" s="1"/>
  <c r="A49" i="3"/>
  <c r="M36" i="3" a="1"/>
  <c r="M36" i="3" s="1"/>
  <c r="D36" i="3" a="1"/>
  <c r="D36" i="3" s="1"/>
  <c r="L36" i="3" a="1"/>
  <c r="L36" i="3" s="1"/>
  <c r="C36" i="3" a="1"/>
  <c r="C36" i="3" s="1"/>
  <c r="B36" i="3" a="1"/>
  <c r="B36" i="3" s="1"/>
  <c r="K36" i="3" a="1"/>
  <c r="K36" i="3" s="1"/>
  <c r="N36" i="3" a="1"/>
  <c r="N36" i="3" s="1"/>
  <c r="I36" i="3" a="1"/>
  <c r="I36" i="3" s="1"/>
  <c r="A36" i="2"/>
  <c r="A35" i="3"/>
  <c r="E35" i="3" s="1" a="1"/>
  <c r="E35" i="3" s="1"/>
  <c r="H37" i="2" a="1"/>
  <c r="H37" i="2" s="1"/>
  <c r="C37" i="2" a="1"/>
  <c r="C37" i="2" s="1"/>
  <c r="B37" i="2" a="1"/>
  <c r="B37" i="2" s="1"/>
  <c r="C27" i="2" a="1"/>
  <c r="C27" i="2" s="1"/>
  <c r="B27" i="2" a="1"/>
  <c r="B27" i="2" s="1"/>
  <c r="H27" i="2" a="1"/>
  <c r="H27" i="2" s="1"/>
  <c r="A26" i="2"/>
  <c r="J35" i="3" l="1" a="1"/>
  <c r="J35" i="3" s="1"/>
  <c r="H35" i="3" a="1"/>
  <c r="H35" i="3" s="1"/>
  <c r="G35" i="3" a="1"/>
  <c r="G35" i="3" s="1"/>
  <c r="F35" i="3" a="1"/>
  <c r="F35" i="3" s="1"/>
  <c r="H25" i="3" a="1"/>
  <c r="H25" i="3" s="1"/>
  <c r="G25" i="3" a="1"/>
  <c r="G25" i="3" s="1"/>
  <c r="F25" i="3" a="1"/>
  <c r="F25" i="3" s="1"/>
  <c r="D25" i="3" a="1"/>
  <c r="D25" i="3" s="1"/>
  <c r="J25" i="3" a="1"/>
  <c r="J25" i="3" s="1"/>
  <c r="L27" i="2"/>
  <c r="K37" i="2"/>
  <c r="L37" i="2"/>
  <c r="K27" i="2"/>
  <c r="D38" i="2"/>
  <c r="J38" i="2" s="1"/>
  <c r="B25" i="3" a="1"/>
  <c r="B25" i="3" s="1"/>
  <c r="I25" i="3" a="1"/>
  <c r="I25" i="3" s="1"/>
  <c r="L25" i="3" a="1"/>
  <c r="L25" i="3" s="1"/>
  <c r="D28" i="2"/>
  <c r="J28" i="2" s="1"/>
  <c r="M25" i="3" a="1"/>
  <c r="M25" i="3" s="1"/>
  <c r="K25" i="3" a="1"/>
  <c r="K25" i="3" s="1"/>
  <c r="C25" i="3" a="1"/>
  <c r="C25" i="3" s="1"/>
  <c r="N25" i="3" a="1"/>
  <c r="N25" i="3" s="1"/>
  <c r="F26" i="2" a="1"/>
  <c r="F26" i="2" s="1"/>
  <c r="E26" i="2" a="1"/>
  <c r="E26" i="2" s="1"/>
  <c r="F36" i="2" a="1"/>
  <c r="F36" i="2" s="1"/>
  <c r="E36" i="2" a="1"/>
  <c r="E36" i="2" s="1"/>
  <c r="M35" i="3" a="1"/>
  <c r="M35" i="3" s="1"/>
  <c r="D35" i="3" a="1"/>
  <c r="D35" i="3" s="1"/>
  <c r="L35" i="3" a="1"/>
  <c r="L35" i="3" s="1"/>
  <c r="C35" i="3" a="1"/>
  <c r="C35" i="3" s="1"/>
  <c r="K35" i="3" a="1"/>
  <c r="K35" i="3" s="1"/>
  <c r="B35" i="3" a="1"/>
  <c r="B35" i="3" s="1"/>
  <c r="N35" i="3" a="1"/>
  <c r="N35" i="3" s="1"/>
  <c r="I35" i="3" a="1"/>
  <c r="I35" i="3" s="1"/>
  <c r="A35" i="2"/>
  <c r="H36" i="2" a="1"/>
  <c r="H36" i="2" s="1"/>
  <c r="C36" i="2" a="1"/>
  <c r="C36" i="2" s="1"/>
  <c r="A34" i="3"/>
  <c r="E34" i="3" s="1" a="1"/>
  <c r="E34" i="3" s="1"/>
  <c r="B36" i="2" a="1"/>
  <c r="B36" i="2" s="1"/>
  <c r="A24" i="3"/>
  <c r="E24" i="3" s="1" a="1"/>
  <c r="E24" i="3" s="1"/>
  <c r="A25" i="2"/>
  <c r="C26" i="2" a="1"/>
  <c r="C26" i="2" s="1"/>
  <c r="B26" i="2" a="1"/>
  <c r="B26" i="2" s="1"/>
  <c r="H26" i="2" a="1"/>
  <c r="H26" i="2" s="1"/>
  <c r="J34" i="3" l="1" a="1"/>
  <c r="J34" i="3" s="1"/>
  <c r="H34" i="3" a="1"/>
  <c r="H34" i="3" s="1"/>
  <c r="G34" i="3" a="1"/>
  <c r="G34" i="3" s="1"/>
  <c r="F34" i="3" a="1"/>
  <c r="F34" i="3" s="1"/>
  <c r="F24" i="3" a="1"/>
  <c r="F24" i="3" s="1"/>
  <c r="H24" i="3" a="1"/>
  <c r="H24" i="3" s="1"/>
  <c r="G24" i="3" a="1"/>
  <c r="G24" i="3" s="1"/>
  <c r="N24" i="3" a="1"/>
  <c r="N24" i="3" s="1"/>
  <c r="J24" i="3" a="1"/>
  <c r="J24" i="3" s="1"/>
  <c r="D27" i="2"/>
  <c r="J27" i="2" s="1"/>
  <c r="M27" i="2" s="1"/>
  <c r="N27" i="2" s="1"/>
  <c r="L36" i="2"/>
  <c r="K26" i="2"/>
  <c r="L26" i="2"/>
  <c r="K36" i="2"/>
  <c r="A34" i="2"/>
  <c r="D37" i="2"/>
  <c r="J37" i="2" s="1"/>
  <c r="M28" i="2"/>
  <c r="N28" i="2" s="1"/>
  <c r="G28" i="2"/>
  <c r="I28" i="2" s="1"/>
  <c r="F25" i="2" a="1"/>
  <c r="F25" i="2" s="1"/>
  <c r="E25" i="2" a="1"/>
  <c r="E25" i="2" s="1"/>
  <c r="F35" i="2" a="1"/>
  <c r="F35" i="2" s="1"/>
  <c r="E35" i="2" a="1"/>
  <c r="E35" i="2" s="1"/>
  <c r="C24" i="3" a="1"/>
  <c r="C24" i="3" s="1"/>
  <c r="M24" i="3" a="1"/>
  <c r="M24" i="3" s="1"/>
  <c r="B24" i="3" a="1"/>
  <c r="B24" i="3" s="1"/>
  <c r="D24" i="3" a="1"/>
  <c r="D24" i="3" s="1"/>
  <c r="L24" i="3" a="1"/>
  <c r="L24" i="3" s="1"/>
  <c r="K24" i="3" a="1"/>
  <c r="K24" i="3" s="1"/>
  <c r="I24" i="3" a="1"/>
  <c r="I24" i="3" s="1"/>
  <c r="M34" i="3" a="1"/>
  <c r="M34" i="3" s="1"/>
  <c r="D34" i="3" a="1"/>
  <c r="D34" i="3" s="1"/>
  <c r="B34" i="3" a="1"/>
  <c r="B34" i="3" s="1"/>
  <c r="L34" i="3" a="1"/>
  <c r="L34" i="3" s="1"/>
  <c r="C34" i="3" a="1"/>
  <c r="C34" i="3" s="1"/>
  <c r="K34" i="3" a="1"/>
  <c r="K34" i="3" s="1"/>
  <c r="N34" i="3" a="1"/>
  <c r="N34" i="3" s="1"/>
  <c r="I34" i="3" a="1"/>
  <c r="I34" i="3" s="1"/>
  <c r="A33" i="3"/>
  <c r="E33" i="3" s="1" a="1"/>
  <c r="E33" i="3" s="1"/>
  <c r="H35" i="2" a="1"/>
  <c r="H35" i="2" s="1"/>
  <c r="C35" i="2" a="1"/>
  <c r="C35" i="2" s="1"/>
  <c r="B35" i="2" a="1"/>
  <c r="B35" i="2" s="1"/>
  <c r="A23" i="3"/>
  <c r="E23" i="3" s="1" a="1"/>
  <c r="E23" i="3" s="1"/>
  <c r="G42" i="2"/>
  <c r="I42" i="2" s="1"/>
  <c r="A24" i="2"/>
  <c r="B25" i="2" a="1"/>
  <c r="B25" i="2" s="1"/>
  <c r="H25" i="2" a="1"/>
  <c r="H25" i="2" s="1"/>
  <c r="C25" i="2" a="1"/>
  <c r="C25" i="2" s="1"/>
  <c r="J23" i="3" l="1" a="1"/>
  <c r="J23" i="3" s="1"/>
  <c r="G23" i="3" a="1"/>
  <c r="G23" i="3" s="1"/>
  <c r="F23" i="3" a="1"/>
  <c r="F23" i="3" s="1"/>
  <c r="H23" i="3" a="1"/>
  <c r="H23" i="3" s="1"/>
  <c r="J33" i="3" a="1"/>
  <c r="J33" i="3" s="1"/>
  <c r="H33" i="3" a="1"/>
  <c r="H33" i="3" s="1"/>
  <c r="G33" i="3" a="1"/>
  <c r="G33" i="3" s="1"/>
  <c r="F33" i="3" a="1"/>
  <c r="F33" i="3" s="1"/>
  <c r="G27" i="2"/>
  <c r="I27" i="2" s="1"/>
  <c r="L35" i="2"/>
  <c r="K25" i="2"/>
  <c r="L25" i="2"/>
  <c r="K35" i="2"/>
  <c r="D36" i="2"/>
  <c r="J36" i="2" s="1"/>
  <c r="D26" i="2"/>
  <c r="J26" i="2" s="1"/>
  <c r="F24" i="2" a="1"/>
  <c r="F24" i="2" s="1"/>
  <c r="E24" i="2" a="1"/>
  <c r="E24" i="2" s="1"/>
  <c r="F34" i="2" a="1"/>
  <c r="F34" i="2" s="1"/>
  <c r="E34" i="2" a="1"/>
  <c r="E34" i="2" s="1"/>
  <c r="K23" i="3" a="1"/>
  <c r="K23" i="3" s="1"/>
  <c r="N23" i="3" a="1"/>
  <c r="N23" i="3" s="1"/>
  <c r="D23" i="3" a="1"/>
  <c r="D23" i="3" s="1"/>
  <c r="B23" i="3" a="1"/>
  <c r="B23" i="3" s="1"/>
  <c r="I23" i="3" a="1"/>
  <c r="I23" i="3" s="1"/>
  <c r="M23" i="3" a="1"/>
  <c r="M23" i="3" s="1"/>
  <c r="C23" i="3" a="1"/>
  <c r="C23" i="3" s="1"/>
  <c r="L23" i="3" a="1"/>
  <c r="L23" i="3" s="1"/>
  <c r="M33" i="3" a="1"/>
  <c r="M33" i="3" s="1"/>
  <c r="D33" i="3" a="1"/>
  <c r="D33" i="3" s="1"/>
  <c r="L33" i="3" a="1"/>
  <c r="L33" i="3" s="1"/>
  <c r="C33" i="3" a="1"/>
  <c r="C33" i="3" s="1"/>
  <c r="B33" i="3" a="1"/>
  <c r="B33" i="3" s="1"/>
  <c r="K33" i="3" a="1"/>
  <c r="K33" i="3" s="1"/>
  <c r="N33" i="3" a="1"/>
  <c r="N33" i="3" s="1"/>
  <c r="I33" i="3" a="1"/>
  <c r="I33" i="3" s="1"/>
  <c r="A22" i="3"/>
  <c r="E22" i="3" s="1" a="1"/>
  <c r="E22" i="3" s="1"/>
  <c r="A23" i="2"/>
  <c r="H24" i="2" a="1"/>
  <c r="H24" i="2" s="1"/>
  <c r="C24" i="2" a="1"/>
  <c r="C24" i="2" s="1"/>
  <c r="B24" i="2" a="1"/>
  <c r="B24" i="2" s="1"/>
  <c r="J22" i="3" l="1" a="1"/>
  <c r="J22" i="3" s="1"/>
  <c r="G22" i="3" a="1"/>
  <c r="G22" i="3" s="1"/>
  <c r="F22" i="3" a="1"/>
  <c r="F22" i="3" s="1"/>
  <c r="H22" i="3" a="1"/>
  <c r="H22" i="3" s="1"/>
  <c r="D35" i="2"/>
  <c r="J35" i="2" s="1"/>
  <c r="K24" i="2"/>
  <c r="L24" i="2"/>
  <c r="D25" i="2"/>
  <c r="J25" i="2" s="1"/>
  <c r="G26" i="2"/>
  <c r="I26" i="2" s="1"/>
  <c r="M26" i="2"/>
  <c r="N26" i="2" s="1"/>
  <c r="F23" i="2" a="1"/>
  <c r="F23" i="2" s="1"/>
  <c r="E23" i="2" a="1"/>
  <c r="E23" i="2" s="1"/>
  <c r="D22" i="3" a="1"/>
  <c r="D22" i="3" s="1"/>
  <c r="B22" i="3" a="1"/>
  <c r="B22" i="3" s="1"/>
  <c r="K22" i="3" a="1"/>
  <c r="K22" i="3" s="1"/>
  <c r="C22" i="3" a="1"/>
  <c r="C22" i="3" s="1"/>
  <c r="I22" i="3" a="1"/>
  <c r="I22" i="3" s="1"/>
  <c r="M22" i="3" a="1"/>
  <c r="M22" i="3" s="1"/>
  <c r="L22" i="3" a="1"/>
  <c r="L22" i="3" s="1"/>
  <c r="N22" i="3" a="1"/>
  <c r="N22" i="3" s="1"/>
  <c r="A32" i="3"/>
  <c r="H34" i="2" a="1"/>
  <c r="H34" i="2" s="1"/>
  <c r="C34" i="2" a="1"/>
  <c r="C34" i="2" s="1"/>
  <c r="K34" i="2" s="1"/>
  <c r="B34" i="2" a="1"/>
  <c r="B34" i="2" s="1"/>
  <c r="L34" i="2" s="1"/>
  <c r="M41" i="2"/>
  <c r="N41" i="2" s="1"/>
  <c r="A21" i="3"/>
  <c r="E21" i="3" s="1" a="1"/>
  <c r="E21" i="3" s="1"/>
  <c r="G40" i="2"/>
  <c r="I40" i="2" s="1"/>
  <c r="M42" i="2"/>
  <c r="N42" i="2" s="1"/>
  <c r="G41" i="2"/>
  <c r="I41" i="2" s="1"/>
  <c r="A22" i="2"/>
  <c r="B23" i="2" a="1"/>
  <c r="B23" i="2" s="1"/>
  <c r="H23" i="2" a="1"/>
  <c r="H23" i="2" s="1"/>
  <c r="C23" i="2" a="1"/>
  <c r="C23" i="2" s="1"/>
  <c r="J32" i="3" l="1" a="1"/>
  <c r="J32" i="3" s="1"/>
  <c r="J43" i="3" s="1"/>
  <c r="E32" i="3" a="1"/>
  <c r="E32" i="3" s="1"/>
  <c r="E43" i="3" s="1"/>
  <c r="H32" i="3" a="1"/>
  <c r="H32" i="3" s="1"/>
  <c r="H43" i="3" s="1"/>
  <c r="G32" i="3" a="1"/>
  <c r="G32" i="3" s="1"/>
  <c r="G43" i="3" s="1"/>
  <c r="F32" i="3" a="1"/>
  <c r="F32" i="3" s="1"/>
  <c r="J21" i="3" a="1"/>
  <c r="J21" i="3" s="1"/>
  <c r="G21" i="3" a="1"/>
  <c r="G21" i="3" s="1"/>
  <c r="F21" i="3" a="1"/>
  <c r="F21" i="3" s="1"/>
  <c r="H21" i="3" a="1"/>
  <c r="H21" i="3" s="1"/>
  <c r="K23" i="2"/>
  <c r="L23" i="2"/>
  <c r="D24" i="2"/>
  <c r="J24" i="2" s="1"/>
  <c r="G25" i="2"/>
  <c r="I25" i="2" s="1"/>
  <c r="M25" i="2"/>
  <c r="N25" i="2" s="1"/>
  <c r="F22" i="2" a="1"/>
  <c r="F22" i="2" s="1"/>
  <c r="E22" i="2" a="1"/>
  <c r="E22" i="2" s="1"/>
  <c r="N32" i="3" a="1"/>
  <c r="N32" i="3" s="1"/>
  <c r="B21" i="3" a="1"/>
  <c r="B21" i="3" s="1"/>
  <c r="I21" i="3" a="1"/>
  <c r="I21" i="3" s="1"/>
  <c r="D21" i="3" a="1"/>
  <c r="D21" i="3" s="1"/>
  <c r="M21" i="3" a="1"/>
  <c r="M21" i="3" s="1"/>
  <c r="C21" i="3" a="1"/>
  <c r="C21" i="3" s="1"/>
  <c r="L21" i="3" a="1"/>
  <c r="L21" i="3" s="1"/>
  <c r="K21" i="3" a="1"/>
  <c r="K21" i="3" s="1"/>
  <c r="N21" i="3" a="1"/>
  <c r="N21" i="3" s="1"/>
  <c r="M32" i="3" a="1"/>
  <c r="M32" i="3" s="1"/>
  <c r="M43" i="3" s="1"/>
  <c r="D32" i="3" a="1"/>
  <c r="D32" i="3" s="1"/>
  <c r="K32" i="3" a="1"/>
  <c r="K32" i="3" s="1"/>
  <c r="K43" i="3" s="1"/>
  <c r="B32" i="3" a="1"/>
  <c r="B32" i="3" s="1"/>
  <c r="L32" i="3" a="1"/>
  <c r="L32" i="3" s="1"/>
  <c r="L43" i="3" s="1"/>
  <c r="C32" i="3" a="1"/>
  <c r="C32" i="3" s="1"/>
  <c r="I32" i="3" a="1"/>
  <c r="I32" i="3" s="1"/>
  <c r="I43" i="3" s="1"/>
  <c r="A20" i="3"/>
  <c r="E20" i="3" s="1" a="1"/>
  <c r="E20" i="3" s="1"/>
  <c r="A21" i="2"/>
  <c r="C22" i="2" a="1"/>
  <c r="C22" i="2" s="1"/>
  <c r="B22" i="2" a="1"/>
  <c r="B22" i="2" s="1"/>
  <c r="H22" i="2" a="1"/>
  <c r="H22" i="2" s="1"/>
  <c r="J20" i="3" l="1" a="1"/>
  <c r="J20" i="3" s="1"/>
  <c r="H20" i="3" a="1"/>
  <c r="H20" i="3" s="1"/>
  <c r="G20" i="3" a="1"/>
  <c r="G20" i="3" s="1"/>
  <c r="F20" i="3" a="1"/>
  <c r="F20" i="3" s="1"/>
  <c r="K22" i="2"/>
  <c r="L22" i="2"/>
  <c r="D43" i="3"/>
  <c r="F43" i="3"/>
  <c r="G24" i="2"/>
  <c r="I24" i="2" s="1"/>
  <c r="M24" i="2"/>
  <c r="N24" i="2" s="1"/>
  <c r="B43" i="3"/>
  <c r="D34" i="2"/>
  <c r="J34" i="2" s="1"/>
  <c r="D23" i="2"/>
  <c r="J23" i="2" s="1"/>
  <c r="F21" i="2" a="1"/>
  <c r="F21" i="2" s="1"/>
  <c r="E21" i="2" a="1"/>
  <c r="E21" i="2" s="1"/>
  <c r="D20" i="3" a="1"/>
  <c r="D20" i="3" s="1"/>
  <c r="M20" i="3" a="1"/>
  <c r="M20" i="3" s="1"/>
  <c r="C20" i="3" a="1"/>
  <c r="C20" i="3" s="1"/>
  <c r="N20" i="3" a="1"/>
  <c r="N20" i="3" s="1"/>
  <c r="I20" i="3" a="1"/>
  <c r="I20" i="3" s="1"/>
  <c r="L20" i="3" a="1"/>
  <c r="L20" i="3" s="1"/>
  <c r="B20" i="3" a="1"/>
  <c r="B20" i="3" s="1"/>
  <c r="K20" i="3" a="1"/>
  <c r="K20" i="3" s="1"/>
  <c r="N43" i="3"/>
  <c r="C43" i="3"/>
  <c r="M40" i="2"/>
  <c r="N40" i="2" s="1"/>
  <c r="M39" i="2"/>
  <c r="N39" i="2" s="1"/>
  <c r="A19" i="3"/>
  <c r="E19" i="3" s="1" a="1"/>
  <c r="E19" i="3" s="1"/>
  <c r="G39" i="2"/>
  <c r="I39" i="2" s="1"/>
  <c r="A20" i="2"/>
  <c r="B21" i="2" a="1"/>
  <c r="B21" i="2" s="1"/>
  <c r="H21" i="2" a="1"/>
  <c r="H21" i="2" s="1"/>
  <c r="C21" i="2" a="1"/>
  <c r="C21" i="2" s="1"/>
  <c r="J19" i="3" l="1" a="1"/>
  <c r="J19" i="3" s="1"/>
  <c r="G19" i="3" a="1"/>
  <c r="G19" i="3" s="1"/>
  <c r="F19" i="3" a="1"/>
  <c r="F19" i="3" s="1"/>
  <c r="H19" i="3" a="1"/>
  <c r="H19" i="3" s="1"/>
  <c r="K21" i="2"/>
  <c r="L21" i="2"/>
  <c r="D22" i="2"/>
  <c r="G23" i="2"/>
  <c r="I23" i="2" s="1"/>
  <c r="M23" i="2"/>
  <c r="N23" i="2" s="1"/>
  <c r="F20" i="2" a="1"/>
  <c r="F20" i="2" s="1"/>
  <c r="E20" i="2" a="1"/>
  <c r="E20" i="2" s="1"/>
  <c r="A19" i="2"/>
  <c r="M19" i="3" a="1"/>
  <c r="M19" i="3" s="1"/>
  <c r="D19" i="3" a="1"/>
  <c r="D19" i="3" s="1"/>
  <c r="C19" i="3" a="1"/>
  <c r="C19" i="3" s="1"/>
  <c r="B19" i="3" a="1"/>
  <c r="B19" i="3" s="1"/>
  <c r="K19" i="3" a="1"/>
  <c r="K19" i="3" s="1"/>
  <c r="I19" i="3" a="1"/>
  <c r="I19" i="3" s="1"/>
  <c r="N19" i="3" a="1"/>
  <c r="N19" i="3" s="1"/>
  <c r="M38" i="2"/>
  <c r="N38" i="2" s="1"/>
  <c r="L19" i="3" a="1"/>
  <c r="L19" i="3" s="1"/>
  <c r="G38" i="2"/>
  <c r="I38" i="2" s="1"/>
  <c r="A18" i="3"/>
  <c r="E18" i="3" s="1" a="1"/>
  <c r="E18" i="3" s="1"/>
  <c r="H20" i="2" a="1"/>
  <c r="H20" i="2" s="1"/>
  <c r="B20" i="2" a="1"/>
  <c r="B20" i="2" s="1"/>
  <c r="C20" i="2" a="1"/>
  <c r="C20" i="2" s="1"/>
  <c r="J18" i="3" l="1" a="1"/>
  <c r="J18" i="3" s="1"/>
  <c r="H18" i="3" a="1"/>
  <c r="H18" i="3" s="1"/>
  <c r="G18" i="3" a="1"/>
  <c r="G18" i="3" s="1"/>
  <c r="F18" i="3" a="1"/>
  <c r="F18" i="3" s="1"/>
  <c r="K20" i="2"/>
  <c r="L20" i="2"/>
  <c r="G22" i="2"/>
  <c r="I22" i="2" s="1"/>
  <c r="J22" i="2"/>
  <c r="M22" i="2" s="1"/>
  <c r="N22" i="2" s="1"/>
  <c r="D21" i="2"/>
  <c r="J21" i="2" s="1"/>
  <c r="F19" i="2" a="1"/>
  <c r="F19" i="2" s="1"/>
  <c r="L19" i="2" s="1"/>
  <c r="E19" i="2" a="1"/>
  <c r="E19" i="2" s="1"/>
  <c r="A18" i="2"/>
  <c r="C18" i="3" a="1"/>
  <c r="C18" i="3" s="1"/>
  <c r="K18" i="3" a="1"/>
  <c r="K18" i="3" s="1"/>
  <c r="D18" i="3" a="1"/>
  <c r="D18" i="3" s="1"/>
  <c r="L18" i="3" a="1"/>
  <c r="L18" i="3" s="1"/>
  <c r="B18" i="3" a="1"/>
  <c r="B18" i="3" s="1"/>
  <c r="N18" i="3" a="1"/>
  <c r="N18" i="3" s="1"/>
  <c r="I18" i="3" a="1"/>
  <c r="I18" i="3" s="1"/>
  <c r="M18" i="3" a="1"/>
  <c r="M18" i="3" s="1"/>
  <c r="G37" i="2"/>
  <c r="I37" i="2" s="1"/>
  <c r="A17" i="3"/>
  <c r="E17" i="3" s="1" a="1"/>
  <c r="E17" i="3" s="1"/>
  <c r="H19" i="2" a="1"/>
  <c r="H19" i="2" s="1"/>
  <c r="B19" i="2" a="1"/>
  <c r="B19" i="2" s="1"/>
  <c r="C19" i="2" a="1"/>
  <c r="C19" i="2" s="1"/>
  <c r="J17" i="3" l="1" a="1"/>
  <c r="J17" i="3" s="1"/>
  <c r="G17" i="3" a="1"/>
  <c r="G17" i="3" s="1"/>
  <c r="F17" i="3" a="1"/>
  <c r="F17" i="3" s="1"/>
  <c r="H17" i="3" a="1"/>
  <c r="H17" i="3" s="1"/>
  <c r="K19" i="2"/>
  <c r="D20" i="2"/>
  <c r="M21" i="2"/>
  <c r="N21" i="2" s="1"/>
  <c r="G21" i="2"/>
  <c r="I21" i="2" s="1"/>
  <c r="F18" i="2" a="1"/>
  <c r="F18" i="2" s="1"/>
  <c r="E18" i="2" a="1"/>
  <c r="E18" i="2" s="1"/>
  <c r="C17" i="3" a="1"/>
  <c r="C17" i="3" s="1"/>
  <c r="K17" i="3" a="1"/>
  <c r="K17" i="3" s="1"/>
  <c r="D17" i="3" a="1"/>
  <c r="D17" i="3" s="1"/>
  <c r="L17" i="3" a="1"/>
  <c r="L17" i="3" s="1"/>
  <c r="M17" i="3" a="1"/>
  <c r="M17" i="3" s="1"/>
  <c r="I17" i="3" a="1"/>
  <c r="I17" i="3" s="1"/>
  <c r="B17" i="3" a="1"/>
  <c r="B17" i="3" s="1"/>
  <c r="N17" i="3" a="1"/>
  <c r="N17" i="3" s="1"/>
  <c r="M37" i="2"/>
  <c r="N37" i="2" s="1"/>
  <c r="G36" i="2"/>
  <c r="I36" i="2" s="1"/>
  <c r="A16" i="3"/>
  <c r="E16" i="3" s="1" a="1"/>
  <c r="E16" i="3" s="1"/>
  <c r="A17" i="2"/>
  <c r="E17" i="2" s="1" a="1"/>
  <c r="E17" i="2" s="1"/>
  <c r="C18" i="2" a="1"/>
  <c r="C18" i="2" s="1"/>
  <c r="B18" i="2" a="1"/>
  <c r="B18" i="2" s="1"/>
  <c r="H18" i="2" a="1"/>
  <c r="H18" i="2" s="1"/>
  <c r="J16" i="3" l="1" a="1"/>
  <c r="J16" i="3" s="1"/>
  <c r="G16" i="3" a="1"/>
  <c r="G16" i="3" s="1"/>
  <c r="H16" i="3" a="1"/>
  <c r="H16" i="3" s="1"/>
  <c r="F16" i="3" a="1"/>
  <c r="F16" i="3" s="1"/>
  <c r="L18" i="2"/>
  <c r="K18" i="2"/>
  <c r="G20" i="2"/>
  <c r="I20" i="2" s="1"/>
  <c r="I53" i="2" s="1"/>
  <c r="J20" i="2"/>
  <c r="M20" i="2" s="1"/>
  <c r="N20" i="2" s="1"/>
  <c r="H17" i="2" a="1"/>
  <c r="H17" i="2" s="1"/>
  <c r="H29" i="2" s="1"/>
  <c r="B17" i="2" a="1"/>
  <c r="B17" i="2" s="1"/>
  <c r="B29" i="2" s="1"/>
  <c r="F17" i="2" a="1"/>
  <c r="F17" i="2" s="1"/>
  <c r="F29" i="2" s="1"/>
  <c r="E29" i="2"/>
  <c r="C17" i="2" a="1"/>
  <c r="C17" i="2" s="1"/>
  <c r="C29" i="2" s="1"/>
  <c r="D19" i="2"/>
  <c r="J19" i="2" s="1"/>
  <c r="C16" i="3" a="1"/>
  <c r="C16" i="3" s="1"/>
  <c r="L16" i="3" a="1"/>
  <c r="L16" i="3" s="1"/>
  <c r="D16" i="3" a="1"/>
  <c r="D16" i="3" s="1"/>
  <c r="K16" i="3" a="1"/>
  <c r="K16" i="3" s="1"/>
  <c r="N16" i="3" a="1"/>
  <c r="N16" i="3" s="1"/>
  <c r="I16" i="3" a="1"/>
  <c r="I16" i="3" s="1"/>
  <c r="A50" i="2"/>
  <c r="H54" i="2"/>
  <c r="F54" i="2"/>
  <c r="C54" i="2"/>
  <c r="E54" i="2"/>
  <c r="G54" i="2"/>
  <c r="I54" i="2"/>
  <c r="D54" i="2"/>
  <c r="B54" i="2"/>
  <c r="H53" i="2"/>
  <c r="B53" i="2"/>
  <c r="C53" i="2"/>
  <c r="E53" i="2"/>
  <c r="F53" i="2"/>
  <c r="D53" i="2"/>
  <c r="H52" i="2"/>
  <c r="B52" i="2"/>
  <c r="C52" i="2"/>
  <c r="F52" i="2"/>
  <c r="E52" i="2"/>
  <c r="C51" i="2"/>
  <c r="H51" i="2"/>
  <c r="F51" i="2"/>
  <c r="E51" i="2"/>
  <c r="B51" i="2"/>
  <c r="B16" i="3" a="1"/>
  <c r="B16" i="3" s="1"/>
  <c r="M16" i="3" a="1"/>
  <c r="M16" i="3" s="1"/>
  <c r="B61" i="2"/>
  <c r="F61" i="2"/>
  <c r="C61" i="2"/>
  <c r="D61" i="2"/>
  <c r="I61" i="2"/>
  <c r="E61" i="2"/>
  <c r="G61" i="2"/>
  <c r="H61" i="2"/>
  <c r="C60" i="2"/>
  <c r="H60" i="2"/>
  <c r="F60" i="2"/>
  <c r="I60" i="2"/>
  <c r="B60" i="2"/>
  <c r="G60" i="2"/>
  <c r="E60" i="2"/>
  <c r="D60" i="2"/>
  <c r="D59" i="2"/>
  <c r="B59" i="2"/>
  <c r="H59" i="2"/>
  <c r="F59" i="2"/>
  <c r="E59" i="2"/>
  <c r="C59" i="2"/>
  <c r="I59" i="2"/>
  <c r="G59" i="2"/>
  <c r="E58" i="2"/>
  <c r="C58" i="2"/>
  <c r="H58" i="2"/>
  <c r="I58" i="2"/>
  <c r="G58" i="2"/>
  <c r="D58" i="2"/>
  <c r="F58" i="2"/>
  <c r="B58" i="2"/>
  <c r="B57" i="2"/>
  <c r="I57" i="2"/>
  <c r="F57" i="2"/>
  <c r="D57" i="2"/>
  <c r="C57" i="2"/>
  <c r="H57" i="2"/>
  <c r="G57" i="2"/>
  <c r="E57" i="2"/>
  <c r="C56" i="2"/>
  <c r="H56" i="2"/>
  <c r="F56" i="2"/>
  <c r="G56" i="2"/>
  <c r="E56" i="2"/>
  <c r="I56" i="2"/>
  <c r="D56" i="2"/>
  <c r="B56" i="2"/>
  <c r="D55" i="2"/>
  <c r="B55" i="2"/>
  <c r="H55" i="2"/>
  <c r="F55" i="2"/>
  <c r="E55" i="2"/>
  <c r="C55" i="2"/>
  <c r="I55" i="2"/>
  <c r="G55" i="2"/>
  <c r="M36" i="2"/>
  <c r="N36" i="2" s="1"/>
  <c r="G35" i="2"/>
  <c r="I35" i="2" s="1"/>
  <c r="A15" i="3"/>
  <c r="L49" i="3" l="1"/>
  <c r="M49" i="3"/>
  <c r="N49" i="3"/>
  <c r="L59" i="3"/>
  <c r="K59" i="3"/>
  <c r="N59" i="3"/>
  <c r="M59" i="3"/>
  <c r="K58" i="3"/>
  <c r="M58" i="3"/>
  <c r="L58" i="3"/>
  <c r="N58" i="3"/>
  <c r="N57" i="3"/>
  <c r="K57" i="3"/>
  <c r="L57" i="3"/>
  <c r="M57" i="3"/>
  <c r="K56" i="3"/>
  <c r="L56" i="3"/>
  <c r="M56" i="3"/>
  <c r="N56" i="3"/>
  <c r="N55" i="3"/>
  <c r="L55" i="3"/>
  <c r="M55" i="3"/>
  <c r="K55" i="3"/>
  <c r="N54" i="3"/>
  <c r="K54" i="3"/>
  <c r="L54" i="3"/>
  <c r="M54" i="3"/>
  <c r="N53" i="3"/>
  <c r="M53" i="3"/>
  <c r="K53" i="3"/>
  <c r="L53" i="3"/>
  <c r="N52" i="3"/>
  <c r="M52" i="3"/>
  <c r="K52" i="3"/>
  <c r="L52" i="3"/>
  <c r="M51" i="3"/>
  <c r="K51" i="3"/>
  <c r="N51" i="3"/>
  <c r="L51" i="3"/>
  <c r="K49" i="3"/>
  <c r="K50" i="3"/>
  <c r="L50" i="3"/>
  <c r="N50" i="3"/>
  <c r="M50" i="3"/>
  <c r="H15" i="3" a="1"/>
  <c r="H15" i="3" s="1"/>
  <c r="H27" i="3" s="1"/>
  <c r="G15" i="3" a="1"/>
  <c r="G15" i="3" s="1"/>
  <c r="F15" i="3" a="1"/>
  <c r="F15" i="3" s="1"/>
  <c r="E15" i="3" a="1"/>
  <c r="E15" i="3" s="1"/>
  <c r="E27" i="3" s="1"/>
  <c r="G53" i="2"/>
  <c r="J15" i="3" a="1"/>
  <c r="J15" i="3" s="1"/>
  <c r="J27" i="3" s="1"/>
  <c r="J58" i="3"/>
  <c r="J57" i="3"/>
  <c r="J56" i="3"/>
  <c r="J55" i="3"/>
  <c r="J54" i="3"/>
  <c r="J53" i="3"/>
  <c r="J52" i="3"/>
  <c r="J51" i="3"/>
  <c r="J50" i="3"/>
  <c r="J59" i="3"/>
  <c r="J49" i="3"/>
  <c r="L29" i="2"/>
  <c r="B15" i="3" a="1"/>
  <c r="B15" i="3" s="1"/>
  <c r="C15" i="3" a="1"/>
  <c r="C15" i="3" s="1"/>
  <c r="D15" i="3" a="1"/>
  <c r="D15" i="3" s="1"/>
  <c r="D27" i="3" s="1"/>
  <c r="K17" i="2"/>
  <c r="L17" i="2"/>
  <c r="D52" i="2"/>
  <c r="K29" i="2"/>
  <c r="D18" i="2"/>
  <c r="J18" i="2" s="1"/>
  <c r="M19" i="2"/>
  <c r="N19" i="2" s="1"/>
  <c r="G19" i="2"/>
  <c r="N15" i="3" a="1"/>
  <c r="N15" i="3" s="1"/>
  <c r="E50" i="2"/>
  <c r="E62" i="2" s="1"/>
  <c r="H50" i="2"/>
  <c r="H62" i="2" s="1"/>
  <c r="C50" i="2"/>
  <c r="C62" i="2" s="1"/>
  <c r="F50" i="2"/>
  <c r="F62" i="2" s="1"/>
  <c r="B50" i="2"/>
  <c r="B62" i="2" s="1"/>
  <c r="I59" i="3"/>
  <c r="D59" i="3"/>
  <c r="B59" i="3"/>
  <c r="G59" i="3"/>
  <c r="H59" i="3"/>
  <c r="C59" i="3"/>
  <c r="F59" i="3"/>
  <c r="E59" i="3"/>
  <c r="F58" i="3"/>
  <c r="E58" i="3"/>
  <c r="G58" i="3"/>
  <c r="H58" i="3"/>
  <c r="C58" i="3"/>
  <c r="I58" i="3"/>
  <c r="D58" i="3"/>
  <c r="B58" i="3"/>
  <c r="F57" i="3"/>
  <c r="E57" i="3"/>
  <c r="B57" i="3"/>
  <c r="G57" i="3"/>
  <c r="H57" i="3"/>
  <c r="C57" i="3"/>
  <c r="I57" i="3"/>
  <c r="D57" i="3"/>
  <c r="F56" i="3"/>
  <c r="E56" i="3"/>
  <c r="D56" i="3"/>
  <c r="B56" i="3"/>
  <c r="G56" i="3"/>
  <c r="H56" i="3"/>
  <c r="C56" i="3"/>
  <c r="I56" i="3"/>
  <c r="I55" i="3"/>
  <c r="D55" i="3"/>
  <c r="H55" i="3"/>
  <c r="C55" i="3"/>
  <c r="F55" i="3"/>
  <c r="E55" i="3"/>
  <c r="B55" i="3"/>
  <c r="G55" i="3"/>
  <c r="I54" i="3"/>
  <c r="D54" i="3"/>
  <c r="F54" i="3"/>
  <c r="E54" i="3"/>
  <c r="B54" i="3"/>
  <c r="G54" i="3"/>
  <c r="H54" i="3"/>
  <c r="C54" i="3"/>
  <c r="B53" i="3"/>
  <c r="G53" i="3"/>
  <c r="H53" i="3"/>
  <c r="C53" i="3"/>
  <c r="I53" i="3"/>
  <c r="D53" i="3"/>
  <c r="F53" i="3"/>
  <c r="E53" i="3"/>
  <c r="B52" i="3"/>
  <c r="G52" i="3"/>
  <c r="H52" i="3"/>
  <c r="C52" i="3"/>
  <c r="I52" i="3"/>
  <c r="D52" i="3"/>
  <c r="F52" i="3"/>
  <c r="E52" i="3"/>
  <c r="I51" i="3"/>
  <c r="D51" i="3"/>
  <c r="F51" i="3"/>
  <c r="E51" i="3"/>
  <c r="B51" i="3"/>
  <c r="G51" i="3"/>
  <c r="H51" i="3"/>
  <c r="C51" i="3"/>
  <c r="I50" i="3"/>
  <c r="D50" i="3"/>
  <c r="F50" i="3"/>
  <c r="E50" i="3"/>
  <c r="B50" i="3"/>
  <c r="G50" i="3"/>
  <c r="H50" i="3"/>
  <c r="C50" i="3"/>
  <c r="I49" i="3"/>
  <c r="D49" i="3"/>
  <c r="F49" i="3"/>
  <c r="E49" i="3"/>
  <c r="B49" i="3"/>
  <c r="G49" i="3"/>
  <c r="H49" i="3"/>
  <c r="C49" i="3"/>
  <c r="A48" i="3"/>
  <c r="L15" i="3" a="1"/>
  <c r="L15" i="3" s="1"/>
  <c r="L27" i="3" s="1"/>
  <c r="M15" i="3" a="1"/>
  <c r="M15" i="3" s="1"/>
  <c r="M27" i="3" s="1"/>
  <c r="I15" i="3" a="1"/>
  <c r="I15" i="3" s="1"/>
  <c r="I27" i="3" s="1"/>
  <c r="K15" i="3" a="1"/>
  <c r="K15" i="3" s="1"/>
  <c r="K27" i="3" s="1"/>
  <c r="M35" i="2"/>
  <c r="N35" i="2" s="1"/>
  <c r="E45" i="2"/>
  <c r="D45" i="2"/>
  <c r="B45" i="2"/>
  <c r="F45" i="2"/>
  <c r="H45" i="2"/>
  <c r="N48" i="3" l="1"/>
  <c r="N60" i="3" s="1"/>
  <c r="M48" i="3"/>
  <c r="M60" i="3" s="1"/>
  <c r="L48" i="3"/>
  <c r="L60" i="3" s="1"/>
  <c r="K48" i="3"/>
  <c r="K60" i="3" s="1"/>
  <c r="J48" i="3"/>
  <c r="J60" i="3" s="1"/>
  <c r="L45" i="2"/>
  <c r="D17" i="2" a="1"/>
  <c r="D17" i="2" s="1"/>
  <c r="J17" i="2" s="1"/>
  <c r="B27" i="3"/>
  <c r="I19" i="2"/>
  <c r="I52" i="2" s="1"/>
  <c r="G52" i="2"/>
  <c r="D51" i="2"/>
  <c r="G18" i="2"/>
  <c r="M18" i="2"/>
  <c r="N18" i="2" s="1"/>
  <c r="N27" i="3"/>
  <c r="G27" i="3"/>
  <c r="I48" i="3"/>
  <c r="I60" i="3" s="1"/>
  <c r="E48" i="3"/>
  <c r="E60" i="3" s="1"/>
  <c r="H48" i="3"/>
  <c r="H60" i="3" s="1"/>
  <c r="D48" i="3"/>
  <c r="D60" i="3" s="1"/>
  <c r="G48" i="3"/>
  <c r="G60" i="3" s="1"/>
  <c r="C48" i="3"/>
  <c r="C60" i="3" s="1"/>
  <c r="F48" i="3"/>
  <c r="F60" i="3" s="1"/>
  <c r="B48" i="3"/>
  <c r="B60" i="3" s="1"/>
  <c r="F27" i="3"/>
  <c r="C27" i="3"/>
  <c r="C45" i="2"/>
  <c r="J45" i="2" s="1"/>
  <c r="G34" i="2"/>
  <c r="K45" i="2" l="1"/>
  <c r="M45" i="2" s="1"/>
  <c r="N45" i="2" s="1"/>
  <c r="I18" i="2"/>
  <c r="I51" i="2" s="1"/>
  <c r="G51" i="2"/>
  <c r="D29" i="2"/>
  <c r="G17" i="2"/>
  <c r="M17" i="2"/>
  <c r="N17" i="2" s="1"/>
  <c r="D50" i="2"/>
  <c r="D62" i="2" s="1"/>
  <c r="M34" i="2"/>
  <c r="N34" i="2" s="1"/>
  <c r="I34" i="2"/>
  <c r="I45" i="2" s="1"/>
  <c r="G45" i="2"/>
  <c r="J29" i="2" l="1"/>
  <c r="M29" i="2" s="1"/>
  <c r="N29" i="2" s="1"/>
  <c r="I17" i="2"/>
  <c r="I29" i="2" s="1"/>
  <c r="G29" i="2"/>
  <c r="G50" i="2"/>
  <c r="G62" i="2" s="1"/>
  <c r="I50" i="2" l="1"/>
  <c r="I62" i="2" s="1"/>
</calcChain>
</file>

<file path=xl/sharedStrings.xml><?xml version="1.0" encoding="utf-8"?>
<sst xmlns="http://schemas.openxmlformats.org/spreadsheetml/2006/main" count="86082" uniqueCount="446">
  <si>
    <t>Kor1</t>
  </si>
  <si>
    <t>State</t>
  </si>
  <si>
    <t>EffectiveYear</t>
  </si>
  <si>
    <t>011</t>
  </si>
  <si>
    <t>2901</t>
  </si>
  <si>
    <t>2012</t>
  </si>
  <si>
    <t>2013</t>
  </si>
  <si>
    <t>2014</t>
  </si>
  <si>
    <t>2015</t>
  </si>
  <si>
    <t>2016</t>
  </si>
  <si>
    <t>012</t>
  </si>
  <si>
    <t>016</t>
  </si>
  <si>
    <t>020</t>
  </si>
  <si>
    <t>021</t>
  </si>
  <si>
    <t>022</t>
  </si>
  <si>
    <t>032</t>
  </si>
  <si>
    <t>033</t>
  </si>
  <si>
    <t>034</t>
  </si>
  <si>
    <t>051</t>
  </si>
  <si>
    <t>250</t>
  </si>
  <si>
    <t>251</t>
  </si>
  <si>
    <t>253</t>
  </si>
  <si>
    <t>254</t>
  </si>
  <si>
    <t>255</t>
  </si>
  <si>
    <t>256</t>
  </si>
  <si>
    <t>257</t>
  </si>
  <si>
    <t>258</t>
  </si>
  <si>
    <t>260</t>
  </si>
  <si>
    <t>261</t>
  </si>
  <si>
    <t>263</t>
  </si>
  <si>
    <t>265</t>
  </si>
  <si>
    <t>268</t>
  </si>
  <si>
    <t>269</t>
  </si>
  <si>
    <t>270</t>
  </si>
  <si>
    <t>271</t>
  </si>
  <si>
    <t>273</t>
  </si>
  <si>
    <t>803</t>
  </si>
  <si>
    <t>817</t>
  </si>
  <si>
    <t>052</t>
  </si>
  <si>
    <t>210</t>
  </si>
  <si>
    <t>211</t>
  </si>
  <si>
    <t>212</t>
  </si>
  <si>
    <t>214</t>
  </si>
  <si>
    <t>054</t>
  </si>
  <si>
    <t>056</t>
  </si>
  <si>
    <t>077</t>
  </si>
  <si>
    <t>055</t>
  </si>
  <si>
    <t>200</t>
  </si>
  <si>
    <t>067</t>
  </si>
  <si>
    <t>090</t>
  </si>
  <si>
    <t>091</t>
  </si>
  <si>
    <t>Premiums Written</t>
  </si>
  <si>
    <t>Commissions</t>
  </si>
  <si>
    <t>Losses Paid</t>
  </si>
  <si>
    <t>Premium Tax</t>
  </si>
  <si>
    <t>Operating Service Fees</t>
  </si>
  <si>
    <t>Claims Expense</t>
  </si>
  <si>
    <t>Unearned Premiums</t>
  </si>
  <si>
    <t>Losses Outstanding</t>
  </si>
  <si>
    <t>IBNR</t>
  </si>
  <si>
    <t>040</t>
  </si>
  <si>
    <t>Claims with Loss Payments</t>
  </si>
  <si>
    <t>041</t>
  </si>
  <si>
    <t>Claims Outstanding</t>
  </si>
  <si>
    <t>042</t>
  </si>
  <si>
    <t>Claim Count</t>
  </si>
  <si>
    <t>043</t>
  </si>
  <si>
    <t>Miscellaneous Expenses</t>
  </si>
  <si>
    <t>Miscellaneous Income</t>
  </si>
  <si>
    <t>Commission Charge-offs</t>
  </si>
  <si>
    <t>Charge-offs</t>
  </si>
  <si>
    <t>Premium Charge-offs</t>
  </si>
  <si>
    <t>063</t>
  </si>
  <si>
    <t>Salvage and Subrogation</t>
  </si>
  <si>
    <t>Anticipated Salvage</t>
  </si>
  <si>
    <t>069</t>
  </si>
  <si>
    <t>EBUB</t>
  </si>
  <si>
    <t>079</t>
  </si>
  <si>
    <t>PDR</t>
  </si>
  <si>
    <t>ALAE Paid</t>
  </si>
  <si>
    <t>ALAE Reserve</t>
  </si>
  <si>
    <t>Investment Income</t>
  </si>
  <si>
    <t>Misc. Inc. for Insolvent Companies</t>
  </si>
  <si>
    <t>Misc. Income</t>
  </si>
  <si>
    <t>Misc. Misc. Income</t>
  </si>
  <si>
    <t>Late Payment Fee Penalty</t>
  </si>
  <si>
    <t>213</t>
  </si>
  <si>
    <t>Late Submission Fee</t>
  </si>
  <si>
    <t>215</t>
  </si>
  <si>
    <t>Plan Assessment Income</t>
  </si>
  <si>
    <t>219</t>
  </si>
  <si>
    <t>Fraud Restitution</t>
  </si>
  <si>
    <t>Misc. Expense for Insolvent Companies</t>
  </si>
  <si>
    <t>Misc. Expense</t>
  </si>
  <si>
    <t>CAIP Audit</t>
  </si>
  <si>
    <t>252</t>
  </si>
  <si>
    <t>Corp. Communications</t>
  </si>
  <si>
    <t>Inspection Program</t>
  </si>
  <si>
    <t>Salaries</t>
  </si>
  <si>
    <t>Employee Relations/Welfare</t>
  </si>
  <si>
    <t>Insurance</t>
  </si>
  <si>
    <t>Travel</t>
  </si>
  <si>
    <t>Rent</t>
  </si>
  <si>
    <t>259</t>
  </si>
  <si>
    <t>Office Equiptment</t>
  </si>
  <si>
    <t>Printing &amp; Stationary</t>
  </si>
  <si>
    <t>Postage</t>
  </si>
  <si>
    <t>262</t>
  </si>
  <si>
    <t>Telephone</t>
  </si>
  <si>
    <t>Legal Fees</t>
  </si>
  <si>
    <t>264</t>
  </si>
  <si>
    <t>Audit Fees</t>
  </si>
  <si>
    <t>Taxes</t>
  </si>
  <si>
    <t>Other</t>
  </si>
  <si>
    <t>CAIP Indemnification</t>
  </si>
  <si>
    <t>Service Fees</t>
  </si>
  <si>
    <t>Interest</t>
  </si>
  <si>
    <t>RecordType</t>
  </si>
  <si>
    <t>Total</t>
  </si>
  <si>
    <t>Policy</t>
  </si>
  <si>
    <t>Year</t>
  </si>
  <si>
    <t>Premium</t>
  </si>
  <si>
    <t>Written</t>
  </si>
  <si>
    <t>Earned</t>
  </si>
  <si>
    <t>010</t>
  </si>
  <si>
    <t>NCRF Premium Refund</t>
  </si>
  <si>
    <t>013</t>
  </si>
  <si>
    <t>Policyholder Membership Fees</t>
  </si>
  <si>
    <t>015</t>
  </si>
  <si>
    <t>Dividends Paid</t>
  </si>
  <si>
    <t>017</t>
  </si>
  <si>
    <t>CPAI Charge-Offs</t>
  </si>
  <si>
    <t>018</t>
  </si>
  <si>
    <t>Clean Risk Subsidy</t>
  </si>
  <si>
    <t>024</t>
  </si>
  <si>
    <t>Unallocated Claims Expense</t>
  </si>
  <si>
    <t>025</t>
  </si>
  <si>
    <t>Premiums Escrowed</t>
  </si>
  <si>
    <t>028</t>
  </si>
  <si>
    <t>Advance Ceding Expense</t>
  </si>
  <si>
    <t>029</t>
  </si>
  <si>
    <t>Advance Claims Expense</t>
  </si>
  <si>
    <t>036</t>
  </si>
  <si>
    <t>Contingency Fund</t>
  </si>
  <si>
    <t>037</t>
  </si>
  <si>
    <t>Claims Service Fees Reserved</t>
  </si>
  <si>
    <t>Claims Without Loss Payment</t>
  </si>
  <si>
    <t>053</t>
  </si>
  <si>
    <t>Investment Impairments</t>
  </si>
  <si>
    <t>057</t>
  </si>
  <si>
    <t>NCRF Refund Interest</t>
  </si>
  <si>
    <t>058</t>
  </si>
  <si>
    <t>Installment Fees</t>
  </si>
  <si>
    <t>061</t>
  </si>
  <si>
    <t>Premium In Force</t>
  </si>
  <si>
    <t>062</t>
  </si>
  <si>
    <t>Advance Premium</t>
  </si>
  <si>
    <t>Anticipated Salvage/Subro (current)</t>
  </si>
  <si>
    <t>068</t>
  </si>
  <si>
    <t>Anticipated Salvage (Incld)</t>
  </si>
  <si>
    <t>070</t>
  </si>
  <si>
    <t>SCAAIP Prem Chrg Elig</t>
  </si>
  <si>
    <t>071</t>
  </si>
  <si>
    <t>Admin Misc Expense</t>
  </si>
  <si>
    <t>072</t>
  </si>
  <si>
    <t>Admin Misc Income</t>
  </si>
  <si>
    <t>SCAAIP Prem Chrg Inelig</t>
  </si>
  <si>
    <t>080</t>
  </si>
  <si>
    <t>Loss Recoupment Total</t>
  </si>
  <si>
    <t>081</t>
  </si>
  <si>
    <t>PPNF Loss Recoupment</t>
  </si>
  <si>
    <t>082</t>
  </si>
  <si>
    <t>OTPP Loss Recoupment</t>
  </si>
  <si>
    <t>088</t>
  </si>
  <si>
    <t>TRIA Premium Earned</t>
  </si>
  <si>
    <t>089</t>
  </si>
  <si>
    <t>NY PAP MTA Premium</t>
  </si>
  <si>
    <t>132</t>
  </si>
  <si>
    <t>Old Premium Earned</t>
  </si>
  <si>
    <t>189</t>
  </si>
  <si>
    <t>Prior NY PAP</t>
  </si>
  <si>
    <t>NJ AIRE Income</t>
  </si>
  <si>
    <t>NJ AIRE Expenses</t>
  </si>
  <si>
    <t>279</t>
  </si>
  <si>
    <t>Change in PDR</t>
  </si>
  <si>
    <t>401</t>
  </si>
  <si>
    <t>Recoupment Written</t>
  </si>
  <si>
    <t>402</t>
  </si>
  <si>
    <t>Recoupment Commision</t>
  </si>
  <si>
    <t>403</t>
  </si>
  <si>
    <t>Recoupment Premium Tax</t>
  </si>
  <si>
    <t>802</t>
  </si>
  <si>
    <t>SCAAIP Comm Charge-off</t>
  </si>
  <si>
    <t>Assessment/Distribution</t>
  </si>
  <si>
    <t>805</t>
  </si>
  <si>
    <t>Central Processor Charge-offs</t>
  </si>
  <si>
    <t>807</t>
  </si>
  <si>
    <t>Extraordinary Expenses</t>
  </si>
  <si>
    <t>808</t>
  </si>
  <si>
    <t>MI Single Business Tax</t>
  </si>
  <si>
    <t>Collection Fees</t>
  </si>
  <si>
    <t>819</t>
  </si>
  <si>
    <t>MI Hazard Haulers</t>
  </si>
  <si>
    <t>820</t>
  </si>
  <si>
    <t>SCAAIP Oper Fee Elig</t>
  </si>
  <si>
    <t>825</t>
  </si>
  <si>
    <t>FL Fee Adjustment</t>
  </si>
  <si>
    <t>826</t>
  </si>
  <si>
    <t>SCAAIP Oper Fee Inelig</t>
  </si>
  <si>
    <t>827</t>
  </si>
  <si>
    <t>SCAAIP Claim Fee Elig</t>
  </si>
  <si>
    <t>828</t>
  </si>
  <si>
    <t>SCAAIP Claim Fee Inelig</t>
  </si>
  <si>
    <t>Losses</t>
  </si>
  <si>
    <t>Incurred</t>
  </si>
  <si>
    <t>Including</t>
  </si>
  <si>
    <t>Expenses</t>
  </si>
  <si>
    <t>Underwriting</t>
  </si>
  <si>
    <t>Net</t>
  </si>
  <si>
    <t>Results</t>
  </si>
  <si>
    <t>LAE</t>
  </si>
  <si>
    <t>U/W Exp</t>
  </si>
  <si>
    <t>U/W Result</t>
  </si>
  <si>
    <t>ALL COMPANIES COMBINED</t>
  </si>
  <si>
    <t>5205</t>
  </si>
  <si>
    <t>0905</t>
  </si>
  <si>
    <t>3105</t>
  </si>
  <si>
    <t>0101</t>
  </si>
  <si>
    <t>0201</t>
  </si>
  <si>
    <t>0301</t>
  </si>
  <si>
    <t>0401</t>
  </si>
  <si>
    <t>0501</t>
  </si>
  <si>
    <t>0601</t>
  </si>
  <si>
    <t>0701</t>
  </si>
  <si>
    <t>0801</t>
  </si>
  <si>
    <t>1001</t>
  </si>
  <si>
    <t>1101</t>
  </si>
  <si>
    <t>1201</t>
  </si>
  <si>
    <t>1301</t>
  </si>
  <si>
    <t>1401</t>
  </si>
  <si>
    <t>1501</t>
  </si>
  <si>
    <t>1601</t>
  </si>
  <si>
    <t>1701</t>
  </si>
  <si>
    <t>1801</t>
  </si>
  <si>
    <t>2201</t>
  </si>
  <si>
    <t>2301</t>
  </si>
  <si>
    <t>2401</t>
  </si>
  <si>
    <t>2501</t>
  </si>
  <si>
    <t>2601</t>
  </si>
  <si>
    <t>2701</t>
  </si>
  <si>
    <t>2801</t>
  </si>
  <si>
    <t>3001</t>
  </si>
  <si>
    <t>3101</t>
  </si>
  <si>
    <t>3301</t>
  </si>
  <si>
    <t>3401</t>
  </si>
  <si>
    <t>3501</t>
  </si>
  <si>
    <t>3601</t>
  </si>
  <si>
    <t>3704</t>
  </si>
  <si>
    <t>3801</t>
  </si>
  <si>
    <t>3901</t>
  </si>
  <si>
    <t>4001</t>
  </si>
  <si>
    <t>4101</t>
  </si>
  <si>
    <t>4301</t>
  </si>
  <si>
    <t>4401</t>
  </si>
  <si>
    <t>4501</t>
  </si>
  <si>
    <t>4601</t>
  </si>
  <si>
    <t>4701</t>
  </si>
  <si>
    <t>4804</t>
  </si>
  <si>
    <t>4901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</si>
  <si>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</si>
  <si>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</si>
  <si>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</si>
  <si>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</si>
  <si>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</si>
  <si>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</si>
  <si>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</si>
  <si>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</si>
  <si>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</si>
  <si>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</si>
  <si>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</si>
  <si>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</si>
  <si>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</si>
  <si>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</si>
  <si>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</si>
  <si>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</si>
  <si>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</si>
  <si>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</si>
  <si>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</si>
  <si>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Minnesota</t>
  </si>
  <si>
    <t>Mississippi</t>
  </si>
  <si>
    <t>Missouri</t>
  </si>
  <si>
    <t>Montana</t>
  </si>
  <si>
    <t>Nebraska</t>
  </si>
  <si>
    <t>Nevada</t>
  </si>
  <si>
    <t>New Jersey</t>
  </si>
  <si>
    <t>New Mexico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</si>
  <si>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</si>
  <si>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</si>
  <si>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</si>
  <si>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</si>
  <si>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</si>
  <si>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</si>
  <si>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</si>
  <si>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</si>
  <si>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</si>
  <si>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Utah</t>
  </si>
  <si>
    <t>Vermont</t>
  </si>
  <si>
    <t>Virginia</t>
  </si>
  <si>
    <t>Washington</t>
  </si>
  <si>
    <t>West Virginia</t>
  </si>
  <si>
    <t>Wisconsin</t>
  </si>
  <si>
    <t>Wyoming</t>
  </si>
  <si>
    <t>Hawaii</t>
  </si>
  <si>
    <t>StateName</t>
  </si>
  <si>
    <t>Misc. Income for Insolvent Companies</t>
  </si>
  <si>
    <t>Net Misc.</t>
  </si>
  <si>
    <t>Income &amp;</t>
  </si>
  <si>
    <t>Expense</t>
  </si>
  <si>
    <t>Operating</t>
  </si>
  <si>
    <t>Result</t>
  </si>
  <si>
    <t>SumOfAmount</t>
  </si>
  <si>
    <t>Evaluation YYYYQ</t>
  </si>
  <si>
    <t>023</t>
  </si>
  <si>
    <t>916</t>
  </si>
  <si>
    <t>933</t>
  </si>
  <si>
    <t>934</t>
  </si>
  <si>
    <t>N/A</t>
  </si>
  <si>
    <t>Bal Rec/Pay (Prior to Recoup)</t>
  </si>
  <si>
    <t>Bal Rec/Pay</t>
  </si>
  <si>
    <t>5402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</si>
  <si>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</si>
  <si>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</si>
  <si>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</si>
  <si>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</si>
  <si>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</si>
  <si>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</si>
  <si>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</si>
  <si>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</si>
  <si>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</si>
  <si>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</si>
  <si>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</si>
  <si>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</si>
  <si>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</si>
  <si>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F-G</t>
  </si>
  <si>
    <t>C/B</t>
  </si>
  <si>
    <t>D/B</t>
  </si>
  <si>
    <t>E/A</t>
  </si>
  <si>
    <t>I+J+K</t>
  </si>
  <si>
    <t>L+(G/A)</t>
  </si>
  <si>
    <t>New York SRDP</t>
  </si>
  <si>
    <t>New York PAP</t>
  </si>
  <si>
    <t>2017</t>
  </si>
  <si>
    <t>2826</t>
  </si>
  <si>
    <t>New Hampshire Facility</t>
  </si>
  <si>
    <t>3206</t>
  </si>
  <si>
    <t>North Carolina Facility</t>
  </si>
  <si>
    <t>2018</t>
  </si>
  <si>
    <t>Paid</t>
  </si>
  <si>
    <t>Reserves</t>
  </si>
  <si>
    <t>Investment</t>
  </si>
  <si>
    <t>Income</t>
  </si>
  <si>
    <t>Note: This is not a Member Participation Report. See User's Guide for Adjustments under Miscellaneous Income and Expense.</t>
  </si>
  <si>
    <t>INCURRED LOSSES</t>
  </si>
  <si>
    <t>MISCELLANEOUS INCOME AND EXPENSE</t>
  </si>
  <si>
    <t>CPAI Charge-offs</t>
  </si>
  <si>
    <t>Misc</t>
  </si>
  <si>
    <t>Recoupment</t>
  </si>
  <si>
    <t>Class</t>
  </si>
  <si>
    <t>3</t>
  </si>
  <si>
    <t>1</t>
  </si>
  <si>
    <t>2</t>
  </si>
  <si>
    <t>Alabama Commercial</t>
  </si>
  <si>
    <t>Alaska Commercial</t>
  </si>
  <si>
    <t>Arizona Commercial</t>
  </si>
  <si>
    <t>Arkansas Commercial</t>
  </si>
  <si>
    <t>California Commercial</t>
  </si>
  <si>
    <t>Colorado Commercial</t>
  </si>
  <si>
    <t>Connecticut Commercial</t>
  </si>
  <si>
    <t>Delaware Commercial</t>
  </si>
  <si>
    <t>Hawaii CPAI</t>
  </si>
  <si>
    <t>Hawaii Commercial</t>
  </si>
  <si>
    <t>Hawaii Private Passenger</t>
  </si>
  <si>
    <t>District of Columbia Commercial</t>
  </si>
  <si>
    <t>Florida Commercial</t>
  </si>
  <si>
    <t>Florida Private Passenger</t>
  </si>
  <si>
    <t>Georgia Commercial</t>
  </si>
  <si>
    <t>Idaho Commercial</t>
  </si>
  <si>
    <t>New Hampshire Facility Commercial</t>
  </si>
  <si>
    <t>New Hampshire Facility Private Passenger</t>
  </si>
  <si>
    <t>Illinois Commercial</t>
  </si>
  <si>
    <t>Indiana Commercial</t>
  </si>
  <si>
    <t>Iowa Commercial</t>
  </si>
  <si>
    <t>Kansas Commercial</t>
  </si>
  <si>
    <t>Kentucky Commercial</t>
  </si>
  <si>
    <t>Louisiana Commercial</t>
  </si>
  <si>
    <t>Maine Commercial</t>
  </si>
  <si>
    <t>Minnesota Commercial</t>
  </si>
  <si>
    <t>Mississippi Commercial</t>
  </si>
  <si>
    <t>Missouri Commercial</t>
  </si>
  <si>
    <t>Montana Commercial</t>
  </si>
  <si>
    <t>Nebraska Commercial</t>
  </si>
  <si>
    <t>Nevada Commercial</t>
  </si>
  <si>
    <t>New Jersey Commercial</t>
  </si>
  <si>
    <t>New York PAP Commercial</t>
  </si>
  <si>
    <t>New York SRDP Commercial</t>
  </si>
  <si>
    <t>North Carolina Facility Commercial</t>
  </si>
  <si>
    <t>North Carolina Facility Private Passenger</t>
  </si>
  <si>
    <t>North Dakota Commercial</t>
  </si>
  <si>
    <t>Ohio Commercial</t>
  </si>
  <si>
    <t>Oklahoma Commercial</t>
  </si>
  <si>
    <t>Oregon Commercial</t>
  </si>
  <si>
    <t>Pennsylvania Commercial</t>
  </si>
  <si>
    <t>Rhode Island Commercial</t>
  </si>
  <si>
    <t>South Carolina Commercial</t>
  </si>
  <si>
    <t>South Dakota Commercial</t>
  </si>
  <si>
    <t>Tennessee Commercial</t>
  </si>
  <si>
    <t>Utah Commercial</t>
  </si>
  <si>
    <t>Vermont Commercial</t>
  </si>
  <si>
    <t>Virginia Commercial</t>
  </si>
  <si>
    <t>Washington Commercial</t>
  </si>
  <si>
    <t>West Virginia Commercial</t>
  </si>
  <si>
    <t>Wisconsin Commercial</t>
  </si>
  <si>
    <t>Wyoming Commercial</t>
  </si>
  <si>
    <t>New Hampshire CAIP Commercial</t>
  </si>
  <si>
    <t>New Hampshire CAIP</t>
  </si>
  <si>
    <t>5</t>
  </si>
  <si>
    <t>Please Select a State:</t>
  </si>
  <si>
    <t>2019</t>
  </si>
  <si>
    <t>2405</t>
  </si>
  <si>
    <t>3905</t>
  </si>
  <si>
    <t>Missouri JUA</t>
  </si>
  <si>
    <t>South Carolina JUA</t>
  </si>
  <si>
    <t>New Mexico Commercial</t>
  </si>
  <si>
    <t>2020</t>
  </si>
  <si>
    <t>Deficiency</t>
  </si>
  <si>
    <t>Reserve</t>
  </si>
  <si>
    <t>The Supplemental Fee, if any, is included with Administration Fees. See User's Guide for further information, and an explanation, for adjustments under Miscellaneous Income and Expense.</t>
  </si>
  <si>
    <t>OTHER UNDERWRITING EXPENSES</t>
  </si>
  <si>
    <t>Countrywide CAIP/CAP/SRDP</t>
  </si>
  <si>
    <t>621</t>
  </si>
  <si>
    <t>CAIP Supplemental Fee</t>
  </si>
  <si>
    <t>2021</t>
  </si>
  <si>
    <t>2022</t>
  </si>
  <si>
    <t>2023</t>
  </si>
  <si>
    <t>266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</si>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</sst>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66">
    <xf numFmtId="0" fontId="0" fillId="0" borderId="0" xfId="0"/>
    <xf numFmtId="0" fontId="2" fillId="0" borderId="1" xfId="0" quotePrefix="1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4" xfId="0" quotePrefix="1" applyFont="1" applyBorder="1"/>
    <xf numFmtId="0" fontId="3" fillId="0" borderId="0" xfId="0" applyFont="1"/>
    <xf numFmtId="0" fontId="3" fillId="0" borderId="5" xfId="0" applyFont="1" applyBorder="1"/>
    <xf numFmtId="0" fontId="2" fillId="0" borderId="5" xfId="0" applyFont="1" applyBorder="1"/>
    <xf numFmtId="0" fontId="2" fillId="0" borderId="0" xfId="0" applyFont="1"/>
    <xf numFmtId="0" fontId="2" fillId="0" borderId="4" xfId="0" applyFont="1" applyBorder="1"/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0" fillId="0" borderId="0" xfId="0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4" fillId="0" borderId="0" xfId="0" applyFont="1" applyAlignment="1">
      <alignment horizontal="center"/>
    </xf>
    <xf numFmtId="0" fontId="1" fillId="0" borderId="0" xfId="0" applyFont="1"/>
    <xf numFmtId="49" fontId="0" fillId="0" borderId="11" xfId="0" quotePrefix="1" applyNumberFormat="1" applyBorder="1"/>
    <xf numFmtId="4" fontId="0" fillId="0" borderId="0" xfId="0" applyNumberFormat="1"/>
    <xf numFmtId="0" fontId="5" fillId="0" borderId="0" xfId="0" applyFont="1"/>
    <xf numFmtId="0" fontId="0" fillId="0" borderId="4" xfId="0" quotePrefix="1" applyBorder="1"/>
    <xf numFmtId="0" fontId="0" fillId="0" borderId="6" xfId="0" quotePrefix="1" applyBorder="1"/>
    <xf numFmtId="3" fontId="0" fillId="0" borderId="0" xfId="0" applyNumberFormat="1" applyProtection="1">
      <protection hidden="1"/>
    </xf>
    <xf numFmtId="3" fontId="0" fillId="0" borderId="0" xfId="0" applyNumberFormat="1"/>
    <xf numFmtId="0" fontId="0" fillId="0" borderId="0" xfId="0" quotePrefix="1" applyAlignment="1" applyProtection="1">
      <alignment horizontal="center"/>
      <protection hidden="1"/>
    </xf>
    <xf numFmtId="0" fontId="0" fillId="0" borderId="15" xfId="0" applyBorder="1" applyAlignment="1">
      <alignment horizontal="center"/>
    </xf>
    <xf numFmtId="0" fontId="1" fillId="0" borderId="16" xfId="0" applyFont="1" applyBorder="1"/>
    <xf numFmtId="0" fontId="0" fillId="0" borderId="17" xfId="0" applyBorder="1" applyAlignment="1">
      <alignment horizontal="center"/>
    </xf>
    <xf numFmtId="0" fontId="0" fillId="0" borderId="11" xfId="0" quotePrefix="1" applyBorder="1"/>
    <xf numFmtId="0" fontId="0" fillId="0" borderId="9" xfId="0" quotePrefix="1" applyBorder="1"/>
    <xf numFmtId="0" fontId="0" fillId="0" borderId="13" xfId="0" quotePrefix="1" applyBorder="1"/>
    <xf numFmtId="0" fontId="6" fillId="0" borderId="0" xfId="0" applyFont="1" applyProtection="1">
      <protection hidden="1"/>
    </xf>
    <xf numFmtId="0" fontId="7" fillId="0" borderId="0" xfId="0" applyFont="1"/>
    <xf numFmtId="0" fontId="8" fillId="0" borderId="0" xfId="0" applyFont="1" applyProtection="1">
      <protection hidden="1"/>
    </xf>
    <xf numFmtId="0" fontId="9" fillId="0" borderId="0" xfId="0" applyFo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2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21" xfId="0" applyBorder="1"/>
    <xf numFmtId="0" fontId="1" fillId="0" borderId="0" xfId="0" applyFont="1" applyAlignment="1">
      <alignment horizontal="center"/>
    </xf>
    <xf numFmtId="3" fontId="1" fillId="0" borderId="0" xfId="0" applyNumberFormat="1" applyFont="1"/>
    <xf numFmtId="0" fontId="1" fillId="0" borderId="21" xfId="0" applyFont="1" applyBorder="1" applyAlignment="1">
      <alignment horizontal="center"/>
    </xf>
    <xf numFmtId="3" fontId="1" fillId="0" borderId="21" xfId="0" applyNumberFormat="1" applyFont="1" applyBorder="1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10" fontId="3" fillId="0" borderId="0" xfId="1" applyNumberFormat="1" applyFont="1" applyAlignment="1" applyProtection="1">
      <alignment horizontal="right"/>
    </xf>
    <xf numFmtId="10" fontId="0" fillId="0" borderId="0" xfId="1" applyNumberFormat="1" applyFont="1" applyAlignment="1" applyProtection="1">
      <alignment horizontal="right"/>
    </xf>
    <xf numFmtId="10" fontId="1" fillId="0" borderId="0" xfId="1" applyNumberFormat="1" applyFont="1" applyBorder="1" applyAlignment="1" applyProtection="1">
      <alignment horizontal="right"/>
    </xf>
    <xf numFmtId="10" fontId="12" fillId="0" borderId="0" xfId="1" applyNumberFormat="1" applyFont="1" applyAlignment="1" applyProtection="1">
      <alignment horizontal="right"/>
    </xf>
    <xf numFmtId="0" fontId="0" fillId="0" borderId="25" xfId="0" applyBorder="1"/>
    <xf numFmtId="0" fontId="13" fillId="0" borderId="0" xfId="0" applyFon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2" borderId="0" xfId="0" applyFont="1" applyFill="1" applyProtection="1">
      <protection locked="0"/>
    </xf>
    <xf numFmtId="0" fontId="0" fillId="0" borderId="0" xfId="0" applyAlignment="1">
      <alignment horizontal="left" wrapText="1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4" xfId="0" applyBorder="1" applyAlignment="1">
      <alignment horizontal="center"/>
    </xf>
  </cellXfs>
  <cellStyles count="2">
    <cellStyle name="Normal" xfId="0" builtinId="0"/>
    <cellStyle name="Percent" xfId="1" builtinId="5"/>
  </cellStyles>
  <dxfs count="8">
    <dxf>
      <font>
        <color rgb="FFFF0000"/>
      </font>
    </dxf>
    <dxf>
      <font>
        <color rgb="FFFF0000"/>
      </font>
    </dxf>
    <dxf>
      <numFmt numFmtId="0" formatCode="General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from_Actuarial___Production" displayName="Table_Query_from_Actuarial___Production" ref="R3:X10684" totalsRowShown="0">
  <autoFilter ref="R3:X10684" xr:uid="{97E03471-E0AC-4614-8A99-0B6F65EDFEC0}"/>
  <tableColumns count="7">
    <tableColumn id="2" xr3:uid="{00000000-0010-0000-0000-000002000000}" name="Kor1"/>
    <tableColumn id="3" xr3:uid="{00000000-0010-0000-0000-000003000000}" name="State"/>
    <tableColumn id="5" xr3:uid="{00000000-0010-0000-0000-000005000000}" name="EffectiveYear"/>
    <tableColumn id="10" xr3:uid="{00000000-0010-0000-0000-00000A000000}" name="SumOfAmount" dataDxfId="7"/>
    <tableColumn id="1" xr3:uid="{02DF5A8D-558B-45C9-9F93-7803F192F8CC}" name="Class" dataDxfId="6"/>
    <tableColumn id="9" xr3:uid="{00000000-0010-0000-0000-000009000000}" name="RecordType">
      <calculatedColumnFormula>VLOOKUP(Table_Query_from_Actuarial___Production[[#This Row],[Kor1]],$AI$3:$AK$105,3,FALSE)</calculatedColumnFormula>
    </tableColumn>
    <tableColumn id="6" xr3:uid="{00000000-0010-0000-0000-000006000000}" name="StateName" dataDxfId="5">
      <calculatedColumnFormula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Query_from_Actuarial___Production3" displayName="Table_Query_from_Actuarial___Production3" ref="Z3:AF10702" totalsRowShown="0">
  <autoFilter ref="Z3:AF10702" xr:uid="{931751A4-D12C-4258-A84C-F4017F1BA4C5}"/>
  <tableColumns count="7">
    <tableColumn id="2" xr3:uid="{00000000-0010-0000-0100-000002000000}" name="Kor1"/>
    <tableColumn id="3" xr3:uid="{00000000-0010-0000-0100-000003000000}" name="State"/>
    <tableColumn id="5" xr3:uid="{00000000-0010-0000-0100-000005000000}" name="EffectiveYear"/>
    <tableColumn id="10" xr3:uid="{00000000-0010-0000-0100-00000A000000}" name="SumOfAmount" dataDxfId="4"/>
    <tableColumn id="1" xr3:uid="{BBF038D0-4083-439E-806F-087F5F003F1B}" name="Class" dataDxfId="3"/>
    <tableColumn id="9" xr3:uid="{00000000-0010-0000-0100-000009000000}" name="RecordType">
      <calculatedColumnFormula>VLOOKUP(Table_Query_from_Actuarial___Production3[[#This Row],[Kor1]],$AI$3:$AK$105,3,FALSE)</calculatedColumnFormula>
    </tableColumn>
    <tableColumn id="6" xr3:uid="{00000000-0010-0000-0100-000006000000}" name="StateName" dataDxfId="2">
      <calculatedColumnFormula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P14546"/>
  <sheetViews>
    <sheetView tabSelected="1" zoomScale="90" zoomScaleNormal="90" zoomScaleSheetLayoutView="100" workbookViewId="0"/>
  </sheetViews>
  <sheetFormatPr defaultRowHeight="12.75" x14ac:dyDescent="0.2"/>
  <cols>
    <col min="1" max="1" width="8.7109375" customWidth="1"/>
    <col min="2" max="2" width="14.7109375" customWidth="1"/>
    <col min="3" max="4" width="13.85546875" bestFit="1" customWidth="1"/>
    <col min="5" max="6" width="13.5703125" bestFit="1" customWidth="1"/>
    <col min="7" max="7" width="14.28515625" bestFit="1" customWidth="1"/>
    <col min="8" max="8" width="12.7109375" customWidth="1"/>
    <col min="9" max="9" width="14.5703125" bestFit="1" customWidth="1"/>
    <col min="10" max="14" width="10.7109375" customWidth="1"/>
    <col min="15" max="16" width="10.7109375" hidden="1" customWidth="1"/>
    <col min="17" max="17" width="9.140625" hidden="1" customWidth="1"/>
    <col min="18" max="18" width="7.85546875" hidden="1" customWidth="1"/>
    <col min="19" max="19" width="8.42578125" hidden="1" customWidth="1"/>
    <col min="20" max="20" width="15.5703125" hidden="1" customWidth="1"/>
    <col min="21" max="21" width="16.85546875" hidden="1" customWidth="1"/>
    <col min="22" max="22" width="8.7109375" hidden="1" customWidth="1"/>
    <col min="23" max="23" width="36.28515625" hidden="1" customWidth="1"/>
    <col min="24" max="24" width="39.28515625" hidden="1" customWidth="1"/>
    <col min="25" max="25" width="20.7109375" style="21" hidden="1" customWidth="1"/>
    <col min="26" max="26" width="7.85546875" hidden="1" customWidth="1"/>
    <col min="27" max="27" width="8.42578125" hidden="1" customWidth="1"/>
    <col min="28" max="28" width="15.5703125" hidden="1" customWidth="1"/>
    <col min="29" max="29" width="16.85546875" hidden="1" customWidth="1"/>
    <col min="30" max="30" width="8.7109375" hidden="1" customWidth="1"/>
    <col min="31" max="31" width="36.28515625" hidden="1" customWidth="1"/>
    <col min="32" max="32" width="39.28515625" hidden="1" customWidth="1"/>
    <col min="33" max="33" width="36.28515625" hidden="1" customWidth="1"/>
    <col min="34" max="34" width="10.7109375" hidden="1" customWidth="1"/>
    <col min="35" max="35" width="4.42578125" hidden="1" customWidth="1"/>
    <col min="36" max="37" width="36.140625" hidden="1" customWidth="1"/>
    <col min="38" max="38" width="12.7109375" hidden="1" customWidth="1"/>
    <col min="39" max="39" width="5.5703125" hidden="1" customWidth="1"/>
    <col min="40" max="40" width="32" hidden="1" customWidth="1"/>
    <col min="41" max="41" width="7" hidden="1" customWidth="1"/>
    <col min="42" max="42" width="39.140625" hidden="1" customWidth="1"/>
    <col min="43" max="43" width="9.140625" customWidth="1"/>
    <col min="44" max="44" width="39.140625" bestFit="1" customWidth="1"/>
  </cols>
  <sheetData>
    <row r="1" spans="1:42" ht="18" x14ac:dyDescent="0.25">
      <c r="C1" s="60" t="s">
        <v>426</v>
      </c>
      <c r="D1" s="60"/>
      <c r="E1" s="60"/>
      <c r="F1" s="61" t="s">
        <v>438</v>
      </c>
      <c r="G1" s="61"/>
      <c r="H1" s="61"/>
      <c r="I1" s="61"/>
      <c r="R1" t="s">
        <v>321</v>
      </c>
      <c r="U1" s="58">
        <v>20242</v>
      </c>
      <c r="V1" s="22"/>
      <c r="W1" s="22"/>
      <c r="Z1" t="s">
        <v>321</v>
      </c>
      <c r="AC1" s="19">
        <f>U1-10</f>
        <v>20232</v>
      </c>
      <c r="AE1" s="19"/>
      <c r="AF1" s="19"/>
    </row>
    <row r="3" spans="1:42" ht="20.25" x14ac:dyDescent="0.3">
      <c r="A3" s="34" t="str">
        <f>UPPER(F1)&amp;" Financial Data as of "&amp;IF(RIGHT('Operating Results'!U1,1)="4","4th Calendar Quarter ",IF(RIGHT('Operating Results'!U1,1)="3","3rd Calendar Quarter ",IF(RIGHT('Operating Results'!U1,1)="2","2nd Calendar Quarter ","1st Calendar Quarter ")))&amp;LEFT('Operating Results'!U1,4)</f>
        <v>COUNTRYWIDE CAIP/CAP/SRDP Financial Data as of 2nd Calendar Quarter 2024</v>
      </c>
      <c r="B3" s="35"/>
      <c r="C3" s="35"/>
      <c r="D3" s="35"/>
      <c r="F3" s="35"/>
      <c r="R3" t="s">
        <v>0</v>
      </c>
      <c r="S3" t="s">
        <v>1</v>
      </c>
      <c r="T3" t="s">
        <v>2</v>
      </c>
      <c r="U3" s="21" t="s">
        <v>320</v>
      </c>
      <c r="V3" s="21" t="s">
        <v>367</v>
      </c>
      <c r="W3" t="s">
        <v>117</v>
      </c>
      <c r="X3" t="s">
        <v>313</v>
      </c>
      <c r="Y3"/>
      <c r="Z3" t="s">
        <v>0</v>
      </c>
      <c r="AA3" t="s">
        <v>1</v>
      </c>
      <c r="AB3" t="s">
        <v>2</v>
      </c>
      <c r="AC3" s="21" t="s">
        <v>320</v>
      </c>
      <c r="AD3" s="21" t="s">
        <v>367</v>
      </c>
      <c r="AE3" t="s">
        <v>117</v>
      </c>
      <c r="AF3" t="s">
        <v>313</v>
      </c>
      <c r="AI3" s="1" t="s">
        <v>124</v>
      </c>
      <c r="AJ3" s="2" t="s">
        <v>125</v>
      </c>
      <c r="AK3" s="3" t="s">
        <v>125</v>
      </c>
      <c r="AM3" s="32" t="s">
        <v>227</v>
      </c>
      <c r="AN3" s="10" t="s">
        <v>269</v>
      </c>
      <c r="AP3" s="38" t="s">
        <v>371</v>
      </c>
    </row>
    <row r="4" spans="1:42" ht="20.25" x14ac:dyDescent="0.3">
      <c r="A4" s="36" t="str">
        <f>IF(AND(LEFT(F1,6)="Alaska",RIGHT(U1,1)&lt;&gt;"3"),"Alaska data is only available 3rd quarter","")</f>
        <v/>
      </c>
      <c r="R4" t="s">
        <v>33</v>
      </c>
      <c r="S4" t="s">
        <v>227</v>
      </c>
      <c r="T4" t="s">
        <v>441</v>
      </c>
      <c r="U4" s="21">
        <v>18687.330000000002</v>
      </c>
      <c r="V4" s="21" t="s">
        <v>368</v>
      </c>
      <c r="W4" t="str">
        <f>VLOOKUP(Table_Query_from_Actuarial___Production[[#This Row],[Kor1]],$AI$3:$AK$105,3,FALSE)</f>
        <v>Misc. Expense</v>
      </c>
      <c r="X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"/>
      <c r="Z4" t="s">
        <v>33</v>
      </c>
      <c r="AA4" t="s">
        <v>227</v>
      </c>
      <c r="AB4" t="s">
        <v>441</v>
      </c>
      <c r="AC4" s="21">
        <v>18687.330000000002</v>
      </c>
      <c r="AD4" s="21" t="s">
        <v>368</v>
      </c>
      <c r="AE4" t="str">
        <f>VLOOKUP(Table_Query_from_Actuarial___Production3[[#This Row],[Kor1]],$AI$3:$AK$105,3,FALSE)</f>
        <v>Misc. Expense</v>
      </c>
      <c r="AF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" s="4" t="s">
        <v>3</v>
      </c>
      <c r="AJ4" s="5" t="s">
        <v>51</v>
      </c>
      <c r="AK4" s="6" t="s">
        <v>51</v>
      </c>
      <c r="AM4" s="31" t="s">
        <v>228</v>
      </c>
      <c r="AN4" s="11" t="s">
        <v>271</v>
      </c>
      <c r="AP4" s="39" t="s">
        <v>372</v>
      </c>
    </row>
    <row r="5" spans="1:42" ht="15" x14ac:dyDescent="0.2">
      <c r="A5" s="37" t="s">
        <v>223</v>
      </c>
      <c r="R5" t="s">
        <v>37</v>
      </c>
      <c r="S5" t="s">
        <v>266</v>
      </c>
      <c r="T5" t="s">
        <v>443</v>
      </c>
      <c r="U5" s="21">
        <v>523.41999999999996</v>
      </c>
      <c r="V5" s="21" t="s">
        <v>368</v>
      </c>
      <c r="W5" t="str">
        <f>VLOOKUP(Table_Query_from_Actuarial___Production[[#This Row],[Kor1]],$AI$3:$AK$105,3,FALSE)</f>
        <v>Misc. Expense</v>
      </c>
      <c r="X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"/>
      <c r="Z5" t="s">
        <v>37</v>
      </c>
      <c r="AA5" t="s">
        <v>266</v>
      </c>
      <c r="AB5" t="s">
        <v>443</v>
      </c>
      <c r="AC5" s="21">
        <v>746.68</v>
      </c>
      <c r="AD5" s="21" t="s">
        <v>368</v>
      </c>
      <c r="AE5" t="str">
        <f>VLOOKUP(Table_Query_from_Actuarial___Production3[[#This Row],[Kor1]],$AI$3:$AK$105,3,FALSE)</f>
        <v>Misc. Expense</v>
      </c>
      <c r="AF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" s="4" t="s">
        <v>10</v>
      </c>
      <c r="AJ5" s="5" t="s">
        <v>52</v>
      </c>
      <c r="AK5" s="6" t="s">
        <v>52</v>
      </c>
      <c r="AM5" s="31" t="s">
        <v>229</v>
      </c>
      <c r="AN5" s="11" t="s">
        <v>272</v>
      </c>
      <c r="AP5" s="39" t="s">
        <v>373</v>
      </c>
    </row>
    <row r="6" spans="1:42" x14ac:dyDescent="0.2">
      <c r="R6" t="s">
        <v>40</v>
      </c>
      <c r="S6" t="s">
        <v>250</v>
      </c>
      <c r="T6" t="s">
        <v>9</v>
      </c>
      <c r="U6" s="21">
        <v>268</v>
      </c>
      <c r="V6" s="21" t="s">
        <v>368</v>
      </c>
      <c r="W6" t="str">
        <f>VLOOKUP(Table_Query_from_Actuarial___Production[[#This Row],[Kor1]],$AI$3:$AK$105,3,FALSE)</f>
        <v>Misc. Income</v>
      </c>
      <c r="X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"/>
      <c r="Z6" t="s">
        <v>40</v>
      </c>
      <c r="AA6" t="s">
        <v>250</v>
      </c>
      <c r="AB6" t="s">
        <v>9</v>
      </c>
      <c r="AC6" s="21">
        <v>268</v>
      </c>
      <c r="AD6" s="21" t="s">
        <v>368</v>
      </c>
      <c r="AE6" t="str">
        <f>VLOOKUP(Table_Query_from_Actuarial___Production3[[#This Row],[Kor1]],$AI$3:$AK$105,3,FALSE)</f>
        <v>Misc. Income</v>
      </c>
      <c r="AF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" s="4" t="s">
        <v>126</v>
      </c>
      <c r="AJ6" s="5" t="s">
        <v>127</v>
      </c>
      <c r="AK6" s="6" t="s">
        <v>127</v>
      </c>
      <c r="AM6" s="31" t="s">
        <v>230</v>
      </c>
      <c r="AN6" s="11" t="s">
        <v>273</v>
      </c>
      <c r="AP6" s="39" t="s">
        <v>374</v>
      </c>
    </row>
    <row r="7" spans="1:42" x14ac:dyDescent="0.2">
      <c r="A7" s="29"/>
      <c r="B7" s="30" t="s">
        <v>330</v>
      </c>
      <c r="C7" s="30" t="s">
        <v>331</v>
      </c>
      <c r="D7" s="30" t="s">
        <v>332</v>
      </c>
      <c r="E7" s="30" t="s">
        <v>333</v>
      </c>
      <c r="F7" s="30" t="s">
        <v>334</v>
      </c>
      <c r="G7" s="30" t="s">
        <v>335</v>
      </c>
      <c r="H7" s="30" t="s">
        <v>336</v>
      </c>
      <c r="I7" s="30" t="s">
        <v>337</v>
      </c>
      <c r="J7" s="30" t="s">
        <v>338</v>
      </c>
      <c r="K7" s="30" t="s">
        <v>339</v>
      </c>
      <c r="L7" s="30" t="s">
        <v>340</v>
      </c>
      <c r="M7" s="30" t="s">
        <v>341</v>
      </c>
      <c r="N7" s="30" t="s">
        <v>342</v>
      </c>
      <c r="R7" t="s">
        <v>31</v>
      </c>
      <c r="S7" t="s">
        <v>265</v>
      </c>
      <c r="T7" t="s">
        <v>441</v>
      </c>
      <c r="U7" s="21">
        <v>822.9</v>
      </c>
      <c r="V7" s="21" t="s">
        <v>368</v>
      </c>
      <c r="W7" t="str">
        <f>VLOOKUP(Table_Query_from_Actuarial___Production[[#This Row],[Kor1]],$AI$3:$AK$105,3,FALSE)</f>
        <v>Misc. Expense</v>
      </c>
      <c r="X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"/>
      <c r="Z7" t="s">
        <v>19</v>
      </c>
      <c r="AA7" t="s">
        <v>245</v>
      </c>
      <c r="AB7" t="s">
        <v>5</v>
      </c>
      <c r="AC7" s="21">
        <v>2903</v>
      </c>
      <c r="AD7" s="21" t="s">
        <v>368</v>
      </c>
      <c r="AE7" t="str">
        <f>VLOOKUP(Table_Query_from_Actuarial___Production3[[#This Row],[Kor1]],$AI$3:$AK$105,3,FALSE)</f>
        <v>Misc. Expense for Insolvent Companies</v>
      </c>
      <c r="AF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" s="4" t="s">
        <v>128</v>
      </c>
      <c r="AJ7" s="5" t="s">
        <v>129</v>
      </c>
      <c r="AK7" s="6" t="s">
        <v>129</v>
      </c>
      <c r="AM7" s="31" t="s">
        <v>231</v>
      </c>
      <c r="AN7" s="11" t="s">
        <v>274</v>
      </c>
      <c r="AP7" s="39" t="s">
        <v>375</v>
      </c>
    </row>
    <row r="8" spans="1:42" x14ac:dyDescent="0.2">
      <c r="A8" s="19"/>
      <c r="G8" s="13" t="str">
        <f>IF(OR(LEFT(F1,22)="New Hampshire Facility",LEFT(F1,23)="North Carolina Facility"),"B-C-E","B-C-D-E")</f>
        <v>B-C-D-E</v>
      </c>
      <c r="I8" s="13" t="s">
        <v>343</v>
      </c>
      <c r="J8" s="13" t="s">
        <v>344</v>
      </c>
      <c r="K8" s="13" t="s">
        <v>345</v>
      </c>
      <c r="L8" s="13" t="s">
        <v>346</v>
      </c>
      <c r="M8" s="13" t="s">
        <v>347</v>
      </c>
      <c r="N8" s="13" t="s">
        <v>348</v>
      </c>
      <c r="O8" s="13"/>
      <c r="P8" s="13"/>
      <c r="R8" t="s">
        <v>43</v>
      </c>
      <c r="S8" t="s">
        <v>230</v>
      </c>
      <c r="T8" t="s">
        <v>7</v>
      </c>
      <c r="U8" s="21">
        <v>37954.980000000003</v>
      </c>
      <c r="V8" s="21" t="s">
        <v>368</v>
      </c>
      <c r="W8" t="str">
        <f>VLOOKUP(Table_Query_from_Actuarial___Production[[#This Row],[Kor1]],$AI$3:$AK$105,3,FALSE)</f>
        <v>Charge-offs</v>
      </c>
      <c r="X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"/>
      <c r="Z8" t="s">
        <v>31</v>
      </c>
      <c r="AA8" t="s">
        <v>265</v>
      </c>
      <c r="AB8" t="s">
        <v>441</v>
      </c>
      <c r="AC8" s="21">
        <v>822.9</v>
      </c>
      <c r="AD8" s="21" t="s">
        <v>368</v>
      </c>
      <c r="AE8" t="str">
        <f>VLOOKUP(Table_Query_from_Actuarial___Production3[[#This Row],[Kor1]],$AI$3:$AK$105,3,FALSE)</f>
        <v>Misc. Expense</v>
      </c>
      <c r="AF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" s="4" t="s">
        <v>11</v>
      </c>
      <c r="AJ8" s="5" t="s">
        <v>53</v>
      </c>
      <c r="AK8" s="6" t="s">
        <v>53</v>
      </c>
      <c r="AM8" s="31" t="s">
        <v>232</v>
      </c>
      <c r="AN8" s="11" t="s">
        <v>275</v>
      </c>
      <c r="AP8" s="39" t="s">
        <v>376</v>
      </c>
    </row>
    <row r="9" spans="1:42" x14ac:dyDescent="0.2">
      <c r="A9" s="50"/>
      <c r="B9" s="50"/>
      <c r="C9" s="50"/>
      <c r="D9" s="51" t="s">
        <v>213</v>
      </c>
      <c r="E9" s="51" t="str">
        <f>IF(OR(LEFT(F1,14)="North Carolina",LEFT(F1,6)="Hawaii",LEFT(F1,22)="New Hampshire Facility"),"","Loss")</f>
        <v>Loss</v>
      </c>
      <c r="F9" s="50"/>
      <c r="G9" s="50"/>
      <c r="H9" s="50"/>
      <c r="I9" s="51" t="str">
        <f>IF(LEFT(F1,23)="North Carolina Facility","Net Result of","")</f>
        <v/>
      </c>
      <c r="J9" s="50"/>
      <c r="K9" s="50"/>
      <c r="L9" s="50"/>
      <c r="M9" s="50"/>
      <c r="N9" s="50"/>
      <c r="O9" s="13"/>
      <c r="P9" s="13"/>
      <c r="R9" t="s">
        <v>13</v>
      </c>
      <c r="S9" t="s">
        <v>224</v>
      </c>
      <c r="T9" t="s">
        <v>443</v>
      </c>
      <c r="U9" s="21">
        <v>2732</v>
      </c>
      <c r="V9" s="21" t="s">
        <v>425</v>
      </c>
      <c r="W9" t="str">
        <f>VLOOKUP(Table_Query_from_Actuarial___Production[[#This Row],[Kor1]],$AI$3:$AK$105,3,FALSE)</f>
        <v>Operating Service Fees</v>
      </c>
      <c r="X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"/>
      <c r="Z9" t="s">
        <v>40</v>
      </c>
      <c r="AA9" t="s">
        <v>240</v>
      </c>
      <c r="AB9" t="s">
        <v>5</v>
      </c>
      <c r="AC9" s="21">
        <v>1</v>
      </c>
      <c r="AD9" s="21" t="s">
        <v>368</v>
      </c>
      <c r="AE9" t="str">
        <f>VLOOKUP(Table_Query_from_Actuarial___Production3[[#This Row],[Kor1]],$AI$3:$AK$105,3,FALSE)</f>
        <v>Misc. Income</v>
      </c>
      <c r="AF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" s="4" t="s">
        <v>130</v>
      </c>
      <c r="AJ9" s="5" t="s">
        <v>131</v>
      </c>
      <c r="AK9" s="6" t="s">
        <v>364</v>
      </c>
      <c r="AM9" s="31" t="s">
        <v>233</v>
      </c>
      <c r="AN9" s="11" t="s">
        <v>276</v>
      </c>
      <c r="AP9" s="39" t="s">
        <v>377</v>
      </c>
    </row>
    <row r="10" spans="1:42" x14ac:dyDescent="0.2">
      <c r="A10" s="50"/>
      <c r="B10" s="50"/>
      <c r="C10" s="50"/>
      <c r="D10" s="51" t="s">
        <v>214</v>
      </c>
      <c r="E10" s="51" t="str">
        <f>IF(LEFT(F1,6)="Hawaii","Claim",IF(OR(LEFT(F1,14)="North Carolina",LEFT(F1,22)="New Hampshire Facility"),"","Adjustment"))</f>
        <v>Adjustment</v>
      </c>
      <c r="F10" s="51" t="s">
        <v>113</v>
      </c>
      <c r="G10" s="51" t="s">
        <v>218</v>
      </c>
      <c r="H10" s="51" t="s">
        <v>315</v>
      </c>
      <c r="I10" s="51" t="str">
        <f>IF(LEFT(F1,23)="North Carolina Facility","Operation Prior","Net Result")</f>
        <v>Net Result</v>
      </c>
      <c r="J10" s="50"/>
      <c r="K10" s="50"/>
      <c r="L10" s="50"/>
      <c r="M10" s="50"/>
      <c r="N10" s="51" t="s">
        <v>218</v>
      </c>
      <c r="O10" s="18"/>
      <c r="P10" s="18"/>
      <c r="R10" t="s">
        <v>38</v>
      </c>
      <c r="S10" t="s">
        <v>224</v>
      </c>
      <c r="T10" t="s">
        <v>6</v>
      </c>
      <c r="U10" s="21">
        <v>127595.58</v>
      </c>
      <c r="V10" s="21" t="s">
        <v>368</v>
      </c>
      <c r="W10" t="str">
        <f>VLOOKUP(Table_Query_from_Actuarial___Production[[#This Row],[Kor1]],$AI$3:$AK$105,3,FALSE)</f>
        <v>Misc. Income</v>
      </c>
      <c r="X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"/>
      <c r="Z10" t="s">
        <v>43</v>
      </c>
      <c r="AA10" t="s">
        <v>230</v>
      </c>
      <c r="AB10" t="s">
        <v>7</v>
      </c>
      <c r="AC10" s="21">
        <v>37954.980000000003</v>
      </c>
      <c r="AD10" s="21" t="s">
        <v>368</v>
      </c>
      <c r="AE10" t="str">
        <f>VLOOKUP(Table_Query_from_Actuarial___Production3[[#This Row],[Kor1]],$AI$3:$AK$105,3,FALSE)</f>
        <v>Charge-offs</v>
      </c>
      <c r="AF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" s="4" t="s">
        <v>132</v>
      </c>
      <c r="AJ10" s="5" t="s">
        <v>133</v>
      </c>
      <c r="AK10" s="6" t="s">
        <v>133</v>
      </c>
      <c r="AM10" s="31" t="s">
        <v>234</v>
      </c>
      <c r="AN10" s="11" t="s">
        <v>277</v>
      </c>
      <c r="AP10" s="39" t="s">
        <v>378</v>
      </c>
    </row>
    <row r="11" spans="1:42" x14ac:dyDescent="0.2">
      <c r="A11" s="51" t="s">
        <v>119</v>
      </c>
      <c r="B11" s="51" t="s">
        <v>121</v>
      </c>
      <c r="C11" s="51" t="s">
        <v>121</v>
      </c>
      <c r="D11" s="51" t="s">
        <v>215</v>
      </c>
      <c r="E11" s="51" t="str">
        <f>IF(LEFT(F1,6)="Hawaii","Service",IF(OR(LEFT(F1,14)="North Carolina",LEFT(F1,22)="New Hampshire Facility"),"","Expenses"))</f>
        <v>Expenses</v>
      </c>
      <c r="F11" s="51" t="s">
        <v>217</v>
      </c>
      <c r="G11" s="51" t="s">
        <v>217</v>
      </c>
      <c r="H11" s="51" t="s">
        <v>316</v>
      </c>
      <c r="I11" s="51" t="str">
        <f>IF(LEFT(F1,23)="North Carolina Facility","to Recoupment","of")</f>
        <v>of</v>
      </c>
      <c r="J11" s="51" t="s">
        <v>214</v>
      </c>
      <c r="K11" s="51" t="s">
        <v>220</v>
      </c>
      <c r="L11" s="51" t="s">
        <v>113</v>
      </c>
      <c r="M11" s="51" t="s">
        <v>218</v>
      </c>
      <c r="N11" s="51" t="s">
        <v>318</v>
      </c>
      <c r="R11" t="s">
        <v>14</v>
      </c>
      <c r="S11" t="s">
        <v>267</v>
      </c>
      <c r="T11" t="s">
        <v>356</v>
      </c>
      <c r="U11" s="21">
        <v>26332.16</v>
      </c>
      <c r="V11" s="21" t="s">
        <v>368</v>
      </c>
      <c r="W11" t="str">
        <f>VLOOKUP(Table_Query_from_Actuarial___Production[[#This Row],[Kor1]],$AI$3:$AK$105,3,FALSE)</f>
        <v>Claims Expense</v>
      </c>
      <c r="X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"/>
      <c r="Z11" t="s">
        <v>13</v>
      </c>
      <c r="AA11" t="s">
        <v>224</v>
      </c>
      <c r="AB11" t="s">
        <v>443</v>
      </c>
      <c r="AC11" s="21">
        <v>1377.4</v>
      </c>
      <c r="AD11" s="21" t="s">
        <v>425</v>
      </c>
      <c r="AE11" t="str">
        <f>VLOOKUP(Table_Query_from_Actuarial___Production3[[#This Row],[Kor1]],$AI$3:$AK$105,3,FALSE)</f>
        <v>Operating Service Fees</v>
      </c>
      <c r="AF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  <c r="AI11" s="4" t="s">
        <v>12</v>
      </c>
      <c r="AJ11" s="5" t="s">
        <v>54</v>
      </c>
      <c r="AK11" s="6" t="s">
        <v>54</v>
      </c>
      <c r="AM11" s="31" t="s">
        <v>225</v>
      </c>
      <c r="AN11" s="11" t="s">
        <v>278</v>
      </c>
      <c r="AP11" s="39" t="s">
        <v>382</v>
      </c>
    </row>
    <row r="12" spans="1:42" x14ac:dyDescent="0.2">
      <c r="A12" s="52" t="s">
        <v>120</v>
      </c>
      <c r="B12" s="52" t="s">
        <v>122</v>
      </c>
      <c r="C12" s="52" t="s">
        <v>123</v>
      </c>
      <c r="D12" s="52" t="s">
        <v>59</v>
      </c>
      <c r="E12" s="52" t="str">
        <f>IF(LEFT(F1,6)="Hawaii","Fees",IF(OR(LEFT(F1,14)="North Carolina",LEFT(F1,22)="New Hampshire Facility"),"N/A","Incurred"))</f>
        <v>Incurred</v>
      </c>
      <c r="F12" s="52" t="s">
        <v>216</v>
      </c>
      <c r="G12" s="52" t="s">
        <v>219</v>
      </c>
      <c r="H12" s="52" t="s">
        <v>317</v>
      </c>
      <c r="I12" s="52" t="str">
        <f>IF(LEFT(F1,23)="North Carolina Facility","and Subsidy","Operations")</f>
        <v>Operations</v>
      </c>
      <c r="J12" s="52" t="s">
        <v>213</v>
      </c>
      <c r="K12" s="52" t="s">
        <v>214</v>
      </c>
      <c r="L12" s="52" t="s">
        <v>221</v>
      </c>
      <c r="M12" s="52" t="s">
        <v>222</v>
      </c>
      <c r="N12" s="52" t="s">
        <v>319</v>
      </c>
      <c r="O12" s="21"/>
      <c r="P12" s="21"/>
      <c r="R12" t="s">
        <v>46</v>
      </c>
      <c r="S12" t="s">
        <v>354</v>
      </c>
      <c r="T12" t="s">
        <v>8</v>
      </c>
      <c r="U12" s="21">
        <v>21579021.760000002</v>
      </c>
      <c r="V12" s="21" t="s">
        <v>369</v>
      </c>
      <c r="W12" t="str">
        <f>VLOOKUP(Table_Query_from_Actuarial___Production[[#This Row],[Kor1]],$AI$3:$AK$105,3,FALSE)</f>
        <v>Investment Income</v>
      </c>
      <c r="X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2"/>
      <c r="Z12" t="s">
        <v>38</v>
      </c>
      <c r="AA12" t="s">
        <v>224</v>
      </c>
      <c r="AB12" t="s">
        <v>6</v>
      </c>
      <c r="AC12" s="21">
        <v>127595.58</v>
      </c>
      <c r="AD12" s="21" t="s">
        <v>368</v>
      </c>
      <c r="AE12" t="str">
        <f>VLOOKUP(Table_Query_from_Actuarial___Production3[[#This Row],[Kor1]],$AI$3:$AK$105,3,FALSE)</f>
        <v>Misc. Income</v>
      </c>
      <c r="AF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  <c r="AI12" s="4" t="s">
        <v>13</v>
      </c>
      <c r="AJ12" s="5" t="s">
        <v>55</v>
      </c>
      <c r="AK12" s="6" t="s">
        <v>55</v>
      </c>
      <c r="AM12" s="31" t="s">
        <v>235</v>
      </c>
      <c r="AN12" s="11" t="s">
        <v>279</v>
      </c>
      <c r="AP12" s="39" t="s">
        <v>383</v>
      </c>
    </row>
    <row r="13" spans="1:42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21"/>
      <c r="P13" s="21"/>
      <c r="R13" t="s">
        <v>20</v>
      </c>
      <c r="S13" t="s">
        <v>255</v>
      </c>
      <c r="T13" t="s">
        <v>8</v>
      </c>
      <c r="U13" s="21">
        <v>57.74</v>
      </c>
      <c r="V13" s="21" t="s">
        <v>368</v>
      </c>
      <c r="W13" t="str">
        <f>VLOOKUP(Table_Query_from_Actuarial___Production[[#This Row],[Kor1]],$AI$3:$AK$105,3,FALSE)</f>
        <v>Misc. Expense</v>
      </c>
      <c r="X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"/>
      <c r="Z13" t="s">
        <v>14</v>
      </c>
      <c r="AA13" t="s">
        <v>267</v>
      </c>
      <c r="AB13" t="s">
        <v>356</v>
      </c>
      <c r="AC13" s="21">
        <v>26332.16</v>
      </c>
      <c r="AD13" s="21" t="s">
        <v>368</v>
      </c>
      <c r="AE13" t="str">
        <f>VLOOKUP(Table_Query_from_Actuarial___Production3[[#This Row],[Kor1]],$AI$3:$AK$105,3,FALSE)</f>
        <v>Claims Expense</v>
      </c>
      <c r="AF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3" s="4" t="s">
        <v>14</v>
      </c>
      <c r="AJ13" s="5" t="s">
        <v>56</v>
      </c>
      <c r="AK13" s="6" t="s">
        <v>56</v>
      </c>
      <c r="AM13" s="31" t="s">
        <v>236</v>
      </c>
      <c r="AN13" s="11" t="s">
        <v>280</v>
      </c>
      <c r="AP13" s="39" t="s">
        <v>384</v>
      </c>
    </row>
    <row r="14" spans="1:42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21"/>
      <c r="P14" s="21"/>
      <c r="R14" t="s">
        <v>33</v>
      </c>
      <c r="S14" t="s">
        <v>246</v>
      </c>
      <c r="T14" t="s">
        <v>441</v>
      </c>
      <c r="U14" s="21">
        <v>14960.89</v>
      </c>
      <c r="V14" s="21" t="s">
        <v>368</v>
      </c>
      <c r="W14" t="str">
        <f>VLOOKUP(Table_Query_from_Actuarial___Production[[#This Row],[Kor1]],$AI$3:$AK$105,3,FALSE)</f>
        <v>Misc. Expense</v>
      </c>
      <c r="X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"/>
      <c r="Z14" t="s">
        <v>46</v>
      </c>
      <c r="AA14" t="s">
        <v>354</v>
      </c>
      <c r="AB14" t="s">
        <v>8</v>
      </c>
      <c r="AC14" s="21">
        <v>21579021.760000002</v>
      </c>
      <c r="AD14" s="21" t="s">
        <v>369</v>
      </c>
      <c r="AE14" t="str">
        <f>VLOOKUP(Table_Query_from_Actuarial___Production3[[#This Row],[Kor1]],$AI$3:$AK$105,3,FALSE)</f>
        <v>Investment Income</v>
      </c>
      <c r="AF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  <c r="AI14" s="4" t="s">
        <v>322</v>
      </c>
      <c r="AJ14" s="5" t="s">
        <v>109</v>
      </c>
      <c r="AK14" s="6" t="s">
        <v>109</v>
      </c>
      <c r="AM14" s="31" t="s">
        <v>237</v>
      </c>
      <c r="AN14" s="11" t="s">
        <v>281</v>
      </c>
      <c r="AP14" s="39" t="s">
        <v>385</v>
      </c>
    </row>
    <row r="15" spans="1:42" x14ac:dyDescent="0.2">
      <c r="A15" s="59" t="str">
        <f>"Experience by Active Policy Year Through "&amp;IF(RIGHT('Operating Results'!U1,1)="4","4th Calendar Quarter ",IF(RIGHT('Operating Results'!U1,1)="3","3rd Calendar Quarter ",IF(RIGHT('Operating Results'!U1,1)="2","2nd Calendar Quarter ","1st Calendar Quarter ")))&amp;LEFT('Operating Results'!U1,4)</f>
        <v>Experience by Active Policy Year Through 2nd Calendar Quarter 2024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21"/>
      <c r="P15" s="21"/>
      <c r="R15" t="s">
        <v>15</v>
      </c>
      <c r="S15" t="s">
        <v>352</v>
      </c>
      <c r="T15" t="s">
        <v>443</v>
      </c>
      <c r="U15" s="21">
        <v>7569.84</v>
      </c>
      <c r="V15" s="21" t="s">
        <v>369</v>
      </c>
      <c r="W15" t="str">
        <f>VLOOKUP(Table_Query_from_Actuarial___Production[[#This Row],[Kor1]],$AI$3:$AK$105,3,FALSE)</f>
        <v>Unearned Premiums</v>
      </c>
      <c r="X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5"/>
      <c r="Z15" t="s">
        <v>20</v>
      </c>
      <c r="AA15" t="s">
        <v>255</v>
      </c>
      <c r="AB15" t="s">
        <v>8</v>
      </c>
      <c r="AC15" s="21">
        <v>57.74</v>
      </c>
      <c r="AD15" s="21" t="s">
        <v>368</v>
      </c>
      <c r="AE15" t="str">
        <f>VLOOKUP(Table_Query_from_Actuarial___Production3[[#This Row],[Kor1]],$AI$3:$AK$105,3,FALSE)</f>
        <v>Misc. Expense</v>
      </c>
      <c r="AF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5" s="4" t="s">
        <v>134</v>
      </c>
      <c r="AJ15" s="5" t="s">
        <v>135</v>
      </c>
      <c r="AK15" s="6" t="s">
        <v>135</v>
      </c>
      <c r="AM15" s="31" t="s">
        <v>238</v>
      </c>
      <c r="AN15" s="11" t="s">
        <v>282</v>
      </c>
      <c r="AP15" s="39" t="s">
        <v>380</v>
      </c>
    </row>
    <row r="16" spans="1:42" x14ac:dyDescent="0.2">
      <c r="O16" s="21"/>
      <c r="P16" s="21"/>
      <c r="R16" t="s">
        <v>23</v>
      </c>
      <c r="S16" t="s">
        <v>259</v>
      </c>
      <c r="T16" t="s">
        <v>441</v>
      </c>
      <c r="U16" s="21">
        <v>2980.79</v>
      </c>
      <c r="V16" s="21" t="s">
        <v>368</v>
      </c>
      <c r="W16" t="str">
        <f>VLOOKUP(Table_Query_from_Actuarial___Production[[#This Row],[Kor1]],$AI$3:$AK$105,3,FALSE)</f>
        <v>Misc. Expense</v>
      </c>
      <c r="X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"/>
      <c r="Z16" t="s">
        <v>33</v>
      </c>
      <c r="AA16" t="s">
        <v>246</v>
      </c>
      <c r="AB16" t="s">
        <v>441</v>
      </c>
      <c r="AC16" s="21">
        <v>14960.89</v>
      </c>
      <c r="AD16" s="21" t="s">
        <v>368</v>
      </c>
      <c r="AE16" t="str">
        <f>VLOOKUP(Table_Query_from_Actuarial___Production3[[#This Row],[Kor1]],$AI$3:$AK$105,3,FALSE)</f>
        <v>Misc. Expense</v>
      </c>
      <c r="AF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6" s="4" t="s">
        <v>136</v>
      </c>
      <c r="AJ16" s="8" t="s">
        <v>137</v>
      </c>
      <c r="AK16" s="7" t="s">
        <v>137</v>
      </c>
      <c r="AM16" s="31" t="s">
        <v>239</v>
      </c>
      <c r="AN16" s="11" t="s">
        <v>283</v>
      </c>
      <c r="AP16" s="39" t="s">
        <v>379</v>
      </c>
    </row>
    <row r="17" spans="1:42" x14ac:dyDescent="0.2">
      <c r="A17" s="27" t="str">
        <f>IF(RIGHT(U1,1)="4","",TEXT(VALUE(A18-1),"0000"))</f>
        <v>2013</v>
      </c>
      <c r="B17" s="25">
        <f t="array" ref="B17">IF(LEFT(F1,6)="Alaska",B34,IF(A17="","",SUM(IF(Table_Query_from_Actuarial___Production[EffectiveYear]='Operating Results'!$A17,IF(Table_Query_from_Actuarial___Production[StateName]=$F$1,IF(Table_Query_from_Actuarial___Production[RecordType]="Premiums Written",Table_Query_from_Actuarial___Production[SumOfAmount],0),0),0))))</f>
        <v>47128433</v>
      </c>
      <c r="C17" s="25">
        <f t="array" ref="C17">IF(LEFT(F1,6)="Alaska",C34,IF(A17="","",SUM(IF(Table_Query_from_Actuarial___Production[EffectiveYear]='Operating Results'!$A17,IF(Table_Query_from_Actuarial___Production[StateName]=$F$1,IF(Table_Query_from_Actuarial___Production[RecordType]="Premiums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Results'!$A17,IF(Table_Query_from_Actuarial___Production[StateName]=$F$1,IF(Table_Query_from_Actuarial___Production[RecordType]="EBUB",Table_Query_from_Actuarial___Production[SumOfAmount],0),0),0))-SUM(IF(Table_Query_from_Actuarial___Production[EffectiveYear]='Operating Results'!$A17,IF(Table_Query_from_Actuarial___Production[StateName]=$F$1,IF(Table_Query_from_Actuarial___Production[RecordType]="Unearned Premiums",Table_Query_from_Actuarial___Production[SumOfAmount],0),0),0))))</f>
        <v>47128433</v>
      </c>
      <c r="D17" s="25">
        <f t="array" ref="D17">IF(LEFT(F1,6)="Alaska",D34,IF(A17="","",'Loss &amp; Expense Detail'!B15+'Loss &amp; Expense Detail'!C15+'Loss &amp; Expense Detail'!D15))</f>
        <v>44842460.300000019</v>
      </c>
      <c r="E17" s="25">
        <f t="array" ref="E17">IF(LEFT(F1,6)="Alaska",E34,IF(A17="","",IF(LEFT($F$1,14)="North Carolina",0,SUM(IF(Table_Query_from_Actuarial___Production[EffectiveYear]='Operating Results'!$A17,IF(Table_Query_from_Actuarial___Production[StateName]=$F$1,IF(Table_Query_from_Actuarial___Production[RecordType]="ALAE Paid",Table_Query_from_Actuarial___Production[SumOfAmount],0),0),0))+SUM(IF(Table_Query_from_Actuarial___Production[EffectiveYear]='Operating Results'!$A17,IF(Table_Query_from_Actuarial___Production[StateName]=$F$1,IF(Table_Query_from_Actuarial___Production[RecordType]="ALAE Reserve",Table_Query_from_Actuarial___Production[SumOfAmount],0),0),0))+SUM(IF(Table_Query_from_Actuarial___Production[EffectiveYear]='Operating Results'!$A17,IF(Table_Query_from_Actuarial___Production[StateName]=$F$1,IF(Table_Query_from_Actuarial___Production[RecordType]="Claims Expense",Table_Query_from_Actuarial___Production[SumOfAmount],0),0),0)))))</f>
        <v>8542499.2799999975</v>
      </c>
      <c r="F17" s="25">
        <f t="array" ref="F17">IF(LEFT(F1,6)="Alaska",F34,IF(A17="","",SUM(IF(Table_Query_from_Actuarial___Production[EffectiveYear]='Operating Results'!$A17,IF(Table_Query_from_Actuarial___Production[StateName]=$F$1,IF(Table_Query_from_Actuarial___Production[RecordType]="Operating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Results'!$A17,IF(Table_Query_from_Actuarial___Production[StateName]=$F$1,IF(Table_Query_from_Actuarial___Production[RecordType]="Premium Tax",Table_Query_from_Actuarial___Production[SumOfAmount],0),0),0))+SUM(IF(Table_Query_from_Actuarial___Production[EffectiveYear]='Operating Results'!$A17,IF(Table_Query_from_Actuarial___Production[StateName]=$F$1,IF(Table_Query_from_Actuarial___Production[RecordType]="Commissions",Table_Query_from_Actuarial___Production[SumOfAmount],0),0),0))+SUM(IF(Table_Query_from_Actuarial___Production[EffectiveYear]='Operating Results'!$A17,IF(Table_Query_from_Actuarial___Production[StateName]=$F$1,IF(Table_Query_from_Actuarial___Production[RecordType]="PDR",Table_Query_from_Actuarial___Production[SumOfAmount],0),0),0))+SUM(IF(Table_Query_from_Actuarial___Production[EffectiveYear]='Operating Results'!$A17,IF(Table_Query_from_Actuarial___Production[StateName]=$F$1,IF(Table_Query_from_Actuarial___Production[RecordType]="CPAI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Results'!$A17,IF(Table_Query_from_Actuarial___Production[StateName]=$F$1,IF(Table_Query_from_Actuarial___Production[RecordType]="Claims Expense",Table_Query_from_Actuarial___Production[SumOfAmount],0),0),0)),0)))</f>
        <v>13741746.309999999</v>
      </c>
      <c r="G17" s="26">
        <f>IF(A17="","",C17-D17-E17-F17)</f>
        <v>-19998272.890000015</v>
      </c>
      <c r="H17" s="25">
        <f t="array" ref="H17">IF(LEFT(F1,6)="Alaska",H34,IF(A17="","",SUM(IF(Table_Query_from_Actuarial___Production[EffectiveYear]='Operating Results'!$A17,IF(Table_Query_from_Actuarial___Production[StateName]=$F$1,IF(Table_Query_from_Actuarial___Production[RecordType]="Misc. Expense",Table_Query_from_Actuarial___Production[SumOfAmount],0),0),0))+SUM(IF(Table_Query_from_Actuarial___Production[EffectiveYear]='Operating Results'!$A17,IF(Table_Query_from_Actuarial___Production[StateName]=$F$1,IF(Table_Query_from_Actuarial___Production[RecordType]="Charge-offs",Table_Query_from_Actuarial___Production[SumOfAmount],0),0),0))-SUM(IF(Table_Query_from_Actuarial___Production[EffectiveYear]='Operating Results'!$A17,IF(Table_Query_from_Actuarial___Production[StateName]=$F$1,IF(Table_Query_from_Actuarial___Production[RecordType]="Misc. Income",Table_Query_from_Actuarial___Production[SumOfAmount],0),0),0))-SUM(IF(Table_Query_from_Actuarial___Production[EffectiveYear]='Operating Results'!$A17,IF(Table_Query_from_Actuarial___Production[StateName]=$F$1,IF(Table_Query_from_Actuarial___Production[RecordType]="Investment Income",Table_Query_from_Actuarial___Production[SumOfAmount],0),0),0))))</f>
        <v>10325925.440000001</v>
      </c>
      <c r="I17" s="26">
        <f>IF(A17="","",G17-H17)</f>
        <v>-30324198.330000017</v>
      </c>
      <c r="J17" s="53">
        <f>IFERROR(IF(A17="","",ROUND(D17/C17,4)),"N/A")</f>
        <v>0.95150000000000001</v>
      </c>
      <c r="K17" s="53">
        <f>IFERROR(IF(A17="","",ROUND(E17/C17,4)),"N/A")</f>
        <v>0.18129999999999999</v>
      </c>
      <c r="L17" s="53">
        <f>IFERROR(IF(A17="","",ROUND(F17/B17,4)),"N/A")</f>
        <v>0.29160000000000003</v>
      </c>
      <c r="M17" s="53">
        <f>IFERROR(IF(A17="","",J17+K17+L17),"N/A")</f>
        <v>1.4244000000000001</v>
      </c>
      <c r="N17" s="53">
        <f>IFERROR(IF(A17="","",ROUND(M17+(H17/B17),4)),"N/A")</f>
        <v>1.6435</v>
      </c>
      <c r="O17" s="26"/>
      <c r="P17" s="21"/>
      <c r="R17" t="s">
        <v>14</v>
      </c>
      <c r="S17" t="s">
        <v>243</v>
      </c>
      <c r="T17" t="s">
        <v>442</v>
      </c>
      <c r="U17" s="21">
        <v>48526.32</v>
      </c>
      <c r="V17" s="21" t="s">
        <v>368</v>
      </c>
      <c r="W17" t="str">
        <f>VLOOKUP(Table_Query_from_Actuarial___Production[[#This Row],[Kor1]],$AI$3:$AK$105,3,FALSE)</f>
        <v>Claims Expense</v>
      </c>
      <c r="X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"/>
      <c r="Z17" t="s">
        <v>15</v>
      </c>
      <c r="AA17" t="s">
        <v>352</v>
      </c>
      <c r="AB17" t="s">
        <v>443</v>
      </c>
      <c r="AC17" s="21">
        <v>34999.660000000003</v>
      </c>
      <c r="AD17" s="21" t="s">
        <v>369</v>
      </c>
      <c r="AE17" t="str">
        <f>VLOOKUP(Table_Query_from_Actuarial___Production3[[#This Row],[Kor1]],$AI$3:$AK$105,3,FALSE)</f>
        <v>Unearned Premiums</v>
      </c>
      <c r="AF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  <c r="AI17" s="4" t="s">
        <v>138</v>
      </c>
      <c r="AJ17" s="8" t="s">
        <v>139</v>
      </c>
      <c r="AK17" s="7" t="s">
        <v>139</v>
      </c>
      <c r="AM17" s="31" t="s">
        <v>240</v>
      </c>
      <c r="AN17" s="11" t="s">
        <v>284</v>
      </c>
      <c r="AP17" s="39" t="s">
        <v>381</v>
      </c>
    </row>
    <row r="18" spans="1:42" x14ac:dyDescent="0.2">
      <c r="A18" s="27" t="str">
        <f t="shared" ref="A18:A27" si="0">TEXT(VALUE(A19-1),"0000")</f>
        <v>2014</v>
      </c>
      <c r="B18" s="25">
        <f t="array" ref="B18">SUM(IF(Table_Query_from_Actuarial___Production[EffectiveYear]='Operating Results'!$A18,IF(Table_Query_from_Actuarial___Production[StateName]=$F$1,IF(Table_Query_from_Actuarial___Production[RecordType]="Premiums Written",Table_Query_from_Actuarial___Production[SumOfAmount],0),0),0))</f>
        <v>60450365</v>
      </c>
      <c r="C18" s="25">
        <f t="array" ref="C18">SUM(IF(Table_Query_from_Actuarial___Production[EffectiveYear]='Operating Results'!$A18,IF(Table_Query_from_Actuarial___Production[StateName]=$F$1,IF(Table_Query_from_Actuarial___Production[RecordType]="Premiums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Results'!$A18,IF(Table_Query_from_Actuarial___Production[StateName]=$F$1,IF(Table_Query_from_Actuarial___Production[RecordType]="EBUB",Table_Query_from_Actuarial___Production[SumOfAmount],0),0),0))-SUM(IF(Table_Query_from_Actuarial___Production[EffectiveYear]='Operating Results'!$A18,IF(Table_Query_from_Actuarial___Production[StateName]=$F$1,IF(Table_Query_from_Actuarial___Production[RecordType]="Unearned Premiums",Table_Query_from_Actuarial___Production[SumOfAmount],0),0),0))</f>
        <v>60450365</v>
      </c>
      <c r="D18" s="25">
        <f>'Loss &amp; Expense Detail'!B16+'Loss &amp; Expense Detail'!C16+'Loss &amp; Expense Detail'!D16</f>
        <v>64039704.530000001</v>
      </c>
      <c r="E18" s="25">
        <f t="array" ref="E18">IF(LEFT($F$1,14)="North Carolina",0,SUM(IF(Table_Query_from_Actuarial___Production[EffectiveYear]='Operating Results'!$A18,IF(Table_Query_from_Actuarial___Production[StateName]=$F$1,IF(Table_Query_from_Actuarial___Production[RecordType]="ALAE Paid",Table_Query_from_Actuarial___Production[SumOfAmount],0),0),0))+SUM(IF(Table_Query_from_Actuarial___Production[EffectiveYear]='Operating Results'!$A18,IF(Table_Query_from_Actuarial___Production[StateName]=$F$1,IF(Table_Query_from_Actuarial___Production[RecordType]="ALAE Reserve",Table_Query_from_Actuarial___Production[SumOfAmount],0),0),0))+SUM(IF(Table_Query_from_Actuarial___Production[EffectiveYear]='Operating Results'!$A18,IF(Table_Query_from_Actuarial___Production[StateName]=$F$1,IF(Table_Query_from_Actuarial___Production[RecordType]="Claims Expense",Table_Query_from_Actuarial___Production[SumOfAmount],0),0),0)))</f>
        <v>10656977.539999999</v>
      </c>
      <c r="F18" s="25">
        <f t="array" ref="F18">SUM(IF(Table_Query_from_Actuarial___Production[EffectiveYear]='Operating Results'!$A18,IF(Table_Query_from_Actuarial___Production[StateName]=$F$1,IF(Table_Query_from_Actuarial___Production[RecordType]="Operating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Results'!$A18,IF(Table_Query_from_Actuarial___Production[StateName]=$F$1,IF(Table_Query_from_Actuarial___Production[RecordType]="Premium Tax",Table_Query_from_Actuarial___Production[SumOfAmount],0),0),0))+SUM(IF(Table_Query_from_Actuarial___Production[EffectiveYear]='Operating Results'!$A18,IF(Table_Query_from_Actuarial___Production[StateName]=$F$1,IF(Table_Query_from_Actuarial___Production[RecordType]="Commissions",Table_Query_from_Actuarial___Production[SumOfAmount],0),0),0))+SUM(IF(Table_Query_from_Actuarial___Production[EffectiveYear]='Operating Results'!$A18,IF(Table_Query_from_Actuarial___Production[StateName]=$F$1,IF(Table_Query_from_Actuarial___Production[RecordType]="PDR",Table_Query_from_Actuarial___Production[SumOfAmount],0),0),0))+SUM(IF(Table_Query_from_Actuarial___Production[EffectiveYear]='Operating Results'!$A18,IF(Table_Query_from_Actuarial___Production[StateName]=$F$1,IF(Table_Query_from_Actuarial___Production[RecordType]="CPAI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Results'!$A18,IF(Table_Query_from_Actuarial___Production[StateName]=$F$1,IF(Table_Query_from_Actuarial___Production[RecordType]="Claims Expense",Table_Query_from_Actuarial___Production[SumOfAmount],0),0),0)),0)</f>
        <v>17915291.050000001</v>
      </c>
      <c r="G18" s="26">
        <f t="shared" ref="G18:G28" si="1">C18-D18-E18-F18</f>
        <v>-32161608.120000001</v>
      </c>
      <c r="H18" s="25">
        <f t="array" ref="H18">SUM(IF(Table_Query_from_Actuarial___Production[EffectiveYear]='Operating Results'!$A18,IF(Table_Query_from_Actuarial___Production[StateName]=$F$1,IF(Table_Query_from_Actuarial___Production[RecordType]="Misc. Expense",Table_Query_from_Actuarial___Production[SumOfAmount],0),0),0))+SUM(IF(Table_Query_from_Actuarial___Production[EffectiveYear]='Operating Results'!$A18,IF(Table_Query_from_Actuarial___Production[StateName]=$F$1,IF(Table_Query_from_Actuarial___Production[RecordType]="Charge-offs",Table_Query_from_Actuarial___Production[SumOfAmount],0),0),0))-SUM(IF(Table_Query_from_Actuarial___Production[EffectiveYear]='Operating Results'!$A18,IF(Table_Query_from_Actuarial___Production[StateName]=$F$1,IF(Table_Query_from_Actuarial___Production[RecordType]="Misc. Income",Table_Query_from_Actuarial___Production[SumOfAmount],0),0),0))-SUM(IF(Table_Query_from_Actuarial___Production[EffectiveYear]='Operating Results'!$A18,IF(Table_Query_from_Actuarial___Production[StateName]=$F$1,IF(Table_Query_from_Actuarial___Production[RecordType]="Investment Income",Table_Query_from_Actuarial___Production[SumOfAmount],0),0),0))</f>
        <v>-3099506.949999996</v>
      </c>
      <c r="I18" s="26">
        <f t="shared" ref="I18:I28" si="2">G18-H18</f>
        <v>-29062101.170000006</v>
      </c>
      <c r="J18" s="53">
        <f t="shared" ref="J18:J28" si="3">IFERROR(IF(A18="","",ROUND(D18/C18,4)),"N/A")</f>
        <v>1.0593999999999999</v>
      </c>
      <c r="K18" s="53">
        <f t="shared" ref="K18:K28" si="4">IFERROR(IF(A18="","",ROUND(E18/C18,4)),"N/A")</f>
        <v>0.17630000000000001</v>
      </c>
      <c r="L18" s="53">
        <f t="shared" ref="L18:L28" si="5">IFERROR(IF(A18="","",ROUND(F18/B18,4)),"N/A")</f>
        <v>0.2964</v>
      </c>
      <c r="M18" s="54">
        <f t="shared" ref="M18:M28" si="6">IFERROR(J18+K18+L18,"N/A")</f>
        <v>1.5321</v>
      </c>
      <c r="N18" s="53">
        <f t="shared" ref="N18:N29" si="7">IFERROR(IF(A18="","",ROUND(M18+(H18/B18),4)),"N/A")</f>
        <v>1.4807999999999999</v>
      </c>
      <c r="O18" s="26"/>
      <c r="P18" s="21"/>
      <c r="R18" t="s">
        <v>444</v>
      </c>
      <c r="S18" t="s">
        <v>257</v>
      </c>
      <c r="T18" t="s">
        <v>443</v>
      </c>
      <c r="U18" s="21">
        <v>23464.19</v>
      </c>
      <c r="V18" s="21" t="s">
        <v>368</v>
      </c>
      <c r="W18" t="str">
        <f>VLOOKUP(Table_Query_from_Actuarial___Production[[#This Row],[Kor1]],$AI$3:$AK$105,3,FALSE)</f>
        <v>Misc. Expense</v>
      </c>
      <c r="X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"/>
      <c r="Z18" t="s">
        <v>23</v>
      </c>
      <c r="AA18" t="s">
        <v>259</v>
      </c>
      <c r="AB18" t="s">
        <v>441</v>
      </c>
      <c r="AC18" s="21">
        <v>2980.79</v>
      </c>
      <c r="AD18" s="21" t="s">
        <v>368</v>
      </c>
      <c r="AE18" t="str">
        <f>VLOOKUP(Table_Query_from_Actuarial___Production3[[#This Row],[Kor1]],$AI$3:$AK$105,3,FALSE)</f>
        <v>Misc. Expense</v>
      </c>
      <c r="AF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8" s="4" t="s">
        <v>140</v>
      </c>
      <c r="AJ18" s="5" t="s">
        <v>141</v>
      </c>
      <c r="AK18" s="6" t="s">
        <v>141</v>
      </c>
      <c r="AM18" s="31" t="s">
        <v>241</v>
      </c>
      <c r="AN18" s="11" t="s">
        <v>285</v>
      </c>
      <c r="AP18" s="39" t="s">
        <v>386</v>
      </c>
    </row>
    <row r="19" spans="1:42" x14ac:dyDescent="0.2">
      <c r="A19" s="27" t="str">
        <f t="shared" si="0"/>
        <v>2015</v>
      </c>
      <c r="B19" s="25">
        <f t="array" ref="B19">SUM(IF(Table_Query_from_Actuarial___Production[EffectiveYear]='Operating Results'!$A19,IF(Table_Query_from_Actuarial___Production[StateName]=$F$1,IF(Table_Query_from_Actuarial___Production[RecordType]="Premiums Written",Table_Query_from_Actuarial___Production[SumOfAmount],0),0),0))</f>
        <v>85317449</v>
      </c>
      <c r="C19" s="25">
        <f t="array" ref="C19">SUM(IF(Table_Query_from_Actuarial___Production[EffectiveYear]='Operating Results'!$A19,IF(Table_Query_from_Actuarial___Production[StateName]=$F$1,IF(Table_Query_from_Actuarial___Production[RecordType]="Premiums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Results'!$A19,IF(Table_Query_from_Actuarial___Production[StateName]=$F$1,IF(Table_Query_from_Actuarial___Production[RecordType]="EBUB",Table_Query_from_Actuarial___Production[SumOfAmount],0),0),0))-SUM(IF(Table_Query_from_Actuarial___Production[EffectiveYear]='Operating Results'!$A19,IF(Table_Query_from_Actuarial___Production[StateName]=$F$1,IF(Table_Query_from_Actuarial___Production[RecordType]="Unearned Premiums",Table_Query_from_Actuarial___Production[SumOfAmount],0),0),0))</f>
        <v>85317449</v>
      </c>
      <c r="D19" s="25">
        <f>'Loss &amp; Expense Detail'!B17+'Loss &amp; Expense Detail'!C17+'Loss &amp; Expense Detail'!D17</f>
        <v>86899995.510000005</v>
      </c>
      <c r="E19" s="25">
        <f t="array" ref="E19">IF(LEFT($F$1,14)="North Carolina",0,SUM(IF(Table_Query_from_Actuarial___Production[EffectiveYear]='Operating Results'!$A19,IF(Table_Query_from_Actuarial___Production[StateName]=$F$1,IF(Table_Query_from_Actuarial___Production[RecordType]="ALAE Paid",Table_Query_from_Actuarial___Production[SumOfAmount],0),0),0))+SUM(IF(Table_Query_from_Actuarial___Production[EffectiveYear]='Operating Results'!$A19,IF(Table_Query_from_Actuarial___Production[StateName]=$F$1,IF(Table_Query_from_Actuarial___Production[RecordType]="ALAE Reserve",Table_Query_from_Actuarial___Production[SumOfAmount],0),0),0))+SUM(IF(Table_Query_from_Actuarial___Production[EffectiveYear]='Operating Results'!$A19,IF(Table_Query_from_Actuarial___Production[StateName]=$F$1,IF(Table_Query_from_Actuarial___Production[RecordType]="Claims Expense",Table_Query_from_Actuarial___Production[SumOfAmount],0),0),0)))</f>
        <v>14899202.289999999</v>
      </c>
      <c r="F19" s="25">
        <f t="array" ref="F19">SUM(IF(Table_Query_from_Actuarial___Production[EffectiveYear]='Operating Results'!$A19,IF(Table_Query_from_Actuarial___Production[StateName]=$F$1,IF(Table_Query_from_Actuarial___Production[RecordType]="Operating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Results'!$A19,IF(Table_Query_from_Actuarial___Production[StateName]=$F$1,IF(Table_Query_from_Actuarial___Production[RecordType]="Premium Tax",Table_Query_from_Actuarial___Production[SumOfAmount],0),0),0))+SUM(IF(Table_Query_from_Actuarial___Production[EffectiveYear]='Operating Results'!$A19,IF(Table_Query_from_Actuarial___Production[StateName]=$F$1,IF(Table_Query_from_Actuarial___Production[RecordType]="Commissions",Table_Query_from_Actuarial___Production[SumOfAmount],0),0),0))+SUM(IF(Table_Query_from_Actuarial___Production[EffectiveYear]='Operating Results'!$A19,IF(Table_Query_from_Actuarial___Production[StateName]=$F$1,IF(Table_Query_from_Actuarial___Production[RecordType]="PDR",Table_Query_from_Actuarial___Production[SumOfAmount],0),0),0))+SUM(IF(Table_Query_from_Actuarial___Production[EffectiveYear]='Operating Results'!$A19,IF(Table_Query_from_Actuarial___Production[StateName]=$F$1,IF(Table_Query_from_Actuarial___Production[RecordType]="CPAI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Results'!$A19,IF(Table_Query_from_Actuarial___Production[StateName]=$F$1,IF(Table_Query_from_Actuarial___Production[RecordType]="Claims Expense",Table_Query_from_Actuarial___Production[SumOfAmount],0),0),0)),0)</f>
        <v>24739892.919999998</v>
      </c>
      <c r="G19" s="26">
        <f t="shared" si="1"/>
        <v>-41221641.719999999</v>
      </c>
      <c r="H19" s="25">
        <f t="array" ref="H19">SUM(IF(Table_Query_from_Actuarial___Production[EffectiveYear]='Operating Results'!$A19,IF(Table_Query_from_Actuarial___Production[StateName]=$F$1,IF(Table_Query_from_Actuarial___Production[RecordType]="Misc. Expense",Table_Query_from_Actuarial___Production[SumOfAmount],0),0),0))+SUM(IF(Table_Query_from_Actuarial___Production[EffectiveYear]='Operating Results'!$A19,IF(Table_Query_from_Actuarial___Production[StateName]=$F$1,IF(Table_Query_from_Actuarial___Production[RecordType]="Charge-offs",Table_Query_from_Actuarial___Production[SumOfAmount],0),0),0))-SUM(IF(Table_Query_from_Actuarial___Production[EffectiveYear]='Operating Results'!$A19,IF(Table_Query_from_Actuarial___Production[StateName]=$F$1,IF(Table_Query_from_Actuarial___Production[RecordType]="Misc. Income",Table_Query_from_Actuarial___Production[SumOfAmount],0),0),0))-SUM(IF(Table_Query_from_Actuarial___Production[EffectiveYear]='Operating Results'!$A19,IF(Table_Query_from_Actuarial___Production[StateName]=$F$1,IF(Table_Query_from_Actuarial___Production[RecordType]="Investment Income",Table_Query_from_Actuarial___Production[SumOfAmount],0),0),0))</f>
        <v>7662823.1500000004</v>
      </c>
      <c r="I19" s="26">
        <f t="shared" si="2"/>
        <v>-48884464.869999997</v>
      </c>
      <c r="J19" s="53">
        <f t="shared" si="3"/>
        <v>1.0185</v>
      </c>
      <c r="K19" s="53">
        <f t="shared" si="4"/>
        <v>0.17460000000000001</v>
      </c>
      <c r="L19" s="53">
        <f t="shared" si="5"/>
        <v>0.28999999999999998</v>
      </c>
      <c r="M19" s="54">
        <f t="shared" si="6"/>
        <v>1.4831000000000001</v>
      </c>
      <c r="N19" s="53">
        <f t="shared" si="7"/>
        <v>1.5729</v>
      </c>
      <c r="O19" s="26"/>
      <c r="P19" s="21"/>
      <c r="R19" t="s">
        <v>3</v>
      </c>
      <c r="S19" t="s">
        <v>4</v>
      </c>
      <c r="T19" t="s">
        <v>351</v>
      </c>
      <c r="U19" s="21">
        <v>27027097</v>
      </c>
      <c r="V19" s="21" t="s">
        <v>368</v>
      </c>
      <c r="W19" t="str">
        <f>VLOOKUP(Table_Query_from_Actuarial___Production[[#This Row],[Kor1]],$AI$3:$AK$105,3,FALSE)</f>
        <v>Premiums Written</v>
      </c>
      <c r="X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"/>
      <c r="Z19" t="s">
        <v>14</v>
      </c>
      <c r="AA19" t="s">
        <v>243</v>
      </c>
      <c r="AB19" t="s">
        <v>442</v>
      </c>
      <c r="AC19" s="21">
        <v>37821.230000000003</v>
      </c>
      <c r="AD19" s="21" t="s">
        <v>368</v>
      </c>
      <c r="AE19" t="str">
        <f>VLOOKUP(Table_Query_from_Actuarial___Production3[[#This Row],[Kor1]],$AI$3:$AK$105,3,FALSE)</f>
        <v>Claims Expense</v>
      </c>
      <c r="AF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9" s="4" t="s">
        <v>15</v>
      </c>
      <c r="AJ19" s="8" t="s">
        <v>57</v>
      </c>
      <c r="AK19" s="6" t="s">
        <v>57</v>
      </c>
      <c r="AM19" s="31" t="s">
        <v>242</v>
      </c>
      <c r="AN19" s="11" t="s">
        <v>286</v>
      </c>
      <c r="AP19" s="39" t="s">
        <v>389</v>
      </c>
    </row>
    <row r="20" spans="1:42" x14ac:dyDescent="0.2">
      <c r="A20" s="27" t="str">
        <f t="shared" si="0"/>
        <v>2016</v>
      </c>
      <c r="B20" s="25">
        <f t="array" ref="B20">SUM(IF(Table_Query_from_Actuarial___Production[EffectiveYear]='Operating Results'!$A20,IF(Table_Query_from_Actuarial___Production[StateName]=$F$1,IF(Table_Query_from_Actuarial___Production[RecordType]="Premiums Written",Table_Query_from_Actuarial___Production[SumOfAmount],0),0),0))</f>
        <v>99095461</v>
      </c>
      <c r="C20" s="25">
        <f t="array" ref="C20">SUM(IF(Table_Query_from_Actuarial___Production[EffectiveYear]='Operating Results'!$A20,IF(Table_Query_from_Actuarial___Production[StateName]=$F$1,IF(Table_Query_from_Actuarial___Production[RecordType]="Premiums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Results'!$A20,IF(Table_Query_from_Actuarial___Production[StateName]=$F$1,IF(Table_Query_from_Actuarial___Production[RecordType]="EBUB",Table_Query_from_Actuarial___Production[SumOfAmount],0),0),0))-SUM(IF(Table_Query_from_Actuarial___Production[EffectiveYear]='Operating Results'!$A20,IF(Table_Query_from_Actuarial___Production[StateName]=$F$1,IF(Table_Query_from_Actuarial___Production[RecordType]="Unearned Premiums",Table_Query_from_Actuarial___Production[SumOfAmount],0),0),0))</f>
        <v>99095461</v>
      </c>
      <c r="D20" s="25">
        <f>'Loss &amp; Expense Detail'!B18+'Loss &amp; Expense Detail'!C18+'Loss &amp; Expense Detail'!D18</f>
        <v>104675707.47000001</v>
      </c>
      <c r="E20" s="25">
        <f t="array" ref="E20">IF(LEFT($F$1,14)="North Carolina",0,SUM(IF(Table_Query_from_Actuarial___Production[EffectiveYear]='Operating Results'!$A20,IF(Table_Query_from_Actuarial___Production[StateName]=$F$1,IF(Table_Query_from_Actuarial___Production[RecordType]="ALAE Paid",Table_Query_from_Actuarial___Production[SumOfAmount],0),0),0))+SUM(IF(Table_Query_from_Actuarial___Production[EffectiveYear]='Operating Results'!$A20,IF(Table_Query_from_Actuarial___Production[StateName]=$F$1,IF(Table_Query_from_Actuarial___Production[RecordType]="ALAE Reserve",Table_Query_from_Actuarial___Production[SumOfAmount],0),0),0))+SUM(IF(Table_Query_from_Actuarial___Production[EffectiveYear]='Operating Results'!$A20,IF(Table_Query_from_Actuarial___Production[StateName]=$F$1,IF(Table_Query_from_Actuarial___Production[RecordType]="Claims Expense",Table_Query_from_Actuarial___Production[SumOfAmount],0),0),0)))</f>
        <v>15814883.630000003</v>
      </c>
      <c r="F20" s="25">
        <f t="array" ref="F20">SUM(IF(Table_Query_from_Actuarial___Production[EffectiveYear]='Operating Results'!$A20,IF(Table_Query_from_Actuarial___Production[StateName]=$F$1,IF(Table_Query_from_Actuarial___Production[RecordType]="Operating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Results'!$A20,IF(Table_Query_from_Actuarial___Production[StateName]=$F$1,IF(Table_Query_from_Actuarial___Production[RecordType]="Premium Tax",Table_Query_from_Actuarial___Production[SumOfAmount],0),0),0))+SUM(IF(Table_Query_from_Actuarial___Production[EffectiveYear]='Operating Results'!$A20,IF(Table_Query_from_Actuarial___Production[StateName]=$F$1,IF(Table_Query_from_Actuarial___Production[RecordType]="Commissions",Table_Query_from_Actuarial___Production[SumOfAmount],0),0),0))+SUM(IF(Table_Query_from_Actuarial___Production[EffectiveYear]='Operating Results'!$A20,IF(Table_Query_from_Actuarial___Production[StateName]=$F$1,IF(Table_Query_from_Actuarial___Production[RecordType]="PDR",Table_Query_from_Actuarial___Production[SumOfAmount],0),0),0))+SUM(IF(Table_Query_from_Actuarial___Production[EffectiveYear]='Operating Results'!$A20,IF(Table_Query_from_Actuarial___Production[StateName]=$F$1,IF(Table_Query_from_Actuarial___Production[RecordType]="CPAI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Results'!$A20,IF(Table_Query_from_Actuarial___Production[StateName]=$F$1,IF(Table_Query_from_Actuarial___Production[RecordType]="Claims Expense",Table_Query_from_Actuarial___Production[SumOfAmount],0),0),0)),0)</f>
        <v>28635962.310000002</v>
      </c>
      <c r="G20" s="26">
        <f t="shared" si="1"/>
        <v>-50031092.410000019</v>
      </c>
      <c r="H20" s="25">
        <f t="array" ref="H20">SUM(IF(Table_Query_from_Actuarial___Production[EffectiveYear]='Operating Results'!$A20,IF(Table_Query_from_Actuarial___Production[StateName]=$F$1,IF(Table_Query_from_Actuarial___Production[RecordType]="Misc. Expense",Table_Query_from_Actuarial___Production[SumOfAmount],0),0),0))+SUM(IF(Table_Query_from_Actuarial___Production[EffectiveYear]='Operating Results'!$A20,IF(Table_Query_from_Actuarial___Production[StateName]=$F$1,IF(Table_Query_from_Actuarial___Production[RecordType]="Charge-offs",Table_Query_from_Actuarial___Production[SumOfAmount],0),0),0))-SUM(IF(Table_Query_from_Actuarial___Production[EffectiveYear]='Operating Results'!$A20,IF(Table_Query_from_Actuarial___Production[StateName]=$F$1,IF(Table_Query_from_Actuarial___Production[RecordType]="Misc. Income",Table_Query_from_Actuarial___Production[SumOfAmount],0),0),0))-SUM(IF(Table_Query_from_Actuarial___Production[EffectiveYear]='Operating Results'!$A20,IF(Table_Query_from_Actuarial___Production[StateName]=$F$1,IF(Table_Query_from_Actuarial___Production[RecordType]="Investment Income",Table_Query_from_Actuarial___Production[SumOfAmount],0),0),0))</f>
        <v>7538334.839999998</v>
      </c>
      <c r="I20" s="26">
        <f t="shared" si="2"/>
        <v>-57569427.250000015</v>
      </c>
      <c r="J20" s="53">
        <f t="shared" si="3"/>
        <v>1.0563</v>
      </c>
      <c r="K20" s="53">
        <f t="shared" si="4"/>
        <v>0.15959999999999999</v>
      </c>
      <c r="L20" s="53">
        <f t="shared" si="5"/>
        <v>0.28899999999999998</v>
      </c>
      <c r="M20" s="54">
        <f t="shared" si="6"/>
        <v>1.5048999999999999</v>
      </c>
      <c r="N20" s="53">
        <f t="shared" si="7"/>
        <v>1.581</v>
      </c>
      <c r="O20" s="26"/>
      <c r="P20" s="21"/>
      <c r="R20" t="s">
        <v>32</v>
      </c>
      <c r="S20" t="s">
        <v>4</v>
      </c>
      <c r="T20" t="s">
        <v>351</v>
      </c>
      <c r="U20" s="21">
        <v>114093.72</v>
      </c>
      <c r="V20" s="21" t="s">
        <v>368</v>
      </c>
      <c r="W20" t="str">
        <f>VLOOKUP(Table_Query_from_Actuarial___Production[[#This Row],[Kor1]],$AI$3:$AK$105,3,FALSE)</f>
        <v>Misc. Expense</v>
      </c>
      <c r="X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"/>
      <c r="Z20" t="s">
        <v>3</v>
      </c>
      <c r="AA20" t="s">
        <v>4</v>
      </c>
      <c r="AB20" t="s">
        <v>351</v>
      </c>
      <c r="AC20" s="21">
        <v>27027097</v>
      </c>
      <c r="AD20" s="21" t="s">
        <v>368</v>
      </c>
      <c r="AE20" t="str">
        <f>VLOOKUP(Table_Query_from_Actuarial___Production3[[#This Row],[Kor1]],$AI$3:$AK$105,3,FALSE)</f>
        <v>Premiums Written</v>
      </c>
      <c r="AF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0" s="4" t="s">
        <v>16</v>
      </c>
      <c r="AJ20" s="5" t="s">
        <v>58</v>
      </c>
      <c r="AK20" s="6" t="s">
        <v>58</v>
      </c>
      <c r="AM20" s="31" t="s">
        <v>243</v>
      </c>
      <c r="AN20" s="11" t="s">
        <v>287</v>
      </c>
      <c r="AP20" s="39" t="s">
        <v>390</v>
      </c>
    </row>
    <row r="21" spans="1:42" x14ac:dyDescent="0.2">
      <c r="A21" s="27" t="str">
        <f t="shared" si="0"/>
        <v>2017</v>
      </c>
      <c r="B21" s="25">
        <f t="array" ref="B21">SUM(IF(Table_Query_from_Actuarial___Production[EffectiveYear]='Operating Results'!$A21,IF(Table_Query_from_Actuarial___Production[StateName]=$F$1,IF(Table_Query_from_Actuarial___Production[RecordType]="Premiums Written",Table_Query_from_Actuarial___Production[SumOfAmount],0),0),0))</f>
        <v>123874382</v>
      </c>
      <c r="C21" s="25">
        <f t="array" ref="C21">SUM(IF(Table_Query_from_Actuarial___Production[EffectiveYear]='Operating Results'!$A21,IF(Table_Query_from_Actuarial___Production[StateName]=$F$1,IF(Table_Query_from_Actuarial___Production[RecordType]="Premiums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Results'!$A21,IF(Table_Query_from_Actuarial___Production[StateName]=$F$1,IF(Table_Query_from_Actuarial___Production[RecordType]="EBUB",Table_Query_from_Actuarial___Production[SumOfAmount],0),0),0))-SUM(IF(Table_Query_from_Actuarial___Production[EffectiveYear]='Operating Results'!$A21,IF(Table_Query_from_Actuarial___Production[StateName]=$F$1,IF(Table_Query_from_Actuarial___Production[RecordType]="Unearned Premiums",Table_Query_from_Actuarial___Production[SumOfAmount],0),0),0))</f>
        <v>123874382</v>
      </c>
      <c r="D21" s="25">
        <f>'Loss &amp; Expense Detail'!B19+'Loss &amp; Expense Detail'!C19+'Loss &amp; Expense Detail'!D19</f>
        <v>114580634.05</v>
      </c>
      <c r="E21" s="25">
        <f t="array" ref="E21">IF(LEFT($F$1,14)="North Carolina",0,SUM(IF(Table_Query_from_Actuarial___Production[EffectiveYear]='Operating Results'!$A21,IF(Table_Query_from_Actuarial___Production[StateName]=$F$1,IF(Table_Query_from_Actuarial___Production[RecordType]="ALAE Paid",Table_Query_from_Actuarial___Production[SumOfAmount],0),0),0))+SUM(IF(Table_Query_from_Actuarial___Production[EffectiveYear]='Operating Results'!$A21,IF(Table_Query_from_Actuarial___Production[StateName]=$F$1,IF(Table_Query_from_Actuarial___Production[RecordType]="ALAE Reserve",Table_Query_from_Actuarial___Production[SumOfAmount],0),0),0))+SUM(IF(Table_Query_from_Actuarial___Production[EffectiveYear]='Operating Results'!$A21,IF(Table_Query_from_Actuarial___Production[StateName]=$F$1,IF(Table_Query_from_Actuarial___Production[RecordType]="Claims Expense",Table_Query_from_Actuarial___Production[SumOfAmount],0),0),0)))</f>
        <v>19499022.539999999</v>
      </c>
      <c r="F21" s="25">
        <f t="array" ref="F21">SUM(IF(Table_Query_from_Actuarial___Production[EffectiveYear]='Operating Results'!$A21,IF(Table_Query_from_Actuarial___Production[StateName]=$F$1,IF(Table_Query_from_Actuarial___Production[RecordType]="Operating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Results'!$A21,IF(Table_Query_from_Actuarial___Production[StateName]=$F$1,IF(Table_Query_from_Actuarial___Production[RecordType]="Premium Tax",Table_Query_from_Actuarial___Production[SumOfAmount],0),0),0))+SUM(IF(Table_Query_from_Actuarial___Production[EffectiveYear]='Operating Results'!$A21,IF(Table_Query_from_Actuarial___Production[StateName]=$F$1,IF(Table_Query_from_Actuarial___Production[RecordType]="Commissions",Table_Query_from_Actuarial___Production[SumOfAmount],0),0),0))+SUM(IF(Table_Query_from_Actuarial___Production[EffectiveYear]='Operating Results'!$A21,IF(Table_Query_from_Actuarial___Production[StateName]=$F$1,IF(Table_Query_from_Actuarial___Production[RecordType]="PDR",Table_Query_from_Actuarial___Production[SumOfAmount],0),0),0))+SUM(IF(Table_Query_from_Actuarial___Production[EffectiveYear]='Operating Results'!$A21,IF(Table_Query_from_Actuarial___Production[StateName]=$F$1,IF(Table_Query_from_Actuarial___Production[RecordType]="CPAI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Results'!$A21,IF(Table_Query_from_Actuarial___Production[StateName]=$F$1,IF(Table_Query_from_Actuarial___Production[RecordType]="Claims Expense",Table_Query_from_Actuarial___Production[SumOfAmount],0),0),0)),0)</f>
        <v>34586781.169999994</v>
      </c>
      <c r="G21" s="26">
        <f t="shared" si="1"/>
        <v>-44792055.75999999</v>
      </c>
      <c r="H21" s="25">
        <f t="array" ref="H21">SUM(IF(Table_Query_from_Actuarial___Production[EffectiveYear]='Operating Results'!$A21,IF(Table_Query_from_Actuarial___Production[StateName]=$F$1,IF(Table_Query_from_Actuarial___Production[RecordType]="Misc. Expense",Table_Query_from_Actuarial___Production[SumOfAmount],0),0),0))+SUM(IF(Table_Query_from_Actuarial___Production[EffectiveYear]='Operating Results'!$A21,IF(Table_Query_from_Actuarial___Production[StateName]=$F$1,IF(Table_Query_from_Actuarial___Production[RecordType]="Charge-offs",Table_Query_from_Actuarial___Production[SumOfAmount],0),0),0))-SUM(IF(Table_Query_from_Actuarial___Production[EffectiveYear]='Operating Results'!$A21,IF(Table_Query_from_Actuarial___Production[StateName]=$F$1,IF(Table_Query_from_Actuarial___Production[RecordType]="Misc. Income",Table_Query_from_Actuarial___Production[SumOfAmount],0),0),0))-SUM(IF(Table_Query_from_Actuarial___Production[EffectiveYear]='Operating Results'!$A21,IF(Table_Query_from_Actuarial___Production[StateName]=$F$1,IF(Table_Query_from_Actuarial___Production[RecordType]="Investment Income",Table_Query_from_Actuarial___Production[SumOfAmount],0),0),0))</f>
        <v>9707540.7199999988</v>
      </c>
      <c r="I21" s="26">
        <f t="shared" si="2"/>
        <v>-54499596.479999989</v>
      </c>
      <c r="J21" s="53">
        <f t="shared" si="3"/>
        <v>0.92500000000000004</v>
      </c>
      <c r="K21" s="53">
        <f t="shared" si="4"/>
        <v>0.15740000000000001</v>
      </c>
      <c r="L21" s="53">
        <f t="shared" si="5"/>
        <v>0.2792</v>
      </c>
      <c r="M21" s="54">
        <f t="shared" si="6"/>
        <v>1.3616000000000001</v>
      </c>
      <c r="N21" s="53">
        <f t="shared" si="7"/>
        <v>1.44</v>
      </c>
      <c r="O21" s="26"/>
      <c r="P21" s="21"/>
      <c r="R21" t="s">
        <v>40</v>
      </c>
      <c r="S21" t="s">
        <v>266</v>
      </c>
      <c r="T21" t="s">
        <v>8</v>
      </c>
      <c r="U21" s="21">
        <v>115</v>
      </c>
      <c r="V21" s="21" t="s">
        <v>368</v>
      </c>
      <c r="W21" t="str">
        <f>VLOOKUP(Table_Query_from_Actuarial___Production[[#This Row],[Kor1]],$AI$3:$AK$105,3,FALSE)</f>
        <v>Misc. Income</v>
      </c>
      <c r="X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"/>
      <c r="Z21" t="s">
        <v>32</v>
      </c>
      <c r="AA21" t="s">
        <v>4</v>
      </c>
      <c r="AB21" t="s">
        <v>351</v>
      </c>
      <c r="AC21" s="21">
        <v>114093.72</v>
      </c>
      <c r="AD21" s="21" t="s">
        <v>368</v>
      </c>
      <c r="AE21" t="str">
        <f>VLOOKUP(Table_Query_from_Actuarial___Production3[[#This Row],[Kor1]],$AI$3:$AK$105,3,FALSE)</f>
        <v>Misc. Expense</v>
      </c>
      <c r="AF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1" s="4" t="s">
        <v>17</v>
      </c>
      <c r="AJ21" s="5" t="s">
        <v>59</v>
      </c>
      <c r="AK21" s="6" t="s">
        <v>59</v>
      </c>
      <c r="AM21" s="31" t="s">
        <v>244</v>
      </c>
      <c r="AN21" s="11" t="s">
        <v>288</v>
      </c>
      <c r="AP21" s="39" t="s">
        <v>391</v>
      </c>
    </row>
    <row r="22" spans="1:42" x14ac:dyDescent="0.2">
      <c r="A22" s="27" t="str">
        <f t="shared" si="0"/>
        <v>2018</v>
      </c>
      <c r="B22" s="25">
        <f t="array" ref="B22">SUM(IF(Table_Query_from_Actuarial___Production[EffectiveYear]='Operating Results'!$A22,IF(Table_Query_from_Actuarial___Production[StateName]=$F$1,IF(Table_Query_from_Actuarial___Production[RecordType]="Premiums Written",Table_Query_from_Actuarial___Production[SumOfAmount],0),0),0))</f>
        <v>166473868</v>
      </c>
      <c r="C22" s="25">
        <f t="array" ref="C22">SUM(IF(Table_Query_from_Actuarial___Production[EffectiveYear]='Operating Results'!$A22,IF(Table_Query_from_Actuarial___Production[StateName]=$F$1,IF(Table_Query_from_Actuarial___Production[RecordType]="Premiums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Results'!$A22,IF(Table_Query_from_Actuarial___Production[StateName]=$F$1,IF(Table_Query_from_Actuarial___Production[RecordType]="EBUB",Table_Query_from_Actuarial___Production[SumOfAmount],0),0),0))-SUM(IF(Table_Query_from_Actuarial___Production[EffectiveYear]='Operating Results'!$A22,IF(Table_Query_from_Actuarial___Production[StateName]=$F$1,IF(Table_Query_from_Actuarial___Production[RecordType]="Unearned Premiums",Table_Query_from_Actuarial___Production[SumOfAmount],0),0),0))</f>
        <v>166473868</v>
      </c>
      <c r="D22" s="25">
        <f>'Loss &amp; Expense Detail'!B20+'Loss &amp; Expense Detail'!C20+'Loss &amp; Expense Detail'!D20</f>
        <v>171058608.26999998</v>
      </c>
      <c r="E22" s="25">
        <f t="array" ref="E22">IF(LEFT($F$1,14)="North Carolina",0,SUM(IF(Table_Query_from_Actuarial___Production[EffectiveYear]='Operating Results'!$A22,IF(Table_Query_from_Actuarial___Production[StateName]=$F$1,IF(Table_Query_from_Actuarial___Production[RecordType]="ALAE Paid",Table_Query_from_Actuarial___Production[SumOfAmount],0),0),0))+SUM(IF(Table_Query_from_Actuarial___Production[EffectiveYear]='Operating Results'!$A22,IF(Table_Query_from_Actuarial___Production[StateName]=$F$1,IF(Table_Query_from_Actuarial___Production[RecordType]="ALAE Reserve",Table_Query_from_Actuarial___Production[SumOfAmount],0),0),0))+SUM(IF(Table_Query_from_Actuarial___Production[EffectiveYear]='Operating Results'!$A22,IF(Table_Query_from_Actuarial___Production[StateName]=$F$1,IF(Table_Query_from_Actuarial___Production[RecordType]="Claims Expense",Table_Query_from_Actuarial___Production[SumOfAmount],0),0),0)))</f>
        <v>25102782.209999997</v>
      </c>
      <c r="F22" s="25">
        <f t="array" ref="F22">SUM(IF(Table_Query_from_Actuarial___Production[EffectiveYear]='Operating Results'!$A22,IF(Table_Query_from_Actuarial___Production[StateName]=$F$1,IF(Table_Query_from_Actuarial___Production[RecordType]="Operating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Results'!$A22,IF(Table_Query_from_Actuarial___Production[StateName]=$F$1,IF(Table_Query_from_Actuarial___Production[RecordType]="Premium Tax",Table_Query_from_Actuarial___Production[SumOfAmount],0),0),0))+SUM(IF(Table_Query_from_Actuarial___Production[EffectiveYear]='Operating Results'!$A22,IF(Table_Query_from_Actuarial___Production[StateName]=$F$1,IF(Table_Query_from_Actuarial___Production[RecordType]="Commissions",Table_Query_from_Actuarial___Production[SumOfAmount],0),0),0))+SUM(IF(Table_Query_from_Actuarial___Production[EffectiveYear]='Operating Results'!$A22,IF(Table_Query_from_Actuarial___Production[StateName]=$F$1,IF(Table_Query_from_Actuarial___Production[RecordType]="PDR",Table_Query_from_Actuarial___Production[SumOfAmount],0),0),0))+SUM(IF(Table_Query_from_Actuarial___Production[EffectiveYear]='Operating Results'!$A22,IF(Table_Query_from_Actuarial___Production[StateName]=$F$1,IF(Table_Query_from_Actuarial___Production[RecordType]="CPAI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Results'!$A22,IF(Table_Query_from_Actuarial___Production[StateName]=$F$1,IF(Table_Query_from_Actuarial___Production[RecordType]="Claims Expense",Table_Query_from_Actuarial___Production[SumOfAmount],0),0),0)),0)</f>
        <v>45861407.010000005</v>
      </c>
      <c r="G22" s="26">
        <f t="shared" si="1"/>
        <v>-75548929.48999998</v>
      </c>
      <c r="H22" s="25">
        <f t="array" ref="H22">SUM(IF(Table_Query_from_Actuarial___Production[EffectiveYear]='Operating Results'!$A22,IF(Table_Query_from_Actuarial___Production[StateName]=$F$1,IF(Table_Query_from_Actuarial___Production[RecordType]="Misc. Expense",Table_Query_from_Actuarial___Production[SumOfAmount],0),0),0))+SUM(IF(Table_Query_from_Actuarial___Production[EffectiveYear]='Operating Results'!$A22,IF(Table_Query_from_Actuarial___Production[StateName]=$F$1,IF(Table_Query_from_Actuarial___Production[RecordType]="Charge-offs",Table_Query_from_Actuarial___Production[SumOfAmount],0),0),0))-SUM(IF(Table_Query_from_Actuarial___Production[EffectiveYear]='Operating Results'!$A22,IF(Table_Query_from_Actuarial___Production[StateName]=$F$1,IF(Table_Query_from_Actuarial___Production[RecordType]="Misc. Income",Table_Query_from_Actuarial___Production[SumOfAmount],0),0),0))-SUM(IF(Table_Query_from_Actuarial___Production[EffectiveYear]='Operating Results'!$A22,IF(Table_Query_from_Actuarial___Production[StateName]=$F$1,IF(Table_Query_from_Actuarial___Production[RecordType]="Investment Income",Table_Query_from_Actuarial___Production[SumOfAmount],0),0),0))</f>
        <v>9491032.9099999964</v>
      </c>
      <c r="I22" s="26">
        <f t="shared" si="2"/>
        <v>-85039962.399999976</v>
      </c>
      <c r="J22" s="53">
        <f t="shared" si="3"/>
        <v>1.0275000000000001</v>
      </c>
      <c r="K22" s="53">
        <f t="shared" si="4"/>
        <v>0.15079999999999999</v>
      </c>
      <c r="L22" s="53">
        <f t="shared" si="5"/>
        <v>0.27550000000000002</v>
      </c>
      <c r="M22" s="54">
        <f t="shared" si="6"/>
        <v>1.4538000000000002</v>
      </c>
      <c r="N22" s="53">
        <f t="shared" si="7"/>
        <v>1.5107999999999999</v>
      </c>
      <c r="O22" s="26"/>
      <c r="P22" s="21"/>
      <c r="R22" t="s">
        <v>3</v>
      </c>
      <c r="S22" t="s">
        <v>236</v>
      </c>
      <c r="T22" t="s">
        <v>441</v>
      </c>
      <c r="U22" s="21">
        <v>34924</v>
      </c>
      <c r="V22" s="21" t="s">
        <v>368</v>
      </c>
      <c r="W22" t="str">
        <f>VLOOKUP(Table_Query_from_Actuarial___Production[[#This Row],[Kor1]],$AI$3:$AK$105,3,FALSE)</f>
        <v>Premiums Written</v>
      </c>
      <c r="X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"/>
      <c r="Z22" t="s">
        <v>40</v>
      </c>
      <c r="AA22" t="s">
        <v>266</v>
      </c>
      <c r="AB22" t="s">
        <v>8</v>
      </c>
      <c r="AC22" s="21">
        <v>115</v>
      </c>
      <c r="AD22" s="21" t="s">
        <v>368</v>
      </c>
      <c r="AE22" t="str">
        <f>VLOOKUP(Table_Query_from_Actuarial___Production3[[#This Row],[Kor1]],$AI$3:$AK$105,3,FALSE)</f>
        <v>Misc. Income</v>
      </c>
      <c r="AF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2" s="4" t="s">
        <v>142</v>
      </c>
      <c r="AJ22" s="5" t="s">
        <v>143</v>
      </c>
      <c r="AK22" s="6" t="s">
        <v>143</v>
      </c>
      <c r="AM22" s="31" t="s">
        <v>245</v>
      </c>
      <c r="AN22" s="11" t="s">
        <v>289</v>
      </c>
      <c r="AP22" s="39" t="s">
        <v>392</v>
      </c>
    </row>
    <row r="23" spans="1:42" x14ac:dyDescent="0.2">
      <c r="A23" s="27" t="str">
        <f t="shared" si="0"/>
        <v>2019</v>
      </c>
      <c r="B23" s="25">
        <f t="array" ref="B23">SUM(IF(Table_Query_from_Actuarial___Production[EffectiveYear]='Operating Results'!$A23,IF(Table_Query_from_Actuarial___Production[StateName]=$F$1,IF(Table_Query_from_Actuarial___Production[RecordType]="Premiums Written",Table_Query_from_Actuarial___Production[SumOfAmount],0),0),0))</f>
        <v>202078767</v>
      </c>
      <c r="C23" s="25">
        <f t="array" ref="C23">SUM(IF(Table_Query_from_Actuarial___Production[EffectiveYear]='Operating Results'!$A23,IF(Table_Query_from_Actuarial___Production[StateName]=$F$1,IF(Table_Query_from_Actuarial___Production[RecordType]="Premiums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Results'!$A23,IF(Table_Query_from_Actuarial___Production[StateName]=$F$1,IF(Table_Query_from_Actuarial___Production[RecordType]="EBUB",Table_Query_from_Actuarial___Production[SumOfAmount],0),0),0))-SUM(IF(Table_Query_from_Actuarial___Production[EffectiveYear]='Operating Results'!$A23,IF(Table_Query_from_Actuarial___Production[StateName]=$F$1,IF(Table_Query_from_Actuarial___Production[RecordType]="Unearned Premiums",Table_Query_from_Actuarial___Production[SumOfAmount],0),0),0))</f>
        <v>202078767</v>
      </c>
      <c r="D23" s="25">
        <f>'Loss &amp; Expense Detail'!B21+'Loss &amp; Expense Detail'!C21+'Loss &amp; Expense Detail'!D21</f>
        <v>209437928.59</v>
      </c>
      <c r="E23" s="25">
        <f t="array" ref="E23">IF(LEFT($F$1,14)="North Carolina",0,SUM(IF(Table_Query_from_Actuarial___Production[EffectiveYear]='Operating Results'!$A23,IF(Table_Query_from_Actuarial___Production[StateName]=$F$1,IF(Table_Query_from_Actuarial___Production[RecordType]="ALAE Paid",Table_Query_from_Actuarial___Production[SumOfAmount],0),0),0))+SUM(IF(Table_Query_from_Actuarial___Production[EffectiveYear]='Operating Results'!$A23,IF(Table_Query_from_Actuarial___Production[StateName]=$F$1,IF(Table_Query_from_Actuarial___Production[RecordType]="ALAE Reserve",Table_Query_from_Actuarial___Production[SumOfAmount],0),0),0))+SUM(IF(Table_Query_from_Actuarial___Production[EffectiveYear]='Operating Results'!$A23,IF(Table_Query_from_Actuarial___Production[StateName]=$F$1,IF(Table_Query_from_Actuarial___Production[RecordType]="Claims Expense",Table_Query_from_Actuarial___Production[SumOfAmount],0),0),0)))</f>
        <v>30688153.490000002</v>
      </c>
      <c r="F23" s="25">
        <f t="array" ref="F23">SUM(IF(Table_Query_from_Actuarial___Production[EffectiveYear]='Operating Results'!$A23,IF(Table_Query_from_Actuarial___Production[StateName]=$F$1,IF(Table_Query_from_Actuarial___Production[RecordType]="Operating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Results'!$A23,IF(Table_Query_from_Actuarial___Production[StateName]=$F$1,IF(Table_Query_from_Actuarial___Production[RecordType]="Premium Tax",Table_Query_from_Actuarial___Production[SumOfAmount],0),0),0))+SUM(IF(Table_Query_from_Actuarial___Production[EffectiveYear]='Operating Results'!$A23,IF(Table_Query_from_Actuarial___Production[StateName]=$F$1,IF(Table_Query_from_Actuarial___Production[RecordType]="Commissions",Table_Query_from_Actuarial___Production[SumOfAmount],0),0),0))+SUM(IF(Table_Query_from_Actuarial___Production[EffectiveYear]='Operating Results'!$A23,IF(Table_Query_from_Actuarial___Production[StateName]=$F$1,IF(Table_Query_from_Actuarial___Production[RecordType]="PDR",Table_Query_from_Actuarial___Production[SumOfAmount],0),0),0))+SUM(IF(Table_Query_from_Actuarial___Production[EffectiveYear]='Operating Results'!$A23,IF(Table_Query_from_Actuarial___Production[StateName]=$F$1,IF(Table_Query_from_Actuarial___Production[RecordType]="CPAI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Results'!$A23,IF(Table_Query_from_Actuarial___Production[StateName]=$F$1,IF(Table_Query_from_Actuarial___Production[RecordType]="Claims Expense",Table_Query_from_Actuarial___Production[SumOfAmount],0),0),0)),0)</f>
        <v>55732879.199999996</v>
      </c>
      <c r="G23" s="26">
        <f t="shared" si="1"/>
        <v>-93780194.280000001</v>
      </c>
      <c r="H23" s="25">
        <f t="array" ref="H23">SUM(IF(Table_Query_from_Actuarial___Production[EffectiveYear]='Operating Results'!$A23,IF(Table_Query_from_Actuarial___Production[StateName]=$F$1,IF(Table_Query_from_Actuarial___Production[RecordType]="Misc. Expense",Table_Query_from_Actuarial___Production[SumOfAmount],0),0),0))+SUM(IF(Table_Query_from_Actuarial___Production[EffectiveYear]='Operating Results'!$A23,IF(Table_Query_from_Actuarial___Production[StateName]=$F$1,IF(Table_Query_from_Actuarial___Production[RecordType]="Charge-offs",Table_Query_from_Actuarial___Production[SumOfAmount],0),0),0))-SUM(IF(Table_Query_from_Actuarial___Production[EffectiveYear]='Operating Results'!$A23,IF(Table_Query_from_Actuarial___Production[StateName]=$F$1,IF(Table_Query_from_Actuarial___Production[RecordType]="Misc. Income",Table_Query_from_Actuarial___Production[SumOfAmount],0),0),0))-SUM(IF(Table_Query_from_Actuarial___Production[EffectiveYear]='Operating Results'!$A23,IF(Table_Query_from_Actuarial___Production[StateName]=$F$1,IF(Table_Query_from_Actuarial___Production[RecordType]="Investment Income",Table_Query_from_Actuarial___Production[SumOfAmount],0),0),0))</f>
        <v>12074169.859999999</v>
      </c>
      <c r="I23" s="26">
        <f t="shared" si="2"/>
        <v>-105854364.14</v>
      </c>
      <c r="J23" s="53">
        <f t="shared" si="3"/>
        <v>1.0364</v>
      </c>
      <c r="K23" s="53">
        <f t="shared" si="4"/>
        <v>0.15190000000000001</v>
      </c>
      <c r="L23" s="53">
        <f t="shared" si="5"/>
        <v>0.27579999999999999</v>
      </c>
      <c r="M23" s="54">
        <f t="shared" si="6"/>
        <v>1.4641</v>
      </c>
      <c r="N23" s="53">
        <f t="shared" si="7"/>
        <v>1.5238</v>
      </c>
      <c r="O23" s="26"/>
      <c r="P23" s="21"/>
      <c r="R23" t="s">
        <v>18</v>
      </c>
      <c r="S23" t="s">
        <v>352</v>
      </c>
      <c r="T23" t="s">
        <v>433</v>
      </c>
      <c r="U23" s="21">
        <v>133543.28</v>
      </c>
      <c r="V23" s="21" t="s">
        <v>369</v>
      </c>
      <c r="W23" t="str">
        <f>VLOOKUP(Table_Query_from_Actuarial___Production[[#This Row],[Kor1]],$AI$3:$AK$105,3,FALSE)</f>
        <v>Misc. Expense</v>
      </c>
      <c r="X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3"/>
      <c r="Z23" t="s">
        <v>3</v>
      </c>
      <c r="AA23" t="s">
        <v>236</v>
      </c>
      <c r="AB23" t="s">
        <v>441</v>
      </c>
      <c r="AC23" s="21">
        <v>34924</v>
      </c>
      <c r="AD23" s="21" t="s">
        <v>368</v>
      </c>
      <c r="AE23" t="str">
        <f>VLOOKUP(Table_Query_from_Actuarial___Production3[[#This Row],[Kor1]],$AI$3:$AK$105,3,FALSE)</f>
        <v>Premiums Written</v>
      </c>
      <c r="AF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3" s="4" t="s">
        <v>144</v>
      </c>
      <c r="AJ23" s="5" t="s">
        <v>145</v>
      </c>
      <c r="AK23" s="6" t="s">
        <v>56</v>
      </c>
      <c r="AM23" s="31" t="s">
        <v>246</v>
      </c>
      <c r="AN23" s="11" t="s">
        <v>290</v>
      </c>
      <c r="AP23" s="39" t="s">
        <v>393</v>
      </c>
    </row>
    <row r="24" spans="1:42" x14ac:dyDescent="0.2">
      <c r="A24" s="27" t="str">
        <f t="shared" si="0"/>
        <v>2020</v>
      </c>
      <c r="B24" s="25">
        <f t="array" ref="B24">SUM(IF(Table_Query_from_Actuarial___Production[EffectiveYear]='Operating Results'!$A24,IF(Table_Query_from_Actuarial___Production[StateName]=$F$1,IF(Table_Query_from_Actuarial___Production[RecordType]="Premiums Written",Table_Query_from_Actuarial___Production[SumOfAmount],0),0),0))</f>
        <v>218761978.88999999</v>
      </c>
      <c r="C24" s="25">
        <f t="array" ref="C24">SUM(IF(Table_Query_from_Actuarial___Production[EffectiveYear]='Operating Results'!$A24,IF(Table_Query_from_Actuarial___Production[StateName]=$F$1,IF(Table_Query_from_Actuarial___Production[RecordType]="Premiums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Results'!$A24,IF(Table_Query_from_Actuarial___Production[StateName]=$F$1,IF(Table_Query_from_Actuarial___Production[RecordType]="EBUB",Table_Query_from_Actuarial___Production[SumOfAmount],0),0),0))-SUM(IF(Table_Query_from_Actuarial___Production[EffectiveYear]='Operating Results'!$A24,IF(Table_Query_from_Actuarial___Production[StateName]=$F$1,IF(Table_Query_from_Actuarial___Production[RecordType]="Unearned Premiums",Table_Query_from_Actuarial___Production[SumOfAmount],0),0),0))</f>
        <v>218761978.88999999</v>
      </c>
      <c r="D24" s="25">
        <f>'Loss &amp; Expense Detail'!B22+'Loss &amp; Expense Detail'!C22+'Loss &amp; Expense Detail'!D22</f>
        <v>259526303.83000004</v>
      </c>
      <c r="E24" s="25">
        <f t="array" ref="E24">IF(LEFT($F$1,14)="North Carolina",0,SUM(IF(Table_Query_from_Actuarial___Production[EffectiveYear]='Operating Results'!$A24,IF(Table_Query_from_Actuarial___Production[StateName]=$F$1,IF(Table_Query_from_Actuarial___Production[RecordType]="ALAE Paid",Table_Query_from_Actuarial___Production[SumOfAmount],0),0),0))+SUM(IF(Table_Query_from_Actuarial___Production[EffectiveYear]='Operating Results'!$A24,IF(Table_Query_from_Actuarial___Production[StateName]=$F$1,IF(Table_Query_from_Actuarial___Production[RecordType]="ALAE Reserve",Table_Query_from_Actuarial___Production[SumOfAmount],0),0),0))+SUM(IF(Table_Query_from_Actuarial___Production[EffectiveYear]='Operating Results'!$A24,IF(Table_Query_from_Actuarial___Production[StateName]=$F$1,IF(Table_Query_from_Actuarial___Production[RecordType]="Claims Expense",Table_Query_from_Actuarial___Production[SumOfAmount],0),0),0)))</f>
        <v>35503860.939999998</v>
      </c>
      <c r="F24" s="25">
        <f t="array" ref="F24">SUM(IF(Table_Query_from_Actuarial___Production[EffectiveYear]='Operating Results'!$A24,IF(Table_Query_from_Actuarial___Production[StateName]=$F$1,IF(Table_Query_from_Actuarial___Production[RecordType]="Operating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Results'!$A24,IF(Table_Query_from_Actuarial___Production[StateName]=$F$1,IF(Table_Query_from_Actuarial___Production[RecordType]="Premium Tax",Table_Query_from_Actuarial___Production[SumOfAmount],0),0),0))+SUM(IF(Table_Query_from_Actuarial___Production[EffectiveYear]='Operating Results'!$A24,IF(Table_Query_from_Actuarial___Production[StateName]=$F$1,IF(Table_Query_from_Actuarial___Production[RecordType]="Commissions",Table_Query_from_Actuarial___Production[SumOfAmount],0),0),0))+SUM(IF(Table_Query_from_Actuarial___Production[EffectiveYear]='Operating Results'!$A24,IF(Table_Query_from_Actuarial___Production[StateName]=$F$1,IF(Table_Query_from_Actuarial___Production[RecordType]="PDR",Table_Query_from_Actuarial___Production[SumOfAmount],0),0),0))+SUM(IF(Table_Query_from_Actuarial___Production[EffectiveYear]='Operating Results'!$A24,IF(Table_Query_from_Actuarial___Production[StateName]=$F$1,IF(Table_Query_from_Actuarial___Production[RecordType]="CPAI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Results'!$A24,IF(Table_Query_from_Actuarial___Production[StateName]=$F$1,IF(Table_Query_from_Actuarial___Production[RecordType]="Claims Expense",Table_Query_from_Actuarial___Production[SumOfAmount],0),0),0)),0)</f>
        <v>63395655.970000006</v>
      </c>
      <c r="G24" s="26">
        <f t="shared" si="1"/>
        <v>-139663841.85000005</v>
      </c>
      <c r="H24" s="25">
        <f t="array" ref="H24">SUM(IF(Table_Query_from_Actuarial___Production[EffectiveYear]='Operating Results'!$A24,IF(Table_Query_from_Actuarial___Production[StateName]=$F$1,IF(Table_Query_from_Actuarial___Production[RecordType]="Misc. Expense",Table_Query_from_Actuarial___Production[SumOfAmount],0),0),0))+SUM(IF(Table_Query_from_Actuarial___Production[EffectiveYear]='Operating Results'!$A24,IF(Table_Query_from_Actuarial___Production[StateName]=$F$1,IF(Table_Query_from_Actuarial___Production[RecordType]="Charge-offs",Table_Query_from_Actuarial___Production[SumOfAmount],0),0),0))-SUM(IF(Table_Query_from_Actuarial___Production[EffectiveYear]='Operating Results'!$A24,IF(Table_Query_from_Actuarial___Production[StateName]=$F$1,IF(Table_Query_from_Actuarial___Production[RecordType]="Misc. Income",Table_Query_from_Actuarial___Production[SumOfAmount],0),0),0))-SUM(IF(Table_Query_from_Actuarial___Production[EffectiveYear]='Operating Results'!$A24,IF(Table_Query_from_Actuarial___Production[StateName]=$F$1,IF(Table_Query_from_Actuarial___Production[RecordType]="Investment Income",Table_Query_from_Actuarial___Production[SumOfAmount],0),0),0))</f>
        <v>10613442.66</v>
      </c>
      <c r="I24" s="26">
        <f t="shared" si="2"/>
        <v>-150277284.51000005</v>
      </c>
      <c r="J24" s="53">
        <f t="shared" si="3"/>
        <v>1.1862999999999999</v>
      </c>
      <c r="K24" s="53">
        <f t="shared" si="4"/>
        <v>0.1623</v>
      </c>
      <c r="L24" s="53">
        <f t="shared" si="5"/>
        <v>0.2898</v>
      </c>
      <c r="M24" s="54">
        <f t="shared" si="6"/>
        <v>1.6383999999999999</v>
      </c>
      <c r="N24" s="53">
        <f t="shared" si="7"/>
        <v>1.6869000000000001</v>
      </c>
      <c r="O24" s="26"/>
      <c r="R24" t="s">
        <v>17</v>
      </c>
      <c r="S24" t="s">
        <v>237</v>
      </c>
      <c r="T24" t="s">
        <v>441</v>
      </c>
      <c r="U24" s="21">
        <v>4987357.1500000004</v>
      </c>
      <c r="V24" s="21" t="s">
        <v>368</v>
      </c>
      <c r="W24" t="str">
        <f>VLOOKUP(Table_Query_from_Actuarial___Production[[#This Row],[Kor1]],$AI$3:$AK$105,3,FALSE)</f>
        <v>IBNR</v>
      </c>
      <c r="X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"/>
      <c r="Z24" t="s">
        <v>18</v>
      </c>
      <c r="AA24" t="s">
        <v>352</v>
      </c>
      <c r="AB24" t="s">
        <v>433</v>
      </c>
      <c r="AC24" s="21">
        <v>133543.28</v>
      </c>
      <c r="AD24" s="21" t="s">
        <v>369</v>
      </c>
      <c r="AE24" t="str">
        <f>VLOOKUP(Table_Query_from_Actuarial___Production3[[#This Row],[Kor1]],$AI$3:$AK$105,3,FALSE)</f>
        <v>Misc. Expense</v>
      </c>
      <c r="AF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  <c r="AI24" s="4" t="s">
        <v>60</v>
      </c>
      <c r="AJ24" s="5" t="s">
        <v>61</v>
      </c>
      <c r="AK24" s="6" t="s">
        <v>61</v>
      </c>
      <c r="AM24" s="31" t="s">
        <v>428</v>
      </c>
      <c r="AN24" s="11" t="s">
        <v>430</v>
      </c>
      <c r="AP24" s="39" t="s">
        <v>394</v>
      </c>
    </row>
    <row r="25" spans="1:42" x14ac:dyDescent="0.2">
      <c r="A25" s="27" t="str">
        <f t="shared" si="0"/>
        <v>2021</v>
      </c>
      <c r="B25" s="25">
        <f t="array" ref="B25">SUM(IF(Table_Query_from_Actuarial___Production[EffectiveYear]='Operating Results'!$A25,IF(Table_Query_from_Actuarial___Production[StateName]=$F$1,IF(Table_Query_from_Actuarial___Production[RecordType]="Premiums Written",Table_Query_from_Actuarial___Production[SumOfAmount],0),0),0))</f>
        <v>274163013</v>
      </c>
      <c r="C25" s="25">
        <f t="array" ref="C25">SUM(IF(Table_Query_from_Actuarial___Production[EffectiveYear]='Operating Results'!$A25,IF(Table_Query_from_Actuarial___Production[StateName]=$F$1,IF(Table_Query_from_Actuarial___Production[RecordType]="Premiums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Results'!$A25,IF(Table_Query_from_Actuarial___Production[StateName]=$F$1,IF(Table_Query_from_Actuarial___Production[RecordType]="EBUB",Table_Query_from_Actuarial___Production[SumOfAmount],0),0),0))-SUM(IF(Table_Query_from_Actuarial___Production[EffectiveYear]='Operating Results'!$A25,IF(Table_Query_from_Actuarial___Production[StateName]=$F$1,IF(Table_Query_from_Actuarial___Production[RecordType]="Unearned Premiums",Table_Query_from_Actuarial___Production[SumOfAmount],0),0),0))</f>
        <v>274163013</v>
      </c>
      <c r="D25" s="25">
        <f>'Loss &amp; Expense Detail'!B23+'Loss &amp; Expense Detail'!C23+'Loss &amp; Expense Detail'!D23</f>
        <v>320977022.57000005</v>
      </c>
      <c r="E25" s="25">
        <f t="array" ref="E25">IF(LEFT($F$1,14)="North Carolina",0,SUM(IF(Table_Query_from_Actuarial___Production[EffectiveYear]='Operating Results'!$A25,IF(Table_Query_from_Actuarial___Production[StateName]=$F$1,IF(Table_Query_from_Actuarial___Production[RecordType]="ALAE Paid",Table_Query_from_Actuarial___Production[SumOfAmount],0),0),0))+SUM(IF(Table_Query_from_Actuarial___Production[EffectiveYear]='Operating Results'!$A25,IF(Table_Query_from_Actuarial___Production[StateName]=$F$1,IF(Table_Query_from_Actuarial___Production[RecordType]="ALAE Reserve",Table_Query_from_Actuarial___Production[SumOfAmount],0),0),0))+SUM(IF(Table_Query_from_Actuarial___Production[EffectiveYear]='Operating Results'!$A25,IF(Table_Query_from_Actuarial___Production[StateName]=$F$1,IF(Table_Query_from_Actuarial___Production[RecordType]="Claims Expense",Table_Query_from_Actuarial___Production[SumOfAmount],0),0),0)))</f>
        <v>41663595.489999995</v>
      </c>
      <c r="F25" s="25">
        <f t="array" ref="F25">SUM(IF(Table_Query_from_Actuarial___Production[EffectiveYear]='Operating Results'!$A25,IF(Table_Query_from_Actuarial___Production[StateName]=$F$1,IF(Table_Query_from_Actuarial___Production[RecordType]="Operating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Results'!$A25,IF(Table_Query_from_Actuarial___Production[StateName]=$F$1,IF(Table_Query_from_Actuarial___Production[RecordType]="Premium Tax",Table_Query_from_Actuarial___Production[SumOfAmount],0),0),0))+SUM(IF(Table_Query_from_Actuarial___Production[EffectiveYear]='Operating Results'!$A25,IF(Table_Query_from_Actuarial___Production[StateName]=$F$1,IF(Table_Query_from_Actuarial___Production[RecordType]="Commissions",Table_Query_from_Actuarial___Production[SumOfAmount],0),0),0))+SUM(IF(Table_Query_from_Actuarial___Production[EffectiveYear]='Operating Results'!$A25,IF(Table_Query_from_Actuarial___Production[StateName]=$F$1,IF(Table_Query_from_Actuarial___Production[RecordType]="PDR",Table_Query_from_Actuarial___Production[SumOfAmount],0),0),0))+SUM(IF(Table_Query_from_Actuarial___Production[EffectiveYear]='Operating Results'!$A25,IF(Table_Query_from_Actuarial___Production[StateName]=$F$1,IF(Table_Query_from_Actuarial___Production[RecordType]="CPAI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Results'!$A25,IF(Table_Query_from_Actuarial___Production[StateName]=$F$1,IF(Table_Query_from_Actuarial___Production[RecordType]="Claims Expense",Table_Query_from_Actuarial___Production[SumOfAmount],0),0),0)),0)</f>
        <v>73707737.299999997</v>
      </c>
      <c r="G25" s="26">
        <f t="shared" si="1"/>
        <v>-162185342.36000004</v>
      </c>
      <c r="H25" s="25">
        <f t="array" ref="H25">SUM(IF(Table_Query_from_Actuarial___Production[EffectiveYear]='Operating Results'!$A25,IF(Table_Query_from_Actuarial___Production[StateName]=$F$1,IF(Table_Query_from_Actuarial___Production[RecordType]="Misc. Expense",Table_Query_from_Actuarial___Production[SumOfAmount],0),0),0))+SUM(IF(Table_Query_from_Actuarial___Production[EffectiveYear]='Operating Results'!$A25,IF(Table_Query_from_Actuarial___Production[StateName]=$F$1,IF(Table_Query_from_Actuarial___Production[RecordType]="Charge-offs",Table_Query_from_Actuarial___Production[SumOfAmount],0),0),0))-SUM(IF(Table_Query_from_Actuarial___Production[EffectiveYear]='Operating Results'!$A25,IF(Table_Query_from_Actuarial___Production[StateName]=$F$1,IF(Table_Query_from_Actuarial___Production[RecordType]="Misc. Income",Table_Query_from_Actuarial___Production[SumOfAmount],0),0),0))-SUM(IF(Table_Query_from_Actuarial___Production[EffectiveYear]='Operating Results'!$A25,IF(Table_Query_from_Actuarial___Production[StateName]=$F$1,IF(Table_Query_from_Actuarial___Production[RecordType]="Investment Income",Table_Query_from_Actuarial___Production[SumOfAmount],0),0),0))</f>
        <v>13121332.190000003</v>
      </c>
      <c r="I25" s="26">
        <f t="shared" si="2"/>
        <v>-175306674.55000004</v>
      </c>
      <c r="J25" s="53">
        <f t="shared" si="3"/>
        <v>1.1708000000000001</v>
      </c>
      <c r="K25" s="53">
        <f t="shared" si="4"/>
        <v>0.152</v>
      </c>
      <c r="L25" s="53">
        <f t="shared" si="5"/>
        <v>0.26879999999999998</v>
      </c>
      <c r="M25" s="54">
        <f t="shared" si="6"/>
        <v>1.5915999999999999</v>
      </c>
      <c r="N25" s="53">
        <f t="shared" si="7"/>
        <v>1.6395</v>
      </c>
      <c r="O25" s="26"/>
      <c r="P25" s="21"/>
      <c r="R25" t="s">
        <v>48</v>
      </c>
      <c r="S25" t="s">
        <v>231</v>
      </c>
      <c r="T25" t="s">
        <v>443</v>
      </c>
      <c r="U25" s="21">
        <v>9640.6299999999992</v>
      </c>
      <c r="V25" s="21" t="s">
        <v>368</v>
      </c>
      <c r="W25" t="str">
        <f>VLOOKUP(Table_Query_from_Actuarial___Production[[#This Row],[Kor1]],$AI$3:$AK$105,3,FALSE)</f>
        <v>Anticipated Salvage</v>
      </c>
      <c r="X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"/>
      <c r="Z25" t="s">
        <v>17</v>
      </c>
      <c r="AA25" t="s">
        <v>237</v>
      </c>
      <c r="AB25" t="s">
        <v>441</v>
      </c>
      <c r="AC25" s="21">
        <v>6555985.9900000002</v>
      </c>
      <c r="AD25" s="21" t="s">
        <v>368</v>
      </c>
      <c r="AE25" t="str">
        <f>VLOOKUP(Table_Query_from_Actuarial___Production3[[#This Row],[Kor1]],$AI$3:$AK$105,3,FALSE)</f>
        <v>IBNR</v>
      </c>
      <c r="AF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5" s="4" t="s">
        <v>62</v>
      </c>
      <c r="AJ25" s="5" t="s">
        <v>63</v>
      </c>
      <c r="AK25" s="6" t="s">
        <v>63</v>
      </c>
      <c r="AM25" s="31" t="s">
        <v>247</v>
      </c>
      <c r="AN25" s="11" t="s">
        <v>291</v>
      </c>
      <c r="AP25" s="39" t="s">
        <v>395</v>
      </c>
    </row>
    <row r="26" spans="1:42" x14ac:dyDescent="0.2">
      <c r="A26" s="27" t="str">
        <f t="shared" si="0"/>
        <v>2022</v>
      </c>
      <c r="B26" s="25">
        <f t="array" ref="B26">SUM(IF(Table_Query_from_Actuarial___Production[EffectiveYear]='Operating Results'!$A26,IF(Table_Query_from_Actuarial___Production[StateName]=$F$1,IF(Table_Query_from_Actuarial___Production[RecordType]="Premiums Written",Table_Query_from_Actuarial___Production[SumOfAmount],0),0),0))</f>
        <v>231610009.19999999</v>
      </c>
      <c r="C26" s="25">
        <f t="array" ref="C26">SUM(IF(Table_Query_from_Actuarial___Production[EffectiveYear]='Operating Results'!$A26,IF(Table_Query_from_Actuarial___Production[StateName]=$F$1,IF(Table_Query_from_Actuarial___Production[RecordType]="Premiums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Results'!$A26,IF(Table_Query_from_Actuarial___Production[StateName]=$F$1,IF(Table_Query_from_Actuarial___Production[RecordType]="EBUB",Table_Query_from_Actuarial___Production[SumOfAmount],0),0),0))-SUM(IF(Table_Query_from_Actuarial___Production[EffectiveYear]='Operating Results'!$A26,IF(Table_Query_from_Actuarial___Production[StateName]=$F$1,IF(Table_Query_from_Actuarial___Production[RecordType]="Unearned Premiums",Table_Query_from_Actuarial___Production[SumOfAmount],0),0),0))</f>
        <v>231789792.19999999</v>
      </c>
      <c r="D26" s="25">
        <f>'Loss &amp; Expense Detail'!B24+'Loss &amp; Expense Detail'!C24+'Loss &amp; Expense Detail'!D24</f>
        <v>311690659.31</v>
      </c>
      <c r="E26" s="25">
        <f t="array" ref="E26">IF(LEFT($F$1,14)="North Carolina",0,SUM(IF(Table_Query_from_Actuarial___Production[EffectiveYear]='Operating Results'!$A26,IF(Table_Query_from_Actuarial___Production[StateName]=$F$1,IF(Table_Query_from_Actuarial___Production[RecordType]="ALAE Paid",Table_Query_from_Actuarial___Production[SumOfAmount],0),0),0))+SUM(IF(Table_Query_from_Actuarial___Production[EffectiveYear]='Operating Results'!$A26,IF(Table_Query_from_Actuarial___Production[StateName]=$F$1,IF(Table_Query_from_Actuarial___Production[RecordType]="ALAE Reserve",Table_Query_from_Actuarial___Production[SumOfAmount],0),0),0))+SUM(IF(Table_Query_from_Actuarial___Production[EffectiveYear]='Operating Results'!$A26,IF(Table_Query_from_Actuarial___Production[StateName]=$F$1,IF(Table_Query_from_Actuarial___Production[RecordType]="Claims Expense",Table_Query_from_Actuarial___Production[SumOfAmount],0),0),0)))</f>
        <v>32694674.999999993</v>
      </c>
      <c r="F26" s="25">
        <f t="array" ref="F26">SUM(IF(Table_Query_from_Actuarial___Production[EffectiveYear]='Operating Results'!$A26,IF(Table_Query_from_Actuarial___Production[StateName]=$F$1,IF(Table_Query_from_Actuarial___Production[RecordType]="Operating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Results'!$A26,IF(Table_Query_from_Actuarial___Production[StateName]=$F$1,IF(Table_Query_from_Actuarial___Production[RecordType]="Premium Tax",Table_Query_from_Actuarial___Production[SumOfAmount],0),0),0))+SUM(IF(Table_Query_from_Actuarial___Production[EffectiveYear]='Operating Results'!$A26,IF(Table_Query_from_Actuarial___Production[StateName]=$F$1,IF(Table_Query_from_Actuarial___Production[RecordType]="Commissions",Table_Query_from_Actuarial___Production[SumOfAmount],0),0),0))+SUM(IF(Table_Query_from_Actuarial___Production[EffectiveYear]='Operating Results'!$A26,IF(Table_Query_from_Actuarial___Production[StateName]=$F$1,IF(Table_Query_from_Actuarial___Production[RecordType]="PDR",Table_Query_from_Actuarial___Production[SumOfAmount],0),0),0))+SUM(IF(Table_Query_from_Actuarial___Production[EffectiveYear]='Operating Results'!$A26,IF(Table_Query_from_Actuarial___Production[StateName]=$F$1,IF(Table_Query_from_Actuarial___Production[RecordType]="CPAI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Results'!$A26,IF(Table_Query_from_Actuarial___Production[StateName]=$F$1,IF(Table_Query_from_Actuarial___Production[RecordType]="Claims Expense",Table_Query_from_Actuarial___Production[SumOfAmount],0),0),0)),0)</f>
        <v>61667869.289999999</v>
      </c>
      <c r="G26" s="26">
        <f t="shared" si="1"/>
        <v>-174263411.40000001</v>
      </c>
      <c r="H26" s="25">
        <f t="array" ref="H26">SUM(IF(Table_Query_from_Actuarial___Production[EffectiveYear]='Operating Results'!$A26,IF(Table_Query_from_Actuarial___Production[StateName]=$F$1,IF(Table_Query_from_Actuarial___Production[RecordType]="Misc. Expense",Table_Query_from_Actuarial___Production[SumOfAmount],0),0),0))+SUM(IF(Table_Query_from_Actuarial___Production[EffectiveYear]='Operating Results'!$A26,IF(Table_Query_from_Actuarial___Production[StateName]=$F$1,IF(Table_Query_from_Actuarial___Production[RecordType]="Charge-offs",Table_Query_from_Actuarial___Production[SumOfAmount],0),0),0))-SUM(IF(Table_Query_from_Actuarial___Production[EffectiveYear]='Operating Results'!$A26,IF(Table_Query_from_Actuarial___Production[StateName]=$F$1,IF(Table_Query_from_Actuarial___Production[RecordType]="Misc. Income",Table_Query_from_Actuarial___Production[SumOfAmount],0),0),0))-SUM(IF(Table_Query_from_Actuarial___Production[EffectiveYear]='Operating Results'!$A26,IF(Table_Query_from_Actuarial___Production[StateName]=$F$1,IF(Table_Query_from_Actuarial___Production[RecordType]="Investment Income",Table_Query_from_Actuarial___Production[SumOfAmount],0),0),0))</f>
        <v>9382381.730000006</v>
      </c>
      <c r="I26" s="26">
        <f t="shared" si="2"/>
        <v>-183645793.13000003</v>
      </c>
      <c r="J26" s="53">
        <f t="shared" si="3"/>
        <v>1.3447</v>
      </c>
      <c r="K26" s="53">
        <f t="shared" si="4"/>
        <v>0.1411</v>
      </c>
      <c r="L26" s="53">
        <f t="shared" si="5"/>
        <v>0.26629999999999998</v>
      </c>
      <c r="M26" s="54">
        <f t="shared" si="6"/>
        <v>1.7521</v>
      </c>
      <c r="N26" s="53">
        <f t="shared" si="7"/>
        <v>1.7926</v>
      </c>
      <c r="O26" s="26"/>
      <c r="R26" t="s">
        <v>3</v>
      </c>
      <c r="S26" t="s">
        <v>228</v>
      </c>
      <c r="T26" t="s">
        <v>443</v>
      </c>
      <c r="U26" s="21">
        <v>465655</v>
      </c>
      <c r="V26" s="21" t="s">
        <v>368</v>
      </c>
      <c r="W26" t="str">
        <f>VLOOKUP(Table_Query_from_Actuarial___Production[[#This Row],[Kor1]],$AI$3:$AK$105,3,FALSE)</f>
        <v>Premiums Written</v>
      </c>
      <c r="X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"/>
      <c r="Z26" t="s">
        <v>48</v>
      </c>
      <c r="AA26" t="s">
        <v>231</v>
      </c>
      <c r="AB26" t="s">
        <v>443</v>
      </c>
      <c r="AC26" s="21">
        <v>1216.71</v>
      </c>
      <c r="AD26" s="21" t="s">
        <v>368</v>
      </c>
      <c r="AE26" t="str">
        <f>VLOOKUP(Table_Query_from_Actuarial___Production3[[#This Row],[Kor1]],$AI$3:$AK$105,3,FALSE)</f>
        <v>Anticipated Salvage</v>
      </c>
      <c r="AF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6" s="9" t="s">
        <v>64</v>
      </c>
      <c r="AJ26" s="8" t="s">
        <v>65</v>
      </c>
      <c r="AK26" s="7" t="s">
        <v>65</v>
      </c>
      <c r="AM26" s="31" t="s">
        <v>248</v>
      </c>
      <c r="AN26" s="11" t="s">
        <v>292</v>
      </c>
      <c r="AP26" s="39" t="s">
        <v>396</v>
      </c>
    </row>
    <row r="27" spans="1:42" x14ac:dyDescent="0.2">
      <c r="A27" s="27" t="str">
        <f t="shared" si="0"/>
        <v>2023</v>
      </c>
      <c r="B27" s="25">
        <f t="array" ref="B27">SUM(IF(Table_Query_from_Actuarial___Production[EffectiveYear]='Operating Results'!$A27,IF(Table_Query_from_Actuarial___Production[StateName]=$F$1,IF(Table_Query_from_Actuarial___Production[RecordType]="Premiums Written",Table_Query_from_Actuarial___Production[SumOfAmount],0),0),0))</f>
        <v>208945645</v>
      </c>
      <c r="C27" s="25">
        <f t="array" ref="C27">SUM(IF(Table_Query_from_Actuarial___Production[EffectiveYear]='Operating Results'!$A27,IF(Table_Query_from_Actuarial___Production[StateName]=$F$1,IF(Table_Query_from_Actuarial___Production[RecordType]="Premiums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Results'!$A27,IF(Table_Query_from_Actuarial___Production[StateName]=$F$1,IF(Table_Query_from_Actuarial___Production[RecordType]="EBUB",Table_Query_from_Actuarial___Production[SumOfAmount],0),0),0))-SUM(IF(Table_Query_from_Actuarial___Production[EffectiveYear]='Operating Results'!$A27,IF(Table_Query_from_Actuarial___Production[StateName]=$F$1,IF(Table_Query_from_Actuarial___Production[RecordType]="Unearned Premiums",Table_Query_from_Actuarial___Production[SumOfAmount],0),0),0))</f>
        <v>175301835.78999999</v>
      </c>
      <c r="D27" s="25">
        <f>'Loss &amp; Expense Detail'!B25+'Loss &amp; Expense Detail'!C25+'Loss &amp; Expense Detail'!D25</f>
        <v>183355693.94</v>
      </c>
      <c r="E27" s="25">
        <f t="array" ref="E27">IF(LEFT($F$1,14)="North Carolina",0,SUM(IF(Table_Query_from_Actuarial___Production[EffectiveYear]='Operating Results'!$A27,IF(Table_Query_from_Actuarial___Production[StateName]=$F$1,IF(Table_Query_from_Actuarial___Production[RecordType]="ALAE Paid",Table_Query_from_Actuarial___Production[SumOfAmount],0),0),0))+SUM(IF(Table_Query_from_Actuarial___Production[EffectiveYear]='Operating Results'!$A27,IF(Table_Query_from_Actuarial___Production[StateName]=$F$1,IF(Table_Query_from_Actuarial___Production[RecordType]="ALAE Reserve",Table_Query_from_Actuarial___Production[SumOfAmount],0),0),0))+SUM(IF(Table_Query_from_Actuarial___Production[EffectiveYear]='Operating Results'!$A27,IF(Table_Query_from_Actuarial___Production[StateName]=$F$1,IF(Table_Query_from_Actuarial___Production[RecordType]="Claims Expense",Table_Query_from_Actuarial___Production[SumOfAmount],0),0),0)))</f>
        <v>17162019.410000004</v>
      </c>
      <c r="F27" s="25">
        <f t="array" ref="F27">SUM(IF(Table_Query_from_Actuarial___Production[EffectiveYear]='Operating Results'!$A27,IF(Table_Query_from_Actuarial___Production[StateName]=$F$1,IF(Table_Query_from_Actuarial___Production[RecordType]="Operating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Results'!$A27,IF(Table_Query_from_Actuarial___Production[StateName]=$F$1,IF(Table_Query_from_Actuarial___Production[RecordType]="Premium Tax",Table_Query_from_Actuarial___Production[SumOfAmount],0),0),0))+SUM(IF(Table_Query_from_Actuarial___Production[EffectiveYear]='Operating Results'!$A27,IF(Table_Query_from_Actuarial___Production[StateName]=$F$1,IF(Table_Query_from_Actuarial___Production[RecordType]="Commissions",Table_Query_from_Actuarial___Production[SumOfAmount],0),0),0))+SUM(IF(Table_Query_from_Actuarial___Production[EffectiveYear]='Operating Results'!$A27,IF(Table_Query_from_Actuarial___Production[StateName]=$F$1,IF(Table_Query_from_Actuarial___Production[RecordType]="PDR",Table_Query_from_Actuarial___Production[SumOfAmount],0),0),0))+SUM(IF(Table_Query_from_Actuarial___Production[EffectiveYear]='Operating Results'!$A27,IF(Table_Query_from_Actuarial___Production[StateName]=$F$1,IF(Table_Query_from_Actuarial___Production[RecordType]="CPAI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Results'!$A27,IF(Table_Query_from_Actuarial___Production[StateName]=$F$1,IF(Table_Query_from_Actuarial___Production[RecordType]="Claims Expense",Table_Query_from_Actuarial___Production[SumOfAmount],0),0),0)),0)</f>
        <v>60188351.399999991</v>
      </c>
      <c r="G27" s="26">
        <f t="shared" si="1"/>
        <v>-85404228.960000008</v>
      </c>
      <c r="H27" s="25">
        <f t="array" ref="H27">SUM(IF(Table_Query_from_Actuarial___Production[EffectiveYear]='Operating Results'!$A27,IF(Table_Query_from_Actuarial___Production[StateName]=$F$1,IF(Table_Query_from_Actuarial___Production[RecordType]="Misc. Expense",Table_Query_from_Actuarial___Production[SumOfAmount],0),0),0))+SUM(IF(Table_Query_from_Actuarial___Production[EffectiveYear]='Operating Results'!$A27,IF(Table_Query_from_Actuarial___Production[StateName]=$F$1,IF(Table_Query_from_Actuarial___Production[RecordType]="Charge-offs",Table_Query_from_Actuarial___Production[SumOfAmount],0),0),0))-SUM(IF(Table_Query_from_Actuarial___Production[EffectiveYear]='Operating Results'!$A27,IF(Table_Query_from_Actuarial___Production[StateName]=$F$1,IF(Table_Query_from_Actuarial___Production[RecordType]="Misc. Income",Table_Query_from_Actuarial___Production[SumOfAmount],0),0),0))-SUM(IF(Table_Query_from_Actuarial___Production[EffectiveYear]='Operating Results'!$A27,IF(Table_Query_from_Actuarial___Production[StateName]=$F$1,IF(Table_Query_from_Actuarial___Production[RecordType]="Investment Income",Table_Query_from_Actuarial___Production[SumOfAmount],0),0),0))</f>
        <v>8634129.1399999969</v>
      </c>
      <c r="I27" s="26">
        <f t="shared" si="2"/>
        <v>-94038358.100000009</v>
      </c>
      <c r="J27" s="53">
        <f t="shared" si="3"/>
        <v>1.0459000000000001</v>
      </c>
      <c r="K27" s="53">
        <f t="shared" si="4"/>
        <v>9.7900000000000001E-2</v>
      </c>
      <c r="L27" s="53">
        <f t="shared" si="5"/>
        <v>0.28810000000000002</v>
      </c>
      <c r="M27" s="54">
        <f t="shared" si="6"/>
        <v>1.4319000000000002</v>
      </c>
      <c r="N27" s="53">
        <f t="shared" si="7"/>
        <v>1.4732000000000001</v>
      </c>
      <c r="O27" s="26"/>
      <c r="R27" t="s">
        <v>19</v>
      </c>
      <c r="S27" t="s">
        <v>230</v>
      </c>
      <c r="T27" t="s">
        <v>8</v>
      </c>
      <c r="U27" s="21">
        <v>12614</v>
      </c>
      <c r="V27" s="21" t="s">
        <v>368</v>
      </c>
      <c r="W27" t="str">
        <f>VLOOKUP(Table_Query_from_Actuarial___Production[[#This Row],[Kor1]],$AI$3:$AK$105,3,FALSE)</f>
        <v>Misc. Expense for Insolvent Companies</v>
      </c>
      <c r="X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"/>
      <c r="Z27" t="s">
        <v>3</v>
      </c>
      <c r="AA27" t="s">
        <v>228</v>
      </c>
      <c r="AB27" t="s">
        <v>443</v>
      </c>
      <c r="AC27" s="21">
        <v>689037</v>
      </c>
      <c r="AD27" s="21" t="s">
        <v>368</v>
      </c>
      <c r="AE27" t="str">
        <f>VLOOKUP(Table_Query_from_Actuarial___Production3[[#This Row],[Kor1]],$AI$3:$AK$105,3,FALSE)</f>
        <v>Premiums Written</v>
      </c>
      <c r="AF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7" s="9" t="s">
        <v>66</v>
      </c>
      <c r="AJ27" s="5" t="s">
        <v>146</v>
      </c>
      <c r="AK27" s="6" t="s">
        <v>146</v>
      </c>
      <c r="AM27" s="31" t="s">
        <v>249</v>
      </c>
      <c r="AN27" s="11" t="s">
        <v>293</v>
      </c>
      <c r="AP27" s="39" t="s">
        <v>397</v>
      </c>
    </row>
    <row r="28" spans="1:42" x14ac:dyDescent="0.2">
      <c r="A28" s="27" t="str">
        <f>LEFT(U1,4)</f>
        <v>2024</v>
      </c>
      <c r="B28" s="25">
        <f t="array" ref="B28">SUM(IF(Table_Query_from_Actuarial___Production[EffectiveYear]='Operating Results'!$A28,IF(Table_Query_from_Actuarial___Production[StateName]=$F$1,IF(Table_Query_from_Actuarial___Production[RecordType]="Premiums Written",Table_Query_from_Actuarial___Production[SumOfAmount],0),0),0))</f>
        <v>101979604</v>
      </c>
      <c r="C28" s="25">
        <f t="array" ref="C28">SUM(IF(Table_Query_from_Actuarial___Production[EffectiveYear]='Operating Results'!$A28,IF(Table_Query_from_Actuarial___Production[StateName]=$F$1,IF(Table_Query_from_Actuarial___Production[RecordType]="Premiums Written",Table_Query_from_Actuarial___Production[SumOfAmount],0),0),0))+SUM(IF(Table_Query_from_Actuarial___Production[EffectiveYear]='Operating Results'!$A28,IF(Table_Query_from_Actuarial___Production[StateName]=$F$1,IF(Table_Query_from_Actuarial___Production[RecordType]="EBUB",Table_Query_from_Actuarial___Production[SumOfAmount],0),0),0))-SUM(IF(Table_Query_from_Actuarial___Production[EffectiveYear]='Operating Results'!$A28,IF(Table_Query_from_Actuarial___Production[StateName]=$F$1,IF(Table_Query_from_Actuarial___Production[RecordType]="Unearned Premiums",Table_Query_from_Actuarial___Production[SumOfAmount],0),0),0))</f>
        <v>23710813.020000041</v>
      </c>
      <c r="D28" s="25">
        <f>'Loss &amp; Expense Detail'!B26+'Loss &amp; Expense Detail'!C26+'Loss &amp; Expense Detail'!D26</f>
        <v>19461732.110000003</v>
      </c>
      <c r="E28" s="25">
        <f t="array" ref="E28">IF(LEFT($F$1,14)="North Carolina",0,SUM(IF(Table_Query_from_Actuarial___Production[EffectiveYear]='Operating Results'!$A28,IF(Table_Query_from_Actuarial___Production[StateName]=$F$1,IF(Table_Query_from_Actuarial___Production[RecordType]="ALAE Paid",Table_Query_from_Actuarial___Production[SumOfAmount],0),0),0))+SUM(IF(Table_Query_from_Actuarial___Production[EffectiveYear]='Operating Results'!$A28,IF(Table_Query_from_Actuarial___Production[StateName]=$F$1,IF(Table_Query_from_Actuarial___Production[RecordType]="ALAE Reserve",Table_Query_from_Actuarial___Production[SumOfAmount],0),0),0))+SUM(IF(Table_Query_from_Actuarial___Production[EffectiveYear]='Operating Results'!$A28,IF(Table_Query_from_Actuarial___Production[StateName]=$F$1,IF(Table_Query_from_Actuarial___Production[RecordType]="Claims Expense",Table_Query_from_Actuarial___Production[SumOfAmount],0),0),0)))</f>
        <v>2144323.9999999995</v>
      </c>
      <c r="F28" s="25">
        <f t="array" ref="F28">SUM(IF(Table_Query_from_Actuarial___Production[EffectiveYear]='Operating Results'!$A28,IF(Table_Query_from_Actuarial___Production[StateName]=$F$1,IF(Table_Query_from_Actuarial___Production[RecordType]="Operating Service Fees",Table_Query_from_Actuarial___Production[SumOfAmount],0),0),0))+SUM(IF(Table_Query_from_Actuarial___Production[EffectiveYear]='Operating Results'!$A28,IF(Table_Query_from_Actuarial___Production[StateName]=$F$1,IF(Table_Query_from_Actuarial___Production[RecordType]="Premium Tax",Table_Query_from_Actuarial___Production[SumOfAmount],0),0),0))+SUM(IF(Table_Query_from_Actuarial___Production[EffectiveYear]='Operating Results'!$A28,IF(Table_Query_from_Actuarial___Production[StateName]=$F$1,IF(Table_Query_from_Actuarial___Production[RecordType]="Commissions",Table_Query_from_Actuarial___Production[SumOfAmount],0),0),0))+SUM(IF(Table_Query_from_Actuarial___Production[EffectiveYear]='Operating Results'!$A28,IF(Table_Query_from_Actuarial___Production[StateName]=$F$1,IF(Table_Query_from_Actuarial___Production[RecordType]="PDR",Table_Query_from_Actuarial___Production[SumOfAmount],0),0),0))+SUM(IF(Table_Query_from_Actuarial___Production[EffectiveYear]='Operating Results'!$A28,IF(Table_Query_from_Actuarial___Production[StateName]=$F$1,IF(Table_Query_from_Actuarial___Production[RecordType]="CPAI Charge-offs",Table_Query_from_Actuarial___Production[SumOfAmount],0),0),0))+IF(LEFT($F$1,23)="North Carolina Facility",+SUM(IF(Table_Query_from_Actuarial___Production[EffectiveYear]='Operating Results'!$A28,IF(Table_Query_from_Actuarial___Production[StateName]=$F$1,IF(Table_Query_from_Actuarial___Production[RecordType]="Claims Expense",Table_Query_from_Actuarial___Production[SumOfAmount],0),0),0)),0)</f>
        <v>49385776.940000005</v>
      </c>
      <c r="G28" s="26">
        <f t="shared" si="1"/>
        <v>-47281020.029999964</v>
      </c>
      <c r="H28" s="25">
        <f t="array" ref="H28">SUM(IF(Table_Query_from_Actuarial___Production[EffectiveYear]='Operating Results'!$A28,IF(Table_Query_from_Actuarial___Production[StateName]=$F$1,IF(Table_Query_from_Actuarial___Production[RecordType]="Misc. Expense",Table_Query_from_Actuarial___Production[SumOfAmount],0),0),0))+SUM(IF(Table_Query_from_Actuarial___Production[EffectiveYear]='Operating Results'!$A28,IF(Table_Query_from_Actuarial___Production[StateName]=$F$1,IF(Table_Query_from_Actuarial___Production[RecordType]="Charge-offs",Table_Query_from_Actuarial___Production[SumOfAmount],0),0),0))-SUM(IF(Table_Query_from_Actuarial___Production[EffectiveYear]='Operating Results'!$A28,IF(Table_Query_from_Actuarial___Production[StateName]=$F$1,IF(Table_Query_from_Actuarial___Production[RecordType]="Misc. Income",Table_Query_from_Actuarial___Production[SumOfAmount],0),0),0))-SUM(IF(Table_Query_from_Actuarial___Production[EffectiveYear]='Operating Results'!$A28,IF(Table_Query_from_Actuarial___Production[StateName]=$F$1,IF(Table_Query_from_Actuarial___Production[RecordType]="Investment Income",Table_Query_from_Actuarial___Production[SumOfAmount],0),0),0))</f>
        <v>172661.74999999953</v>
      </c>
      <c r="I28" s="26">
        <f t="shared" si="2"/>
        <v>-47453681.779999964</v>
      </c>
      <c r="J28" s="53">
        <f t="shared" si="3"/>
        <v>0.82079999999999997</v>
      </c>
      <c r="K28" s="53">
        <f t="shared" si="4"/>
        <v>9.0399999999999994E-2</v>
      </c>
      <c r="L28" s="53">
        <f t="shared" si="5"/>
        <v>0.48430000000000001</v>
      </c>
      <c r="M28" s="54">
        <f t="shared" si="6"/>
        <v>1.3955</v>
      </c>
      <c r="N28" s="53">
        <f t="shared" si="7"/>
        <v>1.3972</v>
      </c>
      <c r="O28" s="26"/>
      <c r="R28" t="s">
        <v>48</v>
      </c>
      <c r="S28" t="s">
        <v>232</v>
      </c>
      <c r="T28" t="s">
        <v>433</v>
      </c>
      <c r="U28" s="21">
        <v>2284.34</v>
      </c>
      <c r="V28" s="21" t="s">
        <v>368</v>
      </c>
      <c r="W28" t="str">
        <f>VLOOKUP(Table_Query_from_Actuarial___Production[[#This Row],[Kor1]],$AI$3:$AK$105,3,FALSE)</f>
        <v>Anticipated Salvage</v>
      </c>
      <c r="X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"/>
      <c r="Z28" t="s">
        <v>48</v>
      </c>
      <c r="AA28" t="s">
        <v>244</v>
      </c>
      <c r="AB28" t="s">
        <v>427</v>
      </c>
      <c r="AC28" s="21">
        <v>729.74</v>
      </c>
      <c r="AD28" s="21" t="s">
        <v>368</v>
      </c>
      <c r="AE28" t="str">
        <f>VLOOKUP(Table_Query_from_Actuarial___Production3[[#This Row],[Kor1]],$AI$3:$AK$105,3,FALSE)</f>
        <v>Anticipated Salvage</v>
      </c>
      <c r="AF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8" s="9" t="s">
        <v>18</v>
      </c>
      <c r="AJ28" s="5" t="s">
        <v>67</v>
      </c>
      <c r="AK28" s="6" t="s">
        <v>93</v>
      </c>
      <c r="AM28" s="31" t="s">
        <v>250</v>
      </c>
      <c r="AN28" s="11" t="s">
        <v>424</v>
      </c>
      <c r="AP28" s="39" t="s">
        <v>398</v>
      </c>
    </row>
    <row r="29" spans="1:42" x14ac:dyDescent="0.2">
      <c r="A29" s="46" t="s">
        <v>118</v>
      </c>
      <c r="B29" s="47">
        <f t="shared" ref="B29:I29" si="8">SUM(B17:B28)</f>
        <v>1819878975.0899999</v>
      </c>
      <c r="C29" s="47">
        <f t="shared" si="8"/>
        <v>1708146157.8999999</v>
      </c>
      <c r="D29" s="47">
        <f t="shared" si="8"/>
        <v>1890546450.4800003</v>
      </c>
      <c r="E29" s="47">
        <f t="shared" si="8"/>
        <v>254371995.81999996</v>
      </c>
      <c r="F29" s="47">
        <f t="shared" si="8"/>
        <v>529559350.87</v>
      </c>
      <c r="G29" s="47">
        <f t="shared" si="8"/>
        <v>-966331639.2700001</v>
      </c>
      <c r="H29" s="47">
        <f t="shared" si="8"/>
        <v>95624267.439999998</v>
      </c>
      <c r="I29" s="47">
        <f t="shared" si="8"/>
        <v>-1061955906.7100002</v>
      </c>
      <c r="J29" s="55">
        <f>IFERROR(ROUND(D29/C29,4),"N/A")</f>
        <v>1.1068</v>
      </c>
      <c r="K29" s="55">
        <f>IFERROR(ROUND(E29/C29,4),"N/A")</f>
        <v>0.1489</v>
      </c>
      <c r="L29" s="55">
        <f>IFERROR(ROUND(F29/B29,4),"N/A")</f>
        <v>0.29099999999999998</v>
      </c>
      <c r="M29" s="55">
        <f>IFERROR(J29+K29+L29,"N/A")</f>
        <v>1.5467</v>
      </c>
      <c r="N29" s="56">
        <f t="shared" si="7"/>
        <v>1.5992</v>
      </c>
      <c r="O29" s="26"/>
      <c r="R29" t="s">
        <v>50</v>
      </c>
      <c r="S29" t="s">
        <v>230</v>
      </c>
      <c r="T29" t="s">
        <v>356</v>
      </c>
      <c r="U29" s="21">
        <v>65211.8</v>
      </c>
      <c r="V29" s="21" t="s">
        <v>368</v>
      </c>
      <c r="W29" t="str">
        <f>VLOOKUP(Table_Query_from_Actuarial___Production[[#This Row],[Kor1]],$AI$3:$AK$105,3,FALSE)</f>
        <v>ALAE Reserve</v>
      </c>
      <c r="X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"/>
      <c r="Z29" t="s">
        <v>32</v>
      </c>
      <c r="AA29" t="s">
        <v>236</v>
      </c>
      <c r="AB29" t="s">
        <v>5</v>
      </c>
      <c r="AC29" s="21">
        <v>-1743.08</v>
      </c>
      <c r="AD29" s="21" t="s">
        <v>368</v>
      </c>
      <c r="AE29" t="str">
        <f>VLOOKUP(Table_Query_from_Actuarial___Production3[[#This Row],[Kor1]],$AI$3:$AK$105,3,FALSE)</f>
        <v>Misc. Expense</v>
      </c>
      <c r="AF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29" s="9" t="s">
        <v>38</v>
      </c>
      <c r="AJ29" s="5" t="s">
        <v>68</v>
      </c>
      <c r="AK29" s="6" t="s">
        <v>83</v>
      </c>
      <c r="AM29" s="31" t="s">
        <v>352</v>
      </c>
      <c r="AN29" s="11" t="s">
        <v>353</v>
      </c>
      <c r="AP29" s="39" t="s">
        <v>399</v>
      </c>
    </row>
    <row r="30" spans="1:42" x14ac:dyDescent="0.2">
      <c r="A30" s="13"/>
      <c r="B30" s="26"/>
      <c r="C30" s="26"/>
      <c r="D30" s="26"/>
      <c r="E30" s="26"/>
      <c r="F30" s="26"/>
      <c r="G30" s="26"/>
      <c r="H30" s="26"/>
      <c r="I30" s="26"/>
      <c r="J30" s="43"/>
      <c r="K30" s="43"/>
      <c r="L30" s="43"/>
      <c r="M30" s="43"/>
      <c r="N30" s="44"/>
      <c r="R30" t="s">
        <v>44</v>
      </c>
      <c r="S30" t="s">
        <v>255</v>
      </c>
      <c r="T30" t="s">
        <v>427</v>
      </c>
      <c r="U30" s="21">
        <v>0.8</v>
      </c>
      <c r="V30" s="21" t="s">
        <v>368</v>
      </c>
      <c r="W30" t="str">
        <f>VLOOKUP(Table_Query_from_Actuarial___Production[[#This Row],[Kor1]],$AI$3:$AK$105,3,FALSE)</f>
        <v>Charge-offs</v>
      </c>
      <c r="X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"/>
      <c r="Z30" t="s">
        <v>19</v>
      </c>
      <c r="AA30" t="s">
        <v>230</v>
      </c>
      <c r="AB30" t="s">
        <v>8</v>
      </c>
      <c r="AC30" s="21">
        <v>12614</v>
      </c>
      <c r="AD30" s="21" t="s">
        <v>368</v>
      </c>
      <c r="AE30" t="str">
        <f>VLOOKUP(Table_Query_from_Actuarial___Production3[[#This Row],[Kor1]],$AI$3:$AK$105,3,FALSE)</f>
        <v>Misc. Expense for Insolvent Companies</v>
      </c>
      <c r="AF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0" s="9" t="s">
        <v>147</v>
      </c>
      <c r="AJ30" s="5" t="s">
        <v>148</v>
      </c>
      <c r="AK30" s="6" t="s">
        <v>148</v>
      </c>
      <c r="AM30" s="31" t="s">
        <v>4</v>
      </c>
      <c r="AN30" s="11" t="s">
        <v>294</v>
      </c>
      <c r="AP30" s="39" t="s">
        <v>400</v>
      </c>
    </row>
    <row r="31" spans="1:42" x14ac:dyDescent="0.2">
      <c r="R31" t="s">
        <v>49</v>
      </c>
      <c r="S31" t="s">
        <v>258</v>
      </c>
      <c r="T31" t="s">
        <v>7</v>
      </c>
      <c r="U31" s="21">
        <v>84018.39</v>
      </c>
      <c r="V31" s="21" t="s">
        <v>368</v>
      </c>
      <c r="W31" t="str">
        <f>VLOOKUP(Table_Query_from_Actuarial___Production[[#This Row],[Kor1]],$AI$3:$AK$105,3,FALSE)</f>
        <v>ALAE Paid</v>
      </c>
      <c r="X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"/>
      <c r="Z31" t="s">
        <v>48</v>
      </c>
      <c r="AA31" t="s">
        <v>232</v>
      </c>
      <c r="AB31" t="s">
        <v>433</v>
      </c>
      <c r="AC31" s="21">
        <v>2618.46</v>
      </c>
      <c r="AD31" s="21" t="s">
        <v>368</v>
      </c>
      <c r="AE31" t="str">
        <f>VLOOKUP(Table_Query_from_Actuarial___Production3[[#This Row],[Kor1]],$AI$3:$AK$105,3,FALSE)</f>
        <v>Anticipated Salvage</v>
      </c>
      <c r="AF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1" s="9" t="s">
        <v>43</v>
      </c>
      <c r="AJ31" s="5" t="s">
        <v>69</v>
      </c>
      <c r="AK31" s="6" t="s">
        <v>70</v>
      </c>
      <c r="AM31" s="31" t="s">
        <v>251</v>
      </c>
      <c r="AN31" s="11" t="s">
        <v>295</v>
      </c>
      <c r="AP31" s="39" t="s">
        <v>401</v>
      </c>
    </row>
    <row r="32" spans="1:42" x14ac:dyDescent="0.2">
      <c r="A32" s="59" t="str">
        <f>"Experience by Active Policy Year Through "&amp;IF(RIGHT('Operating Results'!U1,1)="4","4th Calendar Quarter ",IF(RIGHT('Operating Results'!U1,1)="3","3rd Calendar Quarter ",IF(RIGHT('Operating Results'!U1,1)="2","2nd Calendar Quarter ","1st Calendar Quarter ")))&amp;LEFT('Operating Results'!AC1,4)</f>
        <v>Experience by Active Policy Year Through 2nd Calendar Quarter 2023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R32" t="s">
        <v>10</v>
      </c>
      <c r="S32" t="s">
        <v>259</v>
      </c>
      <c r="T32" t="s">
        <v>445</v>
      </c>
      <c r="U32" s="21">
        <v>1707.38</v>
      </c>
      <c r="V32" s="21" t="s">
        <v>368</v>
      </c>
      <c r="W32" t="str">
        <f>VLOOKUP(Table_Query_from_Actuarial___Production[[#This Row],[Kor1]],$AI$3:$AK$105,3,FALSE)</f>
        <v>Commissions</v>
      </c>
      <c r="X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"/>
      <c r="Z32" t="s">
        <v>50</v>
      </c>
      <c r="AA32" t="s">
        <v>230</v>
      </c>
      <c r="AB32" t="s">
        <v>356</v>
      </c>
      <c r="AC32" s="21">
        <v>431611.06</v>
      </c>
      <c r="AD32" s="21" t="s">
        <v>368</v>
      </c>
      <c r="AE32" t="str">
        <f>VLOOKUP(Table_Query_from_Actuarial___Production3[[#This Row],[Kor1]],$AI$3:$AK$105,3,FALSE)</f>
        <v>ALAE Reserve</v>
      </c>
      <c r="AF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2" s="9" t="s">
        <v>46</v>
      </c>
      <c r="AJ32" s="5" t="s">
        <v>81</v>
      </c>
      <c r="AK32" s="6" t="s">
        <v>81</v>
      </c>
      <c r="AM32" s="31" t="s">
        <v>252</v>
      </c>
      <c r="AN32" s="11" t="s">
        <v>349</v>
      </c>
      <c r="AP32" s="39" t="s">
        <v>423</v>
      </c>
    </row>
    <row r="33" spans="1:42" x14ac:dyDescent="0.2">
      <c r="R33" t="s">
        <v>40</v>
      </c>
      <c r="S33" t="s">
        <v>259</v>
      </c>
      <c r="T33" t="s">
        <v>7</v>
      </c>
      <c r="U33" s="21">
        <v>145</v>
      </c>
      <c r="V33" s="21" t="s">
        <v>368</v>
      </c>
      <c r="W33" t="str">
        <f>VLOOKUP(Table_Query_from_Actuarial___Production[[#This Row],[Kor1]],$AI$3:$AK$105,3,FALSE)</f>
        <v>Misc. Income</v>
      </c>
      <c r="X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"/>
      <c r="Z33" t="s">
        <v>44</v>
      </c>
      <c r="AA33" t="s">
        <v>255</v>
      </c>
      <c r="AB33" t="s">
        <v>427</v>
      </c>
      <c r="AC33" s="21">
        <v>0.8</v>
      </c>
      <c r="AD33" s="21" t="s">
        <v>368</v>
      </c>
      <c r="AE33" t="str">
        <f>VLOOKUP(Table_Query_from_Actuarial___Production3[[#This Row],[Kor1]],$AI$3:$AK$105,3,FALSE)</f>
        <v>Charge-offs</v>
      </c>
      <c r="AF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3" s="4" t="s">
        <v>44</v>
      </c>
      <c r="AJ33" s="5" t="s">
        <v>71</v>
      </c>
      <c r="AK33" s="6" t="s">
        <v>70</v>
      </c>
      <c r="AM33" s="31" t="s">
        <v>226</v>
      </c>
      <c r="AN33" s="11" t="s">
        <v>350</v>
      </c>
      <c r="AP33" s="39" t="s">
        <v>387</v>
      </c>
    </row>
    <row r="34" spans="1:42" x14ac:dyDescent="0.2">
      <c r="A34" s="27" t="str">
        <f>IF(RIGHT(AC1,1)="4","",TEXT(VALUE(A35-1),"0000"))</f>
        <v>2013</v>
      </c>
      <c r="B34" s="25">
        <f t="array" ref="B34">IF(A34="","",SUM(IF(Table_Query_from_Actuarial___Production3[EffectiveYear]='Operating Results'!$A34,IF(Table_Query_from_Actuarial___Production3[StateName]=$F$1,IF(Table_Query_from_Actuarial___Production3[RecordType]="Premiums Written",Table_Query_from_Actuarial___Production3[SumOfAmount],0),0),0)))</f>
        <v>47128433</v>
      </c>
      <c r="C34" s="25">
        <f t="array" ref="C34">IF(A34="","",SUM(IF(Table_Query_from_Actuarial___Production3[EffectiveYear]='Operating Results'!$A34,IF(Table_Query_from_Actuarial___Production3[StateName]=$F$1,IF(Table_Query_from_Actuarial___Production3[RecordType]="Premiums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Results'!$A34,IF(Table_Query_from_Actuarial___Production3[StateName]=$F$1,IF(Table_Query_from_Actuarial___Production3[RecordType]="EBUB",Table_Query_from_Actuarial___Production3[SumOfAmount],0),0),0))-SUM(IF(Table_Query_from_Actuarial___Production3[EffectiveYear]='Operating Results'!$A34,IF(Table_Query_from_Actuarial___Production3[StateName]=$F$1,IF(Table_Query_from_Actuarial___Production3[RecordType]="Unearned Premiums",Table_Query_from_Actuarial___Production3[SumOfAmount],0),0),0)))</f>
        <v>47128433</v>
      </c>
      <c r="D34" s="25">
        <f>IF(A34="","",'Loss &amp; Expense Detail'!B32+'Loss &amp; Expense Detail'!C32+'Loss &amp; Expense Detail'!D32)</f>
        <v>44944688.120000027</v>
      </c>
      <c r="E34" s="25">
        <f t="array" ref="E34">IF(A34="","",IF(LEFT($F$1,14)="North Carolina",0,SUM(IF(Table_Query_from_Actuarial___Production3[EffectiveYear]='Operating Results'!$A34,IF(Table_Query_from_Actuarial___Production3[StateName]=$F$1,IF(Table_Query_from_Actuarial___Production3[RecordType]="ALAE Paid",Table_Query_from_Actuarial___Production3[SumOfAmount],0),0),0))+SUM(IF(Table_Query_from_Actuarial___Production3[EffectiveYear]='Operating Results'!$A34,IF(Table_Query_from_Actuarial___Production3[StateName]=$F$1,IF(Table_Query_from_Actuarial___Production3[RecordType]="ALAE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Results'!$A34,IF(Table_Query_from_Actuarial___Production3[StateName]=$F$1,IF(Table_Query_from_Actuarial___Production3[RecordType]="Claims Expense",Table_Query_from_Actuarial___Production3[SumOfAmount],0),0),0))))</f>
        <v>8539401.5399999991</v>
      </c>
      <c r="F34" s="25">
        <f t="array" ref="F34">IF(A34="","",SUM(IF(Table_Query_from_Actuarial___Production3[EffectiveYear]='Operating Results'!$A34,IF(Table_Query_from_Actuarial___Production3[StateName]=$F$1,IF(Table_Query_from_Actuarial___Production3[RecordType]="Operating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Results'!$A34,IF(Table_Query_from_Actuarial___Production3[StateName]=$F$1,IF(Table_Query_from_Actuarial___Production3[RecordType]="Premium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34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Results'!$A34,IF(Table_Query_from_Actuarial___Production3[StateName]=$F$1,IF(Table_Query_from_Actuarial___Production3[RecordType]="PDR",Table_Query_from_Actuarial___Production3[SumOfAmount],0),0),0))+SUM(IF(Table_Query_from_Actuarial___Production3[EffectiveYear]='Operating Results'!$A34,IF(Table_Query_from_Actuarial___Production3[StateName]=$F$1,IF(Table_Query_from_Actuarial___Production3[RecordType]="CPAI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Results'!$A34,IF(Table_Query_from_Actuarial___Production3[StateName]=$F$1,IF(Table_Query_from_Actuarial___Production3[RecordType]="Claims Expense",Table_Query_from_Actuarial___Production3[SumOfAmount],0),0),0)),0))</f>
        <v>13741746.309999999</v>
      </c>
      <c r="G34" s="26">
        <f>IF(A34="","",C34-D34-E34-F34)</f>
        <v>-20097402.970000025</v>
      </c>
      <c r="H34" s="25">
        <f t="array" ref="H34">IF(A34="","",SUM(IF(Table_Query_from_Actuarial___Production3[EffectiveYear]='Operating Results'!$A34,IF(Table_Query_from_Actuarial___Production3[StateName]=$F$1,IF(Table_Query_from_Actuarial___Production3[RecordType]="Misc.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34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Results'!$A34,IF(Table_Query_from_Actuarial___Production3[StateName]=$F$1,IF(Table_Query_from_Actuarial___Production3[RecordType]="Misc.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Results'!$A34,IF(Table_Query_from_Actuarial___Production3[StateName]=$F$1,IF(Table_Query_from_Actuarial___Production3[RecordType]="Investment Income",Table_Query_from_Actuarial___Production3[SumOfAmount],0),0),0)))</f>
        <v>10325925.720000003</v>
      </c>
      <c r="I34" s="26">
        <f>IF(A34="","",G34-H34)</f>
        <v>-30423328.690000027</v>
      </c>
      <c r="J34" s="53">
        <f>IFERROR(IF(A34="","",ROUND(D34/C34,4)),"N/A")</f>
        <v>0.95369999999999999</v>
      </c>
      <c r="K34" s="53">
        <f>IFERROR(IF(A34="","",ROUND(E34/C34,4)),"N/A")</f>
        <v>0.1812</v>
      </c>
      <c r="L34" s="53">
        <f>IFERROR(IF(A34="","",ROUND(F34/B34,4)),"N/A")</f>
        <v>0.29160000000000003</v>
      </c>
      <c r="M34" s="53">
        <f>IFERROR(IF(A34="","",J34+K34+L34),"N/A")</f>
        <v>1.4265000000000001</v>
      </c>
      <c r="N34" s="53">
        <f>IFERROR(IF(A34="","",ROUND(M34+(H34/B34),4)),"N/A")</f>
        <v>1.6456</v>
      </c>
      <c r="R34" t="s">
        <v>48</v>
      </c>
      <c r="S34" t="s">
        <v>263</v>
      </c>
      <c r="T34" t="s">
        <v>427</v>
      </c>
      <c r="U34" s="21">
        <v>4190</v>
      </c>
      <c r="V34" s="21" t="s">
        <v>368</v>
      </c>
      <c r="W34" t="str">
        <f>VLOOKUP(Table_Query_from_Actuarial___Production[[#This Row],[Kor1]],$AI$3:$AK$105,3,FALSE)</f>
        <v>Anticipated Salvage</v>
      </c>
      <c r="X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"/>
      <c r="Z34" t="s">
        <v>49</v>
      </c>
      <c r="AA34" t="s">
        <v>258</v>
      </c>
      <c r="AB34" t="s">
        <v>7</v>
      </c>
      <c r="AC34" s="21">
        <v>84018.39</v>
      </c>
      <c r="AD34" s="21" t="s">
        <v>368</v>
      </c>
      <c r="AE34" t="str">
        <f>VLOOKUP(Table_Query_from_Actuarial___Production3[[#This Row],[Kor1]],$AI$3:$AK$105,3,FALSE)</f>
        <v>ALAE Paid</v>
      </c>
      <c r="AF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4" s="9" t="s">
        <v>149</v>
      </c>
      <c r="AJ34" s="5" t="s">
        <v>150</v>
      </c>
      <c r="AK34" s="6" t="s">
        <v>150</v>
      </c>
      <c r="AM34" s="31" t="s">
        <v>354</v>
      </c>
      <c r="AN34" s="11" t="s">
        <v>355</v>
      </c>
      <c r="AP34" s="39" t="s">
        <v>388</v>
      </c>
    </row>
    <row r="35" spans="1:42" x14ac:dyDescent="0.2">
      <c r="A35" s="27" t="str">
        <f t="shared" ref="A35:A43" si="9">TEXT(VALUE(A36-1),"0000")</f>
        <v>2014</v>
      </c>
      <c r="B35" s="25">
        <f t="array" ref="B35">SUM(IF(Table_Query_from_Actuarial___Production3[EffectiveYear]='Operating Results'!$A35,IF(Table_Query_from_Actuarial___Production3[StateName]=$F$1,IF(Table_Query_from_Actuarial___Production3[RecordType]="Premiums Written",Table_Query_from_Actuarial___Production3[SumOfAmount],0),0),0))</f>
        <v>60450365</v>
      </c>
      <c r="C35" s="25">
        <f t="array" ref="C35">SUM(IF(Table_Query_from_Actuarial___Production3[EffectiveYear]='Operating Results'!$A35,IF(Table_Query_from_Actuarial___Production3[StateName]=$F$1,IF(Table_Query_from_Actuarial___Production3[RecordType]="Premiums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Results'!$A35,IF(Table_Query_from_Actuarial___Production3[StateName]=$F$1,IF(Table_Query_from_Actuarial___Production3[RecordType]="EBUB",Table_Query_from_Actuarial___Production3[SumOfAmount],0),0),0))-SUM(IF(Table_Query_from_Actuarial___Production3[EffectiveYear]='Operating Results'!$A35,IF(Table_Query_from_Actuarial___Production3[StateName]=$F$1,IF(Table_Query_from_Actuarial___Production3[RecordType]="Unearned Premiums",Table_Query_from_Actuarial___Production3[SumOfAmount],0),0),0))</f>
        <v>60450365</v>
      </c>
      <c r="D35" s="25">
        <f>'Loss &amp; Expense Detail'!B33+'Loss &amp; Expense Detail'!C33+'Loss &amp; Expense Detail'!D33</f>
        <v>63928651.520000011</v>
      </c>
      <c r="E35" s="25">
        <f t="array" ref="E35">IF(LEFT($F$1,14)="North Carolina",0,SUM(IF(Table_Query_from_Actuarial___Production3[EffectiveYear]='Operating Results'!$A35,IF(Table_Query_from_Actuarial___Production3[StateName]=$F$1,IF(Table_Query_from_Actuarial___Production3[RecordType]="ALAE Paid",Table_Query_from_Actuarial___Production3[SumOfAmount],0),0),0))+SUM(IF(Table_Query_from_Actuarial___Production3[EffectiveYear]='Operating Results'!$A35,IF(Table_Query_from_Actuarial___Production3[StateName]=$F$1,IF(Table_Query_from_Actuarial___Production3[RecordType]="ALAE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Results'!$A35,IF(Table_Query_from_Actuarial___Production3[StateName]=$F$1,IF(Table_Query_from_Actuarial___Production3[RecordType]="Claims Expense",Table_Query_from_Actuarial___Production3[SumOfAmount],0),0),0)))</f>
        <v>10633720.809999999</v>
      </c>
      <c r="F35" s="25">
        <f t="array" ref="F35">SUM(IF(Table_Query_from_Actuarial___Production3[EffectiveYear]='Operating Results'!$A35,IF(Table_Query_from_Actuarial___Production3[StateName]=$F$1,IF(Table_Query_from_Actuarial___Production3[RecordType]="Operating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Results'!$A35,IF(Table_Query_from_Actuarial___Production3[StateName]=$F$1,IF(Table_Query_from_Actuarial___Production3[RecordType]="Premium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35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Results'!$A35,IF(Table_Query_from_Actuarial___Production3[StateName]=$F$1,IF(Table_Query_from_Actuarial___Production3[RecordType]="PDR",Table_Query_from_Actuarial___Production3[SumOfAmount],0),0),0))+SUM(IF(Table_Query_from_Actuarial___Production3[EffectiveYear]='Operating Results'!$A35,IF(Table_Query_from_Actuarial___Production3[StateName]=$F$1,IF(Table_Query_from_Actuarial___Production3[RecordType]="CPAI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Results'!$A35,IF(Table_Query_from_Actuarial___Production3[StateName]=$F$1,IF(Table_Query_from_Actuarial___Production3[RecordType]="Claims Expense",Table_Query_from_Actuarial___Production3[SumOfAmount],0),0),0)),0)</f>
        <v>17915291.050000001</v>
      </c>
      <c r="G35" s="26">
        <f t="shared" ref="G35:G44" si="10">C35-D35-E35-F35</f>
        <v>-32027298.38000001</v>
      </c>
      <c r="H35" s="25">
        <f t="array" ref="H35">SUM(IF(Table_Query_from_Actuarial___Production3[EffectiveYear]='Operating Results'!$A35,IF(Table_Query_from_Actuarial___Production3[StateName]=$F$1,IF(Table_Query_from_Actuarial___Production3[RecordType]="Misc.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35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Results'!$A35,IF(Table_Query_from_Actuarial___Production3[StateName]=$F$1,IF(Table_Query_from_Actuarial___Production3[RecordType]="Misc.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Results'!$A35,IF(Table_Query_from_Actuarial___Production3[StateName]=$F$1,IF(Table_Query_from_Actuarial___Production3[RecordType]="Investment Income",Table_Query_from_Actuarial___Production3[SumOfAmount],0),0),0))</f>
        <v>-3099506.949999996</v>
      </c>
      <c r="I35" s="26">
        <f t="shared" ref="I35:I44" si="11">G35-H35</f>
        <v>-28927791.430000015</v>
      </c>
      <c r="J35" s="53">
        <f t="shared" ref="J35:J44" si="12">IFERROR(IF(A35="","",ROUND(D35/C35,4)),"N/A")</f>
        <v>1.0575000000000001</v>
      </c>
      <c r="K35" s="53">
        <f t="shared" ref="K35:K44" si="13">IFERROR(IF(A35="","",ROUND(E35/C35,4)),"N/A")</f>
        <v>0.1759</v>
      </c>
      <c r="L35" s="53">
        <f t="shared" ref="L35:L44" si="14">IFERROR(IF(A35="","",ROUND(F35/B35,4)),"N/A")</f>
        <v>0.2964</v>
      </c>
      <c r="M35" s="54">
        <f t="shared" ref="M35:M44" si="15">IFERROR(J35+K35+L35,"N/A")</f>
        <v>1.5298</v>
      </c>
      <c r="N35" s="53">
        <f t="shared" ref="N35:N45" si="16">IFERROR(IF(A35="","",ROUND(M35+(H35/B35),4)),"N/A")</f>
        <v>1.4784999999999999</v>
      </c>
      <c r="R35" t="s">
        <v>46</v>
      </c>
      <c r="S35" t="s">
        <v>352</v>
      </c>
      <c r="T35" t="s">
        <v>356</v>
      </c>
      <c r="U35" s="21">
        <v>6363.98</v>
      </c>
      <c r="V35" s="21" t="s">
        <v>369</v>
      </c>
      <c r="W35" t="str">
        <f>VLOOKUP(Table_Query_from_Actuarial___Production[[#This Row],[Kor1]],$AI$3:$AK$105,3,FALSE)</f>
        <v>Investment Income</v>
      </c>
      <c r="X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5"/>
      <c r="Z35" t="s">
        <v>40</v>
      </c>
      <c r="AA35" t="s">
        <v>259</v>
      </c>
      <c r="AB35" t="s">
        <v>7</v>
      </c>
      <c r="AC35" s="21">
        <v>145</v>
      </c>
      <c r="AD35" s="21" t="s">
        <v>368</v>
      </c>
      <c r="AE35" t="str">
        <f>VLOOKUP(Table_Query_from_Actuarial___Production3[[#This Row],[Kor1]],$AI$3:$AK$105,3,FALSE)</f>
        <v>Misc. Income</v>
      </c>
      <c r="AF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5" s="9" t="s">
        <v>151</v>
      </c>
      <c r="AJ35" s="5" t="s">
        <v>152</v>
      </c>
      <c r="AK35" s="6" t="s">
        <v>152</v>
      </c>
      <c r="AM35" s="31" t="s">
        <v>253</v>
      </c>
      <c r="AN35" s="11" t="s">
        <v>296</v>
      </c>
      <c r="AP35" s="39" t="s">
        <v>402</v>
      </c>
    </row>
    <row r="36" spans="1:42" x14ac:dyDescent="0.2">
      <c r="A36" s="27" t="str">
        <f t="shared" si="9"/>
        <v>2015</v>
      </c>
      <c r="B36" s="25">
        <f t="array" ref="B36">SUM(IF(Table_Query_from_Actuarial___Production3[EffectiveYear]='Operating Results'!$A36,IF(Table_Query_from_Actuarial___Production3[StateName]=$F$1,IF(Table_Query_from_Actuarial___Production3[RecordType]="Premiums Written",Table_Query_from_Actuarial___Production3[SumOfAmount],0),0),0))</f>
        <v>85317449</v>
      </c>
      <c r="C36" s="25">
        <f t="array" ref="C36">SUM(IF(Table_Query_from_Actuarial___Production3[EffectiveYear]='Operating Results'!$A36,IF(Table_Query_from_Actuarial___Production3[StateName]=$F$1,IF(Table_Query_from_Actuarial___Production3[RecordType]="Premiums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Results'!$A36,IF(Table_Query_from_Actuarial___Production3[StateName]=$F$1,IF(Table_Query_from_Actuarial___Production3[RecordType]="EBUB",Table_Query_from_Actuarial___Production3[SumOfAmount],0),0),0))-SUM(IF(Table_Query_from_Actuarial___Production3[EffectiveYear]='Operating Results'!$A36,IF(Table_Query_from_Actuarial___Production3[StateName]=$F$1,IF(Table_Query_from_Actuarial___Production3[RecordType]="Unearned Premiums",Table_Query_from_Actuarial___Production3[SumOfAmount],0),0),0))</f>
        <v>85317449</v>
      </c>
      <c r="D36" s="25">
        <f>'Loss &amp; Expense Detail'!B34+'Loss &amp; Expense Detail'!C34+'Loss &amp; Expense Detail'!D34</f>
        <v>86745351.329999998</v>
      </c>
      <c r="E36" s="25">
        <f t="array" ref="E36">IF(LEFT($F$1,14)="North Carolina",0,SUM(IF(Table_Query_from_Actuarial___Production3[EffectiveYear]='Operating Results'!$A36,IF(Table_Query_from_Actuarial___Production3[StateName]=$F$1,IF(Table_Query_from_Actuarial___Production3[RecordType]="ALAE Paid",Table_Query_from_Actuarial___Production3[SumOfAmount],0),0),0))+SUM(IF(Table_Query_from_Actuarial___Production3[EffectiveYear]='Operating Results'!$A36,IF(Table_Query_from_Actuarial___Production3[StateName]=$F$1,IF(Table_Query_from_Actuarial___Production3[RecordType]="ALAE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Results'!$A36,IF(Table_Query_from_Actuarial___Production3[StateName]=$F$1,IF(Table_Query_from_Actuarial___Production3[RecordType]="Claims Expense",Table_Query_from_Actuarial___Production3[SumOfAmount],0),0),0)))</f>
        <v>14843254.529999997</v>
      </c>
      <c r="F36" s="25">
        <f t="array" ref="F36">SUM(IF(Table_Query_from_Actuarial___Production3[EffectiveYear]='Operating Results'!$A36,IF(Table_Query_from_Actuarial___Production3[StateName]=$F$1,IF(Table_Query_from_Actuarial___Production3[RecordType]="Operating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Results'!$A36,IF(Table_Query_from_Actuarial___Production3[StateName]=$F$1,IF(Table_Query_from_Actuarial___Production3[RecordType]="Premium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36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Results'!$A36,IF(Table_Query_from_Actuarial___Production3[StateName]=$F$1,IF(Table_Query_from_Actuarial___Production3[RecordType]="PDR",Table_Query_from_Actuarial___Production3[SumOfAmount],0),0),0))+SUM(IF(Table_Query_from_Actuarial___Production3[EffectiveYear]='Operating Results'!$A36,IF(Table_Query_from_Actuarial___Production3[StateName]=$F$1,IF(Table_Query_from_Actuarial___Production3[RecordType]="CPAI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Results'!$A36,IF(Table_Query_from_Actuarial___Production3[StateName]=$F$1,IF(Table_Query_from_Actuarial___Production3[RecordType]="Claims Expense",Table_Query_from_Actuarial___Production3[SumOfAmount],0),0),0)),0)</f>
        <v>24739892.919999998</v>
      </c>
      <c r="G36" s="26">
        <f t="shared" si="10"/>
        <v>-41011049.779999994</v>
      </c>
      <c r="H36" s="25">
        <f t="array" ref="H36">SUM(IF(Table_Query_from_Actuarial___Production3[EffectiveYear]='Operating Results'!$A36,IF(Table_Query_from_Actuarial___Production3[StateName]=$F$1,IF(Table_Query_from_Actuarial___Production3[RecordType]="Misc.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36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Results'!$A36,IF(Table_Query_from_Actuarial___Production3[StateName]=$F$1,IF(Table_Query_from_Actuarial___Production3[RecordType]="Misc.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Results'!$A36,IF(Table_Query_from_Actuarial___Production3[StateName]=$F$1,IF(Table_Query_from_Actuarial___Production3[RecordType]="Investment Income",Table_Query_from_Actuarial___Production3[SumOfAmount],0),0),0))</f>
        <v>7662821.4800000004</v>
      </c>
      <c r="I36" s="26">
        <f t="shared" si="11"/>
        <v>-48673871.25999999</v>
      </c>
      <c r="J36" s="53">
        <f t="shared" si="12"/>
        <v>1.0166999999999999</v>
      </c>
      <c r="K36" s="53">
        <f t="shared" si="13"/>
        <v>0.17399999999999999</v>
      </c>
      <c r="L36" s="53">
        <f t="shared" si="14"/>
        <v>0.28999999999999998</v>
      </c>
      <c r="M36" s="54">
        <f t="shared" si="15"/>
        <v>1.4806999999999999</v>
      </c>
      <c r="N36" s="53">
        <f t="shared" si="16"/>
        <v>1.5705</v>
      </c>
      <c r="R36" t="s">
        <v>41</v>
      </c>
      <c r="S36" t="s">
        <v>252</v>
      </c>
      <c r="T36" t="s">
        <v>7</v>
      </c>
      <c r="U36" s="21">
        <v>1841.53</v>
      </c>
      <c r="V36" s="21" t="s">
        <v>368</v>
      </c>
      <c r="W36" t="str">
        <f>VLOOKUP(Table_Query_from_Actuarial___Production[[#This Row],[Kor1]],$AI$3:$AK$105,3,FALSE)</f>
        <v>Misc. Income</v>
      </c>
      <c r="X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"/>
      <c r="Z36" t="s">
        <v>48</v>
      </c>
      <c r="AA36" t="s">
        <v>263</v>
      </c>
      <c r="AB36" t="s">
        <v>427</v>
      </c>
      <c r="AC36" s="21">
        <v>7170.85</v>
      </c>
      <c r="AD36" s="21" t="s">
        <v>368</v>
      </c>
      <c r="AE36" t="str">
        <f>VLOOKUP(Table_Query_from_Actuarial___Production3[[#This Row],[Kor1]],$AI$3:$AK$105,3,FALSE)</f>
        <v>Anticipated Salvage</v>
      </c>
      <c r="AF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6" s="9" t="s">
        <v>153</v>
      </c>
      <c r="AJ36" s="5" t="s">
        <v>154</v>
      </c>
      <c r="AK36" s="6" t="s">
        <v>154</v>
      </c>
      <c r="AM36" s="31" t="s">
        <v>254</v>
      </c>
      <c r="AN36" s="11" t="s">
        <v>297</v>
      </c>
      <c r="AP36" s="39" t="s">
        <v>432</v>
      </c>
    </row>
    <row r="37" spans="1:42" x14ac:dyDescent="0.2">
      <c r="A37" s="27" t="str">
        <f t="shared" si="9"/>
        <v>2016</v>
      </c>
      <c r="B37" s="25">
        <f t="array" ref="B37">SUM(IF(Table_Query_from_Actuarial___Production3[EffectiveYear]='Operating Results'!$A37,IF(Table_Query_from_Actuarial___Production3[StateName]=$F$1,IF(Table_Query_from_Actuarial___Production3[RecordType]="Premiums Written",Table_Query_from_Actuarial___Production3[SumOfAmount],0),0),0))</f>
        <v>99095461</v>
      </c>
      <c r="C37" s="25">
        <f t="array" ref="C37">SUM(IF(Table_Query_from_Actuarial___Production3[EffectiveYear]='Operating Results'!$A37,IF(Table_Query_from_Actuarial___Production3[StateName]=$F$1,IF(Table_Query_from_Actuarial___Production3[RecordType]="Premiums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Results'!$A37,IF(Table_Query_from_Actuarial___Production3[StateName]=$F$1,IF(Table_Query_from_Actuarial___Production3[RecordType]="EBUB",Table_Query_from_Actuarial___Production3[SumOfAmount],0),0),0))-SUM(IF(Table_Query_from_Actuarial___Production3[EffectiveYear]='Operating Results'!$A37,IF(Table_Query_from_Actuarial___Production3[StateName]=$F$1,IF(Table_Query_from_Actuarial___Production3[RecordType]="Unearned Premiums",Table_Query_from_Actuarial___Production3[SumOfAmount],0),0),0))</f>
        <v>99095461</v>
      </c>
      <c r="D37" s="25">
        <f>'Loss &amp; Expense Detail'!B35+'Loss &amp; Expense Detail'!C35+'Loss &amp; Expense Detail'!D35</f>
        <v>105296665.55000001</v>
      </c>
      <c r="E37" s="25">
        <f t="array" ref="E37">IF(LEFT($F$1,14)="North Carolina",0,SUM(IF(Table_Query_from_Actuarial___Production3[EffectiveYear]='Operating Results'!$A37,IF(Table_Query_from_Actuarial___Production3[StateName]=$F$1,IF(Table_Query_from_Actuarial___Production3[RecordType]="ALAE Paid",Table_Query_from_Actuarial___Production3[SumOfAmount],0),0),0))+SUM(IF(Table_Query_from_Actuarial___Production3[EffectiveYear]='Operating Results'!$A37,IF(Table_Query_from_Actuarial___Production3[StateName]=$F$1,IF(Table_Query_from_Actuarial___Production3[RecordType]="ALAE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Results'!$A37,IF(Table_Query_from_Actuarial___Production3[StateName]=$F$1,IF(Table_Query_from_Actuarial___Production3[RecordType]="Claims Expense",Table_Query_from_Actuarial___Production3[SumOfAmount],0),0),0)))</f>
        <v>15759072.370000001</v>
      </c>
      <c r="F37" s="25">
        <f t="array" ref="F37">SUM(IF(Table_Query_from_Actuarial___Production3[EffectiveYear]='Operating Results'!$A37,IF(Table_Query_from_Actuarial___Production3[StateName]=$F$1,IF(Table_Query_from_Actuarial___Production3[RecordType]="Operating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Results'!$A37,IF(Table_Query_from_Actuarial___Production3[StateName]=$F$1,IF(Table_Query_from_Actuarial___Production3[RecordType]="Premium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37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Results'!$A37,IF(Table_Query_from_Actuarial___Production3[StateName]=$F$1,IF(Table_Query_from_Actuarial___Production3[RecordType]="PDR",Table_Query_from_Actuarial___Production3[SumOfAmount],0),0),0))+SUM(IF(Table_Query_from_Actuarial___Production3[EffectiveYear]='Operating Results'!$A37,IF(Table_Query_from_Actuarial___Production3[StateName]=$F$1,IF(Table_Query_from_Actuarial___Production3[RecordType]="CPAI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Results'!$A37,IF(Table_Query_from_Actuarial___Production3[StateName]=$F$1,IF(Table_Query_from_Actuarial___Production3[RecordType]="Claims Expense",Table_Query_from_Actuarial___Production3[SumOfAmount],0),0),0)),0)</f>
        <v>28635128.969999999</v>
      </c>
      <c r="G37" s="26">
        <f t="shared" si="10"/>
        <v>-50595405.890000015</v>
      </c>
      <c r="H37" s="25">
        <f t="array" ref="H37">SUM(IF(Table_Query_from_Actuarial___Production3[EffectiveYear]='Operating Results'!$A37,IF(Table_Query_from_Actuarial___Production3[StateName]=$F$1,IF(Table_Query_from_Actuarial___Production3[RecordType]="Misc.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37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Results'!$A37,IF(Table_Query_from_Actuarial___Production3[StateName]=$F$1,IF(Table_Query_from_Actuarial___Production3[RecordType]="Misc.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Results'!$A37,IF(Table_Query_from_Actuarial___Production3[StateName]=$F$1,IF(Table_Query_from_Actuarial___Production3[RecordType]="Investment Income",Table_Query_from_Actuarial___Production3[SumOfAmount],0),0),0))</f>
        <v>7565501.4799999986</v>
      </c>
      <c r="I37" s="26">
        <f t="shared" si="11"/>
        <v>-58160907.370000012</v>
      </c>
      <c r="J37" s="53">
        <f t="shared" si="12"/>
        <v>1.0626</v>
      </c>
      <c r="K37" s="53">
        <f t="shared" si="13"/>
        <v>0.159</v>
      </c>
      <c r="L37" s="53">
        <f t="shared" si="14"/>
        <v>0.28899999999999998</v>
      </c>
      <c r="M37" s="54">
        <f t="shared" si="15"/>
        <v>1.5105999999999999</v>
      </c>
      <c r="N37" s="53">
        <f t="shared" si="16"/>
        <v>1.5869</v>
      </c>
      <c r="R37" t="s">
        <v>42</v>
      </c>
      <c r="S37" t="s">
        <v>4</v>
      </c>
      <c r="T37" t="s">
        <v>7</v>
      </c>
      <c r="U37" s="21">
        <v>241.16</v>
      </c>
      <c r="V37" s="21" t="s">
        <v>368</v>
      </c>
      <c r="W37" t="str">
        <f>VLOOKUP(Table_Query_from_Actuarial___Production[[#This Row],[Kor1]],$AI$3:$AK$105,3,FALSE)</f>
        <v>Misc. Income</v>
      </c>
      <c r="X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"/>
      <c r="Z37" t="s">
        <v>46</v>
      </c>
      <c r="AA37" t="s">
        <v>352</v>
      </c>
      <c r="AB37" t="s">
        <v>356</v>
      </c>
      <c r="AC37" s="21">
        <v>6363.98</v>
      </c>
      <c r="AD37" s="21" t="s">
        <v>369</v>
      </c>
      <c r="AE37" t="str">
        <f>VLOOKUP(Table_Query_from_Actuarial___Production3[[#This Row],[Kor1]],$AI$3:$AK$105,3,FALSE)</f>
        <v>Investment Income</v>
      </c>
      <c r="AF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  <c r="AI37" s="9" t="s">
        <v>155</v>
      </c>
      <c r="AJ37" s="5" t="s">
        <v>156</v>
      </c>
      <c r="AK37" s="6" t="s">
        <v>156</v>
      </c>
      <c r="AM37" s="31" t="s">
        <v>255</v>
      </c>
      <c r="AN37" s="11" t="s">
        <v>298</v>
      </c>
      <c r="AP37" s="39" t="s">
        <v>403</v>
      </c>
    </row>
    <row r="38" spans="1:42" x14ac:dyDescent="0.2">
      <c r="A38" s="27" t="str">
        <f t="shared" si="9"/>
        <v>2017</v>
      </c>
      <c r="B38" s="25">
        <f t="array" ref="B38">SUM(IF(Table_Query_from_Actuarial___Production3[EffectiveYear]='Operating Results'!$A38,IF(Table_Query_from_Actuarial___Production3[StateName]=$F$1,IF(Table_Query_from_Actuarial___Production3[RecordType]="Premiums Written",Table_Query_from_Actuarial___Production3[SumOfAmount],0),0),0))</f>
        <v>123874382</v>
      </c>
      <c r="C38" s="25">
        <f t="array" ref="C38">SUM(IF(Table_Query_from_Actuarial___Production3[EffectiveYear]='Operating Results'!$A38,IF(Table_Query_from_Actuarial___Production3[StateName]=$F$1,IF(Table_Query_from_Actuarial___Production3[RecordType]="Premiums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Results'!$A38,IF(Table_Query_from_Actuarial___Production3[StateName]=$F$1,IF(Table_Query_from_Actuarial___Production3[RecordType]="EBUB",Table_Query_from_Actuarial___Production3[SumOfAmount],0),0),0))-SUM(IF(Table_Query_from_Actuarial___Production3[EffectiveYear]='Operating Results'!$A38,IF(Table_Query_from_Actuarial___Production3[StateName]=$F$1,IF(Table_Query_from_Actuarial___Production3[RecordType]="Unearned Premiums",Table_Query_from_Actuarial___Production3[SumOfAmount],0),0),0))</f>
        <v>123874382</v>
      </c>
      <c r="D38" s="25">
        <f>'Loss &amp; Expense Detail'!B36+'Loss &amp; Expense Detail'!C36+'Loss &amp; Expense Detail'!D36</f>
        <v>115047924.41</v>
      </c>
      <c r="E38" s="25">
        <f t="array" ref="E38">IF(LEFT($F$1,14)="North Carolina",0,SUM(IF(Table_Query_from_Actuarial___Production3[EffectiveYear]='Operating Results'!$A38,IF(Table_Query_from_Actuarial___Production3[StateName]=$F$1,IF(Table_Query_from_Actuarial___Production3[RecordType]="ALAE Paid",Table_Query_from_Actuarial___Production3[SumOfAmount],0),0),0))+SUM(IF(Table_Query_from_Actuarial___Production3[EffectiveYear]='Operating Results'!$A38,IF(Table_Query_from_Actuarial___Production3[StateName]=$F$1,IF(Table_Query_from_Actuarial___Production3[RecordType]="ALAE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Results'!$A38,IF(Table_Query_from_Actuarial___Production3[StateName]=$F$1,IF(Table_Query_from_Actuarial___Production3[RecordType]="Claims Expense",Table_Query_from_Actuarial___Production3[SumOfAmount],0),0),0)))</f>
        <v>19415609.219999999</v>
      </c>
      <c r="F38" s="25">
        <f t="array" ref="F38">SUM(IF(Table_Query_from_Actuarial___Production3[EffectiveYear]='Operating Results'!$A38,IF(Table_Query_from_Actuarial___Production3[StateName]=$F$1,IF(Table_Query_from_Actuarial___Production3[RecordType]="Operating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Results'!$A38,IF(Table_Query_from_Actuarial___Production3[StateName]=$F$1,IF(Table_Query_from_Actuarial___Production3[RecordType]="Premium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38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Results'!$A38,IF(Table_Query_from_Actuarial___Production3[StateName]=$F$1,IF(Table_Query_from_Actuarial___Production3[RecordType]="PDR",Table_Query_from_Actuarial___Production3[SumOfAmount],0),0),0))+SUM(IF(Table_Query_from_Actuarial___Production3[EffectiveYear]='Operating Results'!$A38,IF(Table_Query_from_Actuarial___Production3[StateName]=$F$1,IF(Table_Query_from_Actuarial___Production3[RecordType]="CPAI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Results'!$A38,IF(Table_Query_from_Actuarial___Production3[StateName]=$F$1,IF(Table_Query_from_Actuarial___Production3[RecordType]="Claims Expense",Table_Query_from_Actuarial___Production3[SumOfAmount],0),0),0)),0)</f>
        <v>34586416.569999993</v>
      </c>
      <c r="G38" s="26">
        <f t="shared" si="10"/>
        <v>-45175568.199999988</v>
      </c>
      <c r="H38" s="25">
        <f t="array" ref="H38">SUM(IF(Table_Query_from_Actuarial___Production3[EffectiveYear]='Operating Results'!$A38,IF(Table_Query_from_Actuarial___Production3[StateName]=$F$1,IF(Table_Query_from_Actuarial___Production3[RecordType]="Misc.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38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Results'!$A38,IF(Table_Query_from_Actuarial___Production3[StateName]=$F$1,IF(Table_Query_from_Actuarial___Production3[RecordType]="Misc.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Results'!$A38,IF(Table_Query_from_Actuarial___Production3[StateName]=$F$1,IF(Table_Query_from_Actuarial___Production3[RecordType]="Investment Income",Table_Query_from_Actuarial___Production3[SumOfAmount],0),0),0))</f>
        <v>9707540.7199999988</v>
      </c>
      <c r="I38" s="26">
        <f t="shared" si="11"/>
        <v>-54883108.919999987</v>
      </c>
      <c r="J38" s="53">
        <f t="shared" si="12"/>
        <v>0.92869999999999997</v>
      </c>
      <c r="K38" s="53">
        <f t="shared" si="13"/>
        <v>0.15670000000000001</v>
      </c>
      <c r="L38" s="53">
        <f t="shared" si="14"/>
        <v>0.2792</v>
      </c>
      <c r="M38" s="54">
        <f t="shared" si="15"/>
        <v>1.3645999999999998</v>
      </c>
      <c r="N38" s="53">
        <f t="shared" si="16"/>
        <v>1.4430000000000001</v>
      </c>
      <c r="R38" t="s">
        <v>31</v>
      </c>
      <c r="S38" t="s">
        <v>235</v>
      </c>
      <c r="T38" t="s">
        <v>9</v>
      </c>
      <c r="U38" s="21">
        <v>432.99</v>
      </c>
      <c r="V38" s="21" t="s">
        <v>368</v>
      </c>
      <c r="W38" t="str">
        <f>VLOOKUP(Table_Query_from_Actuarial___Production[[#This Row],[Kor1]],$AI$3:$AK$105,3,FALSE)</f>
        <v>Misc. Expense</v>
      </c>
      <c r="X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"/>
      <c r="Z38" t="s">
        <v>41</v>
      </c>
      <c r="AA38" t="s">
        <v>252</v>
      </c>
      <c r="AB38" t="s">
        <v>7</v>
      </c>
      <c r="AC38" s="21">
        <v>1841.53</v>
      </c>
      <c r="AD38" s="21" t="s">
        <v>368</v>
      </c>
      <c r="AE38" t="str">
        <f>VLOOKUP(Table_Query_from_Actuarial___Production3[[#This Row],[Kor1]],$AI$3:$AK$105,3,FALSE)</f>
        <v>Misc. Income</v>
      </c>
      <c r="AF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8" s="9" t="s">
        <v>72</v>
      </c>
      <c r="AJ38" s="5" t="s">
        <v>73</v>
      </c>
      <c r="AK38" s="6" t="s">
        <v>73</v>
      </c>
      <c r="AM38" s="31" t="s">
        <v>256</v>
      </c>
      <c r="AN38" s="11" t="s">
        <v>299</v>
      </c>
      <c r="AP38" s="39" t="s">
        <v>404</v>
      </c>
    </row>
    <row r="39" spans="1:42" x14ac:dyDescent="0.2">
      <c r="A39" s="27" t="str">
        <f t="shared" si="9"/>
        <v>2018</v>
      </c>
      <c r="B39" s="25">
        <f t="array" ref="B39">SUM(IF(Table_Query_from_Actuarial___Production3[EffectiveYear]='Operating Results'!$A39,IF(Table_Query_from_Actuarial___Production3[StateName]=$F$1,IF(Table_Query_from_Actuarial___Production3[RecordType]="Premiums Written",Table_Query_from_Actuarial___Production3[SumOfAmount],0),0),0))</f>
        <v>166473868</v>
      </c>
      <c r="C39" s="25">
        <f t="array" ref="C39">SUM(IF(Table_Query_from_Actuarial___Production3[EffectiveYear]='Operating Results'!$A39,IF(Table_Query_from_Actuarial___Production3[StateName]=$F$1,IF(Table_Query_from_Actuarial___Production3[RecordType]="Premiums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Results'!$A39,IF(Table_Query_from_Actuarial___Production3[StateName]=$F$1,IF(Table_Query_from_Actuarial___Production3[RecordType]="EBUB",Table_Query_from_Actuarial___Production3[SumOfAmount],0),0),0))-SUM(IF(Table_Query_from_Actuarial___Production3[EffectiveYear]='Operating Results'!$A39,IF(Table_Query_from_Actuarial___Production3[StateName]=$F$1,IF(Table_Query_from_Actuarial___Production3[RecordType]="Unearned Premiums",Table_Query_from_Actuarial___Production3[SumOfAmount],0),0),0))</f>
        <v>166473868</v>
      </c>
      <c r="D39" s="25">
        <f>'Loss &amp; Expense Detail'!B37+'Loss &amp; Expense Detail'!C37+'Loss &amp; Expense Detail'!D37</f>
        <v>165619003.43000001</v>
      </c>
      <c r="E39" s="25">
        <f t="array" ref="E39">IF(LEFT($F$1,14)="North Carolina",0,SUM(IF(Table_Query_from_Actuarial___Production3[EffectiveYear]='Operating Results'!$A39,IF(Table_Query_from_Actuarial___Production3[StateName]=$F$1,IF(Table_Query_from_Actuarial___Production3[RecordType]="ALAE Paid",Table_Query_from_Actuarial___Production3[SumOfAmount],0),0),0))+SUM(IF(Table_Query_from_Actuarial___Production3[EffectiveYear]='Operating Results'!$A39,IF(Table_Query_from_Actuarial___Production3[StateName]=$F$1,IF(Table_Query_from_Actuarial___Production3[RecordType]="ALAE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Results'!$A39,IF(Table_Query_from_Actuarial___Production3[StateName]=$F$1,IF(Table_Query_from_Actuarial___Production3[RecordType]="Claims Expense",Table_Query_from_Actuarial___Production3[SumOfAmount],0),0),0)))</f>
        <v>25022439.949999996</v>
      </c>
      <c r="F39" s="25">
        <f t="array" ref="F39">SUM(IF(Table_Query_from_Actuarial___Production3[EffectiveYear]='Operating Results'!$A39,IF(Table_Query_from_Actuarial___Production3[StateName]=$F$1,IF(Table_Query_from_Actuarial___Production3[RecordType]="Operating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Results'!$A39,IF(Table_Query_from_Actuarial___Production3[StateName]=$F$1,IF(Table_Query_from_Actuarial___Production3[RecordType]="Premium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39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Results'!$A39,IF(Table_Query_from_Actuarial___Production3[StateName]=$F$1,IF(Table_Query_from_Actuarial___Production3[RecordType]="PDR",Table_Query_from_Actuarial___Production3[SumOfAmount],0),0),0))+SUM(IF(Table_Query_from_Actuarial___Production3[EffectiveYear]='Operating Results'!$A39,IF(Table_Query_from_Actuarial___Production3[StateName]=$F$1,IF(Table_Query_from_Actuarial___Production3[RecordType]="CPAI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Results'!$A39,IF(Table_Query_from_Actuarial___Production3[StateName]=$F$1,IF(Table_Query_from_Actuarial___Production3[RecordType]="Claims Expense",Table_Query_from_Actuarial___Production3[SumOfAmount],0),0),0)),0)</f>
        <v>45855851.720000006</v>
      </c>
      <c r="G39" s="26">
        <f t="shared" si="10"/>
        <v>-70023427.100000009</v>
      </c>
      <c r="H39" s="25">
        <f t="array" ref="H39">SUM(IF(Table_Query_from_Actuarial___Production3[EffectiveYear]='Operating Results'!$A39,IF(Table_Query_from_Actuarial___Production3[StateName]=$F$1,IF(Table_Query_from_Actuarial___Production3[RecordType]="Misc.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39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Results'!$A39,IF(Table_Query_from_Actuarial___Production3[StateName]=$F$1,IF(Table_Query_from_Actuarial___Production3[RecordType]="Misc.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Results'!$A39,IF(Table_Query_from_Actuarial___Production3[StateName]=$F$1,IF(Table_Query_from_Actuarial___Production3[RecordType]="Investment Income",Table_Query_from_Actuarial___Production3[SumOfAmount],0),0),0))</f>
        <v>9631709.2999999952</v>
      </c>
      <c r="I39" s="26">
        <f t="shared" si="11"/>
        <v>-79655136.400000006</v>
      </c>
      <c r="J39" s="53">
        <f t="shared" si="12"/>
        <v>0.99490000000000001</v>
      </c>
      <c r="K39" s="53">
        <f t="shared" si="13"/>
        <v>0.15029999999999999</v>
      </c>
      <c r="L39" s="53">
        <f t="shared" si="14"/>
        <v>0.27550000000000002</v>
      </c>
      <c r="M39" s="54">
        <f t="shared" si="15"/>
        <v>1.4207000000000001</v>
      </c>
      <c r="N39" s="53">
        <f t="shared" si="16"/>
        <v>1.4785999999999999</v>
      </c>
      <c r="R39" t="s">
        <v>14</v>
      </c>
      <c r="S39" t="s">
        <v>229</v>
      </c>
      <c r="T39" t="s">
        <v>351</v>
      </c>
      <c r="U39" s="21">
        <v>3210.72</v>
      </c>
      <c r="V39" s="21" t="s">
        <v>368</v>
      </c>
      <c r="W39" t="str">
        <f>VLOOKUP(Table_Query_from_Actuarial___Production[[#This Row],[Kor1]],$AI$3:$AK$105,3,FALSE)</f>
        <v>Claims Expense</v>
      </c>
      <c r="X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"/>
      <c r="Z39" t="s">
        <v>42</v>
      </c>
      <c r="AA39" t="s">
        <v>4</v>
      </c>
      <c r="AB39" t="s">
        <v>7</v>
      </c>
      <c r="AC39" s="21">
        <v>241.16</v>
      </c>
      <c r="AD39" s="21" t="s">
        <v>368</v>
      </c>
      <c r="AE39" t="str">
        <f>VLOOKUP(Table_Query_from_Actuarial___Production3[[#This Row],[Kor1]],$AI$3:$AK$105,3,FALSE)</f>
        <v>Misc. Income</v>
      </c>
      <c r="AF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39" s="9" t="s">
        <v>48</v>
      </c>
      <c r="AJ39" s="5" t="s">
        <v>157</v>
      </c>
      <c r="AK39" s="6" t="s">
        <v>74</v>
      </c>
      <c r="AM39" s="31" t="s">
        <v>257</v>
      </c>
      <c r="AN39" s="11" t="s">
        <v>300</v>
      </c>
      <c r="AP39" s="39" t="s">
        <v>405</v>
      </c>
    </row>
    <row r="40" spans="1:42" x14ac:dyDescent="0.2">
      <c r="A40" s="27" t="str">
        <f t="shared" si="9"/>
        <v>2019</v>
      </c>
      <c r="B40" s="25">
        <f t="array" ref="B40">SUM(IF(Table_Query_from_Actuarial___Production3[EffectiveYear]='Operating Results'!$A40,IF(Table_Query_from_Actuarial___Production3[StateName]=$F$1,IF(Table_Query_from_Actuarial___Production3[RecordType]="Premiums Written",Table_Query_from_Actuarial___Production3[SumOfAmount],0),0),0))</f>
        <v>202138712</v>
      </c>
      <c r="C40" s="25">
        <f t="array" ref="C40">SUM(IF(Table_Query_from_Actuarial___Production3[EffectiveYear]='Operating Results'!$A40,IF(Table_Query_from_Actuarial___Production3[StateName]=$F$1,IF(Table_Query_from_Actuarial___Production3[RecordType]="Premiums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Results'!$A40,IF(Table_Query_from_Actuarial___Production3[StateName]=$F$1,IF(Table_Query_from_Actuarial___Production3[RecordType]="EBUB",Table_Query_from_Actuarial___Production3[SumOfAmount],0),0),0))-SUM(IF(Table_Query_from_Actuarial___Production3[EffectiveYear]='Operating Results'!$A40,IF(Table_Query_from_Actuarial___Production3[StateName]=$F$1,IF(Table_Query_from_Actuarial___Production3[RecordType]="Unearned Premiums",Table_Query_from_Actuarial___Production3[SumOfAmount],0),0),0))</f>
        <v>202138712</v>
      </c>
      <c r="D40" s="25">
        <f>'Loss &amp; Expense Detail'!B38+'Loss &amp; Expense Detail'!C38+'Loss &amp; Expense Detail'!D38</f>
        <v>221941171.03000003</v>
      </c>
      <c r="E40" s="25">
        <f t="array" ref="E40">IF(LEFT($F$1,14)="North Carolina",0,SUM(IF(Table_Query_from_Actuarial___Production3[EffectiveYear]='Operating Results'!$A40,IF(Table_Query_from_Actuarial___Production3[StateName]=$F$1,IF(Table_Query_from_Actuarial___Production3[RecordType]="ALAE Paid",Table_Query_from_Actuarial___Production3[SumOfAmount],0),0),0))+SUM(IF(Table_Query_from_Actuarial___Production3[EffectiveYear]='Operating Results'!$A40,IF(Table_Query_from_Actuarial___Production3[StateName]=$F$1,IF(Table_Query_from_Actuarial___Production3[RecordType]="ALAE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Results'!$A40,IF(Table_Query_from_Actuarial___Production3[StateName]=$F$1,IF(Table_Query_from_Actuarial___Production3[RecordType]="Claims Expense",Table_Query_from_Actuarial___Production3[SumOfAmount],0),0),0)))</f>
        <v>31476842.650000002</v>
      </c>
      <c r="F40" s="25">
        <f t="array" ref="F40">SUM(IF(Table_Query_from_Actuarial___Production3[EffectiveYear]='Operating Results'!$A40,IF(Table_Query_from_Actuarial___Production3[StateName]=$F$1,IF(Table_Query_from_Actuarial___Production3[RecordType]="Operating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Results'!$A40,IF(Table_Query_from_Actuarial___Production3[StateName]=$F$1,IF(Table_Query_from_Actuarial___Production3[RecordType]="Premium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40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Results'!$A40,IF(Table_Query_from_Actuarial___Production3[StateName]=$F$1,IF(Table_Query_from_Actuarial___Production3[RecordType]="PDR",Table_Query_from_Actuarial___Production3[SumOfAmount],0),0),0))+SUM(IF(Table_Query_from_Actuarial___Production3[EffectiveYear]='Operating Results'!$A40,IF(Table_Query_from_Actuarial___Production3[StateName]=$F$1,IF(Table_Query_from_Actuarial___Production3[RecordType]="CPAI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Results'!$A40,IF(Table_Query_from_Actuarial___Production3[StateName]=$F$1,IF(Table_Query_from_Actuarial___Production3[RecordType]="Claims Expense",Table_Query_from_Actuarial___Production3[SumOfAmount],0),0),0)),0)</f>
        <v>55743528.480000004</v>
      </c>
      <c r="G40" s="26">
        <f t="shared" si="10"/>
        <v>-107022830.16000004</v>
      </c>
      <c r="H40" s="25">
        <f t="array" ref="H40">SUM(IF(Table_Query_from_Actuarial___Production3[EffectiveYear]='Operating Results'!$A40,IF(Table_Query_from_Actuarial___Production3[StateName]=$F$1,IF(Table_Query_from_Actuarial___Production3[RecordType]="Misc.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40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Results'!$A40,IF(Table_Query_from_Actuarial___Production3[StateName]=$F$1,IF(Table_Query_from_Actuarial___Production3[RecordType]="Misc.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Results'!$A40,IF(Table_Query_from_Actuarial___Production3[StateName]=$F$1,IF(Table_Query_from_Actuarial___Production3[RecordType]="Investment Income",Table_Query_from_Actuarial___Production3[SumOfAmount],0),0),0))</f>
        <v>12129134.699999999</v>
      </c>
      <c r="I40" s="26">
        <f t="shared" si="11"/>
        <v>-119151964.86000004</v>
      </c>
      <c r="J40" s="53">
        <f t="shared" si="12"/>
        <v>1.0980000000000001</v>
      </c>
      <c r="K40" s="53">
        <f t="shared" si="13"/>
        <v>0.15570000000000001</v>
      </c>
      <c r="L40" s="53">
        <f t="shared" si="14"/>
        <v>0.27579999999999999</v>
      </c>
      <c r="M40" s="54">
        <f t="shared" si="15"/>
        <v>1.5295000000000001</v>
      </c>
      <c r="N40" s="53">
        <f t="shared" si="16"/>
        <v>1.5894999999999999</v>
      </c>
      <c r="R40" t="s">
        <v>40</v>
      </c>
      <c r="S40" t="s">
        <v>255</v>
      </c>
      <c r="T40" t="s">
        <v>7</v>
      </c>
      <c r="U40" s="21">
        <v>5</v>
      </c>
      <c r="V40" s="21" t="s">
        <v>368</v>
      </c>
      <c r="W40" t="str">
        <f>VLOOKUP(Table_Query_from_Actuarial___Production[[#This Row],[Kor1]],$AI$3:$AK$105,3,FALSE)</f>
        <v>Misc. Income</v>
      </c>
      <c r="X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"/>
      <c r="Z40" t="s">
        <v>31</v>
      </c>
      <c r="AA40" t="s">
        <v>235</v>
      </c>
      <c r="AB40" t="s">
        <v>9</v>
      </c>
      <c r="AC40" s="21">
        <v>432.99</v>
      </c>
      <c r="AD40" s="21" t="s">
        <v>368</v>
      </c>
      <c r="AE40" t="str">
        <f>VLOOKUP(Table_Query_from_Actuarial___Production3[[#This Row],[Kor1]],$AI$3:$AK$105,3,FALSE)</f>
        <v>Misc. Expense</v>
      </c>
      <c r="AF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0" s="9" t="s">
        <v>158</v>
      </c>
      <c r="AJ40" s="5" t="s">
        <v>159</v>
      </c>
      <c r="AK40" s="6" t="s">
        <v>74</v>
      </c>
      <c r="AM40" s="31" t="s">
        <v>258</v>
      </c>
      <c r="AN40" s="11" t="s">
        <v>301</v>
      </c>
      <c r="AP40" s="39" t="s">
        <v>406</v>
      </c>
    </row>
    <row r="41" spans="1:42" x14ac:dyDescent="0.2">
      <c r="A41" s="27" t="str">
        <f t="shared" si="9"/>
        <v>2020</v>
      </c>
      <c r="B41" s="25">
        <f t="array" ref="B41">SUM(IF(Table_Query_from_Actuarial___Production3[EffectiveYear]='Operating Results'!$A41,IF(Table_Query_from_Actuarial___Production3[StateName]=$F$1,IF(Table_Query_from_Actuarial___Production3[RecordType]="Premiums Written",Table_Query_from_Actuarial___Production3[SumOfAmount],0),0),0))</f>
        <v>218772473</v>
      </c>
      <c r="C41" s="25">
        <f t="array" ref="C41">SUM(IF(Table_Query_from_Actuarial___Production3[EffectiveYear]='Operating Results'!$A41,IF(Table_Query_from_Actuarial___Production3[StateName]=$F$1,IF(Table_Query_from_Actuarial___Production3[RecordType]="Premiums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Results'!$A41,IF(Table_Query_from_Actuarial___Production3[StateName]=$F$1,IF(Table_Query_from_Actuarial___Production3[RecordType]="EBUB",Table_Query_from_Actuarial___Production3[SumOfAmount],0),0),0))-SUM(IF(Table_Query_from_Actuarial___Production3[EffectiveYear]='Operating Results'!$A41,IF(Table_Query_from_Actuarial___Production3[StateName]=$F$1,IF(Table_Query_from_Actuarial___Production3[RecordType]="Unearned Premiums",Table_Query_from_Actuarial___Production3[SumOfAmount],0),0),0))</f>
        <v>218782855</v>
      </c>
      <c r="D41" s="25">
        <f>'Loss &amp; Expense Detail'!B39+'Loss &amp; Expense Detail'!C39+'Loss &amp; Expense Detail'!D39</f>
        <v>238295446.19999999</v>
      </c>
      <c r="E41" s="25">
        <f t="array" ref="E41">IF(LEFT($F$1,14)="North Carolina",0,SUM(IF(Table_Query_from_Actuarial___Production3[EffectiveYear]='Operating Results'!$A41,IF(Table_Query_from_Actuarial___Production3[StateName]=$F$1,IF(Table_Query_from_Actuarial___Production3[RecordType]="ALAE Paid",Table_Query_from_Actuarial___Production3[SumOfAmount],0),0),0))+SUM(IF(Table_Query_from_Actuarial___Production3[EffectiveYear]='Operating Results'!$A41,IF(Table_Query_from_Actuarial___Production3[StateName]=$F$1,IF(Table_Query_from_Actuarial___Production3[RecordType]="ALAE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Results'!$A41,IF(Table_Query_from_Actuarial___Production3[StateName]=$F$1,IF(Table_Query_from_Actuarial___Production3[RecordType]="Claims Expense",Table_Query_from_Actuarial___Production3[SumOfAmount],0),0),0)))</f>
        <v>34452324.579999998</v>
      </c>
      <c r="F41" s="25">
        <f t="array" ref="F41">SUM(IF(Table_Query_from_Actuarial___Production3[EffectiveYear]='Operating Results'!$A41,IF(Table_Query_from_Actuarial___Production3[StateName]=$F$1,IF(Table_Query_from_Actuarial___Production3[RecordType]="Operating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Results'!$A41,IF(Table_Query_from_Actuarial___Production3[StateName]=$F$1,IF(Table_Query_from_Actuarial___Production3[RecordType]="Premium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41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Results'!$A41,IF(Table_Query_from_Actuarial___Production3[StateName]=$F$1,IF(Table_Query_from_Actuarial___Production3[RecordType]="PDR",Table_Query_from_Actuarial___Production3[SumOfAmount],0),0),0))+SUM(IF(Table_Query_from_Actuarial___Production3[EffectiveYear]='Operating Results'!$A41,IF(Table_Query_from_Actuarial___Production3[StateName]=$F$1,IF(Table_Query_from_Actuarial___Production3[RecordType]="CPAI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Results'!$A41,IF(Table_Query_from_Actuarial___Production3[StateName]=$F$1,IF(Table_Query_from_Actuarial___Production3[RecordType]="Claims Expense",Table_Query_from_Actuarial___Production3[SumOfAmount],0),0),0)),0)</f>
        <v>63394836.49000001</v>
      </c>
      <c r="G41" s="26">
        <f t="shared" si="10"/>
        <v>-117359752.27</v>
      </c>
      <c r="H41" s="25">
        <f t="array" ref="H41">SUM(IF(Table_Query_from_Actuarial___Production3[EffectiveYear]='Operating Results'!$A41,IF(Table_Query_from_Actuarial___Production3[StateName]=$F$1,IF(Table_Query_from_Actuarial___Production3[RecordType]="Misc.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41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Results'!$A41,IF(Table_Query_from_Actuarial___Production3[StateName]=$F$1,IF(Table_Query_from_Actuarial___Production3[RecordType]="Misc.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Results'!$A41,IF(Table_Query_from_Actuarial___Production3[StateName]=$F$1,IF(Table_Query_from_Actuarial___Production3[RecordType]="Investment Income",Table_Query_from_Actuarial___Production3[SumOfAmount],0),0),0))</f>
        <v>10469138.720000001</v>
      </c>
      <c r="I41" s="26">
        <f t="shared" si="11"/>
        <v>-127828890.98999999</v>
      </c>
      <c r="J41" s="53">
        <f t="shared" si="12"/>
        <v>1.0891999999999999</v>
      </c>
      <c r="K41" s="53">
        <f t="shared" si="13"/>
        <v>0.1575</v>
      </c>
      <c r="L41" s="53">
        <f t="shared" si="14"/>
        <v>0.2898</v>
      </c>
      <c r="M41" s="54">
        <f t="shared" si="15"/>
        <v>1.5365</v>
      </c>
      <c r="N41" s="53">
        <f t="shared" si="16"/>
        <v>1.5844</v>
      </c>
      <c r="R41" t="s">
        <v>43</v>
      </c>
      <c r="S41" t="s">
        <v>237</v>
      </c>
      <c r="T41" t="s">
        <v>442</v>
      </c>
      <c r="U41" s="21">
        <v>29256.86</v>
      </c>
      <c r="V41" s="21" t="s">
        <v>368</v>
      </c>
      <c r="W41" t="str">
        <f>VLOOKUP(Table_Query_from_Actuarial___Production[[#This Row],[Kor1]],$AI$3:$AK$105,3,FALSE)</f>
        <v>Charge-offs</v>
      </c>
      <c r="X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"/>
      <c r="Z41" t="s">
        <v>14</v>
      </c>
      <c r="AA41" t="s">
        <v>229</v>
      </c>
      <c r="AB41" t="s">
        <v>351</v>
      </c>
      <c r="AC41" s="21">
        <v>3210.72</v>
      </c>
      <c r="AD41" s="21" t="s">
        <v>368</v>
      </c>
      <c r="AE41" t="str">
        <f>VLOOKUP(Table_Query_from_Actuarial___Production3[[#This Row],[Kor1]],$AI$3:$AK$105,3,FALSE)</f>
        <v>Claims Expense</v>
      </c>
      <c r="AF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1" s="9" t="s">
        <v>75</v>
      </c>
      <c r="AJ41" s="5" t="s">
        <v>76</v>
      </c>
      <c r="AK41" s="6" t="s">
        <v>76</v>
      </c>
      <c r="AM41" s="31" t="s">
        <v>259</v>
      </c>
      <c r="AN41" s="11" t="s">
        <v>302</v>
      </c>
      <c r="AP41" s="39" t="s">
        <v>407</v>
      </c>
    </row>
    <row r="42" spans="1:42" x14ac:dyDescent="0.2">
      <c r="A42" s="27" t="str">
        <f t="shared" si="9"/>
        <v>2021</v>
      </c>
      <c r="B42" s="25">
        <f t="array" ref="B42">SUM(IF(Table_Query_from_Actuarial___Production3[EffectiveYear]='Operating Results'!$A42,IF(Table_Query_from_Actuarial___Production3[StateName]=$F$1,IF(Table_Query_from_Actuarial___Production3[RecordType]="Premiums Written",Table_Query_from_Actuarial___Production3[SumOfAmount],0),0),0))</f>
        <v>274762252</v>
      </c>
      <c r="C42" s="25">
        <f t="array" ref="C42">SUM(IF(Table_Query_from_Actuarial___Production3[EffectiveYear]='Operating Results'!$A42,IF(Table_Query_from_Actuarial___Production3[StateName]=$F$1,IF(Table_Query_from_Actuarial___Production3[RecordType]="Premiums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Results'!$A42,IF(Table_Query_from_Actuarial___Production3[StateName]=$F$1,IF(Table_Query_from_Actuarial___Production3[RecordType]="EBUB",Table_Query_from_Actuarial___Production3[SumOfAmount],0),0),0))-SUM(IF(Table_Query_from_Actuarial___Production3[EffectiveYear]='Operating Results'!$A42,IF(Table_Query_from_Actuarial___Production3[StateName]=$F$1,IF(Table_Query_from_Actuarial___Production3[RecordType]="Unearned Premiums",Table_Query_from_Actuarial___Production3[SumOfAmount],0),0),0))</f>
        <v>275764841</v>
      </c>
      <c r="D42" s="25">
        <f>'Loss &amp; Expense Detail'!B40+'Loss &amp; Expense Detail'!C40+'Loss &amp; Expense Detail'!D40</f>
        <v>283318449.58999997</v>
      </c>
      <c r="E42" s="25">
        <f t="array" ref="E42">IF(LEFT($F$1,14)="North Carolina",0,SUM(IF(Table_Query_from_Actuarial___Production3[EffectiveYear]='Operating Results'!$A42,IF(Table_Query_from_Actuarial___Production3[StateName]=$F$1,IF(Table_Query_from_Actuarial___Production3[RecordType]="ALAE Paid",Table_Query_from_Actuarial___Production3[SumOfAmount],0),0),0))+SUM(IF(Table_Query_from_Actuarial___Production3[EffectiveYear]='Operating Results'!$A42,IF(Table_Query_from_Actuarial___Production3[StateName]=$F$1,IF(Table_Query_from_Actuarial___Production3[RecordType]="ALAE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Results'!$A42,IF(Table_Query_from_Actuarial___Production3[StateName]=$F$1,IF(Table_Query_from_Actuarial___Production3[RecordType]="Claims Expense",Table_Query_from_Actuarial___Production3[SumOfAmount],0),0),0)))</f>
        <v>39394181.109999999</v>
      </c>
      <c r="F42" s="25">
        <f t="array" ref="F42">SUM(IF(Table_Query_from_Actuarial___Production3[EffectiveYear]='Operating Results'!$A42,IF(Table_Query_from_Actuarial___Production3[StateName]=$F$1,IF(Table_Query_from_Actuarial___Production3[RecordType]="Operating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Results'!$A42,IF(Table_Query_from_Actuarial___Production3[StateName]=$F$1,IF(Table_Query_from_Actuarial___Production3[RecordType]="Premium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42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Results'!$A42,IF(Table_Query_from_Actuarial___Production3[StateName]=$F$1,IF(Table_Query_from_Actuarial___Production3[RecordType]="PDR",Table_Query_from_Actuarial___Production3[SumOfAmount],0),0),0))+SUM(IF(Table_Query_from_Actuarial___Production3[EffectiveYear]='Operating Results'!$A42,IF(Table_Query_from_Actuarial___Production3[StateName]=$F$1,IF(Table_Query_from_Actuarial___Production3[RecordType]="CPAI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Results'!$A42,IF(Table_Query_from_Actuarial___Production3[StateName]=$F$1,IF(Table_Query_from_Actuarial___Production3[RecordType]="Claims Expense",Table_Query_from_Actuarial___Production3[SumOfAmount],0),0),0)),0)</f>
        <v>73830255.889999986</v>
      </c>
      <c r="G42" s="26">
        <f t="shared" si="10"/>
        <v>-120778045.58999996</v>
      </c>
      <c r="H42" s="25">
        <f t="array" ref="H42">SUM(IF(Table_Query_from_Actuarial___Production3[EffectiveYear]='Operating Results'!$A42,IF(Table_Query_from_Actuarial___Production3[StateName]=$F$1,IF(Table_Query_from_Actuarial___Production3[RecordType]="Misc.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42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Results'!$A42,IF(Table_Query_from_Actuarial___Production3[StateName]=$F$1,IF(Table_Query_from_Actuarial___Production3[RecordType]="Misc.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Results'!$A42,IF(Table_Query_from_Actuarial___Production3[StateName]=$F$1,IF(Table_Query_from_Actuarial___Production3[RecordType]="Investment Income",Table_Query_from_Actuarial___Production3[SumOfAmount],0),0),0))</f>
        <v>12533669.350000001</v>
      </c>
      <c r="I42" s="26">
        <f t="shared" si="11"/>
        <v>-133311714.93999997</v>
      </c>
      <c r="J42" s="53">
        <f t="shared" si="12"/>
        <v>1.0274000000000001</v>
      </c>
      <c r="K42" s="53">
        <f t="shared" si="13"/>
        <v>0.1429</v>
      </c>
      <c r="L42" s="53">
        <f t="shared" si="14"/>
        <v>0.26869999999999999</v>
      </c>
      <c r="M42" s="54">
        <f t="shared" si="15"/>
        <v>1.4390000000000001</v>
      </c>
      <c r="N42" s="53">
        <f t="shared" si="16"/>
        <v>1.4845999999999999</v>
      </c>
      <c r="R42" t="s">
        <v>37</v>
      </c>
      <c r="S42" t="s">
        <v>258</v>
      </c>
      <c r="T42" t="s">
        <v>7</v>
      </c>
      <c r="U42" s="21">
        <v>947.78</v>
      </c>
      <c r="V42" s="21" t="s">
        <v>368</v>
      </c>
      <c r="W42" t="str">
        <f>VLOOKUP(Table_Query_from_Actuarial___Production[[#This Row],[Kor1]],$AI$3:$AK$105,3,FALSE)</f>
        <v>Misc. Expense</v>
      </c>
      <c r="X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"/>
      <c r="Z42" t="s">
        <v>40</v>
      </c>
      <c r="AA42" t="s">
        <v>255</v>
      </c>
      <c r="AB42" t="s">
        <v>7</v>
      </c>
      <c r="AC42" s="21">
        <v>5</v>
      </c>
      <c r="AD42" s="21" t="s">
        <v>368</v>
      </c>
      <c r="AE42" t="str">
        <f>VLOOKUP(Table_Query_from_Actuarial___Production3[[#This Row],[Kor1]],$AI$3:$AK$105,3,FALSE)</f>
        <v>Misc. Income</v>
      </c>
      <c r="AF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2" s="9" t="s">
        <v>160</v>
      </c>
      <c r="AJ42" s="5" t="s">
        <v>161</v>
      </c>
      <c r="AK42" s="6" t="s">
        <v>161</v>
      </c>
      <c r="AM42" s="31" t="s">
        <v>429</v>
      </c>
      <c r="AN42" s="11" t="s">
        <v>431</v>
      </c>
      <c r="AP42" s="39" t="s">
        <v>408</v>
      </c>
    </row>
    <row r="43" spans="1:42" x14ac:dyDescent="0.2">
      <c r="A43" s="27" t="str">
        <f t="shared" si="9"/>
        <v>2022</v>
      </c>
      <c r="B43" s="25">
        <f t="array" ref="B43">SUM(IF(Table_Query_from_Actuarial___Production3[EffectiveYear]='Operating Results'!$A43,IF(Table_Query_from_Actuarial___Production3[StateName]=$F$1,IF(Table_Query_from_Actuarial___Production3[RecordType]="Premiums Written",Table_Query_from_Actuarial___Production3[SumOfAmount],0),0),0))</f>
        <v>239739304.19999999</v>
      </c>
      <c r="C43" s="25">
        <f t="array" ref="C43">SUM(IF(Table_Query_from_Actuarial___Production3[EffectiveYear]='Operating Results'!$A43,IF(Table_Query_from_Actuarial___Production3[StateName]=$F$1,IF(Table_Query_from_Actuarial___Production3[RecordType]="Premiums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Results'!$A43,IF(Table_Query_from_Actuarial___Production3[StateName]=$F$1,IF(Table_Query_from_Actuarial___Production3[RecordType]="EBUB",Table_Query_from_Actuarial___Production3[SumOfAmount],0),0),0))-SUM(IF(Table_Query_from_Actuarial___Production3[EffectiveYear]='Operating Results'!$A43,IF(Table_Query_from_Actuarial___Production3[StateName]=$F$1,IF(Table_Query_from_Actuarial___Production3[RecordType]="Unearned Premiums",Table_Query_from_Actuarial___Production3[SumOfAmount],0),0),0))</f>
        <v>206805860.41999999</v>
      </c>
      <c r="D43" s="25">
        <f>'Loss &amp; Expense Detail'!B41+'Loss &amp; Expense Detail'!C41+'Loss &amp; Expense Detail'!D41</f>
        <v>239909747.91999996</v>
      </c>
      <c r="E43" s="25">
        <f t="array" ref="E43">IF(LEFT($F$1,14)="North Carolina",0,SUM(IF(Table_Query_from_Actuarial___Production3[EffectiveYear]='Operating Results'!$A43,IF(Table_Query_from_Actuarial___Production3[StateName]=$F$1,IF(Table_Query_from_Actuarial___Production3[RecordType]="ALAE Paid",Table_Query_from_Actuarial___Production3[SumOfAmount],0),0),0))+SUM(IF(Table_Query_from_Actuarial___Production3[EffectiveYear]='Operating Results'!$A43,IF(Table_Query_from_Actuarial___Production3[StateName]=$F$1,IF(Table_Query_from_Actuarial___Production3[RecordType]="ALAE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Results'!$A43,IF(Table_Query_from_Actuarial___Production3[StateName]=$F$1,IF(Table_Query_from_Actuarial___Production3[RecordType]="Claims Expense",Table_Query_from_Actuarial___Production3[SumOfAmount],0),0),0)))</f>
        <v>27677671.189999998</v>
      </c>
      <c r="F43" s="25">
        <f t="array" ref="F43">SUM(IF(Table_Query_from_Actuarial___Production3[EffectiveYear]='Operating Results'!$A43,IF(Table_Query_from_Actuarial___Production3[StateName]=$F$1,IF(Table_Query_from_Actuarial___Production3[RecordType]="Operating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Results'!$A43,IF(Table_Query_from_Actuarial___Production3[StateName]=$F$1,IF(Table_Query_from_Actuarial___Production3[RecordType]="Premium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43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Results'!$A43,IF(Table_Query_from_Actuarial___Production3[StateName]=$F$1,IF(Table_Query_from_Actuarial___Production3[RecordType]="PDR",Table_Query_from_Actuarial___Production3[SumOfAmount],0),0),0))+SUM(IF(Table_Query_from_Actuarial___Production3[EffectiveYear]='Operating Results'!$A43,IF(Table_Query_from_Actuarial___Production3[StateName]=$F$1,IF(Table_Query_from_Actuarial___Production3[RecordType]="CPAI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Results'!$A43,IF(Table_Query_from_Actuarial___Production3[StateName]=$F$1,IF(Table_Query_from_Actuarial___Production3[RecordType]="Claims Expense",Table_Query_from_Actuarial___Production3[SumOfAmount],0),0),0)),0)</f>
        <v>72920311.810000002</v>
      </c>
      <c r="G43" s="26">
        <f t="shared" si="10"/>
        <v>-133701870.49999997</v>
      </c>
      <c r="H43" s="25">
        <f t="array" ref="H43">SUM(IF(Table_Query_from_Actuarial___Production3[EffectiveYear]='Operating Results'!$A43,IF(Table_Query_from_Actuarial___Production3[StateName]=$F$1,IF(Table_Query_from_Actuarial___Production3[RecordType]="Misc.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43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Results'!$A43,IF(Table_Query_from_Actuarial___Production3[StateName]=$F$1,IF(Table_Query_from_Actuarial___Production3[RecordType]="Misc.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Results'!$A43,IF(Table_Query_from_Actuarial___Production3[StateName]=$F$1,IF(Table_Query_from_Actuarial___Production3[RecordType]="Investment Income",Table_Query_from_Actuarial___Production3[SumOfAmount],0),0),0))</f>
        <v>2373215.46</v>
      </c>
      <c r="I43" s="26">
        <f t="shared" si="11"/>
        <v>-136075085.95999998</v>
      </c>
      <c r="J43" s="53">
        <f t="shared" si="12"/>
        <v>1.1600999999999999</v>
      </c>
      <c r="K43" s="53">
        <f t="shared" si="13"/>
        <v>0.1338</v>
      </c>
      <c r="L43" s="53">
        <f t="shared" si="14"/>
        <v>0.30420000000000003</v>
      </c>
      <c r="M43" s="54">
        <f t="shared" si="15"/>
        <v>1.5980999999999999</v>
      </c>
      <c r="N43" s="53">
        <f t="shared" si="16"/>
        <v>1.6080000000000001</v>
      </c>
      <c r="R43" t="s">
        <v>41</v>
      </c>
      <c r="S43" t="s">
        <v>233</v>
      </c>
      <c r="T43" t="s">
        <v>351</v>
      </c>
      <c r="U43" s="21">
        <v>450.01</v>
      </c>
      <c r="V43" s="21" t="s">
        <v>368</v>
      </c>
      <c r="W43" t="str">
        <f>VLOOKUP(Table_Query_from_Actuarial___Production[[#This Row],[Kor1]],$AI$3:$AK$105,3,FALSE)</f>
        <v>Misc. Income</v>
      </c>
      <c r="X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"/>
      <c r="Z43" t="s">
        <v>43</v>
      </c>
      <c r="AA43" t="s">
        <v>237</v>
      </c>
      <c r="AB43" t="s">
        <v>442</v>
      </c>
      <c r="AC43" s="21">
        <v>15919.54</v>
      </c>
      <c r="AD43" s="21" t="s">
        <v>368</v>
      </c>
      <c r="AE43" t="str">
        <f>VLOOKUP(Table_Query_from_Actuarial___Production3[[#This Row],[Kor1]],$AI$3:$AK$105,3,FALSE)</f>
        <v>Charge-offs</v>
      </c>
      <c r="AF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3" s="9" t="s">
        <v>162</v>
      </c>
      <c r="AJ43" s="5" t="s">
        <v>163</v>
      </c>
      <c r="AK43" s="6" t="s">
        <v>163</v>
      </c>
      <c r="AM43" s="31" t="s">
        <v>260</v>
      </c>
      <c r="AN43" s="11" t="s">
        <v>303</v>
      </c>
      <c r="AP43" s="39" t="s">
        <v>409</v>
      </c>
    </row>
    <row r="44" spans="1:42" x14ac:dyDescent="0.2">
      <c r="A44" s="27" t="str">
        <f>LEFT(AC1,4)</f>
        <v>2023</v>
      </c>
      <c r="B44" s="25">
        <f t="array" ref="B44">SUM(IF(Table_Query_from_Actuarial___Production3[EffectiveYear]='Operating Results'!$A44,IF(Table_Query_from_Actuarial___Production3[StateName]=$F$1,IF(Table_Query_from_Actuarial___Production3[RecordType]="Premiums Written",Table_Query_from_Actuarial___Production3[SumOfAmount],0),0),0))</f>
        <v>86276946</v>
      </c>
      <c r="C44" s="25">
        <f t="array" ref="C44">SUM(IF(Table_Query_from_Actuarial___Production3[EffectiveYear]='Operating Results'!$A44,IF(Table_Query_from_Actuarial___Production3[StateName]=$F$1,IF(Table_Query_from_Actuarial___Production3[RecordType]="Premiums Written",Table_Query_from_Actuarial___Production3[SumOfAmount],0),0),0))+SUM(IF(Table_Query_from_Actuarial___Production3[EffectiveYear]='Operating Results'!$A44,IF(Table_Query_from_Actuarial___Production3[StateName]=$F$1,IF(Table_Query_from_Actuarial___Production3[RecordType]="EBUB",Table_Query_from_Actuarial___Production3[SumOfAmount],0),0),0))-SUM(IF(Table_Query_from_Actuarial___Production3[EffectiveYear]='Operating Results'!$A44,IF(Table_Query_from_Actuarial___Production3[StateName]=$F$1,IF(Table_Query_from_Actuarial___Production3[RecordType]="Unearned Premiums",Table_Query_from_Actuarial___Production3[SumOfAmount],0),0),0))</f>
        <v>22096248.980000019</v>
      </c>
      <c r="D44" s="25">
        <f>'Loss &amp; Expense Detail'!B42+'Loss &amp; Expense Detail'!C42+'Loss &amp; Expense Detail'!D42</f>
        <v>21668140.709999993</v>
      </c>
      <c r="E44" s="25">
        <f t="array" ref="E44">IF(LEFT($F$1,14)="North Carolina",0,SUM(IF(Table_Query_from_Actuarial___Production3[EffectiveYear]='Operating Results'!$A44,IF(Table_Query_from_Actuarial___Production3[StateName]=$F$1,IF(Table_Query_from_Actuarial___Production3[RecordType]="ALAE Paid",Table_Query_from_Actuarial___Production3[SumOfAmount],0),0),0))+SUM(IF(Table_Query_from_Actuarial___Production3[EffectiveYear]='Operating Results'!$A44,IF(Table_Query_from_Actuarial___Production3[StateName]=$F$1,IF(Table_Query_from_Actuarial___Production3[RecordType]="ALAE Reserve",Table_Query_from_Actuarial___Production3[SumOfAmount],0),0),0))+SUM(IF(Table_Query_from_Actuarial___Production3[EffectiveYear]='Operating Results'!$A44,IF(Table_Query_from_Actuarial___Production3[StateName]=$F$1,IF(Table_Query_from_Actuarial___Production3[RecordType]="Claims Expense",Table_Query_from_Actuarial___Production3[SumOfAmount],0),0),0)))</f>
        <v>2044977.32</v>
      </c>
      <c r="F44" s="25">
        <f t="array" ref="F44">SUM(IF(Table_Query_from_Actuarial___Production3[EffectiveYear]='Operating Results'!$A44,IF(Table_Query_from_Actuarial___Production3[StateName]=$F$1,IF(Table_Query_from_Actuarial___Production3[RecordType]="Operating Service Fees",Table_Query_from_Actuarial___Production3[SumOfAmount],0),0),0))+SUM(IF(Table_Query_from_Actuarial___Production3[EffectiveYear]='Operating Results'!$A44,IF(Table_Query_from_Actuarial___Production3[StateName]=$F$1,IF(Table_Query_from_Actuarial___Production3[RecordType]="Premium Tax",Table_Query_from_Actuarial___Production3[SumOfAmount],0),0),0))+SUM(IF(Table_Query_from_Actuarial___Production3[EffectiveYear]='Operating Results'!$A44,IF(Table_Query_from_Actuarial___Production3[StateName]=$F$1,IF(Table_Query_from_Actuarial___Production3[RecordType]="Commissions",Table_Query_from_Actuarial___Production3[SumOfAmount],0),0),0))+SUM(IF(Table_Query_from_Actuarial___Production3[EffectiveYear]='Operating Results'!$A44,IF(Table_Query_from_Actuarial___Production3[StateName]=$F$1,IF(Table_Query_from_Actuarial___Production3[RecordType]="PDR",Table_Query_from_Actuarial___Production3[SumOfAmount],0),0),0))+SUM(IF(Table_Query_from_Actuarial___Production3[EffectiveYear]='Operating Results'!$A44,IF(Table_Query_from_Actuarial___Production3[StateName]=$F$1,IF(Table_Query_from_Actuarial___Production3[RecordType]="CPAI Charge-offs",Table_Query_from_Actuarial___Production3[SumOfAmount],0),0),0))+IF(LEFT($F$1,23)="North Carolina Facility",+SUM(IF(Table_Query_from_Actuarial___Production3[EffectiveYear]='Operating Results'!$A44,IF(Table_Query_from_Actuarial___Production3[StateName]=$F$1,IF(Table_Query_from_Actuarial___Production3[RecordType]="Claims Expense",Table_Query_from_Actuarial___Production3[SumOfAmount],0),0),0)),0)</f>
        <v>35295645.549999997</v>
      </c>
      <c r="G44" s="26">
        <f t="shared" si="10"/>
        <v>-36912514.599999972</v>
      </c>
      <c r="H44" s="25">
        <f t="array" ref="H44">SUM(IF(Table_Query_from_Actuarial___Production3[EffectiveYear]='Operating Results'!$A44,IF(Table_Query_from_Actuarial___Production3[StateName]=$F$1,IF(Table_Query_from_Actuarial___Production3[RecordType]="Misc. Expense",Table_Query_from_Actuarial___Production3[SumOfAmount],0),0),0))+SUM(IF(Table_Query_from_Actuarial___Production3[EffectiveYear]='Operating Results'!$A44,IF(Table_Query_from_Actuarial___Production3[StateName]=$F$1,IF(Table_Query_from_Actuarial___Production3[RecordType]="Charge-offs",Table_Query_from_Actuarial___Production3[SumOfAmount],0),0),0))-SUM(IF(Table_Query_from_Actuarial___Production3[EffectiveYear]='Operating Results'!$A44,IF(Table_Query_from_Actuarial___Production3[StateName]=$F$1,IF(Table_Query_from_Actuarial___Production3[RecordType]="Misc. Income",Table_Query_from_Actuarial___Production3[SumOfAmount],0),0),0))-SUM(IF(Table_Query_from_Actuarial___Production3[EffectiveYear]='Operating Results'!$A44,IF(Table_Query_from_Actuarial___Production3[StateName]=$F$1,IF(Table_Query_from_Actuarial___Production3[RecordType]="Investment Income",Table_Query_from_Actuarial___Production3[SumOfAmount],0),0),0))</f>
        <v>1436278.7400000002</v>
      </c>
      <c r="I44" s="26">
        <f t="shared" si="11"/>
        <v>-38348793.339999974</v>
      </c>
      <c r="J44" s="53">
        <f t="shared" si="12"/>
        <v>0.98060000000000003</v>
      </c>
      <c r="K44" s="53">
        <f t="shared" si="13"/>
        <v>9.2499999999999999E-2</v>
      </c>
      <c r="L44" s="53">
        <f t="shared" si="14"/>
        <v>0.40910000000000002</v>
      </c>
      <c r="M44" s="54">
        <f t="shared" si="15"/>
        <v>1.4822</v>
      </c>
      <c r="N44" s="53">
        <f t="shared" si="16"/>
        <v>1.4987999999999999</v>
      </c>
      <c r="R44" t="s">
        <v>13</v>
      </c>
      <c r="S44" t="s">
        <v>250</v>
      </c>
      <c r="T44" t="s">
        <v>356</v>
      </c>
      <c r="U44" s="21">
        <v>231961.87</v>
      </c>
      <c r="V44" s="21" t="s">
        <v>368</v>
      </c>
      <c r="W44" t="str">
        <f>VLOOKUP(Table_Query_from_Actuarial___Production[[#This Row],[Kor1]],$AI$3:$AK$105,3,FALSE)</f>
        <v>Operating Service Fees</v>
      </c>
      <c r="X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"/>
      <c r="Z44" t="s">
        <v>15</v>
      </c>
      <c r="AA44" t="s">
        <v>354</v>
      </c>
      <c r="AB44" t="s">
        <v>442</v>
      </c>
      <c r="AC44" s="21">
        <v>22245733.25</v>
      </c>
      <c r="AD44" s="21" t="s">
        <v>369</v>
      </c>
      <c r="AE44" t="str">
        <f>VLOOKUP(Table_Query_from_Actuarial___Production3[[#This Row],[Kor1]],$AI$3:$AK$105,3,FALSE)</f>
        <v>Unearned Premiums</v>
      </c>
      <c r="AF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  <c r="AI44" s="9" t="s">
        <v>164</v>
      </c>
      <c r="AJ44" s="5" t="s">
        <v>165</v>
      </c>
      <c r="AK44" s="6" t="s">
        <v>165</v>
      </c>
      <c r="AM44" s="31" t="s">
        <v>261</v>
      </c>
      <c r="AN44" s="11" t="s">
        <v>304</v>
      </c>
      <c r="AP44" s="39" t="s">
        <v>410</v>
      </c>
    </row>
    <row r="45" spans="1:42" x14ac:dyDescent="0.2">
      <c r="A45" s="46" t="s">
        <v>118</v>
      </c>
      <c r="B45" s="47">
        <f t="shared" ref="B45:I45" si="17">SUM(B34:B44)</f>
        <v>1604029645.2</v>
      </c>
      <c r="C45" s="47">
        <f t="shared" si="17"/>
        <v>1507928475.4000001</v>
      </c>
      <c r="D45" s="47">
        <f t="shared" si="17"/>
        <v>1586715239.8099999</v>
      </c>
      <c r="E45" s="47">
        <f t="shared" si="17"/>
        <v>229259495.26999998</v>
      </c>
      <c r="F45" s="47">
        <f t="shared" si="17"/>
        <v>466658905.75999999</v>
      </c>
      <c r="G45" s="47">
        <f t="shared" si="17"/>
        <v>-774705165.44000006</v>
      </c>
      <c r="H45" s="47">
        <f t="shared" si="17"/>
        <v>80735428.719999999</v>
      </c>
      <c r="I45" s="47">
        <f t="shared" si="17"/>
        <v>-855440594.15999985</v>
      </c>
      <c r="J45" s="55">
        <f>IFERROR(ROUND(D45/C45,4),"N/A")</f>
        <v>1.0522</v>
      </c>
      <c r="K45" s="55">
        <f>IFERROR(ROUND(E45/C45,4),"N/A")</f>
        <v>0.152</v>
      </c>
      <c r="L45" s="55">
        <f>IFERROR(ROUND(F45/B45,4),"N/A")</f>
        <v>0.29089999999999999</v>
      </c>
      <c r="M45" s="55">
        <f>IFERROR(J45+K45+L45,"N/A")</f>
        <v>1.4950999999999999</v>
      </c>
      <c r="N45" s="56">
        <f t="shared" si="16"/>
        <v>1.5454000000000001</v>
      </c>
      <c r="R45" t="s">
        <v>50</v>
      </c>
      <c r="S45" t="s">
        <v>245</v>
      </c>
      <c r="T45" t="s">
        <v>442</v>
      </c>
      <c r="U45" s="21">
        <v>76.33</v>
      </c>
      <c r="V45" s="21" t="s">
        <v>368</v>
      </c>
      <c r="W45" t="str">
        <f>VLOOKUP(Table_Query_from_Actuarial___Production[[#This Row],[Kor1]],$AI$3:$AK$105,3,FALSE)</f>
        <v>ALAE Reserve</v>
      </c>
      <c r="X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"/>
      <c r="Z45" t="s">
        <v>37</v>
      </c>
      <c r="AA45" t="s">
        <v>258</v>
      </c>
      <c r="AB45" t="s">
        <v>7</v>
      </c>
      <c r="AC45" s="21">
        <v>947.78</v>
      </c>
      <c r="AD45" s="21" t="s">
        <v>368</v>
      </c>
      <c r="AE45" t="str">
        <f>VLOOKUP(Table_Query_from_Actuarial___Production3[[#This Row],[Kor1]],$AI$3:$AK$105,3,FALSE)</f>
        <v>Misc. Expense</v>
      </c>
      <c r="AF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5" s="9" t="s">
        <v>45</v>
      </c>
      <c r="AJ45" s="5" t="s">
        <v>166</v>
      </c>
      <c r="AK45" s="6" t="s">
        <v>93</v>
      </c>
      <c r="AM45" s="31" t="s">
        <v>262</v>
      </c>
      <c r="AN45" s="11" t="s">
        <v>305</v>
      </c>
      <c r="AP45" s="39" t="s">
        <v>411</v>
      </c>
    </row>
    <row r="46" spans="1:42" x14ac:dyDescent="0.2">
      <c r="R46" t="s">
        <v>10</v>
      </c>
      <c r="S46" t="s">
        <v>267</v>
      </c>
      <c r="T46" t="s">
        <v>427</v>
      </c>
      <c r="U46" s="21">
        <v>14076.23</v>
      </c>
      <c r="V46" s="21" t="s">
        <v>368</v>
      </c>
      <c r="W46" t="str">
        <f>VLOOKUP(Table_Query_from_Actuarial___Production[[#This Row],[Kor1]],$AI$3:$AK$105,3,FALSE)</f>
        <v>Commissions</v>
      </c>
      <c r="X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"/>
      <c r="Z46" t="s">
        <v>41</v>
      </c>
      <c r="AA46" t="s">
        <v>233</v>
      </c>
      <c r="AB46" t="s">
        <v>351</v>
      </c>
      <c r="AC46" s="21">
        <v>450.01</v>
      </c>
      <c r="AD46" s="21" t="s">
        <v>368</v>
      </c>
      <c r="AE46" t="str">
        <f>VLOOKUP(Table_Query_from_Actuarial___Production3[[#This Row],[Kor1]],$AI$3:$AK$105,3,FALSE)</f>
        <v>Misc. Income</v>
      </c>
      <c r="AF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6" s="9" t="s">
        <v>77</v>
      </c>
      <c r="AJ46" s="5" t="s">
        <v>78</v>
      </c>
      <c r="AK46" s="6" t="s">
        <v>78</v>
      </c>
      <c r="AM46" s="31" t="s">
        <v>263</v>
      </c>
      <c r="AN46" s="11" t="s">
        <v>306</v>
      </c>
      <c r="AP46" s="39" t="s">
        <v>412</v>
      </c>
    </row>
    <row r="47" spans="1:42" x14ac:dyDescent="0.2">
      <c r="R47" t="s">
        <v>14</v>
      </c>
      <c r="S47" t="s">
        <v>261</v>
      </c>
      <c r="T47" t="s">
        <v>433</v>
      </c>
      <c r="U47" s="21">
        <v>12622.13</v>
      </c>
      <c r="V47" s="21" t="s">
        <v>368</v>
      </c>
      <c r="W47" t="str">
        <f>VLOOKUP(Table_Query_from_Actuarial___Production[[#This Row],[Kor1]],$AI$3:$AK$105,3,FALSE)</f>
        <v>Claims Expense</v>
      </c>
      <c r="X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"/>
      <c r="Z47" t="s">
        <v>13</v>
      </c>
      <c r="AA47" t="s">
        <v>250</v>
      </c>
      <c r="AB47" t="s">
        <v>356</v>
      </c>
      <c r="AC47" s="21">
        <v>231961.87</v>
      </c>
      <c r="AD47" s="21" t="s">
        <v>368</v>
      </c>
      <c r="AE47" t="str">
        <f>VLOOKUP(Table_Query_from_Actuarial___Production3[[#This Row],[Kor1]],$AI$3:$AK$105,3,FALSE)</f>
        <v>Operating Service Fees</v>
      </c>
      <c r="AF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7" s="9" t="s">
        <v>167</v>
      </c>
      <c r="AJ47" s="5" t="s">
        <v>168</v>
      </c>
      <c r="AK47" s="6" t="s">
        <v>366</v>
      </c>
      <c r="AM47" s="31" t="s">
        <v>264</v>
      </c>
      <c r="AN47" s="11" t="s">
        <v>307</v>
      </c>
      <c r="AP47" s="39" t="s">
        <v>413</v>
      </c>
    </row>
    <row r="48" spans="1:42" x14ac:dyDescent="0.2">
      <c r="A48" s="59" t="str">
        <f>"Change in Experience by Active Policy Years from "&amp;IF(RIGHT('Operating Results'!U1,1)="4","4th Calendar Quarter ",IF(RIGHT('Operating Results'!U1,1)="3","3rd Calendar Quarter ",IF(RIGHT('Operating Results'!U1,1)="2","2nd Calendar Quarter ","1st Calendar Quarter ")))&amp;LEFT('Operating Results'!AC1,4)&amp;" Through "&amp;IF(RIGHT('Operating Results'!U1,1)="4","4th Calendar Quarter ",IF(RIGHT('Operating Results'!U1,1)="3","3rd Calendar Quarter ",IF(RIGHT('Operating Results'!U1,1)="2","2nd Calendar Quarter ","1st Calendar Quarter ")))&amp;LEFT('Operating Results'!U1,4)</f>
        <v>Change in Experience by Active Policy Years from 2nd Calendar Quarter 2023 Through 2nd Calendar Quarter 2024</v>
      </c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R48" t="s">
        <v>40</v>
      </c>
      <c r="S48" t="s">
        <v>227</v>
      </c>
      <c r="T48" t="s">
        <v>356</v>
      </c>
      <c r="U48" s="21">
        <v>104</v>
      </c>
      <c r="V48" s="21" t="s">
        <v>368</v>
      </c>
      <c r="W48" t="str">
        <f>VLOOKUP(Table_Query_from_Actuarial___Production[[#This Row],[Kor1]],$AI$3:$AK$105,3,FALSE)</f>
        <v>Misc. Income</v>
      </c>
      <c r="X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"/>
      <c r="Z48" t="s">
        <v>13</v>
      </c>
      <c r="AA48" t="s">
        <v>251</v>
      </c>
      <c r="AB48" t="s">
        <v>5</v>
      </c>
      <c r="AC48" s="21">
        <v>8224.16</v>
      </c>
      <c r="AD48" s="21" t="s">
        <v>368</v>
      </c>
      <c r="AE48" t="str">
        <f>VLOOKUP(Table_Query_from_Actuarial___Production3[[#This Row],[Kor1]],$AI$3:$AK$105,3,FALSE)</f>
        <v>Operating Service Fees</v>
      </c>
      <c r="AF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8" s="9" t="s">
        <v>169</v>
      </c>
      <c r="AJ48" s="5" t="s">
        <v>170</v>
      </c>
      <c r="AK48" s="6" t="s">
        <v>170</v>
      </c>
      <c r="AM48" s="31" t="s">
        <v>265</v>
      </c>
      <c r="AN48" s="11" t="s">
        <v>308</v>
      </c>
      <c r="AP48" s="39" t="s">
        <v>414</v>
      </c>
    </row>
    <row r="49" spans="1:42" x14ac:dyDescent="0.2">
      <c r="R49" t="s">
        <v>14</v>
      </c>
      <c r="S49" t="s">
        <v>227</v>
      </c>
      <c r="T49" t="s">
        <v>443</v>
      </c>
      <c r="U49" s="21">
        <v>4827.3100000000004</v>
      </c>
      <c r="V49" s="21" t="s">
        <v>368</v>
      </c>
      <c r="W49" t="str">
        <f>VLOOKUP(Table_Query_from_Actuarial___Production[[#This Row],[Kor1]],$AI$3:$AK$105,3,FALSE)</f>
        <v>Claims Expense</v>
      </c>
      <c r="X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"/>
      <c r="Z49" t="s">
        <v>50</v>
      </c>
      <c r="AA49" t="s">
        <v>245</v>
      </c>
      <c r="AB49" t="s">
        <v>442</v>
      </c>
      <c r="AC49" s="21">
        <v>14.77</v>
      </c>
      <c r="AD49" s="21" t="s">
        <v>368</v>
      </c>
      <c r="AE49" t="str">
        <f>VLOOKUP(Table_Query_from_Actuarial___Production3[[#This Row],[Kor1]],$AI$3:$AK$105,3,FALSE)</f>
        <v>ALAE Reserve</v>
      </c>
      <c r="AF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49" s="9" t="s">
        <v>171</v>
      </c>
      <c r="AJ49" s="5" t="s">
        <v>172</v>
      </c>
      <c r="AK49" s="6" t="s">
        <v>172</v>
      </c>
      <c r="AM49" s="31" t="s">
        <v>266</v>
      </c>
      <c r="AN49" s="11" t="s">
        <v>309</v>
      </c>
      <c r="AP49" s="39" t="s">
        <v>415</v>
      </c>
    </row>
    <row r="50" spans="1:42" x14ac:dyDescent="0.2">
      <c r="A50" s="27" t="str">
        <f>A17</f>
        <v>2013</v>
      </c>
      <c r="B50" s="25">
        <f>IF(A50="","",(VLOOKUP(A50,$A$17:$B$28,2,FALSE))-IFERROR((VLOOKUP(A50,$A$34:$B$44,2,FALSE)),0))</f>
        <v>0</v>
      </c>
      <c r="C50" s="25">
        <f>IF(A50="","",(VLOOKUP(A50,$A$17:$C$28,3,FALSE))-IFERROR((VLOOKUP(A50,$A$34:$C$44,3,FALSE)),0))</f>
        <v>0</v>
      </c>
      <c r="D50" s="25">
        <f>IF(A50="","",(VLOOKUP(A50,$A$17:$D$28,4,FALSE))-IFERROR((VLOOKUP(A50,$A$34:$D$44,4,FALSE)),0))</f>
        <v>-102227.82000000775</v>
      </c>
      <c r="E50" s="25">
        <f>IF(A50="","",(VLOOKUP(A50,$A$17:$E$28,5,FALSE))-IFERROR((VLOOKUP(A50,$A$34:$E$44,5,FALSE)),0))</f>
        <v>3097.7399999983609</v>
      </c>
      <c r="F50" s="25">
        <f>IF(A50="","",(VLOOKUP(A50,$A$17:$F$28,6,FALSE))-IFERROR((VLOOKUP(A50,$A$34:$F$44,6,FALSE)),0))</f>
        <v>0</v>
      </c>
      <c r="G50" s="25">
        <f>IF(A50="","",(VLOOKUP(A50,$A$17:$G$28,7,FALSE))-IFERROR((VLOOKUP(A50,$A$34:$G$44,7,FALSE)),0))</f>
        <v>99130.080000009388</v>
      </c>
      <c r="H50" s="25">
        <f>IF(A50="","",(VLOOKUP(A50,$A$17:$H$28,8,FALSE))-IFERROR((VLOOKUP(A50,$A$34:$H$44,8,FALSE)),0))</f>
        <v>-0.2800000011920929</v>
      </c>
      <c r="I50" s="25">
        <f>IF(A50="","",(VLOOKUP(A50,$A$17:$I$28,9,FALSE))-IFERROR((VLOOKUP(A50,$A$34:$I$44,9,FALSE)),0))</f>
        <v>99130.36000001058</v>
      </c>
      <c r="R50" t="s">
        <v>27</v>
      </c>
      <c r="S50" t="s">
        <v>259</v>
      </c>
      <c r="T50" t="s">
        <v>433</v>
      </c>
      <c r="U50" s="21">
        <v>131.28</v>
      </c>
      <c r="V50" s="21" t="s">
        <v>368</v>
      </c>
      <c r="W50" t="str">
        <f>VLOOKUP(Table_Query_from_Actuarial___Production[[#This Row],[Kor1]],$AI$3:$AK$105,3,FALSE)</f>
        <v>Misc. Expense</v>
      </c>
      <c r="X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"/>
      <c r="Z50" t="s">
        <v>10</v>
      </c>
      <c r="AA50" t="s">
        <v>267</v>
      </c>
      <c r="AB50" t="s">
        <v>427</v>
      </c>
      <c r="AC50" s="21">
        <v>14076.23</v>
      </c>
      <c r="AD50" s="21" t="s">
        <v>368</v>
      </c>
      <c r="AE50" t="str">
        <f>VLOOKUP(Table_Query_from_Actuarial___Production3[[#This Row],[Kor1]],$AI$3:$AK$105,3,FALSE)</f>
        <v>Commissions</v>
      </c>
      <c r="AF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0" s="9" t="s">
        <v>173</v>
      </c>
      <c r="AJ50" s="5" t="s">
        <v>174</v>
      </c>
      <c r="AK50" s="6" t="s">
        <v>174</v>
      </c>
      <c r="AM50" s="31" t="s">
        <v>267</v>
      </c>
      <c r="AN50" s="11" t="s">
        <v>310</v>
      </c>
      <c r="AP50" s="39" t="s">
        <v>416</v>
      </c>
    </row>
    <row r="51" spans="1:42" x14ac:dyDescent="0.2">
      <c r="A51" s="27" t="str">
        <f t="shared" ref="A51:A54" si="18">TEXT(VALUE(A52-1),"0000")</f>
        <v>2014</v>
      </c>
      <c r="B51" s="25">
        <f t="shared" ref="B51:B54" si="19">(VLOOKUP(A51,$A$17:$B$28,2,FALSE))-IFERROR((VLOOKUP(A51,$A$34:$B$44,2,FALSE)),0)</f>
        <v>0</v>
      </c>
      <c r="C51" s="25">
        <f t="shared" ref="C51:C54" si="20">(VLOOKUP(A51,$A$17:$C$28,3,FALSE))-IFERROR((VLOOKUP(A51,$A$34:$C$44,3,FALSE)),0)</f>
        <v>0</v>
      </c>
      <c r="D51" s="25">
        <f t="shared" ref="D51:D54" si="21">(VLOOKUP(A51,$A$17:$D$28,4,FALSE))-IFERROR((VLOOKUP(A51,$A$34:$D$44,4,FALSE)),0)</f>
        <v>111053.00999999046</v>
      </c>
      <c r="E51" s="25">
        <f t="shared" ref="E51:E54" si="22">(VLOOKUP(A51,$A$17:$E$28,5,FALSE))-IFERROR((VLOOKUP(A51,$A$34:$E$44,5,FALSE)),0)</f>
        <v>23256.730000000447</v>
      </c>
      <c r="F51" s="25">
        <f t="shared" ref="F51:F54" si="23">(VLOOKUP(A51,$A$17:$F$28,6,FALSE))-IFERROR((VLOOKUP(A51,$A$34:$F$44,6,FALSE)),0)</f>
        <v>0</v>
      </c>
      <c r="G51" s="25">
        <f t="shared" ref="G51:G54" si="24">(VLOOKUP(A51,$A$17:$G$28,7,FALSE))-IFERROR((VLOOKUP(A51,$A$34:$G$44,7,FALSE)),0)</f>
        <v>-134309.73999999091</v>
      </c>
      <c r="H51" s="25">
        <f t="shared" ref="H51:H54" si="25">(VLOOKUP(A51,$A$17:$H$28,8,FALSE))-IFERROR((VLOOKUP(A51,$A$34:$H$44,8,FALSE)),0)</f>
        <v>0</v>
      </c>
      <c r="I51" s="25">
        <f t="shared" ref="I51:I54" si="26">(VLOOKUP(A51,$A$17:$I$28,9,FALSE))-IFERROR((VLOOKUP(A51,$A$34:$I$44,9,FALSE)),0)</f>
        <v>-134309.73999999091</v>
      </c>
      <c r="R51" t="s">
        <v>14</v>
      </c>
      <c r="S51" t="s">
        <v>224</v>
      </c>
      <c r="T51" t="s">
        <v>9</v>
      </c>
      <c r="U51" s="21">
        <v>21542.22</v>
      </c>
      <c r="V51" s="21" t="s">
        <v>369</v>
      </c>
      <c r="W51" t="str">
        <f>VLOOKUP(Table_Query_from_Actuarial___Production[[#This Row],[Kor1]],$AI$3:$AK$105,3,FALSE)</f>
        <v>Claims Expense</v>
      </c>
      <c r="X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1"/>
      <c r="Z51" t="s">
        <v>14</v>
      </c>
      <c r="AA51" t="s">
        <v>261</v>
      </c>
      <c r="AB51" t="s">
        <v>433</v>
      </c>
      <c r="AC51" s="21">
        <v>12622.13</v>
      </c>
      <c r="AD51" s="21" t="s">
        <v>368</v>
      </c>
      <c r="AE51" t="str">
        <f>VLOOKUP(Table_Query_from_Actuarial___Production3[[#This Row],[Kor1]],$AI$3:$AK$105,3,FALSE)</f>
        <v>Claims Expense</v>
      </c>
      <c r="AF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1" s="9" t="s">
        <v>175</v>
      </c>
      <c r="AJ51" s="5" t="s">
        <v>176</v>
      </c>
      <c r="AK51" s="6" t="s">
        <v>176</v>
      </c>
      <c r="AM51" s="31" t="s">
        <v>268</v>
      </c>
      <c r="AN51" s="11" t="s">
        <v>311</v>
      </c>
      <c r="AP51" s="39" t="s">
        <v>417</v>
      </c>
    </row>
    <row r="52" spans="1:42" x14ac:dyDescent="0.2">
      <c r="A52" s="27" t="str">
        <f t="shared" si="18"/>
        <v>2015</v>
      </c>
      <c r="B52" s="25">
        <f t="shared" si="19"/>
        <v>0</v>
      </c>
      <c r="C52" s="25">
        <f t="shared" si="20"/>
        <v>0</v>
      </c>
      <c r="D52" s="25">
        <f t="shared" si="21"/>
        <v>154644.18000000715</v>
      </c>
      <c r="E52" s="25">
        <f t="shared" si="22"/>
        <v>55947.760000001639</v>
      </c>
      <c r="F52" s="25">
        <f t="shared" si="23"/>
        <v>0</v>
      </c>
      <c r="G52" s="25">
        <f t="shared" si="24"/>
        <v>-210591.94000000507</v>
      </c>
      <c r="H52" s="25">
        <f t="shared" si="25"/>
        <v>1.6699999999254942</v>
      </c>
      <c r="I52" s="25">
        <f t="shared" si="26"/>
        <v>-210593.61000000685</v>
      </c>
      <c r="R52" t="s">
        <v>37</v>
      </c>
      <c r="S52" t="s">
        <v>262</v>
      </c>
      <c r="T52" t="s">
        <v>9</v>
      </c>
      <c r="U52" s="21">
        <v>300.7</v>
      </c>
      <c r="V52" s="21" t="s">
        <v>368</v>
      </c>
      <c r="W52" t="str">
        <f>VLOOKUP(Table_Query_from_Actuarial___Production[[#This Row],[Kor1]],$AI$3:$AK$105,3,FALSE)</f>
        <v>Misc. Expense</v>
      </c>
      <c r="X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"/>
      <c r="Z52" t="s">
        <v>40</v>
      </c>
      <c r="AA52" t="s">
        <v>227</v>
      </c>
      <c r="AB52" t="s">
        <v>356</v>
      </c>
      <c r="AC52" s="21">
        <v>104</v>
      </c>
      <c r="AD52" s="21" t="s">
        <v>368</v>
      </c>
      <c r="AE52" t="str">
        <f>VLOOKUP(Table_Query_from_Actuarial___Production3[[#This Row],[Kor1]],$AI$3:$AK$105,3,FALSE)</f>
        <v>Misc. Income</v>
      </c>
      <c r="AF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2" s="9" t="s">
        <v>49</v>
      </c>
      <c r="AJ52" s="5" t="s">
        <v>79</v>
      </c>
      <c r="AK52" s="6" t="s">
        <v>79</v>
      </c>
      <c r="AM52" s="20" t="s">
        <v>224</v>
      </c>
      <c r="AN52" s="11" t="s">
        <v>312</v>
      </c>
      <c r="AP52" s="39" t="s">
        <v>418</v>
      </c>
    </row>
    <row r="53" spans="1:42" x14ac:dyDescent="0.2">
      <c r="A53" s="27" t="str">
        <f t="shared" si="18"/>
        <v>2016</v>
      </c>
      <c r="B53" s="25">
        <f t="shared" si="19"/>
        <v>0</v>
      </c>
      <c r="C53" s="25">
        <f t="shared" si="20"/>
        <v>0</v>
      </c>
      <c r="D53" s="25">
        <f t="shared" si="21"/>
        <v>-620958.07999999821</v>
      </c>
      <c r="E53" s="25">
        <f t="shared" si="22"/>
        <v>55811.260000001639</v>
      </c>
      <c r="F53" s="25">
        <f t="shared" si="23"/>
        <v>833.34000000357628</v>
      </c>
      <c r="G53" s="25">
        <f t="shared" si="24"/>
        <v>564313.47999999672</v>
      </c>
      <c r="H53" s="25">
        <f t="shared" si="25"/>
        <v>-27166.640000000596</v>
      </c>
      <c r="I53" s="25">
        <f t="shared" si="26"/>
        <v>591480.11999999732</v>
      </c>
      <c r="R53" t="s">
        <v>77</v>
      </c>
      <c r="S53" t="s">
        <v>238</v>
      </c>
      <c r="T53" t="s">
        <v>443</v>
      </c>
      <c r="U53" s="21">
        <v>276541</v>
      </c>
      <c r="V53" s="21" t="s">
        <v>368</v>
      </c>
      <c r="W53" t="str">
        <f>VLOOKUP(Table_Query_from_Actuarial___Production[[#This Row],[Kor1]],$AI$3:$AK$105,3,FALSE)</f>
        <v>PDR</v>
      </c>
      <c r="X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"/>
      <c r="Z53" t="s">
        <v>17</v>
      </c>
      <c r="AA53" t="s">
        <v>268</v>
      </c>
      <c r="AB53" t="s">
        <v>427</v>
      </c>
      <c r="AC53" s="21">
        <v>127.18</v>
      </c>
      <c r="AD53" s="21" t="s">
        <v>368</v>
      </c>
      <c r="AE53" t="str">
        <f>VLOOKUP(Table_Query_from_Actuarial___Production3[[#This Row],[Kor1]],$AI$3:$AK$105,3,FALSE)</f>
        <v>IBNR</v>
      </c>
      <c r="AF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3" s="9" t="s">
        <v>50</v>
      </c>
      <c r="AJ53" s="5" t="s">
        <v>80</v>
      </c>
      <c r="AK53" s="6" t="s">
        <v>80</v>
      </c>
      <c r="AM53" s="33" t="s">
        <v>329</v>
      </c>
      <c r="AN53" s="12" t="s">
        <v>270</v>
      </c>
      <c r="AP53" s="39" t="s">
        <v>419</v>
      </c>
    </row>
    <row r="54" spans="1:42" x14ac:dyDescent="0.2">
      <c r="A54" s="27" t="str">
        <f t="shared" si="18"/>
        <v>2017</v>
      </c>
      <c r="B54" s="25">
        <f t="shared" si="19"/>
        <v>0</v>
      </c>
      <c r="C54" s="25">
        <f t="shared" si="20"/>
        <v>0</v>
      </c>
      <c r="D54" s="25">
        <f t="shared" si="21"/>
        <v>-467290.3599999994</v>
      </c>
      <c r="E54" s="25">
        <f t="shared" si="22"/>
        <v>83413.320000000298</v>
      </c>
      <c r="F54" s="25">
        <f t="shared" si="23"/>
        <v>364.60000000149012</v>
      </c>
      <c r="G54" s="25">
        <f t="shared" si="24"/>
        <v>383512.43999999762</v>
      </c>
      <c r="H54" s="25">
        <f t="shared" si="25"/>
        <v>0</v>
      </c>
      <c r="I54" s="25">
        <f t="shared" si="26"/>
        <v>383512.43999999762</v>
      </c>
      <c r="R54" t="s">
        <v>18</v>
      </c>
      <c r="S54" t="s">
        <v>354</v>
      </c>
      <c r="T54" t="s">
        <v>9</v>
      </c>
      <c r="U54" s="21">
        <v>516132.2</v>
      </c>
      <c r="V54" s="21" t="s">
        <v>368</v>
      </c>
      <c r="W54" t="str">
        <f>VLOOKUP(Table_Query_from_Actuarial___Production[[#This Row],[Kor1]],$AI$3:$AK$105,3,FALSE)</f>
        <v>Misc. Expense</v>
      </c>
      <c r="X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4"/>
      <c r="Z54" t="s">
        <v>27</v>
      </c>
      <c r="AA54" t="s">
        <v>259</v>
      </c>
      <c r="AB54" t="s">
        <v>433</v>
      </c>
      <c r="AC54" s="21">
        <v>131.28</v>
      </c>
      <c r="AD54" s="21" t="s">
        <v>368</v>
      </c>
      <c r="AE54" t="str">
        <f>VLOOKUP(Table_Query_from_Actuarial___Production3[[#This Row],[Kor1]],$AI$3:$AK$105,3,FALSE)</f>
        <v>Misc. Expense</v>
      </c>
      <c r="AF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4" s="14" t="s">
        <v>177</v>
      </c>
      <c r="AJ54" t="s">
        <v>178</v>
      </c>
      <c r="AK54" s="15" t="s">
        <v>178</v>
      </c>
      <c r="AN54" s="41"/>
      <c r="AP54" s="39" t="s">
        <v>420</v>
      </c>
    </row>
    <row r="55" spans="1:42" x14ac:dyDescent="0.2">
      <c r="A55" s="27" t="str">
        <f t="shared" ref="A55:A60" si="27">TEXT(VALUE(A56-1),"0000")</f>
        <v>2018</v>
      </c>
      <c r="B55" s="25">
        <f t="shared" ref="B55:B61" si="28">(VLOOKUP(A55,$A$17:$B$28,2,FALSE))-IFERROR((VLOOKUP(A55,$A$34:$B$44,2,FALSE)),0)</f>
        <v>0</v>
      </c>
      <c r="C55" s="25">
        <f t="shared" ref="C55:C61" si="29">(VLOOKUP(A55,$A$17:$C$28,3,FALSE))-IFERROR((VLOOKUP(A55,$A$34:$C$44,3,FALSE)),0)</f>
        <v>0</v>
      </c>
      <c r="D55" s="25">
        <f t="shared" ref="D55:D61" si="30">(VLOOKUP(A55,$A$17:$D$28,4,FALSE))-IFERROR((VLOOKUP(A55,$A$34:$D$44,4,FALSE)),0)</f>
        <v>5439604.8399999738</v>
      </c>
      <c r="E55" s="25">
        <f t="shared" ref="E55:E61" si="31">(VLOOKUP(A55,$A$17:$E$28,5,FALSE))-IFERROR((VLOOKUP(A55,$A$34:$E$44,5,FALSE)),0)</f>
        <v>80342.260000001639</v>
      </c>
      <c r="F55" s="25">
        <f t="shared" ref="F55:F61" si="32">(VLOOKUP(A55,$A$17:$F$28,6,FALSE))-IFERROR((VLOOKUP(A55,$A$34:$F$44,6,FALSE)),0)</f>
        <v>5555.2899999991059</v>
      </c>
      <c r="G55" s="25">
        <f t="shared" ref="G55:G61" si="33">(VLOOKUP(A55,$A$17:$G$28,7,FALSE))-IFERROR((VLOOKUP(A55,$A$34:$G$44,7,FALSE)),0)</f>
        <v>-5525502.3899999708</v>
      </c>
      <c r="H55" s="25">
        <f t="shared" ref="H55:H61" si="34">(VLOOKUP(A55,$A$17:$H$28,8,FALSE))-IFERROR((VLOOKUP(A55,$A$34:$H$44,8,FALSE)),0)</f>
        <v>-140676.38999999873</v>
      </c>
      <c r="I55" s="25">
        <f t="shared" ref="I55:I61" si="35">(VLOOKUP(A55,$A$17:$I$28,9,FALSE))-IFERROR((VLOOKUP(A55,$A$34:$I$44,9,FALSE)),0)</f>
        <v>-5384825.9999999702</v>
      </c>
      <c r="R55" t="s">
        <v>38</v>
      </c>
      <c r="S55" t="s">
        <v>352</v>
      </c>
      <c r="T55" t="s">
        <v>7</v>
      </c>
      <c r="U55" s="21">
        <v>663.65</v>
      </c>
      <c r="V55" s="21" t="s">
        <v>368</v>
      </c>
      <c r="W55" t="str">
        <f>VLOOKUP(Table_Query_from_Actuarial___Production[[#This Row],[Kor1]],$AI$3:$AK$105,3,FALSE)</f>
        <v>Misc. Income</v>
      </c>
      <c r="X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5"/>
      <c r="Z55" t="s">
        <v>39</v>
      </c>
      <c r="AA55" t="s">
        <v>245</v>
      </c>
      <c r="AB55" t="s">
        <v>5</v>
      </c>
      <c r="AC55" s="21">
        <v>26235.279999999999</v>
      </c>
      <c r="AD55" s="21" t="s">
        <v>368</v>
      </c>
      <c r="AE55" t="str">
        <f>VLOOKUP(Table_Query_from_Actuarial___Production3[[#This Row],[Kor1]],$AI$3:$AK$105,3,FALSE)</f>
        <v>Misc. Income for Insolvent Companies</v>
      </c>
      <c r="AF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5" s="14" t="s">
        <v>179</v>
      </c>
      <c r="AJ55" t="s">
        <v>180</v>
      </c>
      <c r="AK55" s="15" t="s">
        <v>180</v>
      </c>
      <c r="AP55" s="39" t="s">
        <v>421</v>
      </c>
    </row>
    <row r="56" spans="1:42" x14ac:dyDescent="0.2">
      <c r="A56" s="27" t="str">
        <f t="shared" si="27"/>
        <v>2019</v>
      </c>
      <c r="B56" s="25">
        <f t="shared" si="28"/>
        <v>-59945</v>
      </c>
      <c r="C56" s="25">
        <f t="shared" si="29"/>
        <v>-59945</v>
      </c>
      <c r="D56" s="25">
        <f t="shared" si="30"/>
        <v>-12503242.440000027</v>
      </c>
      <c r="E56" s="25">
        <f t="shared" si="31"/>
        <v>-788689.16000000015</v>
      </c>
      <c r="F56" s="25">
        <f t="shared" si="32"/>
        <v>-10649.280000008643</v>
      </c>
      <c r="G56" s="25">
        <f t="shared" si="33"/>
        <v>13242635.88000004</v>
      </c>
      <c r="H56" s="25">
        <f t="shared" si="34"/>
        <v>-54964.839999999851</v>
      </c>
      <c r="I56" s="25">
        <f t="shared" si="35"/>
        <v>13297600.720000044</v>
      </c>
      <c r="R56" t="s">
        <v>37</v>
      </c>
      <c r="S56" t="s">
        <v>251</v>
      </c>
      <c r="T56" t="s">
        <v>443</v>
      </c>
      <c r="U56" s="21">
        <v>307.24</v>
      </c>
      <c r="V56" s="21" t="s">
        <v>368</v>
      </c>
      <c r="W56" t="str">
        <f>VLOOKUP(Table_Query_from_Actuarial___Production[[#This Row],[Kor1]],$AI$3:$AK$105,3,FALSE)</f>
        <v>Misc. Expense</v>
      </c>
      <c r="X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"/>
      <c r="Z56" t="s">
        <v>14</v>
      </c>
      <c r="AA56" t="s">
        <v>224</v>
      </c>
      <c r="AB56" t="s">
        <v>9</v>
      </c>
      <c r="AC56" s="21">
        <v>21529.24</v>
      </c>
      <c r="AD56" s="21" t="s">
        <v>369</v>
      </c>
      <c r="AE56" t="str">
        <f>VLOOKUP(Table_Query_from_Actuarial___Production3[[#This Row],[Kor1]],$AI$3:$AK$105,3,FALSE)</f>
        <v>Claims Expense</v>
      </c>
      <c r="AF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  <c r="AI56" s="14" t="s">
        <v>47</v>
      </c>
      <c r="AJ56" t="s">
        <v>81</v>
      </c>
      <c r="AK56" s="15" t="s">
        <v>81</v>
      </c>
      <c r="AP56" s="40" t="s">
        <v>422</v>
      </c>
    </row>
    <row r="57" spans="1:42" x14ac:dyDescent="0.2">
      <c r="A57" s="27" t="str">
        <f t="shared" si="27"/>
        <v>2020</v>
      </c>
      <c r="B57" s="25">
        <f t="shared" si="28"/>
        <v>-10494.110000014305</v>
      </c>
      <c r="C57" s="25">
        <f t="shared" si="29"/>
        <v>-20876.110000014305</v>
      </c>
      <c r="D57" s="25">
        <f t="shared" si="30"/>
        <v>21230857.630000055</v>
      </c>
      <c r="E57" s="25">
        <f t="shared" si="31"/>
        <v>1051536.3599999994</v>
      </c>
      <c r="F57" s="25">
        <f t="shared" si="32"/>
        <v>819.47999999672174</v>
      </c>
      <c r="G57" s="25">
        <f t="shared" si="33"/>
        <v>-22304089.580000058</v>
      </c>
      <c r="H57" s="25">
        <f t="shared" si="34"/>
        <v>144303.93999999948</v>
      </c>
      <c r="I57" s="25">
        <f t="shared" si="35"/>
        <v>-22448393.520000055</v>
      </c>
      <c r="R57" t="s">
        <v>31</v>
      </c>
      <c r="S57" t="s">
        <v>227</v>
      </c>
      <c r="T57" t="s">
        <v>433</v>
      </c>
      <c r="U57" s="21">
        <v>1122.53</v>
      </c>
      <c r="V57" s="21" t="s">
        <v>368</v>
      </c>
      <c r="W57" t="str">
        <f>VLOOKUP(Table_Query_from_Actuarial___Production[[#This Row],[Kor1]],$AI$3:$AK$105,3,FALSE)</f>
        <v>Misc. Expense</v>
      </c>
      <c r="X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"/>
      <c r="Z57" t="s">
        <v>34</v>
      </c>
      <c r="AA57" t="s">
        <v>237</v>
      </c>
      <c r="AB57" t="s">
        <v>5</v>
      </c>
      <c r="AC57" s="21">
        <v>113.23</v>
      </c>
      <c r="AD57" s="21" t="s">
        <v>368</v>
      </c>
      <c r="AE57" t="str">
        <f>VLOOKUP(Table_Query_from_Actuarial___Production3[[#This Row],[Kor1]],$AI$3:$AK$105,3,FALSE)</f>
        <v>Misc. Expense</v>
      </c>
      <c r="AF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7" s="14" t="s">
        <v>39</v>
      </c>
      <c r="AJ57" t="s">
        <v>82</v>
      </c>
      <c r="AK57" s="15" t="s">
        <v>314</v>
      </c>
      <c r="AP57" s="57" t="s">
        <v>438</v>
      </c>
    </row>
    <row r="58" spans="1:42" x14ac:dyDescent="0.2">
      <c r="A58" s="27" t="str">
        <f t="shared" si="27"/>
        <v>2021</v>
      </c>
      <c r="B58" s="25">
        <f t="shared" si="28"/>
        <v>-599239</v>
      </c>
      <c r="C58" s="25">
        <f t="shared" si="29"/>
        <v>-1601828</v>
      </c>
      <c r="D58" s="25">
        <f t="shared" si="30"/>
        <v>37658572.980000079</v>
      </c>
      <c r="E58" s="25">
        <f t="shared" si="31"/>
        <v>2269414.3799999952</v>
      </c>
      <c r="F58" s="25">
        <f t="shared" si="32"/>
        <v>-122518.58999998868</v>
      </c>
      <c r="G58" s="25">
        <f t="shared" si="33"/>
        <v>-41407296.770000085</v>
      </c>
      <c r="H58" s="25">
        <f t="shared" si="34"/>
        <v>587662.84000000171</v>
      </c>
      <c r="I58" s="25">
        <f t="shared" si="35"/>
        <v>-41994959.610000074</v>
      </c>
      <c r="R58" t="s">
        <v>44</v>
      </c>
      <c r="S58" t="s">
        <v>227</v>
      </c>
      <c r="T58" t="s">
        <v>7</v>
      </c>
      <c r="U58" s="21">
        <v>2473</v>
      </c>
      <c r="V58" s="21" t="s">
        <v>368</v>
      </c>
      <c r="W58" t="str">
        <f>VLOOKUP(Table_Query_from_Actuarial___Production[[#This Row],[Kor1]],$AI$3:$AK$105,3,FALSE)</f>
        <v>Charge-offs</v>
      </c>
      <c r="X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"/>
      <c r="Z58" t="s">
        <v>37</v>
      </c>
      <c r="AA58" t="s">
        <v>262</v>
      </c>
      <c r="AB58" t="s">
        <v>9</v>
      </c>
      <c r="AC58" s="21">
        <v>300.7</v>
      </c>
      <c r="AD58" s="21" t="s">
        <v>368</v>
      </c>
      <c r="AE58" t="str">
        <f>VLOOKUP(Table_Query_from_Actuarial___Production3[[#This Row],[Kor1]],$AI$3:$AK$105,3,FALSE)</f>
        <v>Misc. Expense</v>
      </c>
      <c r="AF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8" s="14" t="s">
        <v>40</v>
      </c>
      <c r="AJ58" t="s">
        <v>84</v>
      </c>
      <c r="AK58" s="15" t="s">
        <v>83</v>
      </c>
    </row>
    <row r="59" spans="1:42" x14ac:dyDescent="0.2">
      <c r="A59" s="27" t="str">
        <f t="shared" si="27"/>
        <v>2022</v>
      </c>
      <c r="B59" s="25">
        <f t="shared" si="28"/>
        <v>-8129295</v>
      </c>
      <c r="C59" s="25">
        <f t="shared" si="29"/>
        <v>24983931.780000001</v>
      </c>
      <c r="D59" s="25">
        <f t="shared" si="30"/>
        <v>71780911.390000045</v>
      </c>
      <c r="E59" s="25">
        <f t="shared" si="31"/>
        <v>5017003.8099999949</v>
      </c>
      <c r="F59" s="25">
        <f t="shared" si="32"/>
        <v>-11252442.520000003</v>
      </c>
      <c r="G59" s="25">
        <f t="shared" si="33"/>
        <v>-40561540.900000036</v>
      </c>
      <c r="H59" s="25">
        <f t="shared" si="34"/>
        <v>7009166.2700000061</v>
      </c>
      <c r="I59" s="25">
        <f t="shared" si="35"/>
        <v>-47570707.170000046</v>
      </c>
      <c r="R59" t="s">
        <v>14</v>
      </c>
      <c r="S59" t="s">
        <v>4</v>
      </c>
      <c r="T59" t="s">
        <v>443</v>
      </c>
      <c r="U59" s="21">
        <v>3163987.49</v>
      </c>
      <c r="V59" s="21" t="s">
        <v>368</v>
      </c>
      <c r="W59" t="str">
        <f>VLOOKUP(Table_Query_from_Actuarial___Production[[#This Row],[Kor1]],$AI$3:$AK$105,3,FALSE)</f>
        <v>Claims Expense</v>
      </c>
      <c r="X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"/>
      <c r="Z59" t="s">
        <v>77</v>
      </c>
      <c r="AA59" t="s">
        <v>238</v>
      </c>
      <c r="AB59" t="s">
        <v>443</v>
      </c>
      <c r="AC59" s="21">
        <v>188785</v>
      </c>
      <c r="AD59" s="21" t="s">
        <v>368</v>
      </c>
      <c r="AE59" t="str">
        <f>VLOOKUP(Table_Query_from_Actuarial___Production3[[#This Row],[Kor1]],$AI$3:$AK$105,3,FALSE)</f>
        <v>PDR</v>
      </c>
      <c r="AF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59" s="14" t="s">
        <v>41</v>
      </c>
      <c r="AJ59" t="s">
        <v>85</v>
      </c>
      <c r="AK59" s="15" t="s">
        <v>83</v>
      </c>
    </row>
    <row r="60" spans="1:42" x14ac:dyDescent="0.2">
      <c r="A60" s="27" t="str">
        <f t="shared" si="27"/>
        <v>2023</v>
      </c>
      <c r="B60" s="25">
        <f t="shared" si="28"/>
        <v>122668699</v>
      </c>
      <c r="C60" s="25">
        <f t="shared" si="29"/>
        <v>153205586.80999997</v>
      </c>
      <c r="D60" s="25">
        <f t="shared" si="30"/>
        <v>161687553.23000002</v>
      </c>
      <c r="E60" s="25">
        <f t="shared" si="31"/>
        <v>15117042.090000004</v>
      </c>
      <c r="F60" s="25">
        <f t="shared" si="32"/>
        <v>24892705.849999994</v>
      </c>
      <c r="G60" s="25">
        <f t="shared" si="33"/>
        <v>-48491714.360000037</v>
      </c>
      <c r="H60" s="25">
        <f t="shared" si="34"/>
        <v>7197850.3999999966</v>
      </c>
      <c r="I60" s="25">
        <f t="shared" si="35"/>
        <v>-55689564.760000035</v>
      </c>
      <c r="R60" t="s">
        <v>39</v>
      </c>
      <c r="S60" t="s">
        <v>232</v>
      </c>
      <c r="T60" t="s">
        <v>433</v>
      </c>
      <c r="U60" s="21">
        <v>1019</v>
      </c>
      <c r="V60" s="21" t="s">
        <v>368</v>
      </c>
      <c r="W60" t="str">
        <f>VLOOKUP(Table_Query_from_Actuarial___Production[[#This Row],[Kor1]],$AI$3:$AK$105,3,FALSE)</f>
        <v>Misc. Income for Insolvent Companies</v>
      </c>
      <c r="X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"/>
      <c r="Z60" t="s">
        <v>18</v>
      </c>
      <c r="AA60" t="s">
        <v>354</v>
      </c>
      <c r="AB60" t="s">
        <v>9</v>
      </c>
      <c r="AC60" s="21">
        <v>516132.2</v>
      </c>
      <c r="AD60" s="21" t="s">
        <v>368</v>
      </c>
      <c r="AE60" t="str">
        <f>VLOOKUP(Table_Query_from_Actuarial___Production3[[#This Row],[Kor1]],$AI$3:$AK$105,3,FALSE)</f>
        <v>Misc. Expense</v>
      </c>
      <c r="AF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  <c r="AI60" s="14" t="s">
        <v>86</v>
      </c>
      <c r="AJ60" t="s">
        <v>87</v>
      </c>
      <c r="AK60" s="15" t="s">
        <v>83</v>
      </c>
    </row>
    <row r="61" spans="1:42" x14ac:dyDescent="0.2">
      <c r="A61" s="27" t="str">
        <f>LEFT(U1,4)</f>
        <v>2024</v>
      </c>
      <c r="B61" s="25">
        <f t="shared" si="28"/>
        <v>101979604</v>
      </c>
      <c r="C61" s="25">
        <f t="shared" si="29"/>
        <v>23710813.020000041</v>
      </c>
      <c r="D61" s="25">
        <f t="shared" si="30"/>
        <v>19461732.110000003</v>
      </c>
      <c r="E61" s="25">
        <f t="shared" si="31"/>
        <v>2144323.9999999995</v>
      </c>
      <c r="F61" s="25">
        <f t="shared" si="32"/>
        <v>49385776.940000005</v>
      </c>
      <c r="G61" s="25">
        <f t="shared" si="33"/>
        <v>-47281020.029999964</v>
      </c>
      <c r="H61" s="25">
        <f t="shared" si="34"/>
        <v>172661.74999999953</v>
      </c>
      <c r="I61" s="25">
        <f t="shared" si="35"/>
        <v>-47453681.779999964</v>
      </c>
      <c r="R61" t="s">
        <v>47</v>
      </c>
      <c r="S61" t="s">
        <v>4</v>
      </c>
      <c r="T61" t="s">
        <v>6</v>
      </c>
      <c r="U61" s="21">
        <v>14.37</v>
      </c>
      <c r="V61" s="21" t="s">
        <v>368</v>
      </c>
      <c r="W61" t="str">
        <f>VLOOKUP(Table_Query_from_Actuarial___Production[[#This Row],[Kor1]],$AI$3:$AK$105,3,FALSE)</f>
        <v>Investment Income</v>
      </c>
      <c r="X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"/>
      <c r="Z61" t="s">
        <v>38</v>
      </c>
      <c r="AA61" t="s">
        <v>352</v>
      </c>
      <c r="AB61" t="s">
        <v>7</v>
      </c>
      <c r="AC61" s="21">
        <v>663.65</v>
      </c>
      <c r="AD61" s="21" t="s">
        <v>368</v>
      </c>
      <c r="AE61" t="str">
        <f>VLOOKUP(Table_Query_from_Actuarial___Production3[[#This Row],[Kor1]],$AI$3:$AK$105,3,FALSE)</f>
        <v>Misc. Income</v>
      </c>
      <c r="AF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  <c r="AI61" s="14" t="s">
        <v>42</v>
      </c>
      <c r="AJ61" t="s">
        <v>181</v>
      </c>
      <c r="AK61" s="15" t="s">
        <v>83</v>
      </c>
    </row>
    <row r="62" spans="1:42" x14ac:dyDescent="0.2">
      <c r="A62" s="48" t="s">
        <v>118</v>
      </c>
      <c r="B62" s="49">
        <f>SUM(B50:B61)</f>
        <v>215849329.88999999</v>
      </c>
      <c r="C62" s="49">
        <f t="shared" ref="C62:I62" si="36">SUM(C50:C61)</f>
        <v>200217682.5</v>
      </c>
      <c r="D62" s="49">
        <f t="shared" si="36"/>
        <v>303831210.67000014</v>
      </c>
      <c r="E62" s="49">
        <f t="shared" si="36"/>
        <v>25112500.549999997</v>
      </c>
      <c r="F62" s="49">
        <f t="shared" si="36"/>
        <v>62900445.109999999</v>
      </c>
      <c r="G62" s="49">
        <f t="shared" si="36"/>
        <v>-191626473.8300001</v>
      </c>
      <c r="H62" s="49">
        <f t="shared" si="36"/>
        <v>14888838.720000003</v>
      </c>
      <c r="I62" s="49">
        <f t="shared" si="36"/>
        <v>-206515312.5500001</v>
      </c>
      <c r="J62" s="45"/>
      <c r="K62" s="45"/>
      <c r="L62" s="45"/>
      <c r="M62" s="45"/>
      <c r="N62" s="45"/>
      <c r="R62" t="s">
        <v>37</v>
      </c>
      <c r="S62" t="s">
        <v>254</v>
      </c>
      <c r="T62" t="s">
        <v>7</v>
      </c>
      <c r="U62" s="21">
        <v>-1281.1400000000001</v>
      </c>
      <c r="V62" s="21" t="s">
        <v>368</v>
      </c>
      <c r="W62" t="str">
        <f>VLOOKUP(Table_Query_from_Actuarial___Production[[#This Row],[Kor1]],$AI$3:$AK$105,3,FALSE)</f>
        <v>Misc. Expense</v>
      </c>
      <c r="X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"/>
      <c r="Z62" t="s">
        <v>13</v>
      </c>
      <c r="AA62" t="s">
        <v>238</v>
      </c>
      <c r="AB62" t="s">
        <v>5</v>
      </c>
      <c r="AC62" s="21">
        <v>8688.94</v>
      </c>
      <c r="AD62" s="21" t="s">
        <v>368</v>
      </c>
      <c r="AE62" t="str">
        <f>VLOOKUP(Table_Query_from_Actuarial___Production3[[#This Row],[Kor1]],$AI$3:$AK$105,3,FALSE)</f>
        <v>Operating Service Fees</v>
      </c>
      <c r="AF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2" s="14" t="s">
        <v>88</v>
      </c>
      <c r="AJ62" t="s">
        <v>89</v>
      </c>
      <c r="AK62" s="15" t="s">
        <v>83</v>
      </c>
    </row>
    <row r="63" spans="1:42" x14ac:dyDescent="0.2">
      <c r="R63" t="s">
        <v>31</v>
      </c>
      <c r="S63" t="s">
        <v>229</v>
      </c>
      <c r="T63" t="s">
        <v>8</v>
      </c>
      <c r="U63" s="21">
        <v>289.95999999999998</v>
      </c>
      <c r="V63" s="21" t="s">
        <v>368</v>
      </c>
      <c r="W63" t="str">
        <f>VLOOKUP(Table_Query_from_Actuarial___Production[[#This Row],[Kor1]],$AI$3:$AK$105,3,FALSE)</f>
        <v>Misc. Expense</v>
      </c>
      <c r="X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"/>
      <c r="Z63" t="s">
        <v>31</v>
      </c>
      <c r="AA63" t="s">
        <v>227</v>
      </c>
      <c r="AB63" t="s">
        <v>433</v>
      </c>
      <c r="AC63" s="21">
        <v>1122.53</v>
      </c>
      <c r="AD63" s="21" t="s">
        <v>368</v>
      </c>
      <c r="AE63" t="str">
        <f>VLOOKUP(Table_Query_from_Actuarial___Production3[[#This Row],[Kor1]],$AI$3:$AK$105,3,FALSE)</f>
        <v>Misc. Expense</v>
      </c>
      <c r="AF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3" s="14" t="s">
        <v>90</v>
      </c>
      <c r="AJ63" t="s">
        <v>91</v>
      </c>
      <c r="AK63" s="15" t="s">
        <v>83</v>
      </c>
    </row>
    <row r="64" spans="1:42" x14ac:dyDescent="0.2">
      <c r="A64" t="s">
        <v>361</v>
      </c>
      <c r="R64" t="s">
        <v>47</v>
      </c>
      <c r="S64" t="s">
        <v>253</v>
      </c>
      <c r="T64" t="s">
        <v>9</v>
      </c>
      <c r="U64" s="21">
        <v>63.69</v>
      </c>
      <c r="V64" s="21" t="s">
        <v>368</v>
      </c>
      <c r="W64" t="str">
        <f>VLOOKUP(Table_Query_from_Actuarial___Production[[#This Row],[Kor1]],$AI$3:$AK$105,3,FALSE)</f>
        <v>Investment Income</v>
      </c>
      <c r="X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"/>
      <c r="Z64" t="s">
        <v>44</v>
      </c>
      <c r="AA64" t="s">
        <v>227</v>
      </c>
      <c r="AB64" t="s">
        <v>7</v>
      </c>
      <c r="AC64" s="21">
        <v>2473</v>
      </c>
      <c r="AD64" s="21" t="s">
        <v>368</v>
      </c>
      <c r="AE64" t="str">
        <f>VLOOKUP(Table_Query_from_Actuarial___Production3[[#This Row],[Kor1]],$AI$3:$AK$105,3,FALSE)</f>
        <v>Charge-offs</v>
      </c>
      <c r="AF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4" s="14" t="s">
        <v>19</v>
      </c>
      <c r="AJ64" t="s">
        <v>92</v>
      </c>
      <c r="AK64" s="15" t="s">
        <v>92</v>
      </c>
    </row>
    <row r="65" spans="18:37" x14ac:dyDescent="0.2">
      <c r="R65" t="s">
        <v>30</v>
      </c>
      <c r="S65" t="s">
        <v>4</v>
      </c>
      <c r="T65" t="s">
        <v>6</v>
      </c>
      <c r="U65" s="21">
        <v>102.36</v>
      </c>
      <c r="V65" s="21" t="s">
        <v>368</v>
      </c>
      <c r="W65" t="str">
        <f>VLOOKUP(Table_Query_from_Actuarial___Production[[#This Row],[Kor1]],$AI$3:$AK$105,3,FALSE)</f>
        <v>Misc. Expense</v>
      </c>
      <c r="X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"/>
      <c r="Z65" t="s">
        <v>14</v>
      </c>
      <c r="AA65" t="s">
        <v>4</v>
      </c>
      <c r="AB65" t="s">
        <v>443</v>
      </c>
      <c r="AC65" s="21">
        <v>338988.33</v>
      </c>
      <c r="AD65" s="21" t="s">
        <v>368</v>
      </c>
      <c r="AE65" t="str">
        <f>VLOOKUP(Table_Query_from_Actuarial___Production3[[#This Row],[Kor1]],$AI$3:$AK$105,3,FALSE)</f>
        <v>Claims Expense</v>
      </c>
      <c r="AF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5" s="14" t="s">
        <v>20</v>
      </c>
      <c r="AJ65" t="s">
        <v>94</v>
      </c>
      <c r="AK65" s="15" t="s">
        <v>93</v>
      </c>
    </row>
    <row r="66" spans="18:37" x14ac:dyDescent="0.2">
      <c r="R66" t="s">
        <v>47</v>
      </c>
      <c r="S66" t="s">
        <v>231</v>
      </c>
      <c r="T66" t="s">
        <v>433</v>
      </c>
      <c r="U66" s="21">
        <v>1197.8699999999999</v>
      </c>
      <c r="V66" s="21" t="s">
        <v>368</v>
      </c>
      <c r="W66" t="str">
        <f>VLOOKUP(Table_Query_from_Actuarial___Production[[#This Row],[Kor1]],$AI$3:$AK$105,3,FALSE)</f>
        <v>Investment Income</v>
      </c>
      <c r="X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"/>
      <c r="Z66" t="s">
        <v>39</v>
      </c>
      <c r="AA66" t="s">
        <v>232</v>
      </c>
      <c r="AB66" t="s">
        <v>433</v>
      </c>
      <c r="AC66" s="21">
        <v>1019</v>
      </c>
      <c r="AD66" s="21" t="s">
        <v>368</v>
      </c>
      <c r="AE66" t="str">
        <f>VLOOKUP(Table_Query_from_Actuarial___Production3[[#This Row],[Kor1]],$AI$3:$AK$105,3,FALSE)</f>
        <v>Misc. Income for Insolvent Companies</v>
      </c>
      <c r="AF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6" s="14" t="s">
        <v>95</v>
      </c>
      <c r="AJ66" t="s">
        <v>96</v>
      </c>
      <c r="AK66" s="15" t="s">
        <v>93</v>
      </c>
    </row>
    <row r="67" spans="18:37" x14ac:dyDescent="0.2">
      <c r="R67" t="s">
        <v>3</v>
      </c>
      <c r="S67" t="s">
        <v>249</v>
      </c>
      <c r="T67" t="s">
        <v>6</v>
      </c>
      <c r="U67" s="21">
        <v>534223</v>
      </c>
      <c r="V67" s="21" t="s">
        <v>368</v>
      </c>
      <c r="W67" t="str">
        <f>VLOOKUP(Table_Query_from_Actuarial___Production[[#This Row],[Kor1]],$AI$3:$AK$105,3,FALSE)</f>
        <v>Premiums Written</v>
      </c>
      <c r="X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"/>
      <c r="Z67" t="s">
        <v>47</v>
      </c>
      <c r="AA67" t="s">
        <v>4</v>
      </c>
      <c r="AB67" t="s">
        <v>6</v>
      </c>
      <c r="AC67" s="21">
        <v>14.37</v>
      </c>
      <c r="AD67" s="21" t="s">
        <v>368</v>
      </c>
      <c r="AE67" t="str">
        <f>VLOOKUP(Table_Query_from_Actuarial___Production3[[#This Row],[Kor1]],$AI$3:$AK$105,3,FALSE)</f>
        <v>Investment Income</v>
      </c>
      <c r="AF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7" s="14" t="s">
        <v>21</v>
      </c>
      <c r="AJ67" t="s">
        <v>97</v>
      </c>
      <c r="AK67" s="15" t="s">
        <v>93</v>
      </c>
    </row>
    <row r="68" spans="18:37" x14ac:dyDescent="0.2">
      <c r="R68" t="s">
        <v>21</v>
      </c>
      <c r="S68" t="s">
        <v>249</v>
      </c>
      <c r="T68" t="s">
        <v>8</v>
      </c>
      <c r="U68" s="21">
        <v>1805.5</v>
      </c>
      <c r="V68" s="21" t="s">
        <v>368</v>
      </c>
      <c r="W68" t="str">
        <f>VLOOKUP(Table_Query_from_Actuarial___Production[[#This Row],[Kor1]],$AI$3:$AK$105,3,FALSE)</f>
        <v>Misc. Expense</v>
      </c>
      <c r="X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"/>
      <c r="Z68" t="s">
        <v>37</v>
      </c>
      <c r="AA68" t="s">
        <v>254</v>
      </c>
      <c r="AB68" t="s">
        <v>7</v>
      </c>
      <c r="AC68" s="21">
        <v>-1281.1400000000001</v>
      </c>
      <c r="AD68" s="21" t="s">
        <v>368</v>
      </c>
      <c r="AE68" t="str">
        <f>VLOOKUP(Table_Query_from_Actuarial___Production3[[#This Row],[Kor1]],$AI$3:$AK$105,3,FALSE)</f>
        <v>Misc. Expense</v>
      </c>
      <c r="AF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8" s="14" t="s">
        <v>22</v>
      </c>
      <c r="AJ68" t="s">
        <v>98</v>
      </c>
      <c r="AK68" s="15" t="s">
        <v>93</v>
      </c>
    </row>
    <row r="69" spans="18:37" x14ac:dyDescent="0.2">
      <c r="R69" t="s">
        <v>16</v>
      </c>
      <c r="S69" t="s">
        <v>224</v>
      </c>
      <c r="T69" t="s">
        <v>443</v>
      </c>
      <c r="U69" s="21">
        <v>55737.35</v>
      </c>
      <c r="V69" s="21" t="s">
        <v>368</v>
      </c>
      <c r="W69" t="str">
        <f>VLOOKUP(Table_Query_from_Actuarial___Production[[#This Row],[Kor1]],$AI$3:$AK$105,3,FALSE)</f>
        <v>Losses Outstanding</v>
      </c>
      <c r="X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9"/>
      <c r="Z69" t="s">
        <v>31</v>
      </c>
      <c r="AA69" t="s">
        <v>229</v>
      </c>
      <c r="AB69" t="s">
        <v>8</v>
      </c>
      <c r="AC69" s="21">
        <v>289.95999999999998</v>
      </c>
      <c r="AD69" s="21" t="s">
        <v>368</v>
      </c>
      <c r="AE69" t="str">
        <f>VLOOKUP(Table_Query_from_Actuarial___Production3[[#This Row],[Kor1]],$AI$3:$AK$105,3,FALSE)</f>
        <v>Misc. Expense</v>
      </c>
      <c r="AF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69" s="14" t="s">
        <v>23</v>
      </c>
      <c r="AJ69" t="s">
        <v>99</v>
      </c>
      <c r="AK69" s="15" t="s">
        <v>93</v>
      </c>
    </row>
    <row r="70" spans="18:37" x14ac:dyDescent="0.2">
      <c r="R70" t="s">
        <v>41</v>
      </c>
      <c r="S70" t="s">
        <v>237</v>
      </c>
      <c r="T70" t="s">
        <v>9</v>
      </c>
      <c r="U70" s="21">
        <v>999.76</v>
      </c>
      <c r="V70" s="21" t="s">
        <v>368</v>
      </c>
      <c r="W70" t="str">
        <f>VLOOKUP(Table_Query_from_Actuarial___Production[[#This Row],[Kor1]],$AI$3:$AK$105,3,FALSE)</f>
        <v>Misc. Income</v>
      </c>
      <c r="X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"/>
      <c r="Z70" t="s">
        <v>47</v>
      </c>
      <c r="AA70" t="s">
        <v>253</v>
      </c>
      <c r="AB70" t="s">
        <v>9</v>
      </c>
      <c r="AC70" s="21">
        <v>63.69</v>
      </c>
      <c r="AD70" s="21" t="s">
        <v>368</v>
      </c>
      <c r="AE70" t="str">
        <f>VLOOKUP(Table_Query_from_Actuarial___Production3[[#This Row],[Kor1]],$AI$3:$AK$105,3,FALSE)</f>
        <v>Investment Income</v>
      </c>
      <c r="AF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0" s="14" t="s">
        <v>24</v>
      </c>
      <c r="AJ70" t="s">
        <v>100</v>
      </c>
      <c r="AK70" s="15" t="s">
        <v>93</v>
      </c>
    </row>
    <row r="71" spans="18:37" x14ac:dyDescent="0.2">
      <c r="R71" t="s">
        <v>38</v>
      </c>
      <c r="S71" t="s">
        <v>354</v>
      </c>
      <c r="T71" t="s">
        <v>7</v>
      </c>
      <c r="U71" s="21">
        <v>11753.37</v>
      </c>
      <c r="V71" s="21" t="s">
        <v>368</v>
      </c>
      <c r="W71" t="str">
        <f>VLOOKUP(Table_Query_from_Actuarial___Production[[#This Row],[Kor1]],$AI$3:$AK$105,3,FALSE)</f>
        <v>Misc. Income</v>
      </c>
      <c r="X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1"/>
      <c r="Z71" t="s">
        <v>30</v>
      </c>
      <c r="AA71" t="s">
        <v>4</v>
      </c>
      <c r="AB71" t="s">
        <v>6</v>
      </c>
      <c r="AC71" s="21">
        <v>102.36</v>
      </c>
      <c r="AD71" s="21" t="s">
        <v>368</v>
      </c>
      <c r="AE71" t="str">
        <f>VLOOKUP(Table_Query_from_Actuarial___Production3[[#This Row],[Kor1]],$AI$3:$AK$105,3,FALSE)</f>
        <v>Misc. Expense</v>
      </c>
      <c r="AF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1" s="14" t="s">
        <v>25</v>
      </c>
      <c r="AJ71" t="s">
        <v>101</v>
      </c>
      <c r="AK71" s="15" t="s">
        <v>93</v>
      </c>
    </row>
    <row r="72" spans="18:37" x14ac:dyDescent="0.2">
      <c r="R72" t="s">
        <v>19</v>
      </c>
      <c r="S72" t="s">
        <v>231</v>
      </c>
      <c r="T72" t="s">
        <v>351</v>
      </c>
      <c r="U72" s="21">
        <v>410</v>
      </c>
      <c r="V72" s="21" t="s">
        <v>368</v>
      </c>
      <c r="W72" t="str">
        <f>VLOOKUP(Table_Query_from_Actuarial___Production[[#This Row],[Kor1]],$AI$3:$AK$105,3,FALSE)</f>
        <v>Misc. Expense for Insolvent Companies</v>
      </c>
      <c r="X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"/>
      <c r="Z72" t="s">
        <v>47</v>
      </c>
      <c r="AA72" t="s">
        <v>231</v>
      </c>
      <c r="AB72" t="s">
        <v>433</v>
      </c>
      <c r="AC72" s="21">
        <v>1197.8699999999999</v>
      </c>
      <c r="AD72" s="21" t="s">
        <v>368</v>
      </c>
      <c r="AE72" t="str">
        <f>VLOOKUP(Table_Query_from_Actuarial___Production3[[#This Row],[Kor1]],$AI$3:$AK$105,3,FALSE)</f>
        <v>Investment Income</v>
      </c>
      <c r="AF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2" s="14" t="s">
        <v>26</v>
      </c>
      <c r="AJ72" t="s">
        <v>102</v>
      </c>
      <c r="AK72" s="15" t="s">
        <v>93</v>
      </c>
    </row>
    <row r="73" spans="18:37" x14ac:dyDescent="0.2">
      <c r="R73" t="s">
        <v>37</v>
      </c>
      <c r="S73" t="s">
        <v>232</v>
      </c>
      <c r="T73" t="s">
        <v>441</v>
      </c>
      <c r="U73" s="21">
        <v>303.33999999999997</v>
      </c>
      <c r="V73" s="21" t="s">
        <v>368</v>
      </c>
      <c r="W73" t="str">
        <f>VLOOKUP(Table_Query_from_Actuarial___Production[[#This Row],[Kor1]],$AI$3:$AK$105,3,FALSE)</f>
        <v>Misc. Expense</v>
      </c>
      <c r="X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"/>
      <c r="Z73" t="s">
        <v>3</v>
      </c>
      <c r="AA73" t="s">
        <v>249</v>
      </c>
      <c r="AB73" t="s">
        <v>6</v>
      </c>
      <c r="AC73" s="21">
        <v>534223</v>
      </c>
      <c r="AD73" s="21" t="s">
        <v>368</v>
      </c>
      <c r="AE73" t="str">
        <f>VLOOKUP(Table_Query_from_Actuarial___Production3[[#This Row],[Kor1]],$AI$3:$AK$105,3,FALSE)</f>
        <v>Premiums Written</v>
      </c>
      <c r="AF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3" s="14" t="s">
        <v>103</v>
      </c>
      <c r="AJ73" t="s">
        <v>104</v>
      </c>
      <c r="AK73" s="15" t="s">
        <v>93</v>
      </c>
    </row>
    <row r="74" spans="18:37" x14ac:dyDescent="0.2">
      <c r="R74" t="s">
        <v>3</v>
      </c>
      <c r="S74" t="s">
        <v>228</v>
      </c>
      <c r="T74" t="s">
        <v>7</v>
      </c>
      <c r="U74" s="21">
        <v>381555</v>
      </c>
      <c r="V74" s="21" t="s">
        <v>368</v>
      </c>
      <c r="W74" t="str">
        <f>VLOOKUP(Table_Query_from_Actuarial___Production[[#This Row],[Kor1]],$AI$3:$AK$105,3,FALSE)</f>
        <v>Premiums Written</v>
      </c>
      <c r="X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"/>
      <c r="Z74" t="s">
        <v>21</v>
      </c>
      <c r="AA74" t="s">
        <v>249</v>
      </c>
      <c r="AB74" t="s">
        <v>8</v>
      </c>
      <c r="AC74" s="21">
        <v>1805.5</v>
      </c>
      <c r="AD74" s="21" t="s">
        <v>368</v>
      </c>
      <c r="AE74" t="str">
        <f>VLOOKUP(Table_Query_from_Actuarial___Production3[[#This Row],[Kor1]],$AI$3:$AK$105,3,FALSE)</f>
        <v>Misc. Expense</v>
      </c>
      <c r="AF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4" s="14" t="s">
        <v>27</v>
      </c>
      <c r="AJ74" t="s">
        <v>105</v>
      </c>
      <c r="AK74" s="15" t="s">
        <v>93</v>
      </c>
    </row>
    <row r="75" spans="18:37" x14ac:dyDescent="0.2">
      <c r="R75" t="s">
        <v>33</v>
      </c>
      <c r="S75" t="s">
        <v>241</v>
      </c>
      <c r="T75" t="s">
        <v>433</v>
      </c>
      <c r="U75" s="21">
        <v>14687.26</v>
      </c>
      <c r="V75" s="21" t="s">
        <v>368</v>
      </c>
      <c r="W75" t="str">
        <f>VLOOKUP(Table_Query_from_Actuarial___Production[[#This Row],[Kor1]],$AI$3:$AK$105,3,FALSE)</f>
        <v>Misc. Expense</v>
      </c>
      <c r="X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"/>
      <c r="Z75" t="s">
        <v>16</v>
      </c>
      <c r="AA75" t="s">
        <v>224</v>
      </c>
      <c r="AB75" t="s">
        <v>443</v>
      </c>
      <c r="AC75" s="21">
        <v>34942.07</v>
      </c>
      <c r="AD75" s="21" t="s">
        <v>368</v>
      </c>
      <c r="AE75" t="str">
        <f>VLOOKUP(Table_Query_from_Actuarial___Production3[[#This Row],[Kor1]],$AI$3:$AK$105,3,FALSE)</f>
        <v>Losses Outstanding</v>
      </c>
      <c r="AF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  <c r="AI75" s="14" t="s">
        <v>28</v>
      </c>
      <c r="AJ75" t="s">
        <v>106</v>
      </c>
      <c r="AK75" s="15" t="s">
        <v>93</v>
      </c>
    </row>
    <row r="76" spans="18:37" x14ac:dyDescent="0.2">
      <c r="R76" t="s">
        <v>40</v>
      </c>
      <c r="S76" t="s">
        <v>235</v>
      </c>
      <c r="T76" t="s">
        <v>441</v>
      </c>
      <c r="U76" s="21">
        <v>93.01</v>
      </c>
      <c r="V76" s="21" t="s">
        <v>368</v>
      </c>
      <c r="W76" t="str">
        <f>VLOOKUP(Table_Query_from_Actuarial___Production[[#This Row],[Kor1]],$AI$3:$AK$105,3,FALSE)</f>
        <v>Misc. Income</v>
      </c>
      <c r="X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"/>
      <c r="Z76" t="s">
        <v>17</v>
      </c>
      <c r="AA76" t="s">
        <v>242</v>
      </c>
      <c r="AB76" t="s">
        <v>427</v>
      </c>
      <c r="AC76" s="21">
        <v>71726.95</v>
      </c>
      <c r="AD76" s="21" t="s">
        <v>368</v>
      </c>
      <c r="AE76" t="str">
        <f>VLOOKUP(Table_Query_from_Actuarial___Production3[[#This Row],[Kor1]],$AI$3:$AK$105,3,FALSE)</f>
        <v>IBNR</v>
      </c>
      <c r="AF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6" s="14" t="s">
        <v>107</v>
      </c>
      <c r="AJ76" t="s">
        <v>108</v>
      </c>
      <c r="AK76" s="15" t="s">
        <v>93</v>
      </c>
    </row>
    <row r="77" spans="18:37" x14ac:dyDescent="0.2">
      <c r="R77" t="s">
        <v>12</v>
      </c>
      <c r="S77" t="s">
        <v>234</v>
      </c>
      <c r="T77" t="s">
        <v>6</v>
      </c>
      <c r="U77" s="21">
        <v>11530.52</v>
      </c>
      <c r="V77" s="21" t="s">
        <v>368</v>
      </c>
      <c r="W77" t="str">
        <f>VLOOKUP(Table_Query_from_Actuarial___Production[[#This Row],[Kor1]],$AI$3:$AK$105,3,FALSE)</f>
        <v>Premium Tax</v>
      </c>
      <c r="X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"/>
      <c r="Z77" t="s">
        <v>41</v>
      </c>
      <c r="AA77" t="s">
        <v>237</v>
      </c>
      <c r="AB77" t="s">
        <v>9</v>
      </c>
      <c r="AC77" s="21">
        <v>999.76</v>
      </c>
      <c r="AD77" s="21" t="s">
        <v>368</v>
      </c>
      <c r="AE77" t="str">
        <f>VLOOKUP(Table_Query_from_Actuarial___Production3[[#This Row],[Kor1]],$AI$3:$AK$105,3,FALSE)</f>
        <v>Misc. Income</v>
      </c>
      <c r="AF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7" s="14" t="s">
        <v>29</v>
      </c>
      <c r="AJ77" t="s">
        <v>109</v>
      </c>
      <c r="AK77" s="15" t="s">
        <v>93</v>
      </c>
    </row>
    <row r="78" spans="18:37" x14ac:dyDescent="0.2">
      <c r="R78" t="s">
        <v>18</v>
      </c>
      <c r="S78" t="s">
        <v>226</v>
      </c>
      <c r="T78" t="s">
        <v>351</v>
      </c>
      <c r="U78" s="21">
        <v>-33997.94</v>
      </c>
      <c r="V78" s="21" t="s">
        <v>368</v>
      </c>
      <c r="W78" t="str">
        <f>VLOOKUP(Table_Query_from_Actuarial___Production[[#This Row],[Kor1]],$AI$3:$AK$105,3,FALSE)</f>
        <v>Misc. Expense</v>
      </c>
      <c r="X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8"/>
      <c r="Z78" t="s">
        <v>38</v>
      </c>
      <c r="AA78" t="s">
        <v>354</v>
      </c>
      <c r="AB78" t="s">
        <v>7</v>
      </c>
      <c r="AC78" s="21">
        <v>11753.37</v>
      </c>
      <c r="AD78" s="21" t="s">
        <v>368</v>
      </c>
      <c r="AE78" t="str">
        <f>VLOOKUP(Table_Query_from_Actuarial___Production3[[#This Row],[Kor1]],$AI$3:$AK$105,3,FALSE)</f>
        <v>Misc. Income</v>
      </c>
      <c r="AF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  <c r="AI78" s="14" t="s">
        <v>110</v>
      </c>
      <c r="AJ78" t="s">
        <v>111</v>
      </c>
      <c r="AK78" s="15" t="s">
        <v>93</v>
      </c>
    </row>
    <row r="79" spans="18:37" x14ac:dyDescent="0.2">
      <c r="R79" t="s">
        <v>18</v>
      </c>
      <c r="S79" t="s">
        <v>224</v>
      </c>
      <c r="T79" t="s">
        <v>9</v>
      </c>
      <c r="U79" s="21">
        <v>7889.39</v>
      </c>
      <c r="V79" s="21" t="s">
        <v>369</v>
      </c>
      <c r="W79" t="str">
        <f>VLOOKUP(Table_Query_from_Actuarial___Production[[#This Row],[Kor1]],$AI$3:$AK$105,3,FALSE)</f>
        <v>Misc. Expense</v>
      </c>
      <c r="X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9"/>
      <c r="Z79" t="s">
        <v>15</v>
      </c>
      <c r="AA79" t="s">
        <v>262</v>
      </c>
      <c r="AB79" t="s">
        <v>442</v>
      </c>
      <c r="AC79" s="21">
        <v>7956.18</v>
      </c>
      <c r="AD79" s="21" t="s">
        <v>368</v>
      </c>
      <c r="AE79" t="str">
        <f>VLOOKUP(Table_Query_from_Actuarial___Production3[[#This Row],[Kor1]],$AI$3:$AK$105,3,FALSE)</f>
        <v>Unearned Premiums</v>
      </c>
      <c r="AF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79" s="14" t="s">
        <v>30</v>
      </c>
      <c r="AJ79" t="s">
        <v>112</v>
      </c>
      <c r="AK79" s="15" t="s">
        <v>93</v>
      </c>
    </row>
    <row r="80" spans="18:37" x14ac:dyDescent="0.2">
      <c r="R80" t="s">
        <v>95</v>
      </c>
      <c r="S80" t="s">
        <v>250</v>
      </c>
      <c r="T80" t="s">
        <v>8</v>
      </c>
      <c r="U80" s="21">
        <v>25</v>
      </c>
      <c r="V80" s="21" t="s">
        <v>368</v>
      </c>
      <c r="W80" t="str">
        <f>VLOOKUP(Table_Query_from_Actuarial___Production[[#This Row],[Kor1]],$AI$3:$AK$105,3,FALSE)</f>
        <v>Misc. Expense</v>
      </c>
      <c r="X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"/>
      <c r="Z80" t="s">
        <v>19</v>
      </c>
      <c r="AA80" t="s">
        <v>231</v>
      </c>
      <c r="AB80" t="s">
        <v>351</v>
      </c>
      <c r="AC80" s="21">
        <v>410</v>
      </c>
      <c r="AD80" s="21" t="s">
        <v>368</v>
      </c>
      <c r="AE80" t="str">
        <f>VLOOKUP(Table_Query_from_Actuarial___Production3[[#This Row],[Kor1]],$AI$3:$AK$105,3,FALSE)</f>
        <v>Misc. Expense for Insolvent Companies</v>
      </c>
      <c r="AF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0" s="14" t="s">
        <v>444</v>
      </c>
      <c r="AJ80" t="s">
        <v>111</v>
      </c>
      <c r="AK80" s="15" t="s">
        <v>93</v>
      </c>
    </row>
    <row r="81" spans="18:37" x14ac:dyDescent="0.2">
      <c r="R81" t="s">
        <v>10</v>
      </c>
      <c r="S81" t="s">
        <v>267</v>
      </c>
      <c r="T81" t="s">
        <v>443</v>
      </c>
      <c r="U81" s="21">
        <v>33924.49</v>
      </c>
      <c r="V81" s="21" t="s">
        <v>368</v>
      </c>
      <c r="W81" t="str">
        <f>VLOOKUP(Table_Query_from_Actuarial___Production[[#This Row],[Kor1]],$AI$3:$AK$105,3,FALSE)</f>
        <v>Commissions</v>
      </c>
      <c r="X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"/>
      <c r="Z81" t="s">
        <v>37</v>
      </c>
      <c r="AA81" t="s">
        <v>232</v>
      </c>
      <c r="AB81" t="s">
        <v>441</v>
      </c>
      <c r="AC81" s="21">
        <v>303.33999999999997</v>
      </c>
      <c r="AD81" s="21" t="s">
        <v>368</v>
      </c>
      <c r="AE81" t="str">
        <f>VLOOKUP(Table_Query_from_Actuarial___Production3[[#This Row],[Kor1]],$AI$3:$AK$105,3,FALSE)</f>
        <v>Misc. Expense</v>
      </c>
      <c r="AF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1" s="14" t="s">
        <v>31</v>
      </c>
      <c r="AJ81" t="s">
        <v>113</v>
      </c>
      <c r="AK81" s="15" t="s">
        <v>93</v>
      </c>
    </row>
    <row r="82" spans="18:37" x14ac:dyDescent="0.2">
      <c r="R82" t="s">
        <v>43</v>
      </c>
      <c r="S82" t="s">
        <v>228</v>
      </c>
      <c r="T82" t="s">
        <v>351</v>
      </c>
      <c r="U82" s="21">
        <v>3653.79</v>
      </c>
      <c r="V82" s="21" t="s">
        <v>368</v>
      </c>
      <c r="W82" t="str">
        <f>VLOOKUP(Table_Query_from_Actuarial___Production[[#This Row],[Kor1]],$AI$3:$AK$105,3,FALSE)</f>
        <v>Charge-offs</v>
      </c>
      <c r="X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"/>
      <c r="Z82" t="s">
        <v>3</v>
      </c>
      <c r="AA82" t="s">
        <v>228</v>
      </c>
      <c r="AB82" t="s">
        <v>7</v>
      </c>
      <c r="AC82" s="21">
        <v>381555</v>
      </c>
      <c r="AD82" s="21" t="s">
        <v>368</v>
      </c>
      <c r="AE82" t="str">
        <f>VLOOKUP(Table_Query_from_Actuarial___Production3[[#This Row],[Kor1]],$AI$3:$AK$105,3,FALSE)</f>
        <v>Premiums Written</v>
      </c>
      <c r="AF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2" s="14" t="s">
        <v>32</v>
      </c>
      <c r="AJ82" t="s">
        <v>114</v>
      </c>
      <c r="AK82" s="15" t="s">
        <v>93</v>
      </c>
    </row>
    <row r="83" spans="18:37" x14ac:dyDescent="0.2">
      <c r="R83" t="s">
        <v>46</v>
      </c>
      <c r="S83" t="s">
        <v>226</v>
      </c>
      <c r="T83" t="s">
        <v>427</v>
      </c>
      <c r="U83" s="21">
        <v>60142.61</v>
      </c>
      <c r="V83" s="21" t="s">
        <v>368</v>
      </c>
      <c r="W83" t="str">
        <f>VLOOKUP(Table_Query_from_Actuarial___Production[[#This Row],[Kor1]],$AI$3:$AK$105,3,FALSE)</f>
        <v>Investment Income</v>
      </c>
      <c r="X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3"/>
      <c r="Z83" t="s">
        <v>15</v>
      </c>
      <c r="AA83" t="s">
        <v>240</v>
      </c>
      <c r="AB83" t="s">
        <v>442</v>
      </c>
      <c r="AC83" s="21">
        <v>493613.65</v>
      </c>
      <c r="AD83" s="21" t="s">
        <v>368</v>
      </c>
      <c r="AE83" t="str">
        <f>VLOOKUP(Table_Query_from_Actuarial___Production3[[#This Row],[Kor1]],$AI$3:$AK$105,3,FALSE)</f>
        <v>Unearned Premiums</v>
      </c>
      <c r="AF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3" s="14" t="s">
        <v>33</v>
      </c>
      <c r="AJ83" t="s">
        <v>115</v>
      </c>
      <c r="AK83" s="15" t="s">
        <v>93</v>
      </c>
    </row>
    <row r="84" spans="18:37" x14ac:dyDescent="0.2">
      <c r="R84" t="s">
        <v>46</v>
      </c>
      <c r="S84" t="s">
        <v>224</v>
      </c>
      <c r="T84" t="s">
        <v>8</v>
      </c>
      <c r="U84" s="21">
        <v>40.03</v>
      </c>
      <c r="V84" s="21" t="s">
        <v>369</v>
      </c>
      <c r="W84" t="str">
        <f>VLOOKUP(Table_Query_from_Actuarial___Production[[#This Row],[Kor1]],$AI$3:$AK$105,3,FALSE)</f>
        <v>Investment Income</v>
      </c>
      <c r="X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4"/>
      <c r="Z84" t="s">
        <v>33</v>
      </c>
      <c r="AA84" t="s">
        <v>241</v>
      </c>
      <c r="AB84" t="s">
        <v>433</v>
      </c>
      <c r="AC84" s="21">
        <v>14687.26</v>
      </c>
      <c r="AD84" s="21" t="s">
        <v>368</v>
      </c>
      <c r="AE84" t="str">
        <f>VLOOKUP(Table_Query_from_Actuarial___Production3[[#This Row],[Kor1]],$AI$3:$AK$105,3,FALSE)</f>
        <v>Misc. Expense</v>
      </c>
      <c r="AF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4" s="14" t="s">
        <v>34</v>
      </c>
      <c r="AJ84" t="s">
        <v>116</v>
      </c>
      <c r="AK84" s="15" t="s">
        <v>93</v>
      </c>
    </row>
    <row r="85" spans="18:37" x14ac:dyDescent="0.2">
      <c r="R85" t="s">
        <v>11</v>
      </c>
      <c r="S85" t="s">
        <v>259</v>
      </c>
      <c r="T85" t="s">
        <v>433</v>
      </c>
      <c r="U85" s="21">
        <v>22871.63</v>
      </c>
      <c r="V85" s="21" t="s">
        <v>368</v>
      </c>
      <c r="W85" t="str">
        <f>VLOOKUP(Table_Query_from_Actuarial___Production[[#This Row],[Kor1]],$AI$3:$AK$105,3,FALSE)</f>
        <v>Losses Paid</v>
      </c>
      <c r="X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"/>
      <c r="Z85" t="s">
        <v>40</v>
      </c>
      <c r="AA85" t="s">
        <v>235</v>
      </c>
      <c r="AB85" t="s">
        <v>441</v>
      </c>
      <c r="AC85" s="21">
        <v>93.01</v>
      </c>
      <c r="AD85" s="21" t="s">
        <v>368</v>
      </c>
      <c r="AE85" t="str">
        <f>VLOOKUP(Table_Query_from_Actuarial___Production3[[#This Row],[Kor1]],$AI$3:$AK$105,3,FALSE)</f>
        <v>Misc. Income</v>
      </c>
      <c r="AF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5" s="14" t="s">
        <v>35</v>
      </c>
      <c r="AJ85" t="s">
        <v>182</v>
      </c>
      <c r="AK85" s="15" t="s">
        <v>93</v>
      </c>
    </row>
    <row r="86" spans="18:37" x14ac:dyDescent="0.2">
      <c r="R86" t="s">
        <v>14</v>
      </c>
      <c r="S86" t="s">
        <v>354</v>
      </c>
      <c r="T86" t="s">
        <v>8</v>
      </c>
      <c r="U86" s="21">
        <v>10330062.43</v>
      </c>
      <c r="V86" s="21" t="s">
        <v>368</v>
      </c>
      <c r="W86" t="str">
        <f>VLOOKUP(Table_Query_from_Actuarial___Production[[#This Row],[Kor1]],$AI$3:$AK$105,3,FALSE)</f>
        <v>Claims Expense</v>
      </c>
      <c r="X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6"/>
      <c r="Z86" t="s">
        <v>13</v>
      </c>
      <c r="AA86" t="s">
        <v>225</v>
      </c>
      <c r="AB86" t="s">
        <v>5</v>
      </c>
      <c r="AC86" s="21">
        <v>466641.31</v>
      </c>
      <c r="AD86" s="21" t="s">
        <v>369</v>
      </c>
      <c r="AE86" t="str">
        <f>VLOOKUP(Table_Query_from_Actuarial___Production3[[#This Row],[Kor1]],$AI$3:$AK$105,3,FALSE)</f>
        <v>Operating Service Fees</v>
      </c>
      <c r="AF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  <c r="AI86" s="14" t="s">
        <v>183</v>
      </c>
      <c r="AJ86" t="s">
        <v>184</v>
      </c>
      <c r="AK86" s="15" t="s">
        <v>184</v>
      </c>
    </row>
    <row r="87" spans="18:37" x14ac:dyDescent="0.2">
      <c r="R87" t="s">
        <v>11</v>
      </c>
      <c r="S87" t="s">
        <v>267</v>
      </c>
      <c r="T87" t="s">
        <v>356</v>
      </c>
      <c r="U87" s="21">
        <v>433312.9</v>
      </c>
      <c r="V87" s="21" t="s">
        <v>368</v>
      </c>
      <c r="W87" t="str">
        <f>VLOOKUP(Table_Query_from_Actuarial___Production[[#This Row],[Kor1]],$AI$3:$AK$105,3,FALSE)</f>
        <v>Losses Paid</v>
      </c>
      <c r="X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"/>
      <c r="Z87" t="s">
        <v>12</v>
      </c>
      <c r="AA87" t="s">
        <v>234</v>
      </c>
      <c r="AB87" t="s">
        <v>6</v>
      </c>
      <c r="AC87" s="21">
        <v>11530.52</v>
      </c>
      <c r="AD87" s="21" t="s">
        <v>368</v>
      </c>
      <c r="AE87" t="str">
        <f>VLOOKUP(Table_Query_from_Actuarial___Production3[[#This Row],[Kor1]],$AI$3:$AK$105,3,FALSE)</f>
        <v>Premium Tax</v>
      </c>
      <c r="AF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87" s="14" t="s">
        <v>185</v>
      </c>
      <c r="AJ87" t="s">
        <v>186</v>
      </c>
      <c r="AK87" s="15" t="s">
        <v>186</v>
      </c>
    </row>
    <row r="88" spans="18:37" x14ac:dyDescent="0.2">
      <c r="R88" t="s">
        <v>49</v>
      </c>
      <c r="S88" t="s">
        <v>242</v>
      </c>
      <c r="T88" t="s">
        <v>7</v>
      </c>
      <c r="U88" s="21">
        <v>335519.59999999998</v>
      </c>
      <c r="V88" s="21" t="s">
        <v>368</v>
      </c>
      <c r="W88" t="str">
        <f>VLOOKUP(Table_Query_from_Actuarial___Production[[#This Row],[Kor1]],$AI$3:$AK$105,3,FALSE)</f>
        <v>ALAE Paid</v>
      </c>
      <c r="X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"/>
      <c r="Z88" t="s">
        <v>18</v>
      </c>
      <c r="AA88" t="s">
        <v>226</v>
      </c>
      <c r="AB88" t="s">
        <v>351</v>
      </c>
      <c r="AC88" s="21">
        <v>-33997.94</v>
      </c>
      <c r="AD88" s="21" t="s">
        <v>368</v>
      </c>
      <c r="AE88" t="str">
        <f>VLOOKUP(Table_Query_from_Actuarial___Production3[[#This Row],[Kor1]],$AI$3:$AK$105,3,FALSE)</f>
        <v>Misc. Expense</v>
      </c>
      <c r="AF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  <c r="AI88" s="14" t="s">
        <v>187</v>
      </c>
      <c r="AJ88" t="s">
        <v>188</v>
      </c>
      <c r="AK88" s="15" t="s">
        <v>188</v>
      </c>
    </row>
    <row r="89" spans="18:37" x14ac:dyDescent="0.2">
      <c r="R89" t="s">
        <v>14</v>
      </c>
      <c r="S89" t="s">
        <v>259</v>
      </c>
      <c r="T89" t="s">
        <v>351</v>
      </c>
      <c r="U89" s="21">
        <v>104223.84</v>
      </c>
      <c r="V89" s="21" t="s">
        <v>368</v>
      </c>
      <c r="W89" t="str">
        <f>VLOOKUP(Table_Query_from_Actuarial___Production[[#This Row],[Kor1]],$AI$3:$AK$105,3,FALSE)</f>
        <v>Claims Expense</v>
      </c>
      <c r="X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"/>
      <c r="Z89" t="s">
        <v>18</v>
      </c>
      <c r="AA89" t="s">
        <v>224</v>
      </c>
      <c r="AB89" t="s">
        <v>9</v>
      </c>
      <c r="AC89" s="21">
        <v>7889.39</v>
      </c>
      <c r="AD89" s="21" t="s">
        <v>369</v>
      </c>
      <c r="AE89" t="str">
        <f>VLOOKUP(Table_Query_from_Actuarial___Production3[[#This Row],[Kor1]],$AI$3:$AK$105,3,FALSE)</f>
        <v>Misc. Expense</v>
      </c>
      <c r="AF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  <c r="AI89" s="14" t="s">
        <v>189</v>
      </c>
      <c r="AJ89" t="s">
        <v>190</v>
      </c>
      <c r="AK89" s="15" t="s">
        <v>190</v>
      </c>
    </row>
    <row r="90" spans="18:37" x14ac:dyDescent="0.2">
      <c r="R90" t="s">
        <v>16</v>
      </c>
      <c r="S90" t="s">
        <v>254</v>
      </c>
      <c r="T90" t="s">
        <v>445</v>
      </c>
      <c r="U90" s="21">
        <v>1176432</v>
      </c>
      <c r="V90" s="21" t="s">
        <v>368</v>
      </c>
      <c r="W90" t="str">
        <f>VLOOKUP(Table_Query_from_Actuarial___Production[[#This Row],[Kor1]],$AI$3:$AK$105,3,FALSE)</f>
        <v>Losses Outstanding</v>
      </c>
      <c r="X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"/>
      <c r="Z90" t="s">
        <v>95</v>
      </c>
      <c r="AA90" t="s">
        <v>250</v>
      </c>
      <c r="AB90" t="s">
        <v>8</v>
      </c>
      <c r="AC90" s="21">
        <v>25</v>
      </c>
      <c r="AD90" s="21" t="s">
        <v>368</v>
      </c>
      <c r="AE90" t="str">
        <f>VLOOKUP(Table_Query_from_Actuarial___Production3[[#This Row],[Kor1]],$AI$3:$AK$105,3,FALSE)</f>
        <v>Misc. Expense</v>
      </c>
      <c r="AF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0" s="23" t="s">
        <v>439</v>
      </c>
      <c r="AJ90" t="s">
        <v>440</v>
      </c>
      <c r="AK90" s="15" t="s">
        <v>55</v>
      </c>
    </row>
    <row r="91" spans="18:37" x14ac:dyDescent="0.2">
      <c r="R91" t="s">
        <v>10</v>
      </c>
      <c r="S91" t="s">
        <v>266</v>
      </c>
      <c r="T91" t="s">
        <v>9</v>
      </c>
      <c r="U91" s="21">
        <v>31045.46</v>
      </c>
      <c r="V91" s="21" t="s">
        <v>368</v>
      </c>
      <c r="W91" t="str">
        <f>VLOOKUP(Table_Query_from_Actuarial___Production[[#This Row],[Kor1]],$AI$3:$AK$105,3,FALSE)</f>
        <v>Commissions</v>
      </c>
      <c r="X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"/>
      <c r="Z91" t="s">
        <v>10</v>
      </c>
      <c r="AA91" t="s">
        <v>267</v>
      </c>
      <c r="AB91" t="s">
        <v>443</v>
      </c>
      <c r="AC91" s="21">
        <v>58773.99</v>
      </c>
      <c r="AD91" s="21" t="s">
        <v>368</v>
      </c>
      <c r="AE91" t="str">
        <f>VLOOKUP(Table_Query_from_Actuarial___Production3[[#This Row],[Kor1]],$AI$3:$AK$105,3,FALSE)</f>
        <v>Commissions</v>
      </c>
      <c r="AF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1" s="14" t="s">
        <v>191</v>
      </c>
      <c r="AJ91" t="s">
        <v>192</v>
      </c>
      <c r="AK91" s="15" t="s">
        <v>70</v>
      </c>
    </row>
    <row r="92" spans="18:37" x14ac:dyDescent="0.2">
      <c r="R92" t="s">
        <v>33</v>
      </c>
      <c r="S92" t="s">
        <v>244</v>
      </c>
      <c r="T92" t="s">
        <v>8</v>
      </c>
      <c r="U92" s="21">
        <v>15633.19</v>
      </c>
      <c r="V92" s="21" t="s">
        <v>368</v>
      </c>
      <c r="W92" t="str">
        <f>VLOOKUP(Table_Query_from_Actuarial___Production[[#This Row],[Kor1]],$AI$3:$AK$105,3,FALSE)</f>
        <v>Misc. Expense</v>
      </c>
      <c r="X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"/>
      <c r="Z92" t="s">
        <v>14</v>
      </c>
      <c r="AA92" t="s">
        <v>263</v>
      </c>
      <c r="AB92" t="s">
        <v>5</v>
      </c>
      <c r="AC92" s="21">
        <v>29156.400000000001</v>
      </c>
      <c r="AD92" s="21" t="s">
        <v>368</v>
      </c>
      <c r="AE92" t="str">
        <f>VLOOKUP(Table_Query_from_Actuarial___Production3[[#This Row],[Kor1]],$AI$3:$AK$105,3,FALSE)</f>
        <v>Claims Expense</v>
      </c>
      <c r="AF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2" s="14" t="s">
        <v>36</v>
      </c>
      <c r="AJ92" t="s">
        <v>193</v>
      </c>
      <c r="AK92" s="15" t="s">
        <v>93</v>
      </c>
    </row>
    <row r="93" spans="18:37" x14ac:dyDescent="0.2">
      <c r="R93" t="s">
        <v>20</v>
      </c>
      <c r="S93" t="s">
        <v>240</v>
      </c>
      <c r="T93" t="s">
        <v>9</v>
      </c>
      <c r="U93" s="21">
        <v>601.42999999999995</v>
      </c>
      <c r="V93" s="21" t="s">
        <v>368</v>
      </c>
      <c r="W93" t="str">
        <f>VLOOKUP(Table_Query_from_Actuarial___Production[[#This Row],[Kor1]],$AI$3:$AK$105,3,FALSE)</f>
        <v>Misc. Expense</v>
      </c>
      <c r="X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"/>
      <c r="Z93" t="s">
        <v>43</v>
      </c>
      <c r="AA93" t="s">
        <v>228</v>
      </c>
      <c r="AB93" t="s">
        <v>351</v>
      </c>
      <c r="AC93" s="21">
        <v>3653.79</v>
      </c>
      <c r="AD93" s="21" t="s">
        <v>368</v>
      </c>
      <c r="AE93" t="str">
        <f>VLOOKUP(Table_Query_from_Actuarial___Production3[[#This Row],[Kor1]],$AI$3:$AK$105,3,FALSE)</f>
        <v>Charge-offs</v>
      </c>
      <c r="AF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3" s="14" t="s">
        <v>194</v>
      </c>
      <c r="AJ93" t="s">
        <v>195</v>
      </c>
      <c r="AK93" s="15" t="s">
        <v>93</v>
      </c>
    </row>
    <row r="94" spans="18:37" x14ac:dyDescent="0.2">
      <c r="R94" t="s">
        <v>42</v>
      </c>
      <c r="S94" t="s">
        <v>4</v>
      </c>
      <c r="T94" t="s">
        <v>443</v>
      </c>
      <c r="U94" s="21">
        <v>9121.61</v>
      </c>
      <c r="V94" s="21" t="s">
        <v>368</v>
      </c>
      <c r="W94" t="str">
        <f>VLOOKUP(Table_Query_from_Actuarial___Production[[#This Row],[Kor1]],$AI$3:$AK$105,3,FALSE)</f>
        <v>Misc. Income</v>
      </c>
      <c r="X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"/>
      <c r="Z94" t="s">
        <v>46</v>
      </c>
      <c r="AA94" t="s">
        <v>226</v>
      </c>
      <c r="AB94" t="s">
        <v>427</v>
      </c>
      <c r="AC94" s="21">
        <v>60142.61</v>
      </c>
      <c r="AD94" s="21" t="s">
        <v>368</v>
      </c>
      <c r="AE94" t="str">
        <f>VLOOKUP(Table_Query_from_Actuarial___Production3[[#This Row],[Kor1]],$AI$3:$AK$105,3,FALSE)</f>
        <v>Investment Income</v>
      </c>
      <c r="AF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  <c r="AI94" s="14" t="s">
        <v>196</v>
      </c>
      <c r="AJ94" t="s">
        <v>197</v>
      </c>
      <c r="AK94" s="15" t="s">
        <v>93</v>
      </c>
    </row>
    <row r="95" spans="18:37" x14ac:dyDescent="0.2">
      <c r="R95" t="s">
        <v>43</v>
      </c>
      <c r="S95" t="s">
        <v>264</v>
      </c>
      <c r="T95" t="s">
        <v>356</v>
      </c>
      <c r="U95" s="21">
        <v>13211.99</v>
      </c>
      <c r="V95" s="21" t="s">
        <v>368</v>
      </c>
      <c r="W95" t="str">
        <f>VLOOKUP(Table_Query_from_Actuarial___Production[[#This Row],[Kor1]],$AI$3:$AK$105,3,FALSE)</f>
        <v>Charge-offs</v>
      </c>
      <c r="X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"/>
      <c r="Z95" t="s">
        <v>46</v>
      </c>
      <c r="AA95" t="s">
        <v>224</v>
      </c>
      <c r="AB95" t="s">
        <v>8</v>
      </c>
      <c r="AC95" s="21">
        <v>40.03</v>
      </c>
      <c r="AD95" s="21" t="s">
        <v>369</v>
      </c>
      <c r="AE95" t="str">
        <f>VLOOKUP(Table_Query_from_Actuarial___Production3[[#This Row],[Kor1]],$AI$3:$AK$105,3,FALSE)</f>
        <v>Investment Income</v>
      </c>
      <c r="AF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  <c r="AI95" s="14" t="s">
        <v>198</v>
      </c>
      <c r="AJ95" t="s">
        <v>199</v>
      </c>
      <c r="AK95" s="15" t="s">
        <v>199</v>
      </c>
    </row>
    <row r="96" spans="18:37" x14ac:dyDescent="0.2">
      <c r="R96" t="s">
        <v>19</v>
      </c>
      <c r="S96" t="s">
        <v>260</v>
      </c>
      <c r="T96" t="s">
        <v>356</v>
      </c>
      <c r="U96" s="21">
        <v>65</v>
      </c>
      <c r="V96" s="21" t="s">
        <v>368</v>
      </c>
      <c r="W96" t="str">
        <f>VLOOKUP(Table_Query_from_Actuarial___Production[[#This Row],[Kor1]],$AI$3:$AK$105,3,FALSE)</f>
        <v>Misc. Expense for Insolvent Companies</v>
      </c>
      <c r="X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"/>
      <c r="Z96" t="s">
        <v>11</v>
      </c>
      <c r="AA96" t="s">
        <v>259</v>
      </c>
      <c r="AB96" t="s">
        <v>433</v>
      </c>
      <c r="AC96" s="21">
        <v>22871.63</v>
      </c>
      <c r="AD96" s="21" t="s">
        <v>368</v>
      </c>
      <c r="AE96" t="str">
        <f>VLOOKUP(Table_Query_from_Actuarial___Production3[[#This Row],[Kor1]],$AI$3:$AK$105,3,FALSE)</f>
        <v>Losses Paid</v>
      </c>
      <c r="AF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6" s="14" t="s">
        <v>37</v>
      </c>
      <c r="AJ96" t="s">
        <v>200</v>
      </c>
      <c r="AK96" s="15" t="s">
        <v>93</v>
      </c>
    </row>
    <row r="97" spans="18:37" x14ac:dyDescent="0.2">
      <c r="R97" t="s">
        <v>39</v>
      </c>
      <c r="S97" t="s">
        <v>256</v>
      </c>
      <c r="T97" t="s">
        <v>443</v>
      </c>
      <c r="U97" s="21">
        <v>6</v>
      </c>
      <c r="V97" s="21" t="s">
        <v>368</v>
      </c>
      <c r="W97" t="str">
        <f>VLOOKUP(Table_Query_from_Actuarial___Production[[#This Row],[Kor1]],$AI$3:$AK$105,3,FALSE)</f>
        <v>Misc. Income for Insolvent Companies</v>
      </c>
      <c r="X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"/>
      <c r="Z97" t="s">
        <v>14</v>
      </c>
      <c r="AA97" t="s">
        <v>244</v>
      </c>
      <c r="AB97" t="s">
        <v>5</v>
      </c>
      <c r="AC97" s="21">
        <v>34857.9</v>
      </c>
      <c r="AD97" s="21" t="s">
        <v>368</v>
      </c>
      <c r="AE97" t="str">
        <f>VLOOKUP(Table_Query_from_Actuarial___Production3[[#This Row],[Kor1]],$AI$3:$AK$105,3,FALSE)</f>
        <v>Claims Expense</v>
      </c>
      <c r="AF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7" s="14" t="s">
        <v>201</v>
      </c>
      <c r="AJ97" t="s">
        <v>202</v>
      </c>
      <c r="AK97" s="15" t="s">
        <v>202</v>
      </c>
    </row>
    <row r="98" spans="18:37" x14ac:dyDescent="0.2">
      <c r="R98" t="s">
        <v>14</v>
      </c>
      <c r="S98" t="s">
        <v>240</v>
      </c>
      <c r="T98" t="s">
        <v>427</v>
      </c>
      <c r="U98" s="21">
        <v>403957.01</v>
      </c>
      <c r="V98" s="21" t="s">
        <v>368</v>
      </c>
      <c r="W98" t="str">
        <f>VLOOKUP(Table_Query_from_Actuarial___Production[[#This Row],[Kor1]],$AI$3:$AK$105,3,FALSE)</f>
        <v>Claims Expense</v>
      </c>
      <c r="X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"/>
      <c r="Z98" t="s">
        <v>14</v>
      </c>
      <c r="AA98" t="s">
        <v>354</v>
      </c>
      <c r="AB98" t="s">
        <v>8</v>
      </c>
      <c r="AC98" s="21">
        <v>10330063.42</v>
      </c>
      <c r="AD98" s="21" t="s">
        <v>368</v>
      </c>
      <c r="AE98" t="str">
        <f>VLOOKUP(Table_Query_from_Actuarial___Production3[[#This Row],[Kor1]],$AI$3:$AK$105,3,FALSE)</f>
        <v>Claims Expense</v>
      </c>
      <c r="AF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  <c r="AI98" s="14" t="s">
        <v>203</v>
      </c>
      <c r="AJ98" t="s">
        <v>204</v>
      </c>
      <c r="AK98" s="15" t="s">
        <v>204</v>
      </c>
    </row>
    <row r="99" spans="18:37" x14ac:dyDescent="0.2">
      <c r="R99" t="s">
        <v>16</v>
      </c>
      <c r="S99" t="s">
        <v>257</v>
      </c>
      <c r="T99" t="s">
        <v>442</v>
      </c>
      <c r="U99" s="21">
        <v>649203.68000000005</v>
      </c>
      <c r="V99" s="21" t="s">
        <v>368</v>
      </c>
      <c r="W99" t="str">
        <f>VLOOKUP(Table_Query_from_Actuarial___Production[[#This Row],[Kor1]],$AI$3:$AK$105,3,FALSE)</f>
        <v>Losses Outstanding</v>
      </c>
      <c r="X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"/>
      <c r="Z99" t="s">
        <v>11</v>
      </c>
      <c r="AA99" t="s">
        <v>267</v>
      </c>
      <c r="AB99" t="s">
        <v>356</v>
      </c>
      <c r="AC99" s="21">
        <v>228312.9</v>
      </c>
      <c r="AD99" s="21" t="s">
        <v>368</v>
      </c>
      <c r="AE99" t="str">
        <f>VLOOKUP(Table_Query_from_Actuarial___Production3[[#This Row],[Kor1]],$AI$3:$AK$105,3,FALSE)</f>
        <v>Losses Paid</v>
      </c>
      <c r="AF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99" s="14" t="s">
        <v>205</v>
      </c>
      <c r="AJ99" t="s">
        <v>206</v>
      </c>
      <c r="AK99" s="15" t="s">
        <v>206</v>
      </c>
    </row>
    <row r="100" spans="18:37" x14ac:dyDescent="0.2">
      <c r="R100" t="s">
        <v>22</v>
      </c>
      <c r="S100" t="s">
        <v>259</v>
      </c>
      <c r="T100" t="s">
        <v>433</v>
      </c>
      <c r="U100" s="21">
        <v>30049.37</v>
      </c>
      <c r="V100" s="21" t="s">
        <v>368</v>
      </c>
      <c r="W100" t="str">
        <f>VLOOKUP(Table_Query_from_Actuarial___Production[[#This Row],[Kor1]],$AI$3:$AK$105,3,FALSE)</f>
        <v>Misc. Expense</v>
      </c>
      <c r="X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"/>
      <c r="Z100" t="s">
        <v>49</v>
      </c>
      <c r="AA100" t="s">
        <v>242</v>
      </c>
      <c r="AB100" t="s">
        <v>7</v>
      </c>
      <c r="AC100" s="21">
        <v>326899.09999999998</v>
      </c>
      <c r="AD100" s="21" t="s">
        <v>368</v>
      </c>
      <c r="AE100" t="str">
        <f>VLOOKUP(Table_Query_from_Actuarial___Production3[[#This Row],[Kor1]],$AI$3:$AK$105,3,FALSE)</f>
        <v>ALAE Paid</v>
      </c>
      <c r="AF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0" s="14" t="s">
        <v>207</v>
      </c>
      <c r="AJ100" t="s">
        <v>208</v>
      </c>
      <c r="AK100" s="15" t="s">
        <v>208</v>
      </c>
    </row>
    <row r="101" spans="18:37" x14ac:dyDescent="0.2">
      <c r="R101" t="s">
        <v>47</v>
      </c>
      <c r="S101" t="s">
        <v>228</v>
      </c>
      <c r="T101" t="s">
        <v>356</v>
      </c>
      <c r="U101" s="21">
        <v>2125.14</v>
      </c>
      <c r="V101" s="21" t="s">
        <v>368</v>
      </c>
      <c r="W101" t="str">
        <f>VLOOKUP(Table_Query_from_Actuarial___Production[[#This Row],[Kor1]],$AI$3:$AK$105,3,FALSE)</f>
        <v>Investment Income</v>
      </c>
      <c r="X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"/>
      <c r="Z101" t="s">
        <v>14</v>
      </c>
      <c r="AA101" t="s">
        <v>259</v>
      </c>
      <c r="AB101" t="s">
        <v>351</v>
      </c>
      <c r="AC101" s="21">
        <v>104223.84</v>
      </c>
      <c r="AD101" s="21" t="s">
        <v>368</v>
      </c>
      <c r="AE101" t="str">
        <f>VLOOKUP(Table_Query_from_Actuarial___Production3[[#This Row],[Kor1]],$AI$3:$AK$105,3,FALSE)</f>
        <v>Claims Expense</v>
      </c>
      <c r="AF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1" s="14" t="s">
        <v>209</v>
      </c>
      <c r="AJ101" t="s">
        <v>210</v>
      </c>
      <c r="AK101" s="15" t="s">
        <v>210</v>
      </c>
    </row>
    <row r="102" spans="18:37" x14ac:dyDescent="0.2">
      <c r="R102" t="s">
        <v>11</v>
      </c>
      <c r="S102" t="s">
        <v>259</v>
      </c>
      <c r="T102" t="s">
        <v>441</v>
      </c>
      <c r="U102" s="21">
        <v>5044.66</v>
      </c>
      <c r="V102" s="21" t="s">
        <v>368</v>
      </c>
      <c r="W102" t="str">
        <f>VLOOKUP(Table_Query_from_Actuarial___Production[[#This Row],[Kor1]],$AI$3:$AK$105,3,FALSE)</f>
        <v>Losses Paid</v>
      </c>
      <c r="X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"/>
      <c r="Z102" t="s">
        <v>10</v>
      </c>
      <c r="AA102" t="s">
        <v>266</v>
      </c>
      <c r="AB102" t="s">
        <v>9</v>
      </c>
      <c r="AC102" s="21">
        <v>31045.46</v>
      </c>
      <c r="AD102" s="21" t="s">
        <v>368</v>
      </c>
      <c r="AE102" t="str">
        <f>VLOOKUP(Table_Query_from_Actuarial___Production3[[#This Row],[Kor1]],$AI$3:$AK$105,3,FALSE)</f>
        <v>Commissions</v>
      </c>
      <c r="AF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2" s="14" t="s">
        <v>211</v>
      </c>
      <c r="AJ102" t="s">
        <v>212</v>
      </c>
      <c r="AK102" s="15" t="s">
        <v>212</v>
      </c>
    </row>
    <row r="103" spans="18:37" x14ac:dyDescent="0.2">
      <c r="R103" t="s">
        <v>48</v>
      </c>
      <c r="S103" t="s">
        <v>264</v>
      </c>
      <c r="T103" t="s">
        <v>441</v>
      </c>
      <c r="U103" s="21">
        <v>8398.5499999999993</v>
      </c>
      <c r="V103" s="21" t="s">
        <v>368</v>
      </c>
      <c r="W103" t="str">
        <f>VLOOKUP(Table_Query_from_Actuarial___Production[[#This Row],[Kor1]],$AI$3:$AK$105,3,FALSE)</f>
        <v>Anticipated Salvage</v>
      </c>
      <c r="X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"/>
      <c r="Z103" t="s">
        <v>33</v>
      </c>
      <c r="AA103" t="s">
        <v>244</v>
      </c>
      <c r="AB103" t="s">
        <v>8</v>
      </c>
      <c r="AC103" s="21">
        <v>15633.19</v>
      </c>
      <c r="AD103" s="21" t="s">
        <v>368</v>
      </c>
      <c r="AE103" t="str">
        <f>VLOOKUP(Table_Query_from_Actuarial___Production3[[#This Row],[Kor1]],$AI$3:$AK$105,3,FALSE)</f>
        <v>Misc. Expense</v>
      </c>
      <c r="AF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3" s="23" t="s">
        <v>323</v>
      </c>
      <c r="AJ103" t="s">
        <v>327</v>
      </c>
      <c r="AK103" s="15" t="s">
        <v>327</v>
      </c>
    </row>
    <row r="104" spans="18:37" x14ac:dyDescent="0.2">
      <c r="R104" t="s">
        <v>34</v>
      </c>
      <c r="S104" t="s">
        <v>237</v>
      </c>
      <c r="T104" t="s">
        <v>351</v>
      </c>
      <c r="U104" s="21">
        <v>1396.44</v>
      </c>
      <c r="V104" s="21" t="s">
        <v>368</v>
      </c>
      <c r="W104" t="str">
        <f>VLOOKUP(Table_Query_from_Actuarial___Production[[#This Row],[Kor1]],$AI$3:$AK$105,3,FALSE)</f>
        <v>Misc. Expense</v>
      </c>
      <c r="X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"/>
      <c r="Z104" t="s">
        <v>20</v>
      </c>
      <c r="AA104" t="s">
        <v>240</v>
      </c>
      <c r="AB104" t="s">
        <v>9</v>
      </c>
      <c r="AC104" s="21">
        <v>601.42999999999995</v>
      </c>
      <c r="AD104" s="21" t="s">
        <v>368</v>
      </c>
      <c r="AE104" t="str">
        <f>VLOOKUP(Table_Query_from_Actuarial___Production3[[#This Row],[Kor1]],$AI$3:$AK$105,3,FALSE)</f>
        <v>Misc. Expense</v>
      </c>
      <c r="AF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4" s="23" t="s">
        <v>324</v>
      </c>
      <c r="AJ104" t="s">
        <v>328</v>
      </c>
      <c r="AK104" s="15" t="s">
        <v>328</v>
      </c>
    </row>
    <row r="105" spans="18:37" x14ac:dyDescent="0.2">
      <c r="R105" t="s">
        <v>41</v>
      </c>
      <c r="S105" t="s">
        <v>233</v>
      </c>
      <c r="T105" t="s">
        <v>441</v>
      </c>
      <c r="U105" s="21">
        <v>350.01</v>
      </c>
      <c r="V105" s="21" t="s">
        <v>368</v>
      </c>
      <c r="W105" t="str">
        <f>VLOOKUP(Table_Query_from_Actuarial___Production[[#This Row],[Kor1]],$AI$3:$AK$105,3,FALSE)</f>
        <v>Misc. Income</v>
      </c>
      <c r="X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"/>
      <c r="Z105" t="s">
        <v>42</v>
      </c>
      <c r="AA105" t="s">
        <v>4</v>
      </c>
      <c r="AB105" t="s">
        <v>443</v>
      </c>
      <c r="AC105" s="21">
        <v>9121.61</v>
      </c>
      <c r="AD105" s="21" t="s">
        <v>368</v>
      </c>
      <c r="AE105" t="str">
        <f>VLOOKUP(Table_Query_from_Actuarial___Production3[[#This Row],[Kor1]],$AI$3:$AK$105,3,FALSE)</f>
        <v>Misc. Income</v>
      </c>
      <c r="AF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  <c r="AI105" s="24" t="s">
        <v>325</v>
      </c>
      <c r="AJ105" s="16" t="s">
        <v>326</v>
      </c>
      <c r="AK105" s="17" t="s">
        <v>326</v>
      </c>
    </row>
    <row r="106" spans="18:37" x14ac:dyDescent="0.2">
      <c r="R106" t="s">
        <v>11</v>
      </c>
      <c r="S106" t="s">
        <v>229</v>
      </c>
      <c r="T106" t="s">
        <v>7</v>
      </c>
      <c r="U106" s="21">
        <v>7106.72</v>
      </c>
      <c r="V106" s="21" t="s">
        <v>368</v>
      </c>
      <c r="W106" t="str">
        <f>VLOOKUP(Table_Query_from_Actuarial___Production[[#This Row],[Kor1]],$AI$3:$AK$105,3,FALSE)</f>
        <v>Losses Paid</v>
      </c>
      <c r="X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"/>
      <c r="Z106" t="s">
        <v>43</v>
      </c>
      <c r="AA106" t="s">
        <v>264</v>
      </c>
      <c r="AB106" t="s">
        <v>356</v>
      </c>
      <c r="AC106" s="21">
        <v>13211.99</v>
      </c>
      <c r="AD106" s="21" t="s">
        <v>368</v>
      </c>
      <c r="AE106" t="str">
        <f>VLOOKUP(Table_Query_from_Actuarial___Production3[[#This Row],[Kor1]],$AI$3:$AK$105,3,FALSE)</f>
        <v>Charge-offs</v>
      </c>
      <c r="AF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" spans="18:37" x14ac:dyDescent="0.2">
      <c r="R107" t="s">
        <v>37</v>
      </c>
      <c r="S107" t="s">
        <v>232</v>
      </c>
      <c r="T107" t="s">
        <v>351</v>
      </c>
      <c r="U107" s="21">
        <v>1741.17</v>
      </c>
      <c r="V107" s="21" t="s">
        <v>368</v>
      </c>
      <c r="W107" t="str">
        <f>VLOOKUP(Table_Query_from_Actuarial___Production[[#This Row],[Kor1]],$AI$3:$AK$105,3,FALSE)</f>
        <v>Misc. Expense</v>
      </c>
      <c r="X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"/>
      <c r="Z107" t="s">
        <v>13</v>
      </c>
      <c r="AA107" t="s">
        <v>254</v>
      </c>
      <c r="AB107" t="s">
        <v>5</v>
      </c>
      <c r="AC107" s="21">
        <v>16934.22</v>
      </c>
      <c r="AD107" s="21" t="s">
        <v>368</v>
      </c>
      <c r="AE107" t="str">
        <f>VLOOKUP(Table_Query_from_Actuarial___Production3[[#This Row],[Kor1]],$AI$3:$AK$105,3,FALSE)</f>
        <v>Operating Service Fees</v>
      </c>
      <c r="AF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" spans="18:37" x14ac:dyDescent="0.2">
      <c r="R108" t="s">
        <v>39</v>
      </c>
      <c r="S108" t="s">
        <v>259</v>
      </c>
      <c r="T108" t="s">
        <v>433</v>
      </c>
      <c r="U108" s="21">
        <v>3391</v>
      </c>
      <c r="V108" s="21" t="s">
        <v>368</v>
      </c>
      <c r="W108" t="str">
        <f>VLOOKUP(Table_Query_from_Actuarial___Production[[#This Row],[Kor1]],$AI$3:$AK$105,3,FALSE)</f>
        <v>Misc. Income for Insolvent Companies</v>
      </c>
      <c r="X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"/>
      <c r="Z108" t="s">
        <v>19</v>
      </c>
      <c r="AA108" t="s">
        <v>260</v>
      </c>
      <c r="AB108" t="s">
        <v>356</v>
      </c>
      <c r="AC108" s="21">
        <v>31</v>
      </c>
      <c r="AD108" s="21" t="s">
        <v>368</v>
      </c>
      <c r="AE108" t="str">
        <f>VLOOKUP(Table_Query_from_Actuarial___Production3[[#This Row],[Kor1]],$AI$3:$AK$105,3,FALSE)</f>
        <v>Misc. Expense for Insolvent Companies</v>
      </c>
      <c r="AF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" spans="18:37" x14ac:dyDescent="0.2">
      <c r="R109" t="s">
        <v>18</v>
      </c>
      <c r="S109" t="s">
        <v>354</v>
      </c>
      <c r="T109" t="s">
        <v>6</v>
      </c>
      <c r="U109" s="21">
        <v>5961386.5</v>
      </c>
      <c r="V109" s="21" t="s">
        <v>369</v>
      </c>
      <c r="W109" t="str">
        <f>VLOOKUP(Table_Query_from_Actuarial___Production[[#This Row],[Kor1]],$AI$3:$AK$105,3,FALSE)</f>
        <v>Misc. Expense</v>
      </c>
      <c r="X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9"/>
      <c r="Z109" t="s">
        <v>39</v>
      </c>
      <c r="AA109" t="s">
        <v>256</v>
      </c>
      <c r="AB109" t="s">
        <v>443</v>
      </c>
      <c r="AC109" s="21">
        <v>6</v>
      </c>
      <c r="AD109" s="21" t="s">
        <v>368</v>
      </c>
      <c r="AE109" t="str">
        <f>VLOOKUP(Table_Query_from_Actuarial___Production3[[#This Row],[Kor1]],$AI$3:$AK$105,3,FALSE)</f>
        <v>Misc. Income for Insolvent Companies</v>
      </c>
      <c r="AF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" spans="18:37" x14ac:dyDescent="0.2">
      <c r="R110" t="s">
        <v>40</v>
      </c>
      <c r="S110" t="s">
        <v>267</v>
      </c>
      <c r="T110" t="s">
        <v>442</v>
      </c>
      <c r="U110" s="21">
        <v>125</v>
      </c>
      <c r="V110" s="21" t="s">
        <v>368</v>
      </c>
      <c r="W110" t="str">
        <f>VLOOKUP(Table_Query_from_Actuarial___Production[[#This Row],[Kor1]],$AI$3:$AK$105,3,FALSE)</f>
        <v>Misc. Income</v>
      </c>
      <c r="X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"/>
      <c r="Z110" t="s">
        <v>14</v>
      </c>
      <c r="AA110" t="s">
        <v>240</v>
      </c>
      <c r="AB110" t="s">
        <v>427</v>
      </c>
      <c r="AC110" s="21">
        <v>403957.01</v>
      </c>
      <c r="AD110" s="21" t="s">
        <v>368</v>
      </c>
      <c r="AE110" t="str">
        <f>VLOOKUP(Table_Query_from_Actuarial___Production3[[#This Row],[Kor1]],$AI$3:$AK$105,3,FALSE)</f>
        <v>Claims Expense</v>
      </c>
      <c r="AF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" spans="18:37" x14ac:dyDescent="0.2">
      <c r="R111" t="s">
        <v>12</v>
      </c>
      <c r="S111" t="s">
        <v>228</v>
      </c>
      <c r="T111" t="s">
        <v>9</v>
      </c>
      <c r="U111" s="21">
        <v>813.17</v>
      </c>
      <c r="V111" s="21" t="s">
        <v>368</v>
      </c>
      <c r="W111" t="str">
        <f>VLOOKUP(Table_Query_from_Actuarial___Production[[#This Row],[Kor1]],$AI$3:$AK$105,3,FALSE)</f>
        <v>Premium Tax</v>
      </c>
      <c r="X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"/>
      <c r="Z111" t="s">
        <v>16</v>
      </c>
      <c r="AA111" t="s">
        <v>257</v>
      </c>
      <c r="AB111" t="s">
        <v>442</v>
      </c>
      <c r="AC111" s="21">
        <v>368499.4</v>
      </c>
      <c r="AD111" s="21" t="s">
        <v>368</v>
      </c>
      <c r="AE111" t="str">
        <f>VLOOKUP(Table_Query_from_Actuarial___Production3[[#This Row],[Kor1]],$AI$3:$AK$105,3,FALSE)</f>
        <v>Losses Outstanding</v>
      </c>
      <c r="AF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" spans="18:37" x14ac:dyDescent="0.2">
      <c r="R112" t="s">
        <v>19</v>
      </c>
      <c r="S112" t="s">
        <v>239</v>
      </c>
      <c r="T112" t="s">
        <v>6</v>
      </c>
      <c r="U112" s="21">
        <v>1.99</v>
      </c>
      <c r="V112" s="21" t="s">
        <v>368</v>
      </c>
      <c r="W112" t="str">
        <f>VLOOKUP(Table_Query_from_Actuarial___Production[[#This Row],[Kor1]],$AI$3:$AK$105,3,FALSE)</f>
        <v>Misc. Expense for Insolvent Companies</v>
      </c>
      <c r="X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"/>
      <c r="Z112" t="s">
        <v>22</v>
      </c>
      <c r="AA112" t="s">
        <v>259</v>
      </c>
      <c r="AB112" t="s">
        <v>433</v>
      </c>
      <c r="AC112" s="21">
        <v>30049.37</v>
      </c>
      <c r="AD112" s="21" t="s">
        <v>368</v>
      </c>
      <c r="AE112" t="str">
        <f>VLOOKUP(Table_Query_from_Actuarial___Production3[[#This Row],[Kor1]],$AI$3:$AK$105,3,FALSE)</f>
        <v>Misc. Expense</v>
      </c>
      <c r="AF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" spans="18:32" x14ac:dyDescent="0.2">
      <c r="R113" t="s">
        <v>48</v>
      </c>
      <c r="S113" t="s">
        <v>267</v>
      </c>
      <c r="T113" t="s">
        <v>433</v>
      </c>
      <c r="U113" s="21">
        <v>1346.09</v>
      </c>
      <c r="V113" s="21" t="s">
        <v>368</v>
      </c>
      <c r="W113" t="str">
        <f>VLOOKUP(Table_Query_from_Actuarial___Production[[#This Row],[Kor1]],$AI$3:$AK$105,3,FALSE)</f>
        <v>Anticipated Salvage</v>
      </c>
      <c r="X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"/>
      <c r="Z113" t="s">
        <v>47</v>
      </c>
      <c r="AA113" t="s">
        <v>228</v>
      </c>
      <c r="AB113" t="s">
        <v>356</v>
      </c>
      <c r="AC113" s="21">
        <v>2125.14</v>
      </c>
      <c r="AD113" s="21" t="s">
        <v>368</v>
      </c>
      <c r="AE113" t="str">
        <f>VLOOKUP(Table_Query_from_Actuarial___Production3[[#This Row],[Kor1]],$AI$3:$AK$105,3,FALSE)</f>
        <v>Investment Income</v>
      </c>
      <c r="AF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" spans="18:32" x14ac:dyDescent="0.2">
      <c r="R114" t="s">
        <v>14</v>
      </c>
      <c r="S114" t="s">
        <v>225</v>
      </c>
      <c r="T114" t="s">
        <v>433</v>
      </c>
      <c r="U114" s="21">
        <v>43944</v>
      </c>
      <c r="V114" s="21" t="s">
        <v>369</v>
      </c>
      <c r="W114" t="str">
        <f>VLOOKUP(Table_Query_from_Actuarial___Production[[#This Row],[Kor1]],$AI$3:$AK$105,3,FALSE)</f>
        <v>Claims Expense</v>
      </c>
      <c r="X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14"/>
      <c r="Z114" t="s">
        <v>47</v>
      </c>
      <c r="AA114" t="s">
        <v>230</v>
      </c>
      <c r="AB114" t="s">
        <v>5</v>
      </c>
      <c r="AC114" s="21">
        <v>36.130000000000003</v>
      </c>
      <c r="AD114" s="21" t="s">
        <v>368</v>
      </c>
      <c r="AE114" t="str">
        <f>VLOOKUP(Table_Query_from_Actuarial___Production3[[#This Row],[Kor1]],$AI$3:$AK$105,3,FALSE)</f>
        <v>Investment Income</v>
      </c>
      <c r="AF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" spans="18:32" x14ac:dyDescent="0.2">
      <c r="R115" t="s">
        <v>32</v>
      </c>
      <c r="S115" t="s">
        <v>230</v>
      </c>
      <c r="T115" t="s">
        <v>442</v>
      </c>
      <c r="U115" s="21">
        <v>600.11</v>
      </c>
      <c r="V115" s="21" t="s">
        <v>368</v>
      </c>
      <c r="W115" t="str">
        <f>VLOOKUP(Table_Query_from_Actuarial___Production[[#This Row],[Kor1]],$AI$3:$AK$105,3,FALSE)</f>
        <v>Misc. Expense</v>
      </c>
      <c r="X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"/>
      <c r="Z115" t="s">
        <v>11</v>
      </c>
      <c r="AA115" t="s">
        <v>259</v>
      </c>
      <c r="AB115" t="s">
        <v>441</v>
      </c>
      <c r="AC115" s="21">
        <v>5044.66</v>
      </c>
      <c r="AD115" s="21" t="s">
        <v>368</v>
      </c>
      <c r="AE115" t="str">
        <f>VLOOKUP(Table_Query_from_Actuarial___Production3[[#This Row],[Kor1]],$AI$3:$AK$105,3,FALSE)</f>
        <v>Losses Paid</v>
      </c>
      <c r="AF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" spans="18:32" x14ac:dyDescent="0.2">
      <c r="R116" t="s">
        <v>3</v>
      </c>
      <c r="S116" t="s">
        <v>231</v>
      </c>
      <c r="T116" t="s">
        <v>427</v>
      </c>
      <c r="U116" s="21">
        <v>1039846</v>
      </c>
      <c r="V116" s="21" t="s">
        <v>368</v>
      </c>
      <c r="W116" t="str">
        <f>VLOOKUP(Table_Query_from_Actuarial___Production[[#This Row],[Kor1]],$AI$3:$AK$105,3,FALSE)</f>
        <v>Premiums Written</v>
      </c>
      <c r="X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"/>
      <c r="Z116" t="s">
        <v>48</v>
      </c>
      <c r="AA116" t="s">
        <v>264</v>
      </c>
      <c r="AB116" t="s">
        <v>441</v>
      </c>
      <c r="AC116" s="21">
        <v>9684.65</v>
      </c>
      <c r="AD116" s="21" t="s">
        <v>368</v>
      </c>
      <c r="AE116" t="str">
        <f>VLOOKUP(Table_Query_from_Actuarial___Production3[[#This Row],[Kor1]],$AI$3:$AK$105,3,FALSE)</f>
        <v>Anticipated Salvage</v>
      </c>
      <c r="AF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" spans="18:32" x14ac:dyDescent="0.2">
      <c r="R117" t="s">
        <v>14</v>
      </c>
      <c r="S117" t="s">
        <v>261</v>
      </c>
      <c r="T117" t="s">
        <v>351</v>
      </c>
      <c r="U117" s="21">
        <v>53518.92</v>
      </c>
      <c r="V117" s="21" t="s">
        <v>368</v>
      </c>
      <c r="W117" t="str">
        <f>VLOOKUP(Table_Query_from_Actuarial___Production[[#This Row],[Kor1]],$AI$3:$AK$105,3,FALSE)</f>
        <v>Claims Expense</v>
      </c>
      <c r="X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"/>
      <c r="Z117" t="s">
        <v>34</v>
      </c>
      <c r="AA117" t="s">
        <v>237</v>
      </c>
      <c r="AB117" t="s">
        <v>351</v>
      </c>
      <c r="AC117" s="21">
        <v>1396.44</v>
      </c>
      <c r="AD117" s="21" t="s">
        <v>368</v>
      </c>
      <c r="AE117" t="str">
        <f>VLOOKUP(Table_Query_from_Actuarial___Production3[[#This Row],[Kor1]],$AI$3:$AK$105,3,FALSE)</f>
        <v>Misc. Expense</v>
      </c>
      <c r="AF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" spans="18:32" x14ac:dyDescent="0.2">
      <c r="R118" t="s">
        <v>20</v>
      </c>
      <c r="S118" t="s">
        <v>235</v>
      </c>
      <c r="T118" t="s">
        <v>7</v>
      </c>
      <c r="U118" s="21">
        <v>211.62</v>
      </c>
      <c r="V118" s="21" t="s">
        <v>368</v>
      </c>
      <c r="W118" t="str">
        <f>VLOOKUP(Table_Query_from_Actuarial___Production[[#This Row],[Kor1]],$AI$3:$AK$105,3,FALSE)</f>
        <v>Misc. Expense</v>
      </c>
      <c r="X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"/>
      <c r="Z118" t="s">
        <v>41</v>
      </c>
      <c r="AA118" t="s">
        <v>233</v>
      </c>
      <c r="AB118" t="s">
        <v>441</v>
      </c>
      <c r="AC118" s="21">
        <v>350.01</v>
      </c>
      <c r="AD118" s="21" t="s">
        <v>368</v>
      </c>
      <c r="AE118" t="str">
        <f>VLOOKUP(Table_Query_from_Actuarial___Production3[[#This Row],[Kor1]],$AI$3:$AK$105,3,FALSE)</f>
        <v>Misc. Income</v>
      </c>
      <c r="AF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" spans="18:32" x14ac:dyDescent="0.2">
      <c r="R119" t="s">
        <v>18</v>
      </c>
      <c r="S119" t="s">
        <v>352</v>
      </c>
      <c r="T119" t="s">
        <v>9</v>
      </c>
      <c r="U119" s="21">
        <v>10443.030000000001</v>
      </c>
      <c r="V119" s="21" t="s">
        <v>368</v>
      </c>
      <c r="W119" t="str">
        <f>VLOOKUP(Table_Query_from_Actuarial___Production[[#This Row],[Kor1]],$AI$3:$AK$105,3,FALSE)</f>
        <v>Misc. Expense</v>
      </c>
      <c r="X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19"/>
      <c r="Z119" t="s">
        <v>10</v>
      </c>
      <c r="AA119" t="s">
        <v>240</v>
      </c>
      <c r="AB119" t="s">
        <v>5</v>
      </c>
      <c r="AC119" s="21">
        <v>53939.6</v>
      </c>
      <c r="AD119" s="21" t="s">
        <v>368</v>
      </c>
      <c r="AE119" t="str">
        <f>VLOOKUP(Table_Query_from_Actuarial___Production3[[#This Row],[Kor1]],$AI$3:$AK$105,3,FALSE)</f>
        <v>Commissions</v>
      </c>
      <c r="AF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" spans="18:32" x14ac:dyDescent="0.2">
      <c r="R120" t="s">
        <v>33</v>
      </c>
      <c r="S120" t="s">
        <v>266</v>
      </c>
      <c r="T120" t="s">
        <v>356</v>
      </c>
      <c r="U120" s="21">
        <v>14836.64</v>
      </c>
      <c r="V120" s="21" t="s">
        <v>368</v>
      </c>
      <c r="W120" t="str">
        <f>VLOOKUP(Table_Query_from_Actuarial___Production[[#This Row],[Kor1]],$AI$3:$AK$105,3,FALSE)</f>
        <v>Misc. Expense</v>
      </c>
      <c r="X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"/>
      <c r="Z120" t="s">
        <v>11</v>
      </c>
      <c r="AA120" t="s">
        <v>229</v>
      </c>
      <c r="AB120" t="s">
        <v>7</v>
      </c>
      <c r="AC120" s="21">
        <v>7106.72</v>
      </c>
      <c r="AD120" s="21" t="s">
        <v>368</v>
      </c>
      <c r="AE120" t="str">
        <f>VLOOKUP(Table_Query_from_Actuarial___Production3[[#This Row],[Kor1]],$AI$3:$AK$105,3,FALSE)</f>
        <v>Losses Paid</v>
      </c>
      <c r="AF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" spans="18:32" x14ac:dyDescent="0.2">
      <c r="R121" t="s">
        <v>40</v>
      </c>
      <c r="S121" t="s">
        <v>261</v>
      </c>
      <c r="T121" t="s">
        <v>6</v>
      </c>
      <c r="U121" s="21">
        <v>325</v>
      </c>
      <c r="V121" s="21" t="s">
        <v>368</v>
      </c>
      <c r="W121" t="str">
        <f>VLOOKUP(Table_Query_from_Actuarial___Production[[#This Row],[Kor1]],$AI$3:$AK$105,3,FALSE)</f>
        <v>Misc. Income</v>
      </c>
      <c r="X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"/>
      <c r="Z121" t="s">
        <v>37</v>
      </c>
      <c r="AA121" t="s">
        <v>232</v>
      </c>
      <c r="AB121" t="s">
        <v>351</v>
      </c>
      <c r="AC121" s="21">
        <v>1741.17</v>
      </c>
      <c r="AD121" s="21" t="s">
        <v>368</v>
      </c>
      <c r="AE121" t="str">
        <f>VLOOKUP(Table_Query_from_Actuarial___Production3[[#This Row],[Kor1]],$AI$3:$AK$105,3,FALSE)</f>
        <v>Misc. Expense</v>
      </c>
      <c r="AF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" spans="18:32" x14ac:dyDescent="0.2">
      <c r="R122" t="s">
        <v>47</v>
      </c>
      <c r="S122" t="s">
        <v>248</v>
      </c>
      <c r="T122" t="s">
        <v>441</v>
      </c>
      <c r="U122" s="21">
        <v>20.36</v>
      </c>
      <c r="V122" s="21" t="s">
        <v>368</v>
      </c>
      <c r="W122" t="str">
        <f>VLOOKUP(Table_Query_from_Actuarial___Production[[#This Row],[Kor1]],$AI$3:$AK$105,3,FALSE)</f>
        <v>Investment Income</v>
      </c>
      <c r="X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"/>
      <c r="Z122" t="s">
        <v>39</v>
      </c>
      <c r="AA122" t="s">
        <v>259</v>
      </c>
      <c r="AB122" t="s">
        <v>433</v>
      </c>
      <c r="AC122" s="21">
        <v>3391</v>
      </c>
      <c r="AD122" s="21" t="s">
        <v>368</v>
      </c>
      <c r="AE122" t="str">
        <f>VLOOKUP(Table_Query_from_Actuarial___Production3[[#This Row],[Kor1]],$AI$3:$AK$105,3,FALSE)</f>
        <v>Misc. Income for Insolvent Companies</v>
      </c>
      <c r="AF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" spans="18:32" x14ac:dyDescent="0.2">
      <c r="R123" t="s">
        <v>44</v>
      </c>
      <c r="S123" t="s">
        <v>224</v>
      </c>
      <c r="T123" t="s">
        <v>8</v>
      </c>
      <c r="U123" s="21">
        <v>5212.3599999999997</v>
      </c>
      <c r="V123" s="21" t="s">
        <v>368</v>
      </c>
      <c r="W123" t="str">
        <f>VLOOKUP(Table_Query_from_Actuarial___Production[[#This Row],[Kor1]],$AI$3:$AK$105,3,FALSE)</f>
        <v>Charge-offs</v>
      </c>
      <c r="X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23"/>
      <c r="Z123" t="s">
        <v>18</v>
      </c>
      <c r="AA123" t="s">
        <v>354</v>
      </c>
      <c r="AB123" t="s">
        <v>6</v>
      </c>
      <c r="AC123" s="21">
        <v>5961386.5</v>
      </c>
      <c r="AD123" s="21" t="s">
        <v>369</v>
      </c>
      <c r="AE123" t="str">
        <f>VLOOKUP(Table_Query_from_Actuarial___Production3[[#This Row],[Kor1]],$AI$3:$AK$105,3,FALSE)</f>
        <v>Misc. Expense</v>
      </c>
      <c r="AF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24" spans="18:32" x14ac:dyDescent="0.2">
      <c r="R124" t="s">
        <v>40</v>
      </c>
      <c r="S124" t="s">
        <v>244</v>
      </c>
      <c r="T124" t="s">
        <v>351</v>
      </c>
      <c r="U124" s="21">
        <v>58</v>
      </c>
      <c r="V124" s="21" t="s">
        <v>368</v>
      </c>
      <c r="W124" t="str">
        <f>VLOOKUP(Table_Query_from_Actuarial___Production[[#This Row],[Kor1]],$AI$3:$AK$105,3,FALSE)</f>
        <v>Misc. Income</v>
      </c>
      <c r="X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"/>
      <c r="Z124" t="s">
        <v>40</v>
      </c>
      <c r="AA124" t="s">
        <v>267</v>
      </c>
      <c r="AB124" t="s">
        <v>442</v>
      </c>
      <c r="AC124" s="21">
        <v>125</v>
      </c>
      <c r="AD124" s="21" t="s">
        <v>368</v>
      </c>
      <c r="AE124" t="str">
        <f>VLOOKUP(Table_Query_from_Actuarial___Production3[[#This Row],[Kor1]],$AI$3:$AK$105,3,FALSE)</f>
        <v>Misc. Income</v>
      </c>
      <c r="AF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" spans="18:32" x14ac:dyDescent="0.2">
      <c r="R125" t="s">
        <v>44</v>
      </c>
      <c r="S125" t="s">
        <v>266</v>
      </c>
      <c r="T125" t="s">
        <v>441</v>
      </c>
      <c r="U125" s="21">
        <v>65576.69</v>
      </c>
      <c r="V125" s="21" t="s">
        <v>368</v>
      </c>
      <c r="W125" t="str">
        <f>VLOOKUP(Table_Query_from_Actuarial___Production[[#This Row],[Kor1]],$AI$3:$AK$105,3,FALSE)</f>
        <v>Charge-offs</v>
      </c>
      <c r="X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"/>
      <c r="Z125" t="s">
        <v>12</v>
      </c>
      <c r="AA125" t="s">
        <v>228</v>
      </c>
      <c r="AB125" t="s">
        <v>9</v>
      </c>
      <c r="AC125" s="21">
        <v>813.17</v>
      </c>
      <c r="AD125" s="21" t="s">
        <v>368</v>
      </c>
      <c r="AE125" t="str">
        <f>VLOOKUP(Table_Query_from_Actuarial___Production3[[#This Row],[Kor1]],$AI$3:$AK$105,3,FALSE)</f>
        <v>Premium Tax</v>
      </c>
      <c r="AF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" spans="18:32" x14ac:dyDescent="0.2">
      <c r="R126" t="s">
        <v>37</v>
      </c>
      <c r="S126" t="s">
        <v>254</v>
      </c>
      <c r="T126" t="s">
        <v>443</v>
      </c>
      <c r="U126" s="21">
        <v>198765.24</v>
      </c>
      <c r="V126" s="21" t="s">
        <v>368</v>
      </c>
      <c r="W126" t="str">
        <f>VLOOKUP(Table_Query_from_Actuarial___Production[[#This Row],[Kor1]],$AI$3:$AK$105,3,FALSE)</f>
        <v>Misc. Expense</v>
      </c>
      <c r="X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"/>
      <c r="Z126" t="s">
        <v>19</v>
      </c>
      <c r="AA126" t="s">
        <v>239</v>
      </c>
      <c r="AB126" t="s">
        <v>6</v>
      </c>
      <c r="AC126" s="21">
        <v>1.99</v>
      </c>
      <c r="AD126" s="21" t="s">
        <v>368</v>
      </c>
      <c r="AE126" t="str">
        <f>VLOOKUP(Table_Query_from_Actuarial___Production3[[#This Row],[Kor1]],$AI$3:$AK$105,3,FALSE)</f>
        <v>Misc. Expense for Insolvent Companies</v>
      </c>
      <c r="AF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" spans="18:32" x14ac:dyDescent="0.2">
      <c r="R127" t="s">
        <v>43</v>
      </c>
      <c r="S127" t="s">
        <v>247</v>
      </c>
      <c r="T127" t="s">
        <v>356</v>
      </c>
      <c r="U127" s="21">
        <v>0.03</v>
      </c>
      <c r="V127" s="21" t="s">
        <v>368</v>
      </c>
      <c r="W127" t="str">
        <f>VLOOKUP(Table_Query_from_Actuarial___Production[[#This Row],[Kor1]],$AI$3:$AK$105,3,FALSE)</f>
        <v>Charge-offs</v>
      </c>
      <c r="X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"/>
      <c r="Z127" t="s">
        <v>48</v>
      </c>
      <c r="AA127" t="s">
        <v>267</v>
      </c>
      <c r="AB127" t="s">
        <v>433</v>
      </c>
      <c r="AC127" s="21">
        <v>1338.3</v>
      </c>
      <c r="AD127" s="21" t="s">
        <v>368</v>
      </c>
      <c r="AE127" t="str">
        <f>VLOOKUP(Table_Query_from_Actuarial___Production3[[#This Row],[Kor1]],$AI$3:$AK$105,3,FALSE)</f>
        <v>Anticipated Salvage</v>
      </c>
      <c r="AF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" spans="18:32" x14ac:dyDescent="0.2">
      <c r="R128" t="s">
        <v>3</v>
      </c>
      <c r="S128" t="s">
        <v>230</v>
      </c>
      <c r="T128" t="s">
        <v>433</v>
      </c>
      <c r="U128" s="21">
        <v>21414446</v>
      </c>
      <c r="V128" s="21" t="s">
        <v>368</v>
      </c>
      <c r="W128" t="str">
        <f>VLOOKUP(Table_Query_from_Actuarial___Production[[#This Row],[Kor1]],$AI$3:$AK$105,3,FALSE)</f>
        <v>Premiums Written</v>
      </c>
      <c r="X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"/>
      <c r="Z128" t="s">
        <v>14</v>
      </c>
      <c r="AA128" t="s">
        <v>225</v>
      </c>
      <c r="AB128" t="s">
        <v>433</v>
      </c>
      <c r="AC128" s="21">
        <v>43971</v>
      </c>
      <c r="AD128" s="21" t="s">
        <v>369</v>
      </c>
      <c r="AE128" t="str">
        <f>VLOOKUP(Table_Query_from_Actuarial___Production3[[#This Row],[Kor1]],$AI$3:$AK$105,3,FALSE)</f>
        <v>Claims Expense</v>
      </c>
      <c r="AF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29" spans="18:32" x14ac:dyDescent="0.2">
      <c r="R129" t="s">
        <v>39</v>
      </c>
      <c r="S129" t="s">
        <v>245</v>
      </c>
      <c r="T129" t="s">
        <v>441</v>
      </c>
      <c r="U129" s="21">
        <v>611.44000000000005</v>
      </c>
      <c r="V129" s="21" t="s">
        <v>368</v>
      </c>
      <c r="W129" t="str">
        <f>VLOOKUP(Table_Query_from_Actuarial___Production[[#This Row],[Kor1]],$AI$3:$AK$105,3,FALSE)</f>
        <v>Misc. Income for Insolvent Companies</v>
      </c>
      <c r="X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"/>
      <c r="Z129" t="s">
        <v>33</v>
      </c>
      <c r="AA129" t="s">
        <v>246</v>
      </c>
      <c r="AB129" t="s">
        <v>5</v>
      </c>
      <c r="AC129" s="21">
        <v>16921.810000000001</v>
      </c>
      <c r="AD129" s="21" t="s">
        <v>368</v>
      </c>
      <c r="AE129" t="str">
        <f>VLOOKUP(Table_Query_from_Actuarial___Production3[[#This Row],[Kor1]],$AI$3:$AK$105,3,FALSE)</f>
        <v>Misc. Expense</v>
      </c>
      <c r="AF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" spans="18:32" x14ac:dyDescent="0.2">
      <c r="R130" t="s">
        <v>39</v>
      </c>
      <c r="S130" t="s">
        <v>249</v>
      </c>
      <c r="T130" t="s">
        <v>441</v>
      </c>
      <c r="U130" s="21">
        <v>1045.46</v>
      </c>
      <c r="V130" s="21" t="s">
        <v>368</v>
      </c>
      <c r="W130" t="str">
        <f>VLOOKUP(Table_Query_from_Actuarial___Production[[#This Row],[Kor1]],$AI$3:$AK$105,3,FALSE)</f>
        <v>Misc. Income for Insolvent Companies</v>
      </c>
      <c r="X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"/>
      <c r="Z130" t="s">
        <v>32</v>
      </c>
      <c r="AA130" t="s">
        <v>230</v>
      </c>
      <c r="AB130" t="s">
        <v>442</v>
      </c>
      <c r="AC130" s="21">
        <v>600.11</v>
      </c>
      <c r="AD130" s="21" t="s">
        <v>368</v>
      </c>
      <c r="AE130" t="str">
        <f>VLOOKUP(Table_Query_from_Actuarial___Production3[[#This Row],[Kor1]],$AI$3:$AK$105,3,FALSE)</f>
        <v>Misc. Expense</v>
      </c>
      <c r="AF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" spans="18:32" x14ac:dyDescent="0.2">
      <c r="R131" t="s">
        <v>47</v>
      </c>
      <c r="S131" t="s">
        <v>231</v>
      </c>
      <c r="T131" t="s">
        <v>351</v>
      </c>
      <c r="U131" s="21">
        <v>262.54000000000002</v>
      </c>
      <c r="V131" s="21" t="s">
        <v>368</v>
      </c>
      <c r="W131" t="str">
        <f>VLOOKUP(Table_Query_from_Actuarial___Production[[#This Row],[Kor1]],$AI$3:$AK$105,3,FALSE)</f>
        <v>Investment Income</v>
      </c>
      <c r="X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"/>
      <c r="Z131" t="s">
        <v>3</v>
      </c>
      <c r="AA131" t="s">
        <v>231</v>
      </c>
      <c r="AB131" t="s">
        <v>427</v>
      </c>
      <c r="AC131" s="21">
        <v>1039846</v>
      </c>
      <c r="AD131" s="21" t="s">
        <v>368</v>
      </c>
      <c r="AE131" t="str">
        <f>VLOOKUP(Table_Query_from_Actuarial___Production3[[#This Row],[Kor1]],$AI$3:$AK$105,3,FALSE)</f>
        <v>Premiums Written</v>
      </c>
      <c r="AF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" spans="18:32" x14ac:dyDescent="0.2">
      <c r="R132" t="s">
        <v>3</v>
      </c>
      <c r="S132" t="s">
        <v>253</v>
      </c>
      <c r="T132" t="s">
        <v>356</v>
      </c>
      <c r="U132" s="21">
        <v>60039</v>
      </c>
      <c r="V132" s="21" t="s">
        <v>368</v>
      </c>
      <c r="W132" t="str">
        <f>VLOOKUP(Table_Query_from_Actuarial___Production[[#This Row],[Kor1]],$AI$3:$AK$105,3,FALSE)</f>
        <v>Premiums Written</v>
      </c>
      <c r="X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"/>
      <c r="Z132" t="s">
        <v>14</v>
      </c>
      <c r="AA132" t="s">
        <v>261</v>
      </c>
      <c r="AB132" t="s">
        <v>351</v>
      </c>
      <c r="AC132" s="21">
        <v>53518.92</v>
      </c>
      <c r="AD132" s="21" t="s">
        <v>368</v>
      </c>
      <c r="AE132" t="str">
        <f>VLOOKUP(Table_Query_from_Actuarial___Production3[[#This Row],[Kor1]],$AI$3:$AK$105,3,FALSE)</f>
        <v>Claims Expense</v>
      </c>
      <c r="AF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" spans="18:32" x14ac:dyDescent="0.2">
      <c r="R133" t="s">
        <v>40</v>
      </c>
      <c r="S133" t="s">
        <v>240</v>
      </c>
      <c r="T133" t="s">
        <v>441</v>
      </c>
      <c r="U133" s="21">
        <v>78.900000000000006</v>
      </c>
      <c r="V133" s="21" t="s">
        <v>368</v>
      </c>
      <c r="W133" t="str">
        <f>VLOOKUP(Table_Query_from_Actuarial___Production[[#This Row],[Kor1]],$AI$3:$AK$105,3,FALSE)</f>
        <v>Misc. Income</v>
      </c>
      <c r="X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"/>
      <c r="Z133" t="s">
        <v>20</v>
      </c>
      <c r="AA133" t="s">
        <v>235</v>
      </c>
      <c r="AB133" t="s">
        <v>7</v>
      </c>
      <c r="AC133" s="21">
        <v>211.62</v>
      </c>
      <c r="AD133" s="21" t="s">
        <v>368</v>
      </c>
      <c r="AE133" t="str">
        <f>VLOOKUP(Table_Query_from_Actuarial___Production3[[#This Row],[Kor1]],$AI$3:$AK$105,3,FALSE)</f>
        <v>Misc. Expense</v>
      </c>
      <c r="AF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" spans="18:32" x14ac:dyDescent="0.2">
      <c r="R134" t="s">
        <v>10</v>
      </c>
      <c r="S134" t="s">
        <v>224</v>
      </c>
      <c r="T134" t="s">
        <v>427</v>
      </c>
      <c r="U134" s="21">
        <v>134896.67000000001</v>
      </c>
      <c r="V134" s="21" t="s">
        <v>368</v>
      </c>
      <c r="W134" t="str">
        <f>VLOOKUP(Table_Query_from_Actuarial___Production[[#This Row],[Kor1]],$AI$3:$AK$105,3,FALSE)</f>
        <v>Commissions</v>
      </c>
      <c r="X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34"/>
      <c r="Z134" t="s">
        <v>18</v>
      </c>
      <c r="AA134" t="s">
        <v>352</v>
      </c>
      <c r="AB134" t="s">
        <v>9</v>
      </c>
      <c r="AC134" s="21">
        <v>10443.030000000001</v>
      </c>
      <c r="AD134" s="21" t="s">
        <v>368</v>
      </c>
      <c r="AE134" t="str">
        <f>VLOOKUP(Table_Query_from_Actuarial___Production3[[#This Row],[Kor1]],$AI$3:$AK$105,3,FALSE)</f>
        <v>Misc. Expense</v>
      </c>
      <c r="AF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35" spans="18:32" x14ac:dyDescent="0.2">
      <c r="R135" t="s">
        <v>12</v>
      </c>
      <c r="S135" t="s">
        <v>242</v>
      </c>
      <c r="T135" t="s">
        <v>6</v>
      </c>
      <c r="U135" s="21">
        <v>4633</v>
      </c>
      <c r="V135" s="21" t="s">
        <v>368</v>
      </c>
      <c r="W135" t="str">
        <f>VLOOKUP(Table_Query_from_Actuarial___Production[[#This Row],[Kor1]],$AI$3:$AK$105,3,FALSE)</f>
        <v>Premium Tax</v>
      </c>
      <c r="X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"/>
      <c r="Z135" t="s">
        <v>33</v>
      </c>
      <c r="AA135" t="s">
        <v>266</v>
      </c>
      <c r="AB135" t="s">
        <v>356</v>
      </c>
      <c r="AC135" s="21">
        <v>14836.64</v>
      </c>
      <c r="AD135" s="21" t="s">
        <v>368</v>
      </c>
      <c r="AE135" t="str">
        <f>VLOOKUP(Table_Query_from_Actuarial___Production3[[#This Row],[Kor1]],$AI$3:$AK$105,3,FALSE)</f>
        <v>Misc. Expense</v>
      </c>
      <c r="AF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" spans="18:32" x14ac:dyDescent="0.2">
      <c r="R136" t="s">
        <v>14</v>
      </c>
      <c r="S136" t="s">
        <v>259</v>
      </c>
      <c r="T136" t="s">
        <v>441</v>
      </c>
      <c r="U136" s="21">
        <v>1993.46</v>
      </c>
      <c r="V136" s="21" t="s">
        <v>368</v>
      </c>
      <c r="W136" t="str">
        <f>VLOOKUP(Table_Query_from_Actuarial___Production[[#This Row],[Kor1]],$AI$3:$AK$105,3,FALSE)</f>
        <v>Claims Expense</v>
      </c>
      <c r="X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"/>
      <c r="Z136" t="s">
        <v>13</v>
      </c>
      <c r="AA136" t="s">
        <v>252</v>
      </c>
      <c r="AB136" t="s">
        <v>5</v>
      </c>
      <c r="AC136" s="21">
        <v>1227471.1299999999</v>
      </c>
      <c r="AD136" s="21" t="s">
        <v>368</v>
      </c>
      <c r="AE136" t="str">
        <f>VLOOKUP(Table_Query_from_Actuarial___Production3[[#This Row],[Kor1]],$AI$3:$AK$105,3,FALSE)</f>
        <v>Operating Service Fees</v>
      </c>
      <c r="AF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" spans="18:32" x14ac:dyDescent="0.2">
      <c r="R137" t="s">
        <v>39</v>
      </c>
      <c r="S137" t="s">
        <v>260</v>
      </c>
      <c r="T137" t="s">
        <v>433</v>
      </c>
      <c r="U137" s="21">
        <v>209</v>
      </c>
      <c r="V137" s="21" t="s">
        <v>368</v>
      </c>
      <c r="W137" t="str">
        <f>VLOOKUP(Table_Query_from_Actuarial___Production[[#This Row],[Kor1]],$AI$3:$AK$105,3,FALSE)</f>
        <v>Misc. Income for Insolvent Companies</v>
      </c>
      <c r="X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"/>
      <c r="Z137" t="s">
        <v>40</v>
      </c>
      <c r="AA137" t="s">
        <v>261</v>
      </c>
      <c r="AB137" t="s">
        <v>6</v>
      </c>
      <c r="AC137" s="21">
        <v>325</v>
      </c>
      <c r="AD137" s="21" t="s">
        <v>368</v>
      </c>
      <c r="AE137" t="str">
        <f>VLOOKUP(Table_Query_from_Actuarial___Production3[[#This Row],[Kor1]],$AI$3:$AK$105,3,FALSE)</f>
        <v>Misc. Income</v>
      </c>
      <c r="AF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" spans="18:32" x14ac:dyDescent="0.2">
      <c r="R138" t="s">
        <v>18</v>
      </c>
      <c r="S138" t="s">
        <v>352</v>
      </c>
      <c r="T138" t="s">
        <v>6</v>
      </c>
      <c r="U138" s="21">
        <v>181575.86</v>
      </c>
      <c r="V138" s="21" t="s">
        <v>369</v>
      </c>
      <c r="W138" t="str">
        <f>VLOOKUP(Table_Query_from_Actuarial___Production[[#This Row],[Kor1]],$AI$3:$AK$105,3,FALSE)</f>
        <v>Misc. Expense</v>
      </c>
      <c r="X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38"/>
      <c r="Z138" t="s">
        <v>47</v>
      </c>
      <c r="AA138" t="s">
        <v>248</v>
      </c>
      <c r="AB138" t="s">
        <v>441</v>
      </c>
      <c r="AC138" s="21">
        <v>20.36</v>
      </c>
      <c r="AD138" s="21" t="s">
        <v>368</v>
      </c>
      <c r="AE138" t="str">
        <f>VLOOKUP(Table_Query_from_Actuarial___Production3[[#This Row],[Kor1]],$AI$3:$AK$105,3,FALSE)</f>
        <v>Investment Income</v>
      </c>
      <c r="AF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" spans="18:32" x14ac:dyDescent="0.2">
      <c r="R139" t="s">
        <v>11</v>
      </c>
      <c r="S139" t="s">
        <v>4</v>
      </c>
      <c r="T139" t="s">
        <v>442</v>
      </c>
      <c r="U139" s="21">
        <v>15577061.529999999</v>
      </c>
      <c r="V139" s="21" t="s">
        <v>368</v>
      </c>
      <c r="W139" t="str">
        <f>VLOOKUP(Table_Query_from_Actuarial___Production[[#This Row],[Kor1]],$AI$3:$AK$105,3,FALSE)</f>
        <v>Losses Paid</v>
      </c>
      <c r="X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"/>
      <c r="Z139" t="s">
        <v>44</v>
      </c>
      <c r="AA139" t="s">
        <v>224</v>
      </c>
      <c r="AB139" t="s">
        <v>8</v>
      </c>
      <c r="AC139" s="21">
        <v>5212.3599999999997</v>
      </c>
      <c r="AD139" s="21" t="s">
        <v>368</v>
      </c>
      <c r="AE139" t="str">
        <f>VLOOKUP(Table_Query_from_Actuarial___Production3[[#This Row],[Kor1]],$AI$3:$AK$105,3,FALSE)</f>
        <v>Charge-offs</v>
      </c>
      <c r="AF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40" spans="18:32" x14ac:dyDescent="0.2">
      <c r="R140" t="s">
        <v>10</v>
      </c>
      <c r="S140" t="s">
        <v>265</v>
      </c>
      <c r="T140" t="s">
        <v>9</v>
      </c>
      <c r="U140" s="21">
        <v>37037.1</v>
      </c>
      <c r="V140" s="21" t="s">
        <v>368</v>
      </c>
      <c r="W140" t="str">
        <f>VLOOKUP(Table_Query_from_Actuarial___Production[[#This Row],[Kor1]],$AI$3:$AK$105,3,FALSE)</f>
        <v>Commissions</v>
      </c>
      <c r="X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"/>
      <c r="Z140" t="s">
        <v>15</v>
      </c>
      <c r="AA140" t="s">
        <v>4</v>
      </c>
      <c r="AB140" t="s">
        <v>442</v>
      </c>
      <c r="AC140" s="21">
        <v>6348519.0599999996</v>
      </c>
      <c r="AD140" s="21" t="s">
        <v>368</v>
      </c>
      <c r="AE140" t="str">
        <f>VLOOKUP(Table_Query_from_Actuarial___Production3[[#This Row],[Kor1]],$AI$3:$AK$105,3,FALSE)</f>
        <v>Unearned Premiums</v>
      </c>
      <c r="AF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" spans="18:32" x14ac:dyDescent="0.2">
      <c r="R141" t="s">
        <v>11</v>
      </c>
      <c r="S141" t="s">
        <v>240</v>
      </c>
      <c r="T141" t="s">
        <v>427</v>
      </c>
      <c r="U141" s="21">
        <v>1729356.74</v>
      </c>
      <c r="V141" s="21" t="s">
        <v>368</v>
      </c>
      <c r="W141" t="str">
        <f>VLOOKUP(Table_Query_from_Actuarial___Production[[#This Row],[Kor1]],$AI$3:$AK$105,3,FALSE)</f>
        <v>Losses Paid</v>
      </c>
      <c r="X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"/>
      <c r="Z141" t="s">
        <v>40</v>
      </c>
      <c r="AA141" t="s">
        <v>244</v>
      </c>
      <c r="AB141" t="s">
        <v>351</v>
      </c>
      <c r="AC141" s="21">
        <v>58</v>
      </c>
      <c r="AD141" s="21" t="s">
        <v>368</v>
      </c>
      <c r="AE141" t="str">
        <f>VLOOKUP(Table_Query_from_Actuarial___Production3[[#This Row],[Kor1]],$AI$3:$AK$105,3,FALSE)</f>
        <v>Misc. Income</v>
      </c>
      <c r="AF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" spans="18:32" x14ac:dyDescent="0.2">
      <c r="R142" t="s">
        <v>14</v>
      </c>
      <c r="S142" t="s">
        <v>240</v>
      </c>
      <c r="T142" t="s">
        <v>443</v>
      </c>
      <c r="U142" s="21">
        <v>162455.56</v>
      </c>
      <c r="V142" s="21" t="s">
        <v>368</v>
      </c>
      <c r="W142" t="str">
        <f>VLOOKUP(Table_Query_from_Actuarial___Production[[#This Row],[Kor1]],$AI$3:$AK$105,3,FALSE)</f>
        <v>Claims Expense</v>
      </c>
      <c r="X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"/>
      <c r="Z142" t="s">
        <v>44</v>
      </c>
      <c r="AA142" t="s">
        <v>266</v>
      </c>
      <c r="AB142" t="s">
        <v>441</v>
      </c>
      <c r="AC142" s="21">
        <v>65576.69</v>
      </c>
      <c r="AD142" s="21" t="s">
        <v>368</v>
      </c>
      <c r="AE142" t="str">
        <f>VLOOKUP(Table_Query_from_Actuarial___Production3[[#This Row],[Kor1]],$AI$3:$AK$105,3,FALSE)</f>
        <v>Charge-offs</v>
      </c>
      <c r="AF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" spans="18:32" x14ac:dyDescent="0.2">
      <c r="R143" t="s">
        <v>17</v>
      </c>
      <c r="S143" t="s">
        <v>234</v>
      </c>
      <c r="T143" t="s">
        <v>445</v>
      </c>
      <c r="U143" s="21">
        <v>47688.44</v>
      </c>
      <c r="V143" s="21" t="s">
        <v>368</v>
      </c>
      <c r="W143" t="str">
        <f>VLOOKUP(Table_Query_from_Actuarial___Production[[#This Row],[Kor1]],$AI$3:$AK$105,3,FALSE)</f>
        <v>IBNR</v>
      </c>
      <c r="X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"/>
      <c r="Z143" t="s">
        <v>37</v>
      </c>
      <c r="AA143" t="s">
        <v>254</v>
      </c>
      <c r="AB143" t="s">
        <v>443</v>
      </c>
      <c r="AC143" s="21">
        <v>191341.96</v>
      </c>
      <c r="AD143" s="21" t="s">
        <v>368</v>
      </c>
      <c r="AE143" t="str">
        <f>VLOOKUP(Table_Query_from_Actuarial___Production3[[#This Row],[Kor1]],$AI$3:$AK$105,3,FALSE)</f>
        <v>Misc. Expense</v>
      </c>
      <c r="AF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" spans="18:32" x14ac:dyDescent="0.2">
      <c r="R144" t="s">
        <v>31</v>
      </c>
      <c r="S144" t="s">
        <v>263</v>
      </c>
      <c r="T144" t="s">
        <v>356</v>
      </c>
      <c r="U144" s="21">
        <v>832.26</v>
      </c>
      <c r="V144" s="21" t="s">
        <v>368</v>
      </c>
      <c r="W144" t="str">
        <f>VLOOKUP(Table_Query_from_Actuarial___Production[[#This Row],[Kor1]],$AI$3:$AK$105,3,FALSE)</f>
        <v>Misc. Expense</v>
      </c>
      <c r="X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"/>
      <c r="Z144" t="s">
        <v>43</v>
      </c>
      <c r="AA144" t="s">
        <v>247</v>
      </c>
      <c r="AB144" t="s">
        <v>356</v>
      </c>
      <c r="AC144" s="21">
        <v>0.03</v>
      </c>
      <c r="AD144" s="21" t="s">
        <v>368</v>
      </c>
      <c r="AE144" t="str">
        <f>VLOOKUP(Table_Query_from_Actuarial___Production3[[#This Row],[Kor1]],$AI$3:$AK$105,3,FALSE)</f>
        <v>Charge-offs</v>
      </c>
      <c r="AF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" spans="18:32" x14ac:dyDescent="0.2">
      <c r="R145" t="s">
        <v>11</v>
      </c>
      <c r="S145" t="s">
        <v>259</v>
      </c>
      <c r="T145" t="s">
        <v>351</v>
      </c>
      <c r="U145" s="21">
        <v>1136663.45</v>
      </c>
      <c r="V145" s="21" t="s">
        <v>368</v>
      </c>
      <c r="W145" t="str">
        <f>VLOOKUP(Table_Query_from_Actuarial___Production[[#This Row],[Kor1]],$AI$3:$AK$105,3,FALSE)</f>
        <v>Losses Paid</v>
      </c>
      <c r="X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"/>
      <c r="Z145" t="s">
        <v>3</v>
      </c>
      <c r="AA145" t="s">
        <v>230</v>
      </c>
      <c r="AB145" t="s">
        <v>433</v>
      </c>
      <c r="AC145" s="21">
        <v>21414446</v>
      </c>
      <c r="AD145" s="21" t="s">
        <v>368</v>
      </c>
      <c r="AE145" t="str">
        <f>VLOOKUP(Table_Query_from_Actuarial___Production3[[#This Row],[Kor1]],$AI$3:$AK$105,3,FALSE)</f>
        <v>Premiums Written</v>
      </c>
      <c r="AF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" spans="18:32" x14ac:dyDescent="0.2">
      <c r="R146" t="s">
        <v>14</v>
      </c>
      <c r="S146" t="s">
        <v>263</v>
      </c>
      <c r="T146" t="s">
        <v>441</v>
      </c>
      <c r="U146" s="21">
        <v>27255.89</v>
      </c>
      <c r="V146" s="21" t="s">
        <v>368</v>
      </c>
      <c r="W146" t="str">
        <f>VLOOKUP(Table_Query_from_Actuarial___Production[[#This Row],[Kor1]],$AI$3:$AK$105,3,FALSE)</f>
        <v>Claims Expense</v>
      </c>
      <c r="X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"/>
      <c r="Z146" t="s">
        <v>39</v>
      </c>
      <c r="AA146" t="s">
        <v>245</v>
      </c>
      <c r="AB146" t="s">
        <v>441</v>
      </c>
      <c r="AC146" s="21">
        <v>611.44000000000005</v>
      </c>
      <c r="AD146" s="21" t="s">
        <v>368</v>
      </c>
      <c r="AE146" t="str">
        <f>VLOOKUP(Table_Query_from_Actuarial___Production3[[#This Row],[Kor1]],$AI$3:$AK$105,3,FALSE)</f>
        <v>Misc. Income for Insolvent Companies</v>
      </c>
      <c r="AF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" spans="18:32" x14ac:dyDescent="0.2">
      <c r="R147" t="s">
        <v>19</v>
      </c>
      <c r="S147" t="s">
        <v>231</v>
      </c>
      <c r="T147" t="s">
        <v>433</v>
      </c>
      <c r="U147" s="21">
        <v>831.99</v>
      </c>
      <c r="V147" s="21" t="s">
        <v>368</v>
      </c>
      <c r="W147" t="str">
        <f>VLOOKUP(Table_Query_from_Actuarial___Production[[#This Row],[Kor1]],$AI$3:$AK$105,3,FALSE)</f>
        <v>Misc. Expense for Insolvent Companies</v>
      </c>
      <c r="X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"/>
      <c r="Z147" t="s">
        <v>39</v>
      </c>
      <c r="AA147" t="s">
        <v>249</v>
      </c>
      <c r="AB147" t="s">
        <v>441</v>
      </c>
      <c r="AC147" s="21">
        <v>1045.46</v>
      </c>
      <c r="AD147" s="21" t="s">
        <v>368</v>
      </c>
      <c r="AE147" t="str">
        <f>VLOOKUP(Table_Query_from_Actuarial___Production3[[#This Row],[Kor1]],$AI$3:$AK$105,3,FALSE)</f>
        <v>Misc. Income for Insolvent Companies</v>
      </c>
      <c r="AF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" spans="18:32" x14ac:dyDescent="0.2">
      <c r="R148" t="s">
        <v>12</v>
      </c>
      <c r="S148" t="s">
        <v>264</v>
      </c>
      <c r="T148" t="s">
        <v>9</v>
      </c>
      <c r="U148" s="21">
        <v>53436.51</v>
      </c>
      <c r="V148" s="21" t="s">
        <v>368</v>
      </c>
      <c r="W148" t="str">
        <f>VLOOKUP(Table_Query_from_Actuarial___Production[[#This Row],[Kor1]],$AI$3:$AK$105,3,FALSE)</f>
        <v>Premium Tax</v>
      </c>
      <c r="X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"/>
      <c r="Z148" t="s">
        <v>47</v>
      </c>
      <c r="AA148" t="s">
        <v>231</v>
      </c>
      <c r="AB148" t="s">
        <v>351</v>
      </c>
      <c r="AC148" s="21">
        <v>262.54000000000002</v>
      </c>
      <c r="AD148" s="21" t="s">
        <v>368</v>
      </c>
      <c r="AE148" t="str">
        <f>VLOOKUP(Table_Query_from_Actuarial___Production3[[#This Row],[Kor1]],$AI$3:$AK$105,3,FALSE)</f>
        <v>Investment Income</v>
      </c>
      <c r="AF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" spans="18:32" x14ac:dyDescent="0.2">
      <c r="R149" t="s">
        <v>19</v>
      </c>
      <c r="S149" t="s">
        <v>231</v>
      </c>
      <c r="T149" t="s">
        <v>7</v>
      </c>
      <c r="U149" s="21">
        <v>1</v>
      </c>
      <c r="V149" s="21" t="s">
        <v>368</v>
      </c>
      <c r="W149" t="str">
        <f>VLOOKUP(Table_Query_from_Actuarial___Production[[#This Row],[Kor1]],$AI$3:$AK$105,3,FALSE)</f>
        <v>Misc. Expense for Insolvent Companies</v>
      </c>
      <c r="X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"/>
      <c r="Z149" t="s">
        <v>3</v>
      </c>
      <c r="AA149" t="s">
        <v>253</v>
      </c>
      <c r="AB149" t="s">
        <v>356</v>
      </c>
      <c r="AC149" s="21">
        <v>60039</v>
      </c>
      <c r="AD149" s="21" t="s">
        <v>368</v>
      </c>
      <c r="AE149" t="str">
        <f>VLOOKUP(Table_Query_from_Actuarial___Production3[[#This Row],[Kor1]],$AI$3:$AK$105,3,FALSE)</f>
        <v>Premiums Written</v>
      </c>
      <c r="AF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" spans="18:32" x14ac:dyDescent="0.2">
      <c r="R150" t="s">
        <v>33</v>
      </c>
      <c r="S150" t="s">
        <v>241</v>
      </c>
      <c r="T150" t="s">
        <v>6</v>
      </c>
      <c r="U150" s="21">
        <v>16455.59</v>
      </c>
      <c r="V150" s="21" t="s">
        <v>368</v>
      </c>
      <c r="W150" t="str">
        <f>VLOOKUP(Table_Query_from_Actuarial___Production[[#This Row],[Kor1]],$AI$3:$AK$105,3,FALSE)</f>
        <v>Misc. Expense</v>
      </c>
      <c r="X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"/>
      <c r="Z150" t="s">
        <v>40</v>
      </c>
      <c r="AA150" t="s">
        <v>240</v>
      </c>
      <c r="AB150" t="s">
        <v>441</v>
      </c>
      <c r="AC150" s="21">
        <v>78.900000000000006</v>
      </c>
      <c r="AD150" s="21" t="s">
        <v>368</v>
      </c>
      <c r="AE150" t="str">
        <f>VLOOKUP(Table_Query_from_Actuarial___Production3[[#This Row],[Kor1]],$AI$3:$AK$105,3,FALSE)</f>
        <v>Misc. Income</v>
      </c>
      <c r="AF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" spans="18:32" x14ac:dyDescent="0.2">
      <c r="R151" t="s">
        <v>37</v>
      </c>
      <c r="S151" t="s">
        <v>242</v>
      </c>
      <c r="T151" t="s">
        <v>356</v>
      </c>
      <c r="U151" s="21">
        <v>-59.28</v>
      </c>
      <c r="V151" s="21" t="s">
        <v>368</v>
      </c>
      <c r="W151" t="str">
        <f>VLOOKUP(Table_Query_from_Actuarial___Production[[#This Row],[Kor1]],$AI$3:$AK$105,3,FALSE)</f>
        <v>Misc. Expense</v>
      </c>
      <c r="X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"/>
      <c r="Z151" t="s">
        <v>10</v>
      </c>
      <c r="AA151" t="s">
        <v>224</v>
      </c>
      <c r="AB151" t="s">
        <v>427</v>
      </c>
      <c r="AC151" s="21">
        <v>134896.67000000001</v>
      </c>
      <c r="AD151" s="21" t="s">
        <v>368</v>
      </c>
      <c r="AE151" t="str">
        <f>VLOOKUP(Table_Query_from_Actuarial___Production3[[#This Row],[Kor1]],$AI$3:$AK$105,3,FALSE)</f>
        <v>Commissions</v>
      </c>
      <c r="AF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52" spans="18:32" x14ac:dyDescent="0.2">
      <c r="R152" t="s">
        <v>37</v>
      </c>
      <c r="S152" t="s">
        <v>266</v>
      </c>
      <c r="T152" t="s">
        <v>427</v>
      </c>
      <c r="U152" s="21">
        <v>2588.96</v>
      </c>
      <c r="V152" s="21" t="s">
        <v>368</v>
      </c>
      <c r="W152" t="str">
        <f>VLOOKUP(Table_Query_from_Actuarial___Production[[#This Row],[Kor1]],$AI$3:$AK$105,3,FALSE)</f>
        <v>Misc. Expense</v>
      </c>
      <c r="X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"/>
      <c r="Z152" t="s">
        <v>12</v>
      </c>
      <c r="AA152" t="s">
        <v>242</v>
      </c>
      <c r="AB152" t="s">
        <v>6</v>
      </c>
      <c r="AC152" s="21">
        <v>4633</v>
      </c>
      <c r="AD152" s="21" t="s">
        <v>368</v>
      </c>
      <c r="AE152" t="str">
        <f>VLOOKUP(Table_Query_from_Actuarial___Production3[[#This Row],[Kor1]],$AI$3:$AK$105,3,FALSE)</f>
        <v>Premium Tax</v>
      </c>
      <c r="AF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" spans="18:32" x14ac:dyDescent="0.2">
      <c r="R153" t="s">
        <v>3</v>
      </c>
      <c r="S153" t="s">
        <v>236</v>
      </c>
      <c r="T153" t="s">
        <v>351</v>
      </c>
      <c r="U153" s="21">
        <v>38508</v>
      </c>
      <c r="V153" s="21" t="s">
        <v>368</v>
      </c>
      <c r="W153" t="str">
        <f>VLOOKUP(Table_Query_from_Actuarial___Production[[#This Row],[Kor1]],$AI$3:$AK$105,3,FALSE)</f>
        <v>Premiums Written</v>
      </c>
      <c r="X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"/>
      <c r="Z153" t="s">
        <v>14</v>
      </c>
      <c r="AA153" t="s">
        <v>259</v>
      </c>
      <c r="AB153" t="s">
        <v>441</v>
      </c>
      <c r="AC153" s="21">
        <v>1993.46</v>
      </c>
      <c r="AD153" s="21" t="s">
        <v>368</v>
      </c>
      <c r="AE153" t="str">
        <f>VLOOKUP(Table_Query_from_Actuarial___Production3[[#This Row],[Kor1]],$AI$3:$AK$105,3,FALSE)</f>
        <v>Claims Expense</v>
      </c>
      <c r="AF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" spans="18:32" x14ac:dyDescent="0.2">
      <c r="R154" t="s">
        <v>13</v>
      </c>
      <c r="S154" t="s">
        <v>224</v>
      </c>
      <c r="T154" t="s">
        <v>427</v>
      </c>
      <c r="U154" s="21">
        <v>3496.1</v>
      </c>
      <c r="V154" s="21" t="s">
        <v>425</v>
      </c>
      <c r="W154" t="str">
        <f>VLOOKUP(Table_Query_from_Actuarial___Production[[#This Row],[Kor1]],$AI$3:$AK$105,3,FALSE)</f>
        <v>Operating Service Fees</v>
      </c>
      <c r="X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4"/>
      <c r="Z154" t="s">
        <v>39</v>
      </c>
      <c r="AA154" t="s">
        <v>260</v>
      </c>
      <c r="AB154" t="s">
        <v>433</v>
      </c>
      <c r="AC154" s="21">
        <v>189</v>
      </c>
      <c r="AD154" s="21" t="s">
        <v>368</v>
      </c>
      <c r="AE154" t="str">
        <f>VLOOKUP(Table_Query_from_Actuarial___Production3[[#This Row],[Kor1]],$AI$3:$AK$105,3,FALSE)</f>
        <v>Misc. Income for Insolvent Companies</v>
      </c>
      <c r="AF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" spans="18:32" x14ac:dyDescent="0.2">
      <c r="R155" t="s">
        <v>19</v>
      </c>
      <c r="S155" t="s">
        <v>245</v>
      </c>
      <c r="T155" t="s">
        <v>351</v>
      </c>
      <c r="U155" s="21">
        <v>50</v>
      </c>
      <c r="V155" s="21" t="s">
        <v>368</v>
      </c>
      <c r="W155" t="str">
        <f>VLOOKUP(Table_Query_from_Actuarial___Production[[#This Row],[Kor1]],$AI$3:$AK$105,3,FALSE)</f>
        <v>Misc. Expense for Insolvent Companies</v>
      </c>
      <c r="X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"/>
      <c r="Z155" t="s">
        <v>18</v>
      </c>
      <c r="AA155" t="s">
        <v>352</v>
      </c>
      <c r="AB155" t="s">
        <v>6</v>
      </c>
      <c r="AC155" s="21">
        <v>181575.86</v>
      </c>
      <c r="AD155" s="21" t="s">
        <v>369</v>
      </c>
      <c r="AE155" t="str">
        <f>VLOOKUP(Table_Query_from_Actuarial___Production3[[#This Row],[Kor1]],$AI$3:$AK$105,3,FALSE)</f>
        <v>Misc. Expense</v>
      </c>
      <c r="AF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56" spans="18:32" x14ac:dyDescent="0.2">
      <c r="R156" t="s">
        <v>39</v>
      </c>
      <c r="S156" t="s">
        <v>256</v>
      </c>
      <c r="T156" t="s">
        <v>427</v>
      </c>
      <c r="U156" s="21">
        <v>36098.03</v>
      </c>
      <c r="V156" s="21" t="s">
        <v>368</v>
      </c>
      <c r="W156" t="str">
        <f>VLOOKUP(Table_Query_from_Actuarial___Production[[#This Row],[Kor1]],$AI$3:$AK$105,3,FALSE)</f>
        <v>Misc. Income for Insolvent Companies</v>
      </c>
      <c r="X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"/>
      <c r="Z156" t="s">
        <v>11</v>
      </c>
      <c r="AA156" t="s">
        <v>4</v>
      </c>
      <c r="AB156" t="s">
        <v>442</v>
      </c>
      <c r="AC156" s="21">
        <v>6556177.4699999997</v>
      </c>
      <c r="AD156" s="21" t="s">
        <v>368</v>
      </c>
      <c r="AE156" t="str">
        <f>VLOOKUP(Table_Query_from_Actuarial___Production3[[#This Row],[Kor1]],$AI$3:$AK$105,3,FALSE)</f>
        <v>Losses Paid</v>
      </c>
      <c r="AF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" spans="18:32" x14ac:dyDescent="0.2">
      <c r="R157" t="s">
        <v>10</v>
      </c>
      <c r="S157" t="s">
        <v>230</v>
      </c>
      <c r="T157" t="s">
        <v>442</v>
      </c>
      <c r="U157" s="21">
        <v>937500.85</v>
      </c>
      <c r="V157" s="21" t="s">
        <v>368</v>
      </c>
      <c r="W157" t="str">
        <f>VLOOKUP(Table_Query_from_Actuarial___Production[[#This Row],[Kor1]],$AI$3:$AK$105,3,FALSE)</f>
        <v>Commissions</v>
      </c>
      <c r="X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"/>
      <c r="Z157" t="s">
        <v>10</v>
      </c>
      <c r="AA157" t="s">
        <v>265</v>
      </c>
      <c r="AB157" t="s">
        <v>9</v>
      </c>
      <c r="AC157" s="21">
        <v>37037.1</v>
      </c>
      <c r="AD157" s="21" t="s">
        <v>368</v>
      </c>
      <c r="AE157" t="str">
        <f>VLOOKUP(Table_Query_from_Actuarial___Production3[[#This Row],[Kor1]],$AI$3:$AK$105,3,FALSE)</f>
        <v>Commissions</v>
      </c>
      <c r="AF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" spans="18:32" x14ac:dyDescent="0.2">
      <c r="R158" t="s">
        <v>29</v>
      </c>
      <c r="S158" t="s">
        <v>246</v>
      </c>
      <c r="T158" t="s">
        <v>443</v>
      </c>
      <c r="U158" s="21">
        <v>80885.759999999995</v>
      </c>
      <c r="V158" s="21" t="s">
        <v>368</v>
      </c>
      <c r="W158" t="str">
        <f>VLOOKUP(Table_Query_from_Actuarial___Production[[#This Row],[Kor1]],$AI$3:$AK$105,3,FALSE)</f>
        <v>Misc. Expense</v>
      </c>
      <c r="X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"/>
      <c r="Z158" t="s">
        <v>11</v>
      </c>
      <c r="AA158" t="s">
        <v>240</v>
      </c>
      <c r="AB158" t="s">
        <v>427</v>
      </c>
      <c r="AC158" s="21">
        <v>1706662.74</v>
      </c>
      <c r="AD158" s="21" t="s">
        <v>368</v>
      </c>
      <c r="AE158" t="str">
        <f>VLOOKUP(Table_Query_from_Actuarial___Production3[[#This Row],[Kor1]],$AI$3:$AK$105,3,FALSE)</f>
        <v>Losses Paid</v>
      </c>
      <c r="AF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" spans="18:32" x14ac:dyDescent="0.2">
      <c r="R159" t="s">
        <v>38</v>
      </c>
      <c r="S159" t="s">
        <v>354</v>
      </c>
      <c r="T159" t="s">
        <v>443</v>
      </c>
      <c r="U159" s="21">
        <v>71990.820000000007</v>
      </c>
      <c r="V159" s="21" t="s">
        <v>368</v>
      </c>
      <c r="W159" t="str">
        <f>VLOOKUP(Table_Query_from_Actuarial___Production[[#This Row],[Kor1]],$AI$3:$AK$105,3,FALSE)</f>
        <v>Misc. Income</v>
      </c>
      <c r="X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59"/>
      <c r="Z159" t="s">
        <v>14</v>
      </c>
      <c r="AA159" t="s">
        <v>240</v>
      </c>
      <c r="AB159" t="s">
        <v>443</v>
      </c>
      <c r="AC159" s="21">
        <v>18011.580000000002</v>
      </c>
      <c r="AD159" s="21" t="s">
        <v>368</v>
      </c>
      <c r="AE159" t="str">
        <f>VLOOKUP(Table_Query_from_Actuarial___Production3[[#This Row],[Kor1]],$AI$3:$AK$105,3,FALSE)</f>
        <v>Claims Expense</v>
      </c>
      <c r="AF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" spans="18:32" x14ac:dyDescent="0.2">
      <c r="R160" t="s">
        <v>3</v>
      </c>
      <c r="S160" t="s">
        <v>228</v>
      </c>
      <c r="T160" t="s">
        <v>427</v>
      </c>
      <c r="U160" s="21">
        <v>9303374</v>
      </c>
      <c r="V160" s="21" t="s">
        <v>368</v>
      </c>
      <c r="W160" t="str">
        <f>VLOOKUP(Table_Query_from_Actuarial___Production[[#This Row],[Kor1]],$AI$3:$AK$105,3,FALSE)</f>
        <v>Premiums Written</v>
      </c>
      <c r="X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"/>
      <c r="Z160" t="s">
        <v>31</v>
      </c>
      <c r="AA160" t="s">
        <v>263</v>
      </c>
      <c r="AB160" t="s">
        <v>356</v>
      </c>
      <c r="AC160" s="21">
        <v>832.26</v>
      </c>
      <c r="AD160" s="21" t="s">
        <v>368</v>
      </c>
      <c r="AE160" t="str">
        <f>VLOOKUP(Table_Query_from_Actuarial___Production3[[#This Row],[Kor1]],$AI$3:$AK$105,3,FALSE)</f>
        <v>Misc. Expense</v>
      </c>
      <c r="AF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" spans="18:32" x14ac:dyDescent="0.2">
      <c r="R161" t="s">
        <v>50</v>
      </c>
      <c r="S161" t="s">
        <v>231</v>
      </c>
      <c r="T161" t="s">
        <v>433</v>
      </c>
      <c r="U161" s="21">
        <v>20220.86</v>
      </c>
      <c r="V161" s="21" t="s">
        <v>368</v>
      </c>
      <c r="W161" t="str">
        <f>VLOOKUP(Table_Query_from_Actuarial___Production[[#This Row],[Kor1]],$AI$3:$AK$105,3,FALSE)</f>
        <v>ALAE Reserve</v>
      </c>
      <c r="X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"/>
      <c r="Z161" t="s">
        <v>11</v>
      </c>
      <c r="AA161" t="s">
        <v>259</v>
      </c>
      <c r="AB161" t="s">
        <v>351</v>
      </c>
      <c r="AC161" s="21">
        <v>1136663.45</v>
      </c>
      <c r="AD161" s="21" t="s">
        <v>368</v>
      </c>
      <c r="AE161" t="str">
        <f>VLOOKUP(Table_Query_from_Actuarial___Production3[[#This Row],[Kor1]],$AI$3:$AK$105,3,FALSE)</f>
        <v>Losses Paid</v>
      </c>
      <c r="AF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" spans="18:32" x14ac:dyDescent="0.2">
      <c r="R162" t="s">
        <v>12</v>
      </c>
      <c r="S162" t="s">
        <v>239</v>
      </c>
      <c r="T162" t="s">
        <v>433</v>
      </c>
      <c r="U162" s="21">
        <v>169657.81</v>
      </c>
      <c r="V162" s="21" t="s">
        <v>368</v>
      </c>
      <c r="W162" t="str">
        <f>VLOOKUP(Table_Query_from_Actuarial___Production[[#This Row],[Kor1]],$AI$3:$AK$105,3,FALSE)</f>
        <v>Premium Tax</v>
      </c>
      <c r="X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"/>
      <c r="Z162" t="s">
        <v>14</v>
      </c>
      <c r="AA162" t="s">
        <v>259</v>
      </c>
      <c r="AB162" t="s">
        <v>5</v>
      </c>
      <c r="AC162" s="21">
        <v>26003.7</v>
      </c>
      <c r="AD162" s="21" t="s">
        <v>368</v>
      </c>
      <c r="AE162" t="str">
        <f>VLOOKUP(Table_Query_from_Actuarial___Production3[[#This Row],[Kor1]],$AI$3:$AK$105,3,FALSE)</f>
        <v>Claims Expense</v>
      </c>
      <c r="AF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" spans="18:32" x14ac:dyDescent="0.2">
      <c r="R163" t="s">
        <v>13</v>
      </c>
      <c r="S163" t="s">
        <v>241</v>
      </c>
      <c r="T163" t="s">
        <v>441</v>
      </c>
      <c r="U163" s="21">
        <v>49941.39</v>
      </c>
      <c r="V163" s="21" t="s">
        <v>368</v>
      </c>
      <c r="W163" t="str">
        <f>VLOOKUP(Table_Query_from_Actuarial___Production[[#This Row],[Kor1]],$AI$3:$AK$105,3,FALSE)</f>
        <v>Operating Service Fees</v>
      </c>
      <c r="X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"/>
      <c r="Z163" t="s">
        <v>14</v>
      </c>
      <c r="AA163" t="s">
        <v>263</v>
      </c>
      <c r="AB163" t="s">
        <v>441</v>
      </c>
      <c r="AC163" s="21">
        <v>27255.89</v>
      </c>
      <c r="AD163" s="21" t="s">
        <v>368</v>
      </c>
      <c r="AE163" t="str">
        <f>VLOOKUP(Table_Query_from_Actuarial___Production3[[#This Row],[Kor1]],$AI$3:$AK$105,3,FALSE)</f>
        <v>Claims Expense</v>
      </c>
      <c r="AF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" spans="18:32" x14ac:dyDescent="0.2">
      <c r="R164" t="s">
        <v>11</v>
      </c>
      <c r="S164" t="s">
        <v>354</v>
      </c>
      <c r="T164" t="s">
        <v>8</v>
      </c>
      <c r="U164" s="21">
        <v>90949861.569999993</v>
      </c>
      <c r="V164" s="21" t="s">
        <v>368</v>
      </c>
      <c r="W164" t="str">
        <f>VLOOKUP(Table_Query_from_Actuarial___Production[[#This Row],[Kor1]],$AI$3:$AK$105,3,FALSE)</f>
        <v>Losses Paid</v>
      </c>
      <c r="X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64"/>
      <c r="Z164" t="s">
        <v>19</v>
      </c>
      <c r="AA164" t="s">
        <v>231</v>
      </c>
      <c r="AB164" t="s">
        <v>433</v>
      </c>
      <c r="AC164" s="21">
        <v>831.99</v>
      </c>
      <c r="AD164" s="21" t="s">
        <v>368</v>
      </c>
      <c r="AE164" t="str">
        <f>VLOOKUP(Table_Query_from_Actuarial___Production3[[#This Row],[Kor1]],$AI$3:$AK$105,3,FALSE)</f>
        <v>Misc. Expense for Insolvent Companies</v>
      </c>
      <c r="AF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" spans="18:32" x14ac:dyDescent="0.2">
      <c r="R165" t="s">
        <v>15</v>
      </c>
      <c r="S165" t="s">
        <v>354</v>
      </c>
      <c r="T165" t="s">
        <v>443</v>
      </c>
      <c r="U165" s="21">
        <v>13621659.289999999</v>
      </c>
      <c r="V165" s="21" t="s">
        <v>368</v>
      </c>
      <c r="W165" t="str">
        <f>VLOOKUP(Table_Query_from_Actuarial___Production[[#This Row],[Kor1]],$AI$3:$AK$105,3,FALSE)</f>
        <v>Unearned Premiums</v>
      </c>
      <c r="X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65"/>
      <c r="Z165" t="s">
        <v>12</v>
      </c>
      <c r="AA165" t="s">
        <v>264</v>
      </c>
      <c r="AB165" t="s">
        <v>9</v>
      </c>
      <c r="AC165" s="21">
        <v>53436.51</v>
      </c>
      <c r="AD165" s="21" t="s">
        <v>368</v>
      </c>
      <c r="AE165" t="str">
        <f>VLOOKUP(Table_Query_from_Actuarial___Production3[[#This Row],[Kor1]],$AI$3:$AK$105,3,FALSE)</f>
        <v>Premium Tax</v>
      </c>
      <c r="AF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" spans="18:32" x14ac:dyDescent="0.2">
      <c r="R166" t="s">
        <v>39</v>
      </c>
      <c r="S166" t="s">
        <v>260</v>
      </c>
      <c r="T166" t="s">
        <v>6</v>
      </c>
      <c r="U166" s="21">
        <v>70.47</v>
      </c>
      <c r="V166" s="21" t="s">
        <v>368</v>
      </c>
      <c r="W166" t="str">
        <f>VLOOKUP(Table_Query_from_Actuarial___Production[[#This Row],[Kor1]],$AI$3:$AK$105,3,FALSE)</f>
        <v>Misc. Income for Insolvent Companies</v>
      </c>
      <c r="X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"/>
      <c r="Z166" t="s">
        <v>19</v>
      </c>
      <c r="AA166" t="s">
        <v>231</v>
      </c>
      <c r="AB166" t="s">
        <v>7</v>
      </c>
      <c r="AC166" s="21">
        <v>1</v>
      </c>
      <c r="AD166" s="21" t="s">
        <v>368</v>
      </c>
      <c r="AE166" t="str">
        <f>VLOOKUP(Table_Query_from_Actuarial___Production3[[#This Row],[Kor1]],$AI$3:$AK$105,3,FALSE)</f>
        <v>Misc. Expense for Insolvent Companies</v>
      </c>
      <c r="AF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" spans="18:32" x14ac:dyDescent="0.2">
      <c r="R167" t="s">
        <v>12</v>
      </c>
      <c r="S167" t="s">
        <v>233</v>
      </c>
      <c r="T167" t="s">
        <v>427</v>
      </c>
      <c r="U167" s="21">
        <v>14974.14</v>
      </c>
      <c r="V167" s="21" t="s">
        <v>368</v>
      </c>
      <c r="W167" t="str">
        <f>VLOOKUP(Table_Query_from_Actuarial___Production[[#This Row],[Kor1]],$AI$3:$AK$105,3,FALSE)</f>
        <v>Premium Tax</v>
      </c>
      <c r="X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"/>
      <c r="Z167" t="s">
        <v>20</v>
      </c>
      <c r="AA167" t="s">
        <v>267</v>
      </c>
      <c r="AB167" t="s">
        <v>5</v>
      </c>
      <c r="AC167" s="21">
        <v>887.81</v>
      </c>
      <c r="AD167" s="21" t="s">
        <v>368</v>
      </c>
      <c r="AE167" t="str">
        <f>VLOOKUP(Table_Query_from_Actuarial___Production3[[#This Row],[Kor1]],$AI$3:$AK$105,3,FALSE)</f>
        <v>Misc. Expense</v>
      </c>
      <c r="AF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" spans="18:32" x14ac:dyDescent="0.2">
      <c r="R168" t="s">
        <v>3</v>
      </c>
      <c r="S168" t="s">
        <v>231</v>
      </c>
      <c r="T168" t="s">
        <v>443</v>
      </c>
      <c r="U168" s="21">
        <v>2975350</v>
      </c>
      <c r="V168" s="21" t="s">
        <v>368</v>
      </c>
      <c r="W168" t="str">
        <f>VLOOKUP(Table_Query_from_Actuarial___Production[[#This Row],[Kor1]],$AI$3:$AK$105,3,FALSE)</f>
        <v>Premiums Written</v>
      </c>
      <c r="X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"/>
      <c r="Z168" t="s">
        <v>33</v>
      </c>
      <c r="AA168" t="s">
        <v>241</v>
      </c>
      <c r="AB168" t="s">
        <v>6</v>
      </c>
      <c r="AC168" s="21">
        <v>16455.59</v>
      </c>
      <c r="AD168" s="21" t="s">
        <v>368</v>
      </c>
      <c r="AE168" t="str">
        <f>VLOOKUP(Table_Query_from_Actuarial___Production3[[#This Row],[Kor1]],$AI$3:$AK$105,3,FALSE)</f>
        <v>Misc. Expense</v>
      </c>
      <c r="AF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" spans="18:32" x14ac:dyDescent="0.2">
      <c r="R169" t="s">
        <v>167</v>
      </c>
      <c r="S169" t="s">
        <v>354</v>
      </c>
      <c r="T169" t="s">
        <v>9</v>
      </c>
      <c r="U169" s="21">
        <v>180903068</v>
      </c>
      <c r="V169" s="21" t="s">
        <v>369</v>
      </c>
      <c r="W169" t="str">
        <f>VLOOKUP(Table_Query_from_Actuarial___Production[[#This Row],[Kor1]],$AI$3:$AK$105,3,FALSE)</f>
        <v>Recoupment</v>
      </c>
      <c r="X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69"/>
      <c r="Z169" t="s">
        <v>37</v>
      </c>
      <c r="AA169" t="s">
        <v>242</v>
      </c>
      <c r="AB169" t="s">
        <v>356</v>
      </c>
      <c r="AC169" s="21">
        <v>-59.28</v>
      </c>
      <c r="AD169" s="21" t="s">
        <v>368</v>
      </c>
      <c r="AE169" t="str">
        <f>VLOOKUP(Table_Query_from_Actuarial___Production3[[#This Row],[Kor1]],$AI$3:$AK$105,3,FALSE)</f>
        <v>Misc. Expense</v>
      </c>
      <c r="AF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" spans="18:32" x14ac:dyDescent="0.2">
      <c r="R170" t="s">
        <v>10</v>
      </c>
      <c r="S170" t="s">
        <v>352</v>
      </c>
      <c r="T170" t="s">
        <v>433</v>
      </c>
      <c r="U170" s="21">
        <v>6265.81</v>
      </c>
      <c r="V170" s="21" t="s">
        <v>369</v>
      </c>
      <c r="W170" t="str">
        <f>VLOOKUP(Table_Query_from_Actuarial___Production[[#This Row],[Kor1]],$AI$3:$AK$105,3,FALSE)</f>
        <v>Commissions</v>
      </c>
      <c r="X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70"/>
      <c r="Z170" t="s">
        <v>37</v>
      </c>
      <c r="AA170" t="s">
        <v>266</v>
      </c>
      <c r="AB170" t="s">
        <v>427</v>
      </c>
      <c r="AC170" s="21">
        <v>2588.96</v>
      </c>
      <c r="AD170" s="21" t="s">
        <v>368</v>
      </c>
      <c r="AE170" t="str">
        <f>VLOOKUP(Table_Query_from_Actuarial___Production3[[#This Row],[Kor1]],$AI$3:$AK$105,3,FALSE)</f>
        <v>Misc. Expense</v>
      </c>
      <c r="AF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" spans="18:32" x14ac:dyDescent="0.2">
      <c r="R171" t="s">
        <v>3</v>
      </c>
      <c r="S171" t="s">
        <v>249</v>
      </c>
      <c r="T171" t="s">
        <v>445</v>
      </c>
      <c r="U171" s="21">
        <v>394704</v>
      </c>
      <c r="V171" s="21" t="s">
        <v>368</v>
      </c>
      <c r="W171" t="str">
        <f>VLOOKUP(Table_Query_from_Actuarial___Production[[#This Row],[Kor1]],$AI$3:$AK$105,3,FALSE)</f>
        <v>Premiums Written</v>
      </c>
      <c r="X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"/>
      <c r="Z171" t="s">
        <v>18</v>
      </c>
      <c r="AA171" t="s">
        <v>226</v>
      </c>
      <c r="AB171" t="s">
        <v>5</v>
      </c>
      <c r="AC171" s="21">
        <v>185013.23</v>
      </c>
      <c r="AD171" s="21" t="s">
        <v>368</v>
      </c>
      <c r="AE171" t="str">
        <f>VLOOKUP(Table_Query_from_Actuarial___Production3[[#This Row],[Kor1]],$AI$3:$AK$105,3,FALSE)</f>
        <v>Misc. Expense</v>
      </c>
      <c r="AF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72" spans="18:32" x14ac:dyDescent="0.2">
      <c r="R172" t="s">
        <v>41</v>
      </c>
      <c r="S172" t="s">
        <v>250</v>
      </c>
      <c r="T172" t="s">
        <v>443</v>
      </c>
      <c r="U172" s="21">
        <v>100.02</v>
      </c>
      <c r="V172" s="21" t="s">
        <v>368</v>
      </c>
      <c r="W172" t="str">
        <f>VLOOKUP(Table_Query_from_Actuarial___Production[[#This Row],[Kor1]],$AI$3:$AK$105,3,FALSE)</f>
        <v>Misc. Income</v>
      </c>
      <c r="X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"/>
      <c r="Z172" t="s">
        <v>3</v>
      </c>
      <c r="AA172" t="s">
        <v>236</v>
      </c>
      <c r="AB172" t="s">
        <v>351</v>
      </c>
      <c r="AC172" s="21">
        <v>38508</v>
      </c>
      <c r="AD172" s="21" t="s">
        <v>368</v>
      </c>
      <c r="AE172" t="str">
        <f>VLOOKUP(Table_Query_from_Actuarial___Production3[[#This Row],[Kor1]],$AI$3:$AK$105,3,FALSE)</f>
        <v>Premiums Written</v>
      </c>
      <c r="AF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" spans="18:32" x14ac:dyDescent="0.2">
      <c r="R173" t="s">
        <v>43</v>
      </c>
      <c r="S173" t="s">
        <v>260</v>
      </c>
      <c r="T173" t="s">
        <v>9</v>
      </c>
      <c r="U173" s="21">
        <v>-0.24</v>
      </c>
      <c r="V173" s="21" t="s">
        <v>368</v>
      </c>
      <c r="W173" t="str">
        <f>VLOOKUP(Table_Query_from_Actuarial___Production[[#This Row],[Kor1]],$AI$3:$AK$105,3,FALSE)</f>
        <v>Charge-offs</v>
      </c>
      <c r="X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"/>
      <c r="Z173" t="s">
        <v>13</v>
      </c>
      <c r="AA173" t="s">
        <v>224</v>
      </c>
      <c r="AB173" t="s">
        <v>427</v>
      </c>
      <c r="AC173" s="21">
        <v>3681.39</v>
      </c>
      <c r="AD173" s="21" t="s">
        <v>425</v>
      </c>
      <c r="AE173" t="str">
        <f>VLOOKUP(Table_Query_from_Actuarial___Production3[[#This Row],[Kor1]],$AI$3:$AK$105,3,FALSE)</f>
        <v>Operating Service Fees</v>
      </c>
      <c r="AF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74" spans="18:32" x14ac:dyDescent="0.2">
      <c r="R174" t="s">
        <v>31</v>
      </c>
      <c r="S174" t="s">
        <v>240</v>
      </c>
      <c r="T174" t="s">
        <v>433</v>
      </c>
      <c r="U174" s="21">
        <v>947.46</v>
      </c>
      <c r="V174" s="21" t="s">
        <v>368</v>
      </c>
      <c r="W174" t="str">
        <f>VLOOKUP(Table_Query_from_Actuarial___Production[[#This Row],[Kor1]],$AI$3:$AK$105,3,FALSE)</f>
        <v>Misc. Expense</v>
      </c>
      <c r="X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"/>
      <c r="Z174" t="s">
        <v>19</v>
      </c>
      <c r="AA174" t="s">
        <v>245</v>
      </c>
      <c r="AB174" t="s">
        <v>351</v>
      </c>
      <c r="AC174" s="21">
        <v>50</v>
      </c>
      <c r="AD174" s="21" t="s">
        <v>368</v>
      </c>
      <c r="AE174" t="str">
        <f>VLOOKUP(Table_Query_from_Actuarial___Production3[[#This Row],[Kor1]],$AI$3:$AK$105,3,FALSE)</f>
        <v>Misc. Expense for Insolvent Companies</v>
      </c>
      <c r="AF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" spans="18:32" x14ac:dyDescent="0.2">
      <c r="R175" t="s">
        <v>37</v>
      </c>
      <c r="S175" t="s">
        <v>254</v>
      </c>
      <c r="T175" t="s">
        <v>427</v>
      </c>
      <c r="U175" s="21">
        <v>14358.54</v>
      </c>
      <c r="V175" s="21" t="s">
        <v>368</v>
      </c>
      <c r="W175" t="str">
        <f>VLOOKUP(Table_Query_from_Actuarial___Production[[#This Row],[Kor1]],$AI$3:$AK$105,3,FALSE)</f>
        <v>Misc. Expense</v>
      </c>
      <c r="X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"/>
      <c r="Z175" t="s">
        <v>39</v>
      </c>
      <c r="AA175" t="s">
        <v>256</v>
      </c>
      <c r="AB175" t="s">
        <v>427</v>
      </c>
      <c r="AC175" s="21">
        <v>36098.03</v>
      </c>
      <c r="AD175" s="21" t="s">
        <v>368</v>
      </c>
      <c r="AE175" t="str">
        <f>VLOOKUP(Table_Query_from_Actuarial___Production3[[#This Row],[Kor1]],$AI$3:$AK$105,3,FALSE)</f>
        <v>Misc. Income for Insolvent Companies</v>
      </c>
      <c r="AF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" spans="18:32" x14ac:dyDescent="0.2">
      <c r="R176" t="s">
        <v>39</v>
      </c>
      <c r="S176" t="s">
        <v>4</v>
      </c>
      <c r="T176" t="s">
        <v>8</v>
      </c>
      <c r="U176" s="21">
        <v>8496</v>
      </c>
      <c r="V176" s="21" t="s">
        <v>368</v>
      </c>
      <c r="W176" t="str">
        <f>VLOOKUP(Table_Query_from_Actuarial___Production[[#This Row],[Kor1]],$AI$3:$AK$105,3,FALSE)</f>
        <v>Misc. Income for Insolvent Companies</v>
      </c>
      <c r="X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"/>
      <c r="Z176" t="s">
        <v>10</v>
      </c>
      <c r="AA176" t="s">
        <v>230</v>
      </c>
      <c r="AB176" t="s">
        <v>442</v>
      </c>
      <c r="AC176" s="21">
        <v>951551.79</v>
      </c>
      <c r="AD176" s="21" t="s">
        <v>368</v>
      </c>
      <c r="AE176" t="str">
        <f>VLOOKUP(Table_Query_from_Actuarial___Production3[[#This Row],[Kor1]],$AI$3:$AK$105,3,FALSE)</f>
        <v>Commissions</v>
      </c>
      <c r="AF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" spans="18:32" x14ac:dyDescent="0.2">
      <c r="R177" t="s">
        <v>40</v>
      </c>
      <c r="S177" t="s">
        <v>259</v>
      </c>
      <c r="T177" t="s">
        <v>427</v>
      </c>
      <c r="U177" s="21">
        <v>355</v>
      </c>
      <c r="V177" s="21" t="s">
        <v>368</v>
      </c>
      <c r="W177" t="str">
        <f>VLOOKUP(Table_Query_from_Actuarial___Production[[#This Row],[Kor1]],$AI$3:$AK$105,3,FALSE)</f>
        <v>Misc. Income</v>
      </c>
      <c r="X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"/>
      <c r="Z177" t="s">
        <v>29</v>
      </c>
      <c r="AA177" t="s">
        <v>246</v>
      </c>
      <c r="AB177" t="s">
        <v>443</v>
      </c>
      <c r="AC177" s="21">
        <v>22857.81</v>
      </c>
      <c r="AD177" s="21" t="s">
        <v>368</v>
      </c>
      <c r="AE177" t="str">
        <f>VLOOKUP(Table_Query_from_Actuarial___Production3[[#This Row],[Kor1]],$AI$3:$AK$105,3,FALSE)</f>
        <v>Misc. Expense</v>
      </c>
      <c r="AF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" spans="18:32" x14ac:dyDescent="0.2">
      <c r="R178" t="s">
        <v>38</v>
      </c>
      <c r="S178" t="s">
        <v>224</v>
      </c>
      <c r="T178" t="s">
        <v>445</v>
      </c>
      <c r="U178" s="21">
        <v>190325.53</v>
      </c>
      <c r="V178" s="21" t="s">
        <v>368</v>
      </c>
      <c r="W178" t="str">
        <f>VLOOKUP(Table_Query_from_Actuarial___Production[[#This Row],[Kor1]],$AI$3:$AK$105,3,FALSE)</f>
        <v>Misc. Income</v>
      </c>
      <c r="X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78"/>
      <c r="Z178" t="s">
        <v>48</v>
      </c>
      <c r="AA178" t="s">
        <v>231</v>
      </c>
      <c r="AB178" t="s">
        <v>427</v>
      </c>
      <c r="AC178" s="21">
        <v>2267.1799999999998</v>
      </c>
      <c r="AD178" s="21" t="s">
        <v>368</v>
      </c>
      <c r="AE178" t="str">
        <f>VLOOKUP(Table_Query_from_Actuarial___Production3[[#This Row],[Kor1]],$AI$3:$AK$105,3,FALSE)</f>
        <v>Anticipated Salvage</v>
      </c>
      <c r="AF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" spans="18:32" x14ac:dyDescent="0.2">
      <c r="R179" t="s">
        <v>11</v>
      </c>
      <c r="S179" t="s">
        <v>265</v>
      </c>
      <c r="T179" t="s">
        <v>442</v>
      </c>
      <c r="U179" s="21">
        <v>211197.49</v>
      </c>
      <c r="V179" s="21" t="s">
        <v>368</v>
      </c>
      <c r="W179" t="str">
        <f>VLOOKUP(Table_Query_from_Actuarial___Production[[#This Row],[Kor1]],$AI$3:$AK$105,3,FALSE)</f>
        <v>Losses Paid</v>
      </c>
      <c r="X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"/>
      <c r="Z179" t="s">
        <v>38</v>
      </c>
      <c r="AA179" t="s">
        <v>354</v>
      </c>
      <c r="AB179" t="s">
        <v>443</v>
      </c>
      <c r="AC179" s="21">
        <v>37439.22</v>
      </c>
      <c r="AD179" s="21" t="s">
        <v>368</v>
      </c>
      <c r="AE179" t="str">
        <f>VLOOKUP(Table_Query_from_Actuarial___Production3[[#This Row],[Kor1]],$AI$3:$AK$105,3,FALSE)</f>
        <v>Misc. Income</v>
      </c>
      <c r="AF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80" spans="18:32" x14ac:dyDescent="0.2">
      <c r="R180" t="s">
        <v>40</v>
      </c>
      <c r="S180" t="s">
        <v>255</v>
      </c>
      <c r="T180" t="s">
        <v>427</v>
      </c>
      <c r="U180" s="21">
        <v>21</v>
      </c>
      <c r="V180" s="21" t="s">
        <v>368</v>
      </c>
      <c r="W180" t="str">
        <f>VLOOKUP(Table_Query_from_Actuarial___Production[[#This Row],[Kor1]],$AI$3:$AK$105,3,FALSE)</f>
        <v>Misc. Income</v>
      </c>
      <c r="X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"/>
      <c r="Z180" t="s">
        <v>3</v>
      </c>
      <c r="AA180" t="s">
        <v>228</v>
      </c>
      <c r="AB180" t="s">
        <v>427</v>
      </c>
      <c r="AC180" s="21">
        <v>9303374</v>
      </c>
      <c r="AD180" s="21" t="s">
        <v>368</v>
      </c>
      <c r="AE180" t="str">
        <f>VLOOKUP(Table_Query_from_Actuarial___Production3[[#This Row],[Kor1]],$AI$3:$AK$105,3,FALSE)</f>
        <v>Premiums Written</v>
      </c>
      <c r="AF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" spans="18:32" x14ac:dyDescent="0.2">
      <c r="R181" t="s">
        <v>11</v>
      </c>
      <c r="S181" t="s">
        <v>224</v>
      </c>
      <c r="T181" t="s">
        <v>356</v>
      </c>
      <c r="U181" s="21">
        <v>1097132.03</v>
      </c>
      <c r="V181" s="21" t="s">
        <v>368</v>
      </c>
      <c r="W181" t="str">
        <f>VLOOKUP(Table_Query_from_Actuarial___Production[[#This Row],[Kor1]],$AI$3:$AK$105,3,FALSE)</f>
        <v>Losses Paid</v>
      </c>
      <c r="X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81"/>
      <c r="Z181" t="s">
        <v>50</v>
      </c>
      <c r="AA181" t="s">
        <v>231</v>
      </c>
      <c r="AB181" t="s">
        <v>433</v>
      </c>
      <c r="AC181" s="21">
        <v>81482.45</v>
      </c>
      <c r="AD181" s="21" t="s">
        <v>368</v>
      </c>
      <c r="AE181" t="str">
        <f>VLOOKUP(Table_Query_from_Actuarial___Production3[[#This Row],[Kor1]],$AI$3:$AK$105,3,FALSE)</f>
        <v>ALAE Reserve</v>
      </c>
      <c r="AF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" spans="18:32" x14ac:dyDescent="0.2">
      <c r="R182" t="s">
        <v>31</v>
      </c>
      <c r="S182" t="s">
        <v>267</v>
      </c>
      <c r="T182" t="s">
        <v>9</v>
      </c>
      <c r="U182" s="21">
        <v>454.78</v>
      </c>
      <c r="V182" s="21" t="s">
        <v>368</v>
      </c>
      <c r="W182" t="str">
        <f>VLOOKUP(Table_Query_from_Actuarial___Production[[#This Row],[Kor1]],$AI$3:$AK$105,3,FALSE)</f>
        <v>Misc. Expense</v>
      </c>
      <c r="X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"/>
      <c r="Z182" t="s">
        <v>12</v>
      </c>
      <c r="AA182" t="s">
        <v>239</v>
      </c>
      <c r="AB182" t="s">
        <v>433</v>
      </c>
      <c r="AC182" s="21">
        <v>169657.81</v>
      </c>
      <c r="AD182" s="21" t="s">
        <v>368</v>
      </c>
      <c r="AE182" t="str">
        <f>VLOOKUP(Table_Query_from_Actuarial___Production3[[#This Row],[Kor1]],$AI$3:$AK$105,3,FALSE)</f>
        <v>Premium Tax</v>
      </c>
      <c r="AF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" spans="18:32" x14ac:dyDescent="0.2">
      <c r="R183" t="s">
        <v>39</v>
      </c>
      <c r="S183" t="s">
        <v>249</v>
      </c>
      <c r="T183" t="s">
        <v>351</v>
      </c>
      <c r="U183" s="21">
        <v>955</v>
      </c>
      <c r="V183" s="21" t="s">
        <v>368</v>
      </c>
      <c r="W183" t="str">
        <f>VLOOKUP(Table_Query_from_Actuarial___Production[[#This Row],[Kor1]],$AI$3:$AK$105,3,FALSE)</f>
        <v>Misc. Income for Insolvent Companies</v>
      </c>
      <c r="X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"/>
      <c r="Z183" t="s">
        <v>12</v>
      </c>
      <c r="AA183" t="s">
        <v>241</v>
      </c>
      <c r="AB183" t="s">
        <v>5</v>
      </c>
      <c r="AC183" s="21">
        <v>5265.92</v>
      </c>
      <c r="AD183" s="21" t="s">
        <v>368</v>
      </c>
      <c r="AE183" t="str">
        <f>VLOOKUP(Table_Query_from_Actuarial___Production3[[#This Row],[Kor1]],$AI$3:$AK$105,3,FALSE)</f>
        <v>Premium Tax</v>
      </c>
      <c r="AF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" spans="18:32" x14ac:dyDescent="0.2">
      <c r="R184" t="s">
        <v>10</v>
      </c>
      <c r="S184" t="s">
        <v>264</v>
      </c>
      <c r="T184" t="s">
        <v>441</v>
      </c>
      <c r="U184" s="21">
        <v>244501.4</v>
      </c>
      <c r="V184" s="21" t="s">
        <v>368</v>
      </c>
      <c r="W184" t="str">
        <f>VLOOKUP(Table_Query_from_Actuarial___Production[[#This Row],[Kor1]],$AI$3:$AK$105,3,FALSE)</f>
        <v>Commissions</v>
      </c>
      <c r="X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"/>
      <c r="Z184" t="s">
        <v>13</v>
      </c>
      <c r="AA184" t="s">
        <v>241</v>
      </c>
      <c r="AB184" t="s">
        <v>441</v>
      </c>
      <c r="AC184" s="21">
        <v>49941.39</v>
      </c>
      <c r="AD184" s="21" t="s">
        <v>368</v>
      </c>
      <c r="AE184" t="str">
        <f>VLOOKUP(Table_Query_from_Actuarial___Production3[[#This Row],[Kor1]],$AI$3:$AK$105,3,FALSE)</f>
        <v>Operating Service Fees</v>
      </c>
      <c r="AF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" spans="18:32" x14ac:dyDescent="0.2">
      <c r="R185" t="s">
        <v>13</v>
      </c>
      <c r="S185" t="s">
        <v>255</v>
      </c>
      <c r="T185" t="s">
        <v>9</v>
      </c>
      <c r="U185" s="21">
        <v>111374.08</v>
      </c>
      <c r="V185" s="21" t="s">
        <v>368</v>
      </c>
      <c r="W185" t="str">
        <f>VLOOKUP(Table_Query_from_Actuarial___Production[[#This Row],[Kor1]],$AI$3:$AK$105,3,FALSE)</f>
        <v>Operating Service Fees</v>
      </c>
      <c r="X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"/>
      <c r="Z185" t="s">
        <v>11</v>
      </c>
      <c r="AA185" t="s">
        <v>354</v>
      </c>
      <c r="AB185" t="s">
        <v>8</v>
      </c>
      <c r="AC185" s="21">
        <v>90941750.379999995</v>
      </c>
      <c r="AD185" s="21" t="s">
        <v>368</v>
      </c>
      <c r="AE185" t="str">
        <f>VLOOKUP(Table_Query_from_Actuarial___Production3[[#This Row],[Kor1]],$AI$3:$AK$105,3,FALSE)</f>
        <v>Losses Paid</v>
      </c>
      <c r="AF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86" spans="18:32" x14ac:dyDescent="0.2">
      <c r="R186" t="s">
        <v>40</v>
      </c>
      <c r="S186" t="s">
        <v>262</v>
      </c>
      <c r="T186" t="s">
        <v>356</v>
      </c>
      <c r="U186" s="21">
        <v>486.01</v>
      </c>
      <c r="V186" s="21" t="s">
        <v>368</v>
      </c>
      <c r="W186" t="str">
        <f>VLOOKUP(Table_Query_from_Actuarial___Production[[#This Row],[Kor1]],$AI$3:$AK$105,3,FALSE)</f>
        <v>Misc. Income</v>
      </c>
      <c r="X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"/>
      <c r="Z186" t="s">
        <v>15</v>
      </c>
      <c r="AA186" t="s">
        <v>354</v>
      </c>
      <c r="AB186" t="s">
        <v>443</v>
      </c>
      <c r="AC186" s="21">
        <v>55543537.740000002</v>
      </c>
      <c r="AD186" s="21" t="s">
        <v>368</v>
      </c>
      <c r="AE186" t="str">
        <f>VLOOKUP(Table_Query_from_Actuarial___Production3[[#This Row],[Kor1]],$AI$3:$AK$105,3,FALSE)</f>
        <v>Unearned Premiums</v>
      </c>
      <c r="AF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87" spans="18:32" x14ac:dyDescent="0.2">
      <c r="R187" t="s">
        <v>21</v>
      </c>
      <c r="S187" t="s">
        <v>237</v>
      </c>
      <c r="T187" t="s">
        <v>8</v>
      </c>
      <c r="U187" s="21">
        <v>8879.1299999999992</v>
      </c>
      <c r="V187" s="21" t="s">
        <v>368</v>
      </c>
      <c r="W187" t="str">
        <f>VLOOKUP(Table_Query_from_Actuarial___Production[[#This Row],[Kor1]],$AI$3:$AK$105,3,FALSE)</f>
        <v>Misc. Expense</v>
      </c>
      <c r="X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"/>
      <c r="Z187" t="s">
        <v>44</v>
      </c>
      <c r="AA187" t="s">
        <v>266</v>
      </c>
      <c r="AB187" t="s">
        <v>5</v>
      </c>
      <c r="AC187" s="21">
        <v>17032.72</v>
      </c>
      <c r="AD187" s="21" t="s">
        <v>368</v>
      </c>
      <c r="AE187" t="str">
        <f>VLOOKUP(Table_Query_from_Actuarial___Production3[[#This Row],[Kor1]],$AI$3:$AK$105,3,FALSE)</f>
        <v>Charge-offs</v>
      </c>
      <c r="AF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" spans="18:32" x14ac:dyDescent="0.2">
      <c r="R188" t="s">
        <v>40</v>
      </c>
      <c r="S188" t="s">
        <v>244</v>
      </c>
      <c r="T188" t="s">
        <v>441</v>
      </c>
      <c r="U188" s="21">
        <v>12</v>
      </c>
      <c r="V188" s="21" t="s">
        <v>368</v>
      </c>
      <c r="W188" t="str">
        <f>VLOOKUP(Table_Query_from_Actuarial___Production[[#This Row],[Kor1]],$AI$3:$AK$105,3,FALSE)</f>
        <v>Misc. Income</v>
      </c>
      <c r="X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"/>
      <c r="Z188" t="s">
        <v>39</v>
      </c>
      <c r="AA188" t="s">
        <v>260</v>
      </c>
      <c r="AB188" t="s">
        <v>6</v>
      </c>
      <c r="AC188" s="21">
        <v>48.47</v>
      </c>
      <c r="AD188" s="21" t="s">
        <v>368</v>
      </c>
      <c r="AE188" t="str">
        <f>VLOOKUP(Table_Query_from_Actuarial___Production3[[#This Row],[Kor1]],$AI$3:$AK$105,3,FALSE)</f>
        <v>Misc. Income for Insolvent Companies</v>
      </c>
      <c r="AF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" spans="18:32" x14ac:dyDescent="0.2">
      <c r="R189" t="s">
        <v>10</v>
      </c>
      <c r="S189" t="s">
        <v>224</v>
      </c>
      <c r="T189" t="s">
        <v>443</v>
      </c>
      <c r="U189" s="21">
        <v>94804.13</v>
      </c>
      <c r="V189" s="21" t="s">
        <v>368</v>
      </c>
      <c r="W189" t="str">
        <f>VLOOKUP(Table_Query_from_Actuarial___Production[[#This Row],[Kor1]],$AI$3:$AK$105,3,FALSE)</f>
        <v>Commissions</v>
      </c>
      <c r="X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89"/>
      <c r="Z189" t="s">
        <v>12</v>
      </c>
      <c r="AA189" t="s">
        <v>233</v>
      </c>
      <c r="AB189" t="s">
        <v>427</v>
      </c>
      <c r="AC189" s="21">
        <v>14974.14</v>
      </c>
      <c r="AD189" s="21" t="s">
        <v>368</v>
      </c>
      <c r="AE189" t="str">
        <f>VLOOKUP(Table_Query_from_Actuarial___Production3[[#This Row],[Kor1]],$AI$3:$AK$105,3,FALSE)</f>
        <v>Premium Tax</v>
      </c>
      <c r="AF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" spans="18:32" x14ac:dyDescent="0.2">
      <c r="R190" t="s">
        <v>18</v>
      </c>
      <c r="S190" t="s">
        <v>352</v>
      </c>
      <c r="T190" t="s">
        <v>427</v>
      </c>
      <c r="U190" s="21">
        <v>1298.69</v>
      </c>
      <c r="V190" s="21" t="s">
        <v>368</v>
      </c>
      <c r="W190" t="str">
        <f>VLOOKUP(Table_Query_from_Actuarial___Production[[#This Row],[Kor1]],$AI$3:$AK$105,3,FALSE)</f>
        <v>Misc. Expense</v>
      </c>
      <c r="X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90"/>
      <c r="Z190" t="s">
        <v>34</v>
      </c>
      <c r="AA190" t="s">
        <v>250</v>
      </c>
      <c r="AB190" t="s">
        <v>5</v>
      </c>
      <c r="AC190" s="21">
        <v>23.15</v>
      </c>
      <c r="AD190" s="21" t="s">
        <v>368</v>
      </c>
      <c r="AE190" t="str">
        <f>VLOOKUP(Table_Query_from_Actuarial___Production3[[#This Row],[Kor1]],$AI$3:$AK$105,3,FALSE)</f>
        <v>Misc. Expense</v>
      </c>
      <c r="AF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" spans="18:32" x14ac:dyDescent="0.2">
      <c r="R191" t="s">
        <v>38</v>
      </c>
      <c r="S191" t="s">
        <v>352</v>
      </c>
      <c r="T191" t="s">
        <v>427</v>
      </c>
      <c r="U191" s="21">
        <v>668.57</v>
      </c>
      <c r="V191" s="21" t="s">
        <v>368</v>
      </c>
      <c r="W191" t="str">
        <f>VLOOKUP(Table_Query_from_Actuarial___Production[[#This Row],[Kor1]],$AI$3:$AK$105,3,FALSE)</f>
        <v>Misc. Income</v>
      </c>
      <c r="X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91"/>
      <c r="Z191" t="s">
        <v>3</v>
      </c>
      <c r="AA191" t="s">
        <v>231</v>
      </c>
      <c r="AB191" t="s">
        <v>443</v>
      </c>
      <c r="AC191" s="21">
        <v>834522</v>
      </c>
      <c r="AD191" s="21" t="s">
        <v>368</v>
      </c>
      <c r="AE191" t="str">
        <f>VLOOKUP(Table_Query_from_Actuarial___Production3[[#This Row],[Kor1]],$AI$3:$AK$105,3,FALSE)</f>
        <v>Premiums Written</v>
      </c>
      <c r="AF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" spans="18:32" x14ac:dyDescent="0.2">
      <c r="R192" t="s">
        <v>12</v>
      </c>
      <c r="S192" t="s">
        <v>233</v>
      </c>
      <c r="T192" t="s">
        <v>9</v>
      </c>
      <c r="U192" s="21">
        <v>13817.56</v>
      </c>
      <c r="V192" s="21" t="s">
        <v>368</v>
      </c>
      <c r="W192" t="str">
        <f>VLOOKUP(Table_Query_from_Actuarial___Production[[#This Row],[Kor1]],$AI$3:$AK$105,3,FALSE)</f>
        <v>Premium Tax</v>
      </c>
      <c r="X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"/>
      <c r="Z192" t="s">
        <v>167</v>
      </c>
      <c r="AA192" t="s">
        <v>354</v>
      </c>
      <c r="AB192" t="s">
        <v>9</v>
      </c>
      <c r="AC192" s="21">
        <v>180822323</v>
      </c>
      <c r="AD192" s="21" t="s">
        <v>369</v>
      </c>
      <c r="AE192" t="str">
        <f>VLOOKUP(Table_Query_from_Actuarial___Production3[[#This Row],[Kor1]],$AI$3:$AK$105,3,FALSE)</f>
        <v>Recoupment</v>
      </c>
      <c r="AF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93" spans="18:32" x14ac:dyDescent="0.2">
      <c r="R193" t="s">
        <v>13</v>
      </c>
      <c r="S193" t="s">
        <v>256</v>
      </c>
      <c r="T193" t="s">
        <v>356</v>
      </c>
      <c r="U193" s="21">
        <v>14723.7</v>
      </c>
      <c r="V193" s="21" t="s">
        <v>368</v>
      </c>
      <c r="W193" t="str">
        <f>VLOOKUP(Table_Query_from_Actuarial___Production[[#This Row],[Kor1]],$AI$3:$AK$105,3,FALSE)</f>
        <v>Operating Service Fees</v>
      </c>
      <c r="X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"/>
      <c r="Z193" t="s">
        <v>10</v>
      </c>
      <c r="AA193" t="s">
        <v>352</v>
      </c>
      <c r="AB193" t="s">
        <v>433</v>
      </c>
      <c r="AC193" s="21">
        <v>6265.81</v>
      </c>
      <c r="AD193" s="21" t="s">
        <v>369</v>
      </c>
      <c r="AE193" t="str">
        <f>VLOOKUP(Table_Query_from_Actuarial___Production3[[#This Row],[Kor1]],$AI$3:$AK$105,3,FALSE)</f>
        <v>Commissions</v>
      </c>
      <c r="AF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94" spans="18:32" x14ac:dyDescent="0.2">
      <c r="R194" t="s">
        <v>37</v>
      </c>
      <c r="S194" t="s">
        <v>243</v>
      </c>
      <c r="T194" t="s">
        <v>7</v>
      </c>
      <c r="U194" s="21">
        <v>-13.15</v>
      </c>
      <c r="V194" s="21" t="s">
        <v>368</v>
      </c>
      <c r="W194" t="str">
        <f>VLOOKUP(Table_Query_from_Actuarial___Production[[#This Row],[Kor1]],$AI$3:$AK$105,3,FALSE)</f>
        <v>Misc. Expense</v>
      </c>
      <c r="X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"/>
      <c r="Z194" t="s">
        <v>41</v>
      </c>
      <c r="AA194" t="s">
        <v>250</v>
      </c>
      <c r="AB194" t="s">
        <v>443</v>
      </c>
      <c r="AC194" s="21">
        <v>50.01</v>
      </c>
      <c r="AD194" s="21" t="s">
        <v>368</v>
      </c>
      <c r="AE194" t="str">
        <f>VLOOKUP(Table_Query_from_Actuarial___Production3[[#This Row],[Kor1]],$AI$3:$AK$105,3,FALSE)</f>
        <v>Misc. Income</v>
      </c>
      <c r="AF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" spans="18:32" x14ac:dyDescent="0.2">
      <c r="R195" t="s">
        <v>29</v>
      </c>
      <c r="S195" t="s">
        <v>259</v>
      </c>
      <c r="T195" t="s">
        <v>442</v>
      </c>
      <c r="U195" s="21">
        <v>620</v>
      </c>
      <c r="V195" s="21" t="s">
        <v>368</v>
      </c>
      <c r="W195" t="str">
        <f>VLOOKUP(Table_Query_from_Actuarial___Production[[#This Row],[Kor1]],$AI$3:$AK$105,3,FALSE)</f>
        <v>Misc. Expense</v>
      </c>
      <c r="X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"/>
      <c r="Z195" t="s">
        <v>43</v>
      </c>
      <c r="AA195" t="s">
        <v>260</v>
      </c>
      <c r="AB195" t="s">
        <v>9</v>
      </c>
      <c r="AC195" s="21">
        <v>-0.24</v>
      </c>
      <c r="AD195" s="21" t="s">
        <v>368</v>
      </c>
      <c r="AE195" t="str">
        <f>VLOOKUP(Table_Query_from_Actuarial___Production3[[#This Row],[Kor1]],$AI$3:$AK$105,3,FALSE)</f>
        <v>Charge-offs</v>
      </c>
      <c r="AF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" spans="18:32" x14ac:dyDescent="0.2">
      <c r="R196" t="s">
        <v>37</v>
      </c>
      <c r="S196" t="s">
        <v>252</v>
      </c>
      <c r="T196" t="s">
        <v>356</v>
      </c>
      <c r="U196" s="21">
        <v>21584.9</v>
      </c>
      <c r="V196" s="21" t="s">
        <v>368</v>
      </c>
      <c r="W196" t="str">
        <f>VLOOKUP(Table_Query_from_Actuarial___Production[[#This Row],[Kor1]],$AI$3:$AK$105,3,FALSE)</f>
        <v>Misc. Expense</v>
      </c>
      <c r="X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"/>
      <c r="Z196" t="s">
        <v>46</v>
      </c>
      <c r="AA196" t="s">
        <v>354</v>
      </c>
      <c r="AB196" t="s">
        <v>5</v>
      </c>
      <c r="AC196" s="21">
        <v>41393508.100000001</v>
      </c>
      <c r="AD196" s="21" t="s">
        <v>369</v>
      </c>
      <c r="AE196" t="str">
        <f>VLOOKUP(Table_Query_from_Actuarial___Production3[[#This Row],[Kor1]],$AI$3:$AK$105,3,FALSE)</f>
        <v>Investment Income</v>
      </c>
      <c r="AF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97" spans="18:32" x14ac:dyDescent="0.2">
      <c r="R197" t="s">
        <v>21</v>
      </c>
      <c r="S197" t="s">
        <v>236</v>
      </c>
      <c r="T197" t="s">
        <v>7</v>
      </c>
      <c r="U197" s="21">
        <v>168</v>
      </c>
      <c r="V197" s="21" t="s">
        <v>368</v>
      </c>
      <c r="W197" t="str">
        <f>VLOOKUP(Table_Query_from_Actuarial___Production[[#This Row],[Kor1]],$AI$3:$AK$105,3,FALSE)</f>
        <v>Misc. Expense</v>
      </c>
      <c r="X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"/>
      <c r="Z197" t="s">
        <v>31</v>
      </c>
      <c r="AA197" t="s">
        <v>240</v>
      </c>
      <c r="AB197" t="s">
        <v>433</v>
      </c>
      <c r="AC197" s="21">
        <v>947.46</v>
      </c>
      <c r="AD197" s="21" t="s">
        <v>368</v>
      </c>
      <c r="AE197" t="str">
        <f>VLOOKUP(Table_Query_from_Actuarial___Production3[[#This Row],[Kor1]],$AI$3:$AK$105,3,FALSE)</f>
        <v>Misc. Expense</v>
      </c>
      <c r="AF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" spans="18:32" x14ac:dyDescent="0.2">
      <c r="R198" t="s">
        <v>38</v>
      </c>
      <c r="S198" t="s">
        <v>352</v>
      </c>
      <c r="T198" t="s">
        <v>441</v>
      </c>
      <c r="U198" s="21">
        <v>24793.56</v>
      </c>
      <c r="V198" s="21" t="s">
        <v>369</v>
      </c>
      <c r="W198" t="str">
        <f>VLOOKUP(Table_Query_from_Actuarial___Production[[#This Row],[Kor1]],$AI$3:$AK$105,3,FALSE)</f>
        <v>Misc. Income</v>
      </c>
      <c r="X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98"/>
      <c r="Z198" t="s">
        <v>37</v>
      </c>
      <c r="AA198" t="s">
        <v>254</v>
      </c>
      <c r="AB198" t="s">
        <v>427</v>
      </c>
      <c r="AC198" s="21">
        <v>14415.81</v>
      </c>
      <c r="AD198" s="21" t="s">
        <v>368</v>
      </c>
      <c r="AE198" t="str">
        <f>VLOOKUP(Table_Query_from_Actuarial___Production3[[#This Row],[Kor1]],$AI$3:$AK$105,3,FALSE)</f>
        <v>Misc. Expense</v>
      </c>
      <c r="AF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" spans="18:32" x14ac:dyDescent="0.2">
      <c r="R199" t="s">
        <v>3</v>
      </c>
      <c r="S199" t="s">
        <v>239</v>
      </c>
      <c r="T199" t="s">
        <v>8</v>
      </c>
      <c r="U199" s="21">
        <v>273447</v>
      </c>
      <c r="V199" s="21" t="s">
        <v>368</v>
      </c>
      <c r="W199" t="str">
        <f>VLOOKUP(Table_Query_from_Actuarial___Production[[#This Row],[Kor1]],$AI$3:$AK$105,3,FALSE)</f>
        <v>Premiums Written</v>
      </c>
      <c r="X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"/>
      <c r="Z199" t="s">
        <v>39</v>
      </c>
      <c r="AA199" t="s">
        <v>4</v>
      </c>
      <c r="AB199" t="s">
        <v>8</v>
      </c>
      <c r="AC199" s="21">
        <v>7007</v>
      </c>
      <c r="AD199" s="21" t="s">
        <v>368</v>
      </c>
      <c r="AE199" t="str">
        <f>VLOOKUP(Table_Query_from_Actuarial___Production3[[#This Row],[Kor1]],$AI$3:$AK$105,3,FALSE)</f>
        <v>Misc. Income for Insolvent Companies</v>
      </c>
      <c r="AF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" spans="18:32" x14ac:dyDescent="0.2">
      <c r="R200" t="s">
        <v>13</v>
      </c>
      <c r="S200" t="s">
        <v>246</v>
      </c>
      <c r="T200" t="s">
        <v>351</v>
      </c>
      <c r="U200" s="21">
        <v>181331.76</v>
      </c>
      <c r="V200" s="21" t="s">
        <v>368</v>
      </c>
      <c r="W200" t="str">
        <f>VLOOKUP(Table_Query_from_Actuarial___Production[[#This Row],[Kor1]],$AI$3:$AK$105,3,FALSE)</f>
        <v>Operating Service Fees</v>
      </c>
      <c r="X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"/>
      <c r="Z200" t="s">
        <v>40</v>
      </c>
      <c r="AA200" t="s">
        <v>259</v>
      </c>
      <c r="AB200" t="s">
        <v>427</v>
      </c>
      <c r="AC200" s="21">
        <v>355</v>
      </c>
      <c r="AD200" s="21" t="s">
        <v>368</v>
      </c>
      <c r="AE200" t="str">
        <f>VLOOKUP(Table_Query_from_Actuarial___Production3[[#This Row],[Kor1]],$AI$3:$AK$105,3,FALSE)</f>
        <v>Misc. Income</v>
      </c>
      <c r="AF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" spans="18:32" x14ac:dyDescent="0.2">
      <c r="R201" t="s">
        <v>20</v>
      </c>
      <c r="S201" t="s">
        <v>265</v>
      </c>
      <c r="T201" t="s">
        <v>9</v>
      </c>
      <c r="U201" s="21">
        <v>96.22</v>
      </c>
      <c r="V201" s="21" t="s">
        <v>368</v>
      </c>
      <c r="W201" t="str">
        <f>VLOOKUP(Table_Query_from_Actuarial___Production[[#This Row],[Kor1]],$AI$3:$AK$105,3,FALSE)</f>
        <v>Misc. Expense</v>
      </c>
      <c r="X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"/>
      <c r="Z201" t="s">
        <v>11</v>
      </c>
      <c r="AA201" t="s">
        <v>265</v>
      </c>
      <c r="AB201" t="s">
        <v>442</v>
      </c>
      <c r="AC201" s="21">
        <v>135536.06</v>
      </c>
      <c r="AD201" s="21" t="s">
        <v>368</v>
      </c>
      <c r="AE201" t="str">
        <f>VLOOKUP(Table_Query_from_Actuarial___Production3[[#This Row],[Kor1]],$AI$3:$AK$105,3,FALSE)</f>
        <v>Losses Paid</v>
      </c>
      <c r="AF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" spans="18:32" x14ac:dyDescent="0.2">
      <c r="R202" t="s">
        <v>47</v>
      </c>
      <c r="S202" t="s">
        <v>239</v>
      </c>
      <c r="T202" t="s">
        <v>8</v>
      </c>
      <c r="U202" s="21">
        <v>0.03</v>
      </c>
      <c r="V202" s="21" t="s">
        <v>368</v>
      </c>
      <c r="W202" t="str">
        <f>VLOOKUP(Table_Query_from_Actuarial___Production[[#This Row],[Kor1]],$AI$3:$AK$105,3,FALSE)</f>
        <v>Investment Income</v>
      </c>
      <c r="X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"/>
      <c r="Z202" t="s">
        <v>13</v>
      </c>
      <c r="AA202" t="s">
        <v>258</v>
      </c>
      <c r="AB202" t="s">
        <v>5</v>
      </c>
      <c r="AC202" s="21">
        <v>298546.03000000003</v>
      </c>
      <c r="AD202" s="21" t="s">
        <v>368</v>
      </c>
      <c r="AE202" t="str">
        <f>VLOOKUP(Table_Query_from_Actuarial___Production3[[#This Row],[Kor1]],$AI$3:$AK$105,3,FALSE)</f>
        <v>Operating Service Fees</v>
      </c>
      <c r="AF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" spans="18:32" x14ac:dyDescent="0.2">
      <c r="R203" t="s">
        <v>26</v>
      </c>
      <c r="S203" t="s">
        <v>259</v>
      </c>
      <c r="T203" t="s">
        <v>6</v>
      </c>
      <c r="U203" s="21">
        <v>1833.66</v>
      </c>
      <c r="V203" s="21" t="s">
        <v>368</v>
      </c>
      <c r="W203" t="str">
        <f>VLOOKUP(Table_Query_from_Actuarial___Production[[#This Row],[Kor1]],$AI$3:$AK$105,3,FALSE)</f>
        <v>Misc. Expense</v>
      </c>
      <c r="X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"/>
      <c r="Z203" t="s">
        <v>40</v>
      </c>
      <c r="AA203" t="s">
        <v>255</v>
      </c>
      <c r="AB203" t="s">
        <v>427</v>
      </c>
      <c r="AC203" s="21">
        <v>21</v>
      </c>
      <c r="AD203" s="21" t="s">
        <v>368</v>
      </c>
      <c r="AE203" t="str">
        <f>VLOOKUP(Table_Query_from_Actuarial___Production3[[#This Row],[Kor1]],$AI$3:$AK$105,3,FALSE)</f>
        <v>Misc. Income</v>
      </c>
      <c r="AF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" spans="18:32" x14ac:dyDescent="0.2">
      <c r="R204" t="s">
        <v>10</v>
      </c>
      <c r="S204" t="s">
        <v>229</v>
      </c>
      <c r="T204" t="s">
        <v>8</v>
      </c>
      <c r="U204" s="21">
        <v>1595.45</v>
      </c>
      <c r="V204" s="21" t="s">
        <v>368</v>
      </c>
      <c r="W204" t="str">
        <f>VLOOKUP(Table_Query_from_Actuarial___Production[[#This Row],[Kor1]],$AI$3:$AK$105,3,FALSE)</f>
        <v>Commissions</v>
      </c>
      <c r="X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"/>
      <c r="Z204" t="s">
        <v>11</v>
      </c>
      <c r="AA204" t="s">
        <v>224</v>
      </c>
      <c r="AB204" t="s">
        <v>356</v>
      </c>
      <c r="AC204" s="21">
        <v>1097132.03</v>
      </c>
      <c r="AD204" s="21" t="s">
        <v>368</v>
      </c>
      <c r="AE204" t="str">
        <f>VLOOKUP(Table_Query_from_Actuarial___Production3[[#This Row],[Kor1]],$AI$3:$AK$105,3,FALSE)</f>
        <v>Losses Paid</v>
      </c>
      <c r="AF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05" spans="18:32" x14ac:dyDescent="0.2">
      <c r="R205" t="s">
        <v>13</v>
      </c>
      <c r="S205" t="s">
        <v>257</v>
      </c>
      <c r="T205" t="s">
        <v>7</v>
      </c>
      <c r="U205" s="21">
        <v>203034.4</v>
      </c>
      <c r="V205" s="21" t="s">
        <v>368</v>
      </c>
      <c r="W205" t="str">
        <f>VLOOKUP(Table_Query_from_Actuarial___Production[[#This Row],[Kor1]],$AI$3:$AK$105,3,FALSE)</f>
        <v>Operating Service Fees</v>
      </c>
      <c r="X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"/>
      <c r="Z205" t="s">
        <v>15</v>
      </c>
      <c r="AA205" t="s">
        <v>224</v>
      </c>
      <c r="AB205" t="s">
        <v>442</v>
      </c>
      <c r="AC205" s="21">
        <v>6273.71</v>
      </c>
      <c r="AD205" s="21" t="s">
        <v>369</v>
      </c>
      <c r="AE205" t="str">
        <f>VLOOKUP(Table_Query_from_Actuarial___Production3[[#This Row],[Kor1]],$AI$3:$AK$105,3,FALSE)</f>
        <v>Unearned Premiums</v>
      </c>
      <c r="AF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06" spans="18:32" x14ac:dyDescent="0.2">
      <c r="R206" t="s">
        <v>44</v>
      </c>
      <c r="S206" t="s">
        <v>257</v>
      </c>
      <c r="T206" t="s">
        <v>433</v>
      </c>
      <c r="U206" s="21">
        <v>104351.2</v>
      </c>
      <c r="V206" s="21" t="s">
        <v>368</v>
      </c>
      <c r="W206" t="str">
        <f>VLOOKUP(Table_Query_from_Actuarial___Production[[#This Row],[Kor1]],$AI$3:$AK$105,3,FALSE)</f>
        <v>Charge-offs</v>
      </c>
      <c r="X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"/>
      <c r="Z206" t="s">
        <v>31</v>
      </c>
      <c r="AA206" t="s">
        <v>267</v>
      </c>
      <c r="AB206" t="s">
        <v>9</v>
      </c>
      <c r="AC206" s="21">
        <v>454.78</v>
      </c>
      <c r="AD206" s="21" t="s">
        <v>368</v>
      </c>
      <c r="AE206" t="str">
        <f>VLOOKUP(Table_Query_from_Actuarial___Production3[[#This Row],[Kor1]],$AI$3:$AK$105,3,FALSE)</f>
        <v>Misc. Expense</v>
      </c>
      <c r="AF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" spans="18:32" x14ac:dyDescent="0.2">
      <c r="R207" t="s">
        <v>34</v>
      </c>
      <c r="S207" t="s">
        <v>257</v>
      </c>
      <c r="T207" t="s">
        <v>9</v>
      </c>
      <c r="U207" s="21">
        <v>92.35</v>
      </c>
      <c r="V207" s="21" t="s">
        <v>368</v>
      </c>
      <c r="W207" t="str">
        <f>VLOOKUP(Table_Query_from_Actuarial___Production[[#This Row],[Kor1]],$AI$3:$AK$105,3,FALSE)</f>
        <v>Misc. Expense</v>
      </c>
      <c r="X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"/>
      <c r="Z207" t="s">
        <v>39</v>
      </c>
      <c r="AA207" t="s">
        <v>249</v>
      </c>
      <c r="AB207" t="s">
        <v>351</v>
      </c>
      <c r="AC207" s="21">
        <v>955</v>
      </c>
      <c r="AD207" s="21" t="s">
        <v>368</v>
      </c>
      <c r="AE207" t="str">
        <f>VLOOKUP(Table_Query_from_Actuarial___Production3[[#This Row],[Kor1]],$AI$3:$AK$105,3,FALSE)</f>
        <v>Misc. Income for Insolvent Companies</v>
      </c>
      <c r="AF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" spans="18:32" x14ac:dyDescent="0.2">
      <c r="R208" t="s">
        <v>14</v>
      </c>
      <c r="S208" t="s">
        <v>244</v>
      </c>
      <c r="T208" t="s">
        <v>8</v>
      </c>
      <c r="U208" s="21">
        <v>125914.59</v>
      </c>
      <c r="V208" s="21" t="s">
        <v>368</v>
      </c>
      <c r="W208" t="str">
        <f>VLOOKUP(Table_Query_from_Actuarial___Production[[#This Row],[Kor1]],$AI$3:$AK$105,3,FALSE)</f>
        <v>Claims Expense</v>
      </c>
      <c r="X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"/>
      <c r="Z208" t="s">
        <v>10</v>
      </c>
      <c r="AA208" t="s">
        <v>264</v>
      </c>
      <c r="AB208" t="s">
        <v>441</v>
      </c>
      <c r="AC208" s="21">
        <v>244501.4</v>
      </c>
      <c r="AD208" s="21" t="s">
        <v>368</v>
      </c>
      <c r="AE208" t="str">
        <f>VLOOKUP(Table_Query_from_Actuarial___Production3[[#This Row],[Kor1]],$AI$3:$AK$105,3,FALSE)</f>
        <v>Commissions</v>
      </c>
      <c r="AF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" spans="18:32" x14ac:dyDescent="0.2">
      <c r="R209" t="s">
        <v>41</v>
      </c>
      <c r="S209" t="s">
        <v>228</v>
      </c>
      <c r="T209" t="s">
        <v>6</v>
      </c>
      <c r="U209" s="21">
        <v>300</v>
      </c>
      <c r="V209" s="21" t="s">
        <v>368</v>
      </c>
      <c r="W209" t="str">
        <f>VLOOKUP(Table_Query_from_Actuarial___Production[[#This Row],[Kor1]],$AI$3:$AK$105,3,FALSE)</f>
        <v>Misc. Income</v>
      </c>
      <c r="X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"/>
      <c r="Z209" t="s">
        <v>13</v>
      </c>
      <c r="AA209" t="s">
        <v>255</v>
      </c>
      <c r="AB209" t="s">
        <v>9</v>
      </c>
      <c r="AC209" s="21">
        <v>111374.08</v>
      </c>
      <c r="AD209" s="21" t="s">
        <v>368</v>
      </c>
      <c r="AE209" t="str">
        <f>VLOOKUP(Table_Query_from_Actuarial___Production3[[#This Row],[Kor1]],$AI$3:$AK$105,3,FALSE)</f>
        <v>Operating Service Fees</v>
      </c>
      <c r="AF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" spans="18:32" x14ac:dyDescent="0.2">
      <c r="R210" t="s">
        <v>13</v>
      </c>
      <c r="S210" t="s">
        <v>238</v>
      </c>
      <c r="T210" t="s">
        <v>433</v>
      </c>
      <c r="U210" s="21">
        <v>138119.45000000001</v>
      </c>
      <c r="V210" s="21" t="s">
        <v>368</v>
      </c>
      <c r="W210" t="str">
        <f>VLOOKUP(Table_Query_from_Actuarial___Production[[#This Row],[Kor1]],$AI$3:$AK$105,3,FALSE)</f>
        <v>Operating Service Fees</v>
      </c>
      <c r="X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"/>
      <c r="Z210" t="s">
        <v>40</v>
      </c>
      <c r="AA210" t="s">
        <v>262</v>
      </c>
      <c r="AB210" t="s">
        <v>356</v>
      </c>
      <c r="AC210" s="21">
        <v>486.01</v>
      </c>
      <c r="AD210" s="21" t="s">
        <v>368</v>
      </c>
      <c r="AE210" t="str">
        <f>VLOOKUP(Table_Query_from_Actuarial___Production3[[#This Row],[Kor1]],$AI$3:$AK$105,3,FALSE)</f>
        <v>Misc. Income</v>
      </c>
      <c r="AF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" spans="18:32" x14ac:dyDescent="0.2">
      <c r="R211" t="s">
        <v>10</v>
      </c>
      <c r="S211" t="s">
        <v>240</v>
      </c>
      <c r="T211" t="s">
        <v>433</v>
      </c>
      <c r="U211" s="21">
        <v>282136.27</v>
      </c>
      <c r="V211" s="21" t="s">
        <v>368</v>
      </c>
      <c r="W211" t="str">
        <f>VLOOKUP(Table_Query_from_Actuarial___Production[[#This Row],[Kor1]],$AI$3:$AK$105,3,FALSE)</f>
        <v>Commissions</v>
      </c>
      <c r="X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"/>
      <c r="Z211" t="s">
        <v>21</v>
      </c>
      <c r="AA211" t="s">
        <v>237</v>
      </c>
      <c r="AB211" t="s">
        <v>8</v>
      </c>
      <c r="AC211" s="21">
        <v>8879.1299999999992</v>
      </c>
      <c r="AD211" s="21" t="s">
        <v>368</v>
      </c>
      <c r="AE211" t="str">
        <f>VLOOKUP(Table_Query_from_Actuarial___Production3[[#This Row],[Kor1]],$AI$3:$AK$105,3,FALSE)</f>
        <v>Misc. Expense</v>
      </c>
      <c r="AF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" spans="18:32" x14ac:dyDescent="0.2">
      <c r="R212" t="s">
        <v>3</v>
      </c>
      <c r="S212" t="s">
        <v>354</v>
      </c>
      <c r="T212" t="s">
        <v>441</v>
      </c>
      <c r="U212" s="21">
        <v>981516448.51999998</v>
      </c>
      <c r="V212" s="21" t="s">
        <v>369</v>
      </c>
      <c r="W212" t="str">
        <f>VLOOKUP(Table_Query_from_Actuarial___Production[[#This Row],[Kor1]],$AI$3:$AK$105,3,FALSE)</f>
        <v>Premiums Written</v>
      </c>
      <c r="X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12"/>
      <c r="Z212" t="s">
        <v>40</v>
      </c>
      <c r="AA212" t="s">
        <v>244</v>
      </c>
      <c r="AB212" t="s">
        <v>441</v>
      </c>
      <c r="AC212" s="21">
        <v>12</v>
      </c>
      <c r="AD212" s="21" t="s">
        <v>368</v>
      </c>
      <c r="AE212" t="str">
        <f>VLOOKUP(Table_Query_from_Actuarial___Production3[[#This Row],[Kor1]],$AI$3:$AK$105,3,FALSE)</f>
        <v>Misc. Income</v>
      </c>
      <c r="AF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" spans="18:32" x14ac:dyDescent="0.2">
      <c r="R213" t="s">
        <v>46</v>
      </c>
      <c r="S213" t="s">
        <v>226</v>
      </c>
      <c r="T213" t="s">
        <v>7</v>
      </c>
      <c r="U213" s="21">
        <v>1342.79</v>
      </c>
      <c r="V213" s="21" t="s">
        <v>368</v>
      </c>
      <c r="W213" t="str">
        <f>VLOOKUP(Table_Query_from_Actuarial___Production[[#This Row],[Kor1]],$AI$3:$AK$105,3,FALSE)</f>
        <v>Investment Income</v>
      </c>
      <c r="X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13"/>
      <c r="Z213" t="s">
        <v>41</v>
      </c>
      <c r="AA213" t="s">
        <v>233</v>
      </c>
      <c r="AB213" t="s">
        <v>5</v>
      </c>
      <c r="AC213" s="21">
        <v>426.85</v>
      </c>
      <c r="AD213" s="21" t="s">
        <v>368</v>
      </c>
      <c r="AE213" t="str">
        <f>VLOOKUP(Table_Query_from_Actuarial___Production3[[#This Row],[Kor1]],$AI$3:$AK$105,3,FALSE)</f>
        <v>Misc. Income</v>
      </c>
      <c r="AF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" spans="18:32" x14ac:dyDescent="0.2">
      <c r="R214" t="s">
        <v>33</v>
      </c>
      <c r="S214" t="s">
        <v>255</v>
      </c>
      <c r="T214" t="s">
        <v>351</v>
      </c>
      <c r="U214" s="21">
        <v>15198.82</v>
      </c>
      <c r="V214" s="21" t="s">
        <v>368</v>
      </c>
      <c r="W214" t="str">
        <f>VLOOKUP(Table_Query_from_Actuarial___Production[[#This Row],[Kor1]],$AI$3:$AK$105,3,FALSE)</f>
        <v>Misc. Expense</v>
      </c>
      <c r="X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"/>
      <c r="Z214" t="s">
        <v>48</v>
      </c>
      <c r="AA214" t="s">
        <v>240</v>
      </c>
      <c r="AB214" t="s">
        <v>356</v>
      </c>
      <c r="AC214" s="21">
        <v>1057.3599999999999</v>
      </c>
      <c r="AD214" s="21" t="s">
        <v>368</v>
      </c>
      <c r="AE214" t="str">
        <f>VLOOKUP(Table_Query_from_Actuarial___Production3[[#This Row],[Kor1]],$AI$3:$AK$105,3,FALSE)</f>
        <v>Anticipated Salvage</v>
      </c>
      <c r="AF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" spans="18:32" x14ac:dyDescent="0.2">
      <c r="R215" t="s">
        <v>44</v>
      </c>
      <c r="S215" t="s">
        <v>226</v>
      </c>
      <c r="T215" t="s">
        <v>351</v>
      </c>
      <c r="U215" s="21">
        <v>71041.289999999994</v>
      </c>
      <c r="V215" s="21" t="s">
        <v>368</v>
      </c>
      <c r="W215" t="str">
        <f>VLOOKUP(Table_Query_from_Actuarial___Production[[#This Row],[Kor1]],$AI$3:$AK$105,3,FALSE)</f>
        <v>Charge-offs</v>
      </c>
      <c r="X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15"/>
      <c r="Z215" t="s">
        <v>10</v>
      </c>
      <c r="AA215" t="s">
        <v>224</v>
      </c>
      <c r="AB215" t="s">
        <v>443</v>
      </c>
      <c r="AC215" s="21">
        <v>57884.35</v>
      </c>
      <c r="AD215" s="21" t="s">
        <v>368</v>
      </c>
      <c r="AE215" t="str">
        <f>VLOOKUP(Table_Query_from_Actuarial___Production3[[#This Row],[Kor1]],$AI$3:$AK$105,3,FALSE)</f>
        <v>Commissions</v>
      </c>
      <c r="AF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16" spans="18:32" x14ac:dyDescent="0.2">
      <c r="R216" t="s">
        <v>20</v>
      </c>
      <c r="S216" t="s">
        <v>244</v>
      </c>
      <c r="T216" t="s">
        <v>9</v>
      </c>
      <c r="U216" s="21">
        <v>707.28</v>
      </c>
      <c r="V216" s="21" t="s">
        <v>368</v>
      </c>
      <c r="W216" t="str">
        <f>VLOOKUP(Table_Query_from_Actuarial___Production[[#This Row],[Kor1]],$AI$3:$AK$105,3,FALSE)</f>
        <v>Misc. Expense</v>
      </c>
      <c r="X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"/>
      <c r="Z216" t="s">
        <v>18</v>
      </c>
      <c r="AA216" t="s">
        <v>352</v>
      </c>
      <c r="AB216" t="s">
        <v>427</v>
      </c>
      <c r="AC216" s="21">
        <v>1298.69</v>
      </c>
      <c r="AD216" s="21" t="s">
        <v>368</v>
      </c>
      <c r="AE216" t="str">
        <f>VLOOKUP(Table_Query_from_Actuarial___Production3[[#This Row],[Kor1]],$AI$3:$AK$105,3,FALSE)</f>
        <v>Misc. Expense</v>
      </c>
      <c r="AF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217" spans="18:32" x14ac:dyDescent="0.2">
      <c r="R217" t="s">
        <v>14</v>
      </c>
      <c r="S217" t="s">
        <v>4</v>
      </c>
      <c r="T217" t="s">
        <v>9</v>
      </c>
      <c r="U217" s="21">
        <v>1318394.3999999999</v>
      </c>
      <c r="V217" s="21" t="s">
        <v>368</v>
      </c>
      <c r="W217" t="str">
        <f>VLOOKUP(Table_Query_from_Actuarial___Production[[#This Row],[Kor1]],$AI$3:$AK$105,3,FALSE)</f>
        <v>Claims Expense</v>
      </c>
      <c r="X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"/>
      <c r="Z217" t="s">
        <v>38</v>
      </c>
      <c r="AA217" t="s">
        <v>352</v>
      </c>
      <c r="AB217" t="s">
        <v>427</v>
      </c>
      <c r="AC217" s="21">
        <v>668.57</v>
      </c>
      <c r="AD217" s="21" t="s">
        <v>368</v>
      </c>
      <c r="AE217" t="str">
        <f>VLOOKUP(Table_Query_from_Actuarial___Production3[[#This Row],[Kor1]],$AI$3:$AK$105,3,FALSE)</f>
        <v>Misc. Income</v>
      </c>
      <c r="AF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218" spans="18:32" x14ac:dyDescent="0.2">
      <c r="R218" t="s">
        <v>36</v>
      </c>
      <c r="S218" t="s">
        <v>252</v>
      </c>
      <c r="T218" t="s">
        <v>356</v>
      </c>
      <c r="U218" s="21">
        <v>174725.92</v>
      </c>
      <c r="V218" s="21" t="s">
        <v>368</v>
      </c>
      <c r="W218" t="str">
        <f>VLOOKUP(Table_Query_from_Actuarial___Production[[#This Row],[Kor1]],$AI$3:$AK$105,3,FALSE)</f>
        <v>Misc. Expense</v>
      </c>
      <c r="X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"/>
      <c r="Z218" t="s">
        <v>12</v>
      </c>
      <c r="AA218" t="s">
        <v>233</v>
      </c>
      <c r="AB218" t="s">
        <v>9</v>
      </c>
      <c r="AC218" s="21">
        <v>13817.56</v>
      </c>
      <c r="AD218" s="21" t="s">
        <v>368</v>
      </c>
      <c r="AE218" t="str">
        <f>VLOOKUP(Table_Query_from_Actuarial___Production3[[#This Row],[Kor1]],$AI$3:$AK$105,3,FALSE)</f>
        <v>Premium Tax</v>
      </c>
      <c r="AF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" spans="18:32" x14ac:dyDescent="0.2">
      <c r="R219" t="s">
        <v>40</v>
      </c>
      <c r="S219" t="s">
        <v>256</v>
      </c>
      <c r="T219" t="s">
        <v>8</v>
      </c>
      <c r="U219" s="21">
        <v>4</v>
      </c>
      <c r="V219" s="21" t="s">
        <v>368</v>
      </c>
      <c r="W219" t="str">
        <f>VLOOKUP(Table_Query_from_Actuarial___Production[[#This Row],[Kor1]],$AI$3:$AK$105,3,FALSE)</f>
        <v>Misc. Income</v>
      </c>
      <c r="X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"/>
      <c r="Z219" t="s">
        <v>13</v>
      </c>
      <c r="AA219" t="s">
        <v>256</v>
      </c>
      <c r="AB219" t="s">
        <v>356</v>
      </c>
      <c r="AC219" s="21">
        <v>14723.7</v>
      </c>
      <c r="AD219" s="21" t="s">
        <v>368</v>
      </c>
      <c r="AE219" t="str">
        <f>VLOOKUP(Table_Query_from_Actuarial___Production3[[#This Row],[Kor1]],$AI$3:$AK$105,3,FALSE)</f>
        <v>Operating Service Fees</v>
      </c>
      <c r="AF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" spans="18:32" x14ac:dyDescent="0.2">
      <c r="R220" t="s">
        <v>41</v>
      </c>
      <c r="S220" t="s">
        <v>249</v>
      </c>
      <c r="T220" t="s">
        <v>433</v>
      </c>
      <c r="U220" s="21">
        <v>-50</v>
      </c>
      <c r="V220" s="21" t="s">
        <v>368</v>
      </c>
      <c r="W220" t="str">
        <f>VLOOKUP(Table_Query_from_Actuarial___Production[[#This Row],[Kor1]],$AI$3:$AK$105,3,FALSE)</f>
        <v>Misc. Income</v>
      </c>
      <c r="X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"/>
      <c r="Z220" t="s">
        <v>37</v>
      </c>
      <c r="AA220" t="s">
        <v>243</v>
      </c>
      <c r="AB220" t="s">
        <v>7</v>
      </c>
      <c r="AC220" s="21">
        <v>-13.15</v>
      </c>
      <c r="AD220" s="21" t="s">
        <v>368</v>
      </c>
      <c r="AE220" t="str">
        <f>VLOOKUP(Table_Query_from_Actuarial___Production3[[#This Row],[Kor1]],$AI$3:$AK$105,3,FALSE)</f>
        <v>Misc. Expense</v>
      </c>
      <c r="AF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" spans="18:32" x14ac:dyDescent="0.2">
      <c r="R221" t="s">
        <v>44</v>
      </c>
      <c r="S221" t="s">
        <v>254</v>
      </c>
      <c r="T221" t="s">
        <v>427</v>
      </c>
      <c r="U221" s="21">
        <v>80013.36</v>
      </c>
      <c r="V221" s="21" t="s">
        <v>368</v>
      </c>
      <c r="W221" t="str">
        <f>VLOOKUP(Table_Query_from_Actuarial___Production[[#This Row],[Kor1]],$AI$3:$AK$105,3,FALSE)</f>
        <v>Charge-offs</v>
      </c>
      <c r="X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"/>
      <c r="Z221" t="s">
        <v>29</v>
      </c>
      <c r="AA221" t="s">
        <v>259</v>
      </c>
      <c r="AB221" t="s">
        <v>442</v>
      </c>
      <c r="AC221" s="21">
        <v>620</v>
      </c>
      <c r="AD221" s="21" t="s">
        <v>368</v>
      </c>
      <c r="AE221" t="str">
        <f>VLOOKUP(Table_Query_from_Actuarial___Production3[[#This Row],[Kor1]],$AI$3:$AK$105,3,FALSE)</f>
        <v>Misc. Expense</v>
      </c>
      <c r="AF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" spans="18:32" x14ac:dyDescent="0.2">
      <c r="R222" t="s">
        <v>14</v>
      </c>
      <c r="S222" t="s">
        <v>226</v>
      </c>
      <c r="T222" t="s">
        <v>356</v>
      </c>
      <c r="U222" s="21">
        <v>568183.17000000004</v>
      </c>
      <c r="V222" s="21" t="s">
        <v>368</v>
      </c>
      <c r="W222" t="str">
        <f>VLOOKUP(Table_Query_from_Actuarial___Production[[#This Row],[Kor1]],$AI$3:$AK$105,3,FALSE)</f>
        <v>Claims Expense</v>
      </c>
      <c r="X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22"/>
      <c r="Z222" t="s">
        <v>37</v>
      </c>
      <c r="AA222" t="s">
        <v>252</v>
      </c>
      <c r="AB222" t="s">
        <v>356</v>
      </c>
      <c r="AC222" s="21">
        <v>21584.9</v>
      </c>
      <c r="AD222" s="21" t="s">
        <v>368</v>
      </c>
      <c r="AE222" t="str">
        <f>VLOOKUP(Table_Query_from_Actuarial___Production3[[#This Row],[Kor1]],$AI$3:$AK$105,3,FALSE)</f>
        <v>Misc. Expense</v>
      </c>
      <c r="AF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" spans="18:32" x14ac:dyDescent="0.2">
      <c r="R223" t="s">
        <v>12</v>
      </c>
      <c r="S223" t="s">
        <v>257</v>
      </c>
      <c r="T223" t="s">
        <v>427</v>
      </c>
      <c r="U223" s="21">
        <v>56257.61</v>
      </c>
      <c r="V223" s="21" t="s">
        <v>368</v>
      </c>
      <c r="W223" t="str">
        <f>VLOOKUP(Table_Query_from_Actuarial___Production[[#This Row],[Kor1]],$AI$3:$AK$105,3,FALSE)</f>
        <v>Premium Tax</v>
      </c>
      <c r="X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"/>
      <c r="Z223" t="s">
        <v>21</v>
      </c>
      <c r="AA223" t="s">
        <v>236</v>
      </c>
      <c r="AB223" t="s">
        <v>7</v>
      </c>
      <c r="AC223" s="21">
        <v>168</v>
      </c>
      <c r="AD223" s="21" t="s">
        <v>368</v>
      </c>
      <c r="AE223" t="str">
        <f>VLOOKUP(Table_Query_from_Actuarial___Production3[[#This Row],[Kor1]],$AI$3:$AK$105,3,FALSE)</f>
        <v>Misc. Expense</v>
      </c>
      <c r="AF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" spans="18:32" x14ac:dyDescent="0.2">
      <c r="R224" t="s">
        <v>23</v>
      </c>
      <c r="S224" t="s">
        <v>259</v>
      </c>
      <c r="T224" t="s">
        <v>433</v>
      </c>
      <c r="U224" s="21">
        <v>2459.6799999999998</v>
      </c>
      <c r="V224" s="21" t="s">
        <v>368</v>
      </c>
      <c r="W224" t="str">
        <f>VLOOKUP(Table_Query_from_Actuarial___Production[[#This Row],[Kor1]],$AI$3:$AK$105,3,FALSE)</f>
        <v>Misc. Expense</v>
      </c>
      <c r="X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"/>
      <c r="Z224" t="s">
        <v>38</v>
      </c>
      <c r="AA224" t="s">
        <v>352</v>
      </c>
      <c r="AB224" t="s">
        <v>441</v>
      </c>
      <c r="AC224" s="21">
        <v>24793.56</v>
      </c>
      <c r="AD224" s="21" t="s">
        <v>369</v>
      </c>
      <c r="AE224" t="str">
        <f>VLOOKUP(Table_Query_from_Actuarial___Production3[[#This Row],[Kor1]],$AI$3:$AK$105,3,FALSE)</f>
        <v>Misc. Income</v>
      </c>
      <c r="AF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25" spans="18:32" x14ac:dyDescent="0.2">
      <c r="R225" t="s">
        <v>439</v>
      </c>
      <c r="S225" t="s">
        <v>253</v>
      </c>
      <c r="T225" t="s">
        <v>433</v>
      </c>
      <c r="U225" s="21">
        <v>7</v>
      </c>
      <c r="V225" s="21" t="s">
        <v>368</v>
      </c>
      <c r="W225" t="str">
        <f>VLOOKUP(Table_Query_from_Actuarial___Production[[#This Row],[Kor1]],$AI$3:$AK$105,3,FALSE)</f>
        <v>Operating Service Fees</v>
      </c>
      <c r="X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"/>
      <c r="Z225" t="s">
        <v>3</v>
      </c>
      <c r="AA225" t="s">
        <v>239</v>
      </c>
      <c r="AB225" t="s">
        <v>8</v>
      </c>
      <c r="AC225" s="21">
        <v>273447</v>
      </c>
      <c r="AD225" s="21" t="s">
        <v>368</v>
      </c>
      <c r="AE225" t="str">
        <f>VLOOKUP(Table_Query_from_Actuarial___Production3[[#This Row],[Kor1]],$AI$3:$AK$105,3,FALSE)</f>
        <v>Premiums Written</v>
      </c>
      <c r="AF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" spans="18:32" x14ac:dyDescent="0.2">
      <c r="R226" t="s">
        <v>48</v>
      </c>
      <c r="S226" t="s">
        <v>261</v>
      </c>
      <c r="T226" t="s">
        <v>443</v>
      </c>
      <c r="U226" s="21">
        <v>356.98</v>
      </c>
      <c r="V226" s="21" t="s">
        <v>368</v>
      </c>
      <c r="W226" t="str">
        <f>VLOOKUP(Table_Query_from_Actuarial___Production[[#This Row],[Kor1]],$AI$3:$AK$105,3,FALSE)</f>
        <v>Anticipated Salvage</v>
      </c>
      <c r="X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"/>
      <c r="Z226" t="s">
        <v>13</v>
      </c>
      <c r="AA226" t="s">
        <v>246</v>
      </c>
      <c r="AB226" t="s">
        <v>351</v>
      </c>
      <c r="AC226" s="21">
        <v>181331.76</v>
      </c>
      <c r="AD226" s="21" t="s">
        <v>368</v>
      </c>
      <c r="AE226" t="str">
        <f>VLOOKUP(Table_Query_from_Actuarial___Production3[[#This Row],[Kor1]],$AI$3:$AK$105,3,FALSE)</f>
        <v>Operating Service Fees</v>
      </c>
      <c r="AF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" spans="18:32" x14ac:dyDescent="0.2">
      <c r="R227" t="s">
        <v>10</v>
      </c>
      <c r="S227" t="s">
        <v>225</v>
      </c>
      <c r="T227" t="s">
        <v>445</v>
      </c>
      <c r="U227" s="21">
        <v>67101.100000000006</v>
      </c>
      <c r="V227" s="21" t="s">
        <v>369</v>
      </c>
      <c r="W227" t="str">
        <f>VLOOKUP(Table_Query_from_Actuarial___Production[[#This Row],[Kor1]],$AI$3:$AK$105,3,FALSE)</f>
        <v>Commissions</v>
      </c>
      <c r="X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27"/>
      <c r="Z227" t="s">
        <v>20</v>
      </c>
      <c r="AA227" t="s">
        <v>265</v>
      </c>
      <c r="AB227" t="s">
        <v>9</v>
      </c>
      <c r="AC227" s="21">
        <v>96.22</v>
      </c>
      <c r="AD227" s="21" t="s">
        <v>368</v>
      </c>
      <c r="AE227" t="str">
        <f>VLOOKUP(Table_Query_from_Actuarial___Production3[[#This Row],[Kor1]],$AI$3:$AK$105,3,FALSE)</f>
        <v>Misc. Expense</v>
      </c>
      <c r="AF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" spans="18:32" x14ac:dyDescent="0.2">
      <c r="R228" t="s">
        <v>33</v>
      </c>
      <c r="S228" t="s">
        <v>258</v>
      </c>
      <c r="T228" t="s">
        <v>9</v>
      </c>
      <c r="U228" s="21">
        <v>17422.75</v>
      </c>
      <c r="V228" s="21" t="s">
        <v>368</v>
      </c>
      <c r="W228" t="str">
        <f>VLOOKUP(Table_Query_from_Actuarial___Production[[#This Row],[Kor1]],$AI$3:$AK$105,3,FALSE)</f>
        <v>Misc. Expense</v>
      </c>
      <c r="X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"/>
      <c r="Z228" t="s">
        <v>47</v>
      </c>
      <c r="AA228" t="s">
        <v>239</v>
      </c>
      <c r="AB228" t="s">
        <v>8</v>
      </c>
      <c r="AC228" s="21">
        <v>0.03</v>
      </c>
      <c r="AD228" s="21" t="s">
        <v>368</v>
      </c>
      <c r="AE228" t="str">
        <f>VLOOKUP(Table_Query_from_Actuarial___Production3[[#This Row],[Kor1]],$AI$3:$AK$105,3,FALSE)</f>
        <v>Investment Income</v>
      </c>
      <c r="AF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" spans="18:32" x14ac:dyDescent="0.2">
      <c r="R229" t="s">
        <v>36</v>
      </c>
      <c r="S229" t="s">
        <v>230</v>
      </c>
      <c r="T229" t="s">
        <v>442</v>
      </c>
      <c r="U229" s="21">
        <v>21712.44</v>
      </c>
      <c r="V229" s="21" t="s">
        <v>368</v>
      </c>
      <c r="W229" t="str">
        <f>VLOOKUP(Table_Query_from_Actuarial___Production[[#This Row],[Kor1]],$AI$3:$AK$105,3,FALSE)</f>
        <v>Misc. Expense</v>
      </c>
      <c r="X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"/>
      <c r="Z229" t="s">
        <v>26</v>
      </c>
      <c r="AA229" t="s">
        <v>259</v>
      </c>
      <c r="AB229" t="s">
        <v>6</v>
      </c>
      <c r="AC229" s="21">
        <v>1833.66</v>
      </c>
      <c r="AD229" s="21" t="s">
        <v>368</v>
      </c>
      <c r="AE229" t="str">
        <f>VLOOKUP(Table_Query_from_Actuarial___Production3[[#This Row],[Kor1]],$AI$3:$AK$105,3,FALSE)</f>
        <v>Misc. Expense</v>
      </c>
      <c r="AF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" spans="18:32" x14ac:dyDescent="0.2">
      <c r="R230" t="s">
        <v>41</v>
      </c>
      <c r="S230" t="s">
        <v>241</v>
      </c>
      <c r="T230" t="s">
        <v>351</v>
      </c>
      <c r="U230" s="21">
        <v>1149.98</v>
      </c>
      <c r="V230" s="21" t="s">
        <v>368</v>
      </c>
      <c r="W230" t="str">
        <f>VLOOKUP(Table_Query_from_Actuarial___Production[[#This Row],[Kor1]],$AI$3:$AK$105,3,FALSE)</f>
        <v>Misc. Income</v>
      </c>
      <c r="X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"/>
      <c r="Z230" t="s">
        <v>10</v>
      </c>
      <c r="AA230" t="s">
        <v>229</v>
      </c>
      <c r="AB230" t="s">
        <v>8</v>
      </c>
      <c r="AC230" s="21">
        <v>1595.45</v>
      </c>
      <c r="AD230" s="21" t="s">
        <v>368</v>
      </c>
      <c r="AE230" t="str">
        <f>VLOOKUP(Table_Query_from_Actuarial___Production3[[#This Row],[Kor1]],$AI$3:$AK$105,3,FALSE)</f>
        <v>Commissions</v>
      </c>
      <c r="AF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" spans="18:32" x14ac:dyDescent="0.2">
      <c r="R231" t="s">
        <v>44</v>
      </c>
      <c r="S231" t="s">
        <v>225</v>
      </c>
      <c r="T231" t="s">
        <v>442</v>
      </c>
      <c r="U231" s="21">
        <v>2236.06</v>
      </c>
      <c r="V231" s="21" t="s">
        <v>368</v>
      </c>
      <c r="W231" t="str">
        <f>VLOOKUP(Table_Query_from_Actuarial___Production[[#This Row],[Kor1]],$AI$3:$AK$105,3,FALSE)</f>
        <v>Charge-offs</v>
      </c>
      <c r="X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31"/>
      <c r="Z231" t="s">
        <v>13</v>
      </c>
      <c r="AA231" t="s">
        <v>257</v>
      </c>
      <c r="AB231" t="s">
        <v>7</v>
      </c>
      <c r="AC231" s="21">
        <v>203034.4</v>
      </c>
      <c r="AD231" s="21" t="s">
        <v>368</v>
      </c>
      <c r="AE231" t="str">
        <f>VLOOKUP(Table_Query_from_Actuarial___Production3[[#This Row],[Kor1]],$AI$3:$AK$105,3,FALSE)</f>
        <v>Operating Service Fees</v>
      </c>
      <c r="AF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" spans="18:32" x14ac:dyDescent="0.2">
      <c r="R232" t="s">
        <v>16</v>
      </c>
      <c r="S232" t="s">
        <v>354</v>
      </c>
      <c r="T232" t="s">
        <v>443</v>
      </c>
      <c r="U232" s="21">
        <v>19508589.190000001</v>
      </c>
      <c r="V232" s="21" t="s">
        <v>368</v>
      </c>
      <c r="W232" t="str">
        <f>VLOOKUP(Table_Query_from_Actuarial___Production[[#This Row],[Kor1]],$AI$3:$AK$105,3,FALSE)</f>
        <v>Losses Outstanding</v>
      </c>
      <c r="X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32"/>
      <c r="Z232" t="s">
        <v>44</v>
      </c>
      <c r="AA232" t="s">
        <v>257</v>
      </c>
      <c r="AB232" t="s">
        <v>433</v>
      </c>
      <c r="AC232" s="21">
        <v>104351.2</v>
      </c>
      <c r="AD232" s="21" t="s">
        <v>368</v>
      </c>
      <c r="AE232" t="str">
        <f>VLOOKUP(Table_Query_from_Actuarial___Production3[[#This Row],[Kor1]],$AI$3:$AK$105,3,FALSE)</f>
        <v>Charge-offs</v>
      </c>
      <c r="AF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" spans="18:32" x14ac:dyDescent="0.2">
      <c r="R233" t="s">
        <v>42</v>
      </c>
      <c r="S233" t="s">
        <v>4</v>
      </c>
      <c r="T233" t="s">
        <v>427</v>
      </c>
      <c r="U233" s="21">
        <v>147.06</v>
      </c>
      <c r="V233" s="21" t="s">
        <v>368</v>
      </c>
      <c r="W233" t="str">
        <f>VLOOKUP(Table_Query_from_Actuarial___Production[[#This Row],[Kor1]],$AI$3:$AK$105,3,FALSE)</f>
        <v>Misc. Income</v>
      </c>
      <c r="X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"/>
      <c r="Z233" t="s">
        <v>34</v>
      </c>
      <c r="AA233" t="s">
        <v>257</v>
      </c>
      <c r="AB233" t="s">
        <v>9</v>
      </c>
      <c r="AC233" s="21">
        <v>92.35</v>
      </c>
      <c r="AD233" s="21" t="s">
        <v>368</v>
      </c>
      <c r="AE233" t="str">
        <f>VLOOKUP(Table_Query_from_Actuarial___Production3[[#This Row],[Kor1]],$AI$3:$AK$105,3,FALSE)</f>
        <v>Misc. Expense</v>
      </c>
      <c r="AF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" spans="18:32" x14ac:dyDescent="0.2">
      <c r="R234" t="s">
        <v>44</v>
      </c>
      <c r="S234" t="s">
        <v>244</v>
      </c>
      <c r="T234" t="s">
        <v>351</v>
      </c>
      <c r="U234" s="21">
        <v>66.400000000000006</v>
      </c>
      <c r="V234" s="21" t="s">
        <v>368</v>
      </c>
      <c r="W234" t="str">
        <f>VLOOKUP(Table_Query_from_Actuarial___Production[[#This Row],[Kor1]],$AI$3:$AK$105,3,FALSE)</f>
        <v>Charge-offs</v>
      </c>
      <c r="X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"/>
      <c r="Z234" t="s">
        <v>50</v>
      </c>
      <c r="AA234" t="s">
        <v>248</v>
      </c>
      <c r="AB234" t="s">
        <v>427</v>
      </c>
      <c r="AC234" s="21">
        <v>2038.56</v>
      </c>
      <c r="AD234" s="21" t="s">
        <v>368</v>
      </c>
      <c r="AE234" t="str">
        <f>VLOOKUP(Table_Query_from_Actuarial___Production3[[#This Row],[Kor1]],$AI$3:$AK$105,3,FALSE)</f>
        <v>ALAE Reserve</v>
      </c>
      <c r="AF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" spans="18:32" x14ac:dyDescent="0.2">
      <c r="R235" t="s">
        <v>21</v>
      </c>
      <c r="S235" t="s">
        <v>252</v>
      </c>
      <c r="T235" t="s">
        <v>445</v>
      </c>
      <c r="U235" s="21">
        <v>36136.22</v>
      </c>
      <c r="V235" s="21" t="s">
        <v>368</v>
      </c>
      <c r="W235" t="str">
        <f>VLOOKUP(Table_Query_from_Actuarial___Production[[#This Row],[Kor1]],$AI$3:$AK$105,3,FALSE)</f>
        <v>Misc. Expense</v>
      </c>
      <c r="X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"/>
      <c r="Z235" t="s">
        <v>11</v>
      </c>
      <c r="AA235" t="s">
        <v>259</v>
      </c>
      <c r="AB235" t="s">
        <v>5</v>
      </c>
      <c r="AC235" s="21">
        <v>9693.73</v>
      </c>
      <c r="AD235" s="21" t="s">
        <v>368</v>
      </c>
      <c r="AE235" t="str">
        <f>VLOOKUP(Table_Query_from_Actuarial___Production3[[#This Row],[Kor1]],$AI$3:$AK$105,3,FALSE)</f>
        <v>Losses Paid</v>
      </c>
      <c r="AF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" spans="18:32" x14ac:dyDescent="0.2">
      <c r="R236" t="s">
        <v>14</v>
      </c>
      <c r="S236" t="s">
        <v>256</v>
      </c>
      <c r="T236" t="s">
        <v>8</v>
      </c>
      <c r="U236" s="21">
        <v>9487.73</v>
      </c>
      <c r="V236" s="21" t="s">
        <v>368</v>
      </c>
      <c r="W236" t="str">
        <f>VLOOKUP(Table_Query_from_Actuarial___Production[[#This Row],[Kor1]],$AI$3:$AK$105,3,FALSE)</f>
        <v>Claims Expense</v>
      </c>
      <c r="X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"/>
      <c r="Z236" t="s">
        <v>14</v>
      </c>
      <c r="AA236" t="s">
        <v>244</v>
      </c>
      <c r="AB236" t="s">
        <v>8</v>
      </c>
      <c r="AC236" s="21">
        <v>125914.59</v>
      </c>
      <c r="AD236" s="21" t="s">
        <v>368</v>
      </c>
      <c r="AE236" t="str">
        <f>VLOOKUP(Table_Query_from_Actuarial___Production3[[#This Row],[Kor1]],$AI$3:$AK$105,3,FALSE)</f>
        <v>Claims Expense</v>
      </c>
      <c r="AF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" spans="18:32" x14ac:dyDescent="0.2">
      <c r="R237" t="s">
        <v>37</v>
      </c>
      <c r="S237" t="s">
        <v>238</v>
      </c>
      <c r="T237" t="s">
        <v>351</v>
      </c>
      <c r="U237" s="21">
        <v>1111.1600000000001</v>
      </c>
      <c r="V237" s="21" t="s">
        <v>368</v>
      </c>
      <c r="W237" t="str">
        <f>VLOOKUP(Table_Query_from_Actuarial___Production[[#This Row],[Kor1]],$AI$3:$AK$105,3,FALSE)</f>
        <v>Misc. Expense</v>
      </c>
      <c r="X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"/>
      <c r="Z237" t="s">
        <v>41</v>
      </c>
      <c r="AA237" t="s">
        <v>228</v>
      </c>
      <c r="AB237" t="s">
        <v>6</v>
      </c>
      <c r="AC237" s="21">
        <v>300</v>
      </c>
      <c r="AD237" s="21" t="s">
        <v>368</v>
      </c>
      <c r="AE237" t="str">
        <f>VLOOKUP(Table_Query_from_Actuarial___Production3[[#This Row],[Kor1]],$AI$3:$AK$105,3,FALSE)</f>
        <v>Misc. Income</v>
      </c>
      <c r="AF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" spans="18:32" x14ac:dyDescent="0.2">
      <c r="R238" t="s">
        <v>46</v>
      </c>
      <c r="S238" t="s">
        <v>354</v>
      </c>
      <c r="T238" t="s">
        <v>356</v>
      </c>
      <c r="U238" s="21">
        <v>1683271.05</v>
      </c>
      <c r="V238" s="21" t="s">
        <v>368</v>
      </c>
      <c r="W238" t="str">
        <f>VLOOKUP(Table_Query_from_Actuarial___Production[[#This Row],[Kor1]],$AI$3:$AK$105,3,FALSE)</f>
        <v>Investment Income</v>
      </c>
      <c r="X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38"/>
      <c r="Z238" t="s">
        <v>48</v>
      </c>
      <c r="AA238" t="s">
        <v>235</v>
      </c>
      <c r="AB238" t="s">
        <v>356</v>
      </c>
      <c r="AC238" s="21">
        <v>12</v>
      </c>
      <c r="AD238" s="21" t="s">
        <v>368</v>
      </c>
      <c r="AE238" t="str">
        <f>VLOOKUP(Table_Query_from_Actuarial___Production3[[#This Row],[Kor1]],$AI$3:$AK$105,3,FALSE)</f>
        <v>Anticipated Salvage</v>
      </c>
      <c r="AF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" spans="18:32" x14ac:dyDescent="0.2">
      <c r="R239" t="s">
        <v>11</v>
      </c>
      <c r="S239" t="s">
        <v>225</v>
      </c>
      <c r="T239" t="s">
        <v>433</v>
      </c>
      <c r="U239" s="21">
        <v>73643.839999999997</v>
      </c>
      <c r="V239" s="21" t="s">
        <v>369</v>
      </c>
      <c r="W239" t="str">
        <f>VLOOKUP(Table_Query_from_Actuarial___Production[[#This Row],[Kor1]],$AI$3:$AK$105,3,FALSE)</f>
        <v>Losses Paid</v>
      </c>
      <c r="X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39"/>
      <c r="Z239" t="s">
        <v>13</v>
      </c>
      <c r="AA239" t="s">
        <v>238</v>
      </c>
      <c r="AB239" t="s">
        <v>433</v>
      </c>
      <c r="AC239" s="21">
        <v>138119.45000000001</v>
      </c>
      <c r="AD239" s="21" t="s">
        <v>368</v>
      </c>
      <c r="AE239" t="str">
        <f>VLOOKUP(Table_Query_from_Actuarial___Production3[[#This Row],[Kor1]],$AI$3:$AK$105,3,FALSE)</f>
        <v>Operating Service Fees</v>
      </c>
      <c r="AF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" spans="18:32" x14ac:dyDescent="0.2">
      <c r="R240" t="s">
        <v>13</v>
      </c>
      <c r="S240" t="s">
        <v>246</v>
      </c>
      <c r="T240" t="s">
        <v>441</v>
      </c>
      <c r="U240" s="21">
        <v>861370.43</v>
      </c>
      <c r="V240" s="21" t="s">
        <v>368</v>
      </c>
      <c r="W240" t="str">
        <f>VLOOKUP(Table_Query_from_Actuarial___Production[[#This Row],[Kor1]],$AI$3:$AK$105,3,FALSE)</f>
        <v>Operating Service Fees</v>
      </c>
      <c r="X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"/>
      <c r="Z240" t="s">
        <v>10</v>
      </c>
      <c r="AA240" t="s">
        <v>240</v>
      </c>
      <c r="AB240" t="s">
        <v>433</v>
      </c>
      <c r="AC240" s="21">
        <v>282136.27</v>
      </c>
      <c r="AD240" s="21" t="s">
        <v>368</v>
      </c>
      <c r="AE240" t="str">
        <f>VLOOKUP(Table_Query_from_Actuarial___Production3[[#This Row],[Kor1]],$AI$3:$AK$105,3,FALSE)</f>
        <v>Commissions</v>
      </c>
      <c r="AF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" spans="18:32" x14ac:dyDescent="0.2">
      <c r="R241" t="s">
        <v>37</v>
      </c>
      <c r="S241" t="s">
        <v>241</v>
      </c>
      <c r="T241" t="s">
        <v>6</v>
      </c>
      <c r="U241" s="21">
        <v>1719.8</v>
      </c>
      <c r="V241" s="21" t="s">
        <v>368</v>
      </c>
      <c r="W241" t="str">
        <f>VLOOKUP(Table_Query_from_Actuarial___Production[[#This Row],[Kor1]],$AI$3:$AK$105,3,FALSE)</f>
        <v>Misc. Expense</v>
      </c>
      <c r="X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"/>
      <c r="Z241" t="s">
        <v>3</v>
      </c>
      <c r="AA241" t="s">
        <v>354</v>
      </c>
      <c r="AB241" t="s">
        <v>441</v>
      </c>
      <c r="AC241" s="21">
        <v>980185655.30999994</v>
      </c>
      <c r="AD241" s="21" t="s">
        <v>369</v>
      </c>
      <c r="AE241" t="str">
        <f>VLOOKUP(Table_Query_from_Actuarial___Production3[[#This Row],[Kor1]],$AI$3:$AK$105,3,FALSE)</f>
        <v>Premiums Written</v>
      </c>
      <c r="AF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42" spans="18:32" x14ac:dyDescent="0.2">
      <c r="R242" t="s">
        <v>14</v>
      </c>
      <c r="S242" t="s">
        <v>229</v>
      </c>
      <c r="T242" t="s">
        <v>7</v>
      </c>
      <c r="U242" s="21">
        <v>3816.58</v>
      </c>
      <c r="V242" s="21" t="s">
        <v>368</v>
      </c>
      <c r="W242" t="str">
        <f>VLOOKUP(Table_Query_from_Actuarial___Production[[#This Row],[Kor1]],$AI$3:$AK$105,3,FALSE)</f>
        <v>Claims Expense</v>
      </c>
      <c r="X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"/>
      <c r="Z242" t="s">
        <v>46</v>
      </c>
      <c r="AA242" t="s">
        <v>226</v>
      </c>
      <c r="AB242" t="s">
        <v>7</v>
      </c>
      <c r="AC242" s="21">
        <v>1342.79</v>
      </c>
      <c r="AD242" s="21" t="s">
        <v>368</v>
      </c>
      <c r="AE242" t="str">
        <f>VLOOKUP(Table_Query_from_Actuarial___Production3[[#This Row],[Kor1]],$AI$3:$AK$105,3,FALSE)</f>
        <v>Investment Income</v>
      </c>
      <c r="AF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43" spans="18:32" x14ac:dyDescent="0.2">
      <c r="R243" t="s">
        <v>49</v>
      </c>
      <c r="S243" t="s">
        <v>242</v>
      </c>
      <c r="T243" t="s">
        <v>441</v>
      </c>
      <c r="U243" s="21">
        <v>37944.230000000003</v>
      </c>
      <c r="V243" s="21" t="s">
        <v>368</v>
      </c>
      <c r="W243" t="str">
        <f>VLOOKUP(Table_Query_from_Actuarial___Production[[#This Row],[Kor1]],$AI$3:$AK$105,3,FALSE)</f>
        <v>ALAE Paid</v>
      </c>
      <c r="X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"/>
      <c r="Z243" t="s">
        <v>33</v>
      </c>
      <c r="AA243" t="s">
        <v>255</v>
      </c>
      <c r="AB243" t="s">
        <v>351</v>
      </c>
      <c r="AC243" s="21">
        <v>15198.82</v>
      </c>
      <c r="AD243" s="21" t="s">
        <v>368</v>
      </c>
      <c r="AE243" t="str">
        <f>VLOOKUP(Table_Query_from_Actuarial___Production3[[#This Row],[Kor1]],$AI$3:$AK$105,3,FALSE)</f>
        <v>Misc. Expense</v>
      </c>
      <c r="AF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" spans="18:32" x14ac:dyDescent="0.2">
      <c r="R244" t="s">
        <v>10</v>
      </c>
      <c r="S244" t="s">
        <v>256</v>
      </c>
      <c r="T244" t="s">
        <v>433</v>
      </c>
      <c r="U244" s="21">
        <v>7806.49</v>
      </c>
      <c r="V244" s="21" t="s">
        <v>368</v>
      </c>
      <c r="W244" t="str">
        <f>VLOOKUP(Table_Query_from_Actuarial___Production[[#This Row],[Kor1]],$AI$3:$AK$105,3,FALSE)</f>
        <v>Commissions</v>
      </c>
      <c r="X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"/>
      <c r="Z244" t="s">
        <v>44</v>
      </c>
      <c r="AA244" t="s">
        <v>226</v>
      </c>
      <c r="AB244" t="s">
        <v>351</v>
      </c>
      <c r="AC244" s="21">
        <v>71041.289999999994</v>
      </c>
      <c r="AD244" s="21" t="s">
        <v>368</v>
      </c>
      <c r="AE244" t="str">
        <f>VLOOKUP(Table_Query_from_Actuarial___Production3[[#This Row],[Kor1]],$AI$3:$AK$105,3,FALSE)</f>
        <v>Charge-offs</v>
      </c>
      <c r="AF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45" spans="18:32" x14ac:dyDescent="0.2">
      <c r="R245" t="s">
        <v>13</v>
      </c>
      <c r="S245" t="s">
        <v>232</v>
      </c>
      <c r="T245" t="s">
        <v>8</v>
      </c>
      <c r="U245" s="21">
        <v>199178.74</v>
      </c>
      <c r="V245" s="21" t="s">
        <v>368</v>
      </c>
      <c r="W245" t="str">
        <f>VLOOKUP(Table_Query_from_Actuarial___Production[[#This Row],[Kor1]],$AI$3:$AK$105,3,FALSE)</f>
        <v>Operating Service Fees</v>
      </c>
      <c r="X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"/>
      <c r="Z245" t="s">
        <v>20</v>
      </c>
      <c r="AA245" t="s">
        <v>244</v>
      </c>
      <c r="AB245" t="s">
        <v>9</v>
      </c>
      <c r="AC245" s="21">
        <v>707.28</v>
      </c>
      <c r="AD245" s="21" t="s">
        <v>368</v>
      </c>
      <c r="AE245" t="str">
        <f>VLOOKUP(Table_Query_from_Actuarial___Production3[[#This Row],[Kor1]],$AI$3:$AK$105,3,FALSE)</f>
        <v>Misc. Expense</v>
      </c>
      <c r="AF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" spans="18:32" x14ac:dyDescent="0.2">
      <c r="R246" t="s">
        <v>17</v>
      </c>
      <c r="S246" t="s">
        <v>250</v>
      </c>
      <c r="T246" t="s">
        <v>441</v>
      </c>
      <c r="U246" s="21">
        <v>63937.919999999998</v>
      </c>
      <c r="V246" s="21" t="s">
        <v>368</v>
      </c>
      <c r="W246" t="str">
        <f>VLOOKUP(Table_Query_from_Actuarial___Production[[#This Row],[Kor1]],$AI$3:$AK$105,3,FALSE)</f>
        <v>IBNR</v>
      </c>
      <c r="X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"/>
      <c r="Z246" t="s">
        <v>14</v>
      </c>
      <c r="AA246" t="s">
        <v>4</v>
      </c>
      <c r="AB246" t="s">
        <v>9</v>
      </c>
      <c r="AC246" s="21">
        <v>1318394.3999999999</v>
      </c>
      <c r="AD246" s="21" t="s">
        <v>368</v>
      </c>
      <c r="AE246" t="str">
        <f>VLOOKUP(Table_Query_from_Actuarial___Production3[[#This Row],[Kor1]],$AI$3:$AK$105,3,FALSE)</f>
        <v>Claims Expense</v>
      </c>
      <c r="AF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" spans="18:32" x14ac:dyDescent="0.2">
      <c r="R247" t="s">
        <v>20</v>
      </c>
      <c r="S247" t="s">
        <v>256</v>
      </c>
      <c r="T247" t="s">
        <v>445</v>
      </c>
      <c r="U247" s="21">
        <v>56.96</v>
      </c>
      <c r="V247" s="21" t="s">
        <v>368</v>
      </c>
      <c r="W247" t="str">
        <f>VLOOKUP(Table_Query_from_Actuarial___Production[[#This Row],[Kor1]],$AI$3:$AK$105,3,FALSE)</f>
        <v>Misc. Expense</v>
      </c>
      <c r="X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"/>
      <c r="Z247" t="s">
        <v>36</v>
      </c>
      <c r="AA247" t="s">
        <v>252</v>
      </c>
      <c r="AB247" t="s">
        <v>356</v>
      </c>
      <c r="AC247" s="21">
        <v>174725.92</v>
      </c>
      <c r="AD247" s="21" t="s">
        <v>368</v>
      </c>
      <c r="AE247" t="str">
        <f>VLOOKUP(Table_Query_from_Actuarial___Production3[[#This Row],[Kor1]],$AI$3:$AK$105,3,FALSE)</f>
        <v>Misc. Expense</v>
      </c>
      <c r="AF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" spans="18:32" x14ac:dyDescent="0.2">
      <c r="R248" t="s">
        <v>50</v>
      </c>
      <c r="S248" t="s">
        <v>229</v>
      </c>
      <c r="T248" t="s">
        <v>433</v>
      </c>
      <c r="U248" s="21">
        <v>23563.119999999999</v>
      </c>
      <c r="V248" s="21" t="s">
        <v>368</v>
      </c>
      <c r="W248" t="str">
        <f>VLOOKUP(Table_Query_from_Actuarial___Production[[#This Row],[Kor1]],$AI$3:$AK$105,3,FALSE)</f>
        <v>ALAE Reserve</v>
      </c>
      <c r="X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"/>
      <c r="Z248" t="s">
        <v>40</v>
      </c>
      <c r="AA248" t="s">
        <v>256</v>
      </c>
      <c r="AB248" t="s">
        <v>8</v>
      </c>
      <c r="AC248" s="21">
        <v>4</v>
      </c>
      <c r="AD248" s="21" t="s">
        <v>368</v>
      </c>
      <c r="AE248" t="str">
        <f>VLOOKUP(Table_Query_from_Actuarial___Production3[[#This Row],[Kor1]],$AI$3:$AK$105,3,FALSE)</f>
        <v>Misc. Income</v>
      </c>
      <c r="AF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" spans="18:32" x14ac:dyDescent="0.2">
      <c r="R249" t="s">
        <v>18</v>
      </c>
      <c r="S249" t="s">
        <v>225</v>
      </c>
      <c r="T249" t="s">
        <v>8</v>
      </c>
      <c r="U249" s="21">
        <v>1011823.53</v>
      </c>
      <c r="V249" s="21" t="s">
        <v>369</v>
      </c>
      <c r="W249" t="str">
        <f>VLOOKUP(Table_Query_from_Actuarial___Production[[#This Row],[Kor1]],$AI$3:$AK$105,3,FALSE)</f>
        <v>Misc. Expense</v>
      </c>
      <c r="X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49"/>
      <c r="Z249" t="s">
        <v>41</v>
      </c>
      <c r="AA249" t="s">
        <v>249</v>
      </c>
      <c r="AB249" t="s">
        <v>433</v>
      </c>
      <c r="AC249" s="21">
        <v>-50</v>
      </c>
      <c r="AD249" s="21" t="s">
        <v>368</v>
      </c>
      <c r="AE249" t="str">
        <f>VLOOKUP(Table_Query_from_Actuarial___Production3[[#This Row],[Kor1]],$AI$3:$AK$105,3,FALSE)</f>
        <v>Misc. Income</v>
      </c>
      <c r="AF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" spans="18:32" x14ac:dyDescent="0.2">
      <c r="R250" t="s">
        <v>13</v>
      </c>
      <c r="S250" t="s">
        <v>251</v>
      </c>
      <c r="T250" t="s">
        <v>433</v>
      </c>
      <c r="U250" s="21">
        <v>136037.70000000001</v>
      </c>
      <c r="V250" s="21" t="s">
        <v>368</v>
      </c>
      <c r="W250" t="str">
        <f>VLOOKUP(Table_Query_from_Actuarial___Production[[#This Row],[Kor1]],$AI$3:$AK$105,3,FALSE)</f>
        <v>Operating Service Fees</v>
      </c>
      <c r="X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"/>
      <c r="Z250" t="s">
        <v>44</v>
      </c>
      <c r="AA250" t="s">
        <v>254</v>
      </c>
      <c r="AB250" t="s">
        <v>427</v>
      </c>
      <c r="AC250" s="21">
        <v>136977.35999999999</v>
      </c>
      <c r="AD250" s="21" t="s">
        <v>368</v>
      </c>
      <c r="AE250" t="str">
        <f>VLOOKUP(Table_Query_from_Actuarial___Production3[[#This Row],[Kor1]],$AI$3:$AK$105,3,FALSE)</f>
        <v>Charge-offs</v>
      </c>
      <c r="AF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" spans="18:32" x14ac:dyDescent="0.2">
      <c r="R251" t="s">
        <v>3</v>
      </c>
      <c r="S251" t="s">
        <v>231</v>
      </c>
      <c r="T251" t="s">
        <v>7</v>
      </c>
      <c r="U251" s="21">
        <v>98501</v>
      </c>
      <c r="V251" s="21" t="s">
        <v>368</v>
      </c>
      <c r="W251" t="str">
        <f>VLOOKUP(Table_Query_from_Actuarial___Production[[#This Row],[Kor1]],$AI$3:$AK$105,3,FALSE)</f>
        <v>Premiums Written</v>
      </c>
      <c r="X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"/>
      <c r="Z251" t="s">
        <v>14</v>
      </c>
      <c r="AA251" t="s">
        <v>226</v>
      </c>
      <c r="AB251" t="s">
        <v>356</v>
      </c>
      <c r="AC251" s="21">
        <v>568183.17000000004</v>
      </c>
      <c r="AD251" s="21" t="s">
        <v>368</v>
      </c>
      <c r="AE251" t="str">
        <f>VLOOKUP(Table_Query_from_Actuarial___Production3[[#This Row],[Kor1]],$AI$3:$AK$105,3,FALSE)</f>
        <v>Claims Expense</v>
      </c>
      <c r="AF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52" spans="18:32" x14ac:dyDescent="0.2">
      <c r="R252" t="s">
        <v>32</v>
      </c>
      <c r="S252" t="s">
        <v>236</v>
      </c>
      <c r="T252" t="s">
        <v>351</v>
      </c>
      <c r="U252" s="21">
        <v>-656</v>
      </c>
      <c r="V252" s="21" t="s">
        <v>368</v>
      </c>
      <c r="W252" t="str">
        <f>VLOOKUP(Table_Query_from_Actuarial___Production[[#This Row],[Kor1]],$AI$3:$AK$105,3,FALSE)</f>
        <v>Misc. Expense</v>
      </c>
      <c r="X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"/>
      <c r="Z252" t="s">
        <v>12</v>
      </c>
      <c r="AA252" t="s">
        <v>257</v>
      </c>
      <c r="AB252" t="s">
        <v>427</v>
      </c>
      <c r="AC252" s="21">
        <v>56257.61</v>
      </c>
      <c r="AD252" s="21" t="s">
        <v>368</v>
      </c>
      <c r="AE252" t="str">
        <f>VLOOKUP(Table_Query_from_Actuarial___Production3[[#This Row],[Kor1]],$AI$3:$AK$105,3,FALSE)</f>
        <v>Premium Tax</v>
      </c>
      <c r="AF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" spans="18:32" x14ac:dyDescent="0.2">
      <c r="R253" t="s">
        <v>20</v>
      </c>
      <c r="S253" t="s">
        <v>4</v>
      </c>
      <c r="T253" t="s">
        <v>6</v>
      </c>
      <c r="U253" s="21">
        <v>2097.38</v>
      </c>
      <c r="V253" s="21" t="s">
        <v>368</v>
      </c>
      <c r="W253" t="str">
        <f>VLOOKUP(Table_Query_from_Actuarial___Production[[#This Row],[Kor1]],$AI$3:$AK$105,3,FALSE)</f>
        <v>Misc. Expense</v>
      </c>
      <c r="X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"/>
      <c r="Z253" t="s">
        <v>23</v>
      </c>
      <c r="AA253" t="s">
        <v>259</v>
      </c>
      <c r="AB253" t="s">
        <v>433</v>
      </c>
      <c r="AC253" s="21">
        <v>2459.6799999999998</v>
      </c>
      <c r="AD253" s="21" t="s">
        <v>368</v>
      </c>
      <c r="AE253" t="str">
        <f>VLOOKUP(Table_Query_from_Actuarial___Production3[[#This Row],[Kor1]],$AI$3:$AK$105,3,FALSE)</f>
        <v>Misc. Expense</v>
      </c>
      <c r="AF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" spans="18:32" x14ac:dyDescent="0.2">
      <c r="R254" t="s">
        <v>14</v>
      </c>
      <c r="S254" t="s">
        <v>230</v>
      </c>
      <c r="T254" t="s">
        <v>356</v>
      </c>
      <c r="U254" s="21">
        <v>2092542.11</v>
      </c>
      <c r="V254" s="21" t="s">
        <v>368</v>
      </c>
      <c r="W254" t="str">
        <f>VLOOKUP(Table_Query_from_Actuarial___Production[[#This Row],[Kor1]],$AI$3:$AK$105,3,FALSE)</f>
        <v>Claims Expense</v>
      </c>
      <c r="X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"/>
      <c r="Z254" t="s">
        <v>439</v>
      </c>
      <c r="AA254" t="s">
        <v>253</v>
      </c>
      <c r="AB254" t="s">
        <v>433</v>
      </c>
      <c r="AC254" s="21">
        <v>7</v>
      </c>
      <c r="AD254" s="21" t="s">
        <v>368</v>
      </c>
      <c r="AE254" t="str">
        <f>VLOOKUP(Table_Query_from_Actuarial___Production3[[#This Row],[Kor1]],$AI$3:$AK$105,3,FALSE)</f>
        <v>Operating Service Fees</v>
      </c>
      <c r="AF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" spans="18:32" x14ac:dyDescent="0.2">
      <c r="R255" t="s">
        <v>48</v>
      </c>
      <c r="S255" t="s">
        <v>245</v>
      </c>
      <c r="T255" t="s">
        <v>442</v>
      </c>
      <c r="U255" s="21">
        <v>8.2899999999999991</v>
      </c>
      <c r="V255" s="21" t="s">
        <v>368</v>
      </c>
      <c r="W255" t="str">
        <f>VLOOKUP(Table_Query_from_Actuarial___Production[[#This Row],[Kor1]],$AI$3:$AK$105,3,FALSE)</f>
        <v>Anticipated Salvage</v>
      </c>
      <c r="X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"/>
      <c r="Z255" t="s">
        <v>48</v>
      </c>
      <c r="AA255" t="s">
        <v>261</v>
      </c>
      <c r="AB255" t="s">
        <v>443</v>
      </c>
      <c r="AC255" s="21">
        <v>25.6</v>
      </c>
      <c r="AD255" s="21" t="s">
        <v>368</v>
      </c>
      <c r="AE255" t="str">
        <f>VLOOKUP(Table_Query_from_Actuarial___Production3[[#This Row],[Kor1]],$AI$3:$AK$105,3,FALSE)</f>
        <v>Anticipated Salvage</v>
      </c>
      <c r="AF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" spans="18:32" x14ac:dyDescent="0.2">
      <c r="R256" t="s">
        <v>39</v>
      </c>
      <c r="S256" t="s">
        <v>245</v>
      </c>
      <c r="T256" t="s">
        <v>351</v>
      </c>
      <c r="U256" s="21">
        <v>552</v>
      </c>
      <c r="V256" s="21" t="s">
        <v>368</v>
      </c>
      <c r="W256" t="str">
        <f>VLOOKUP(Table_Query_from_Actuarial___Production[[#This Row],[Kor1]],$AI$3:$AK$105,3,FALSE)</f>
        <v>Misc. Income for Insolvent Companies</v>
      </c>
      <c r="X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"/>
      <c r="Z256" t="s">
        <v>33</v>
      </c>
      <c r="AA256" t="s">
        <v>258</v>
      </c>
      <c r="AB256" t="s">
        <v>9</v>
      </c>
      <c r="AC256" s="21">
        <v>17422.75</v>
      </c>
      <c r="AD256" s="21" t="s">
        <v>368</v>
      </c>
      <c r="AE256" t="str">
        <f>VLOOKUP(Table_Query_from_Actuarial___Production3[[#This Row],[Kor1]],$AI$3:$AK$105,3,FALSE)</f>
        <v>Misc. Expense</v>
      </c>
      <c r="AF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" spans="18:32" x14ac:dyDescent="0.2">
      <c r="R257" t="s">
        <v>33</v>
      </c>
      <c r="S257" t="s">
        <v>227</v>
      </c>
      <c r="T257" t="s">
        <v>7</v>
      </c>
      <c r="U257" s="21">
        <v>18469.169999999998</v>
      </c>
      <c r="V257" s="21" t="s">
        <v>368</v>
      </c>
      <c r="W257" t="str">
        <f>VLOOKUP(Table_Query_from_Actuarial___Production[[#This Row],[Kor1]],$AI$3:$AK$105,3,FALSE)</f>
        <v>Misc. Expense</v>
      </c>
      <c r="X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"/>
      <c r="Z257" t="s">
        <v>36</v>
      </c>
      <c r="AA257" t="s">
        <v>230</v>
      </c>
      <c r="AB257" t="s">
        <v>442</v>
      </c>
      <c r="AC257" s="21">
        <v>21712.44</v>
      </c>
      <c r="AD257" s="21" t="s">
        <v>368</v>
      </c>
      <c r="AE257" t="str">
        <f>VLOOKUP(Table_Query_from_Actuarial___Production3[[#This Row],[Kor1]],$AI$3:$AK$105,3,FALSE)</f>
        <v>Misc. Expense</v>
      </c>
      <c r="AF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" spans="18:32" x14ac:dyDescent="0.2">
      <c r="R258" t="s">
        <v>38</v>
      </c>
      <c r="S258" t="s">
        <v>225</v>
      </c>
      <c r="T258" t="s">
        <v>8</v>
      </c>
      <c r="U258" s="21">
        <v>1387918.86</v>
      </c>
      <c r="V258" s="21" t="s">
        <v>368</v>
      </c>
      <c r="W258" t="str">
        <f>VLOOKUP(Table_Query_from_Actuarial___Production[[#This Row],[Kor1]],$AI$3:$AK$105,3,FALSE)</f>
        <v>Misc. Income</v>
      </c>
      <c r="X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58"/>
      <c r="Z258" t="s">
        <v>41</v>
      </c>
      <c r="AA258" t="s">
        <v>241</v>
      </c>
      <c r="AB258" t="s">
        <v>351</v>
      </c>
      <c r="AC258" s="21">
        <v>1149.98</v>
      </c>
      <c r="AD258" s="21" t="s">
        <v>368</v>
      </c>
      <c r="AE258" t="str">
        <f>VLOOKUP(Table_Query_from_Actuarial___Production3[[#This Row],[Kor1]],$AI$3:$AK$105,3,FALSE)</f>
        <v>Misc. Income</v>
      </c>
      <c r="AF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" spans="18:32" x14ac:dyDescent="0.2">
      <c r="R259" t="s">
        <v>44</v>
      </c>
      <c r="S259" t="s">
        <v>226</v>
      </c>
      <c r="T259" t="s">
        <v>441</v>
      </c>
      <c r="U259" s="21">
        <v>124121</v>
      </c>
      <c r="V259" s="21" t="s">
        <v>368</v>
      </c>
      <c r="W259" t="str">
        <f>VLOOKUP(Table_Query_from_Actuarial___Production[[#This Row],[Kor1]],$AI$3:$AK$105,3,FALSE)</f>
        <v>Charge-offs</v>
      </c>
      <c r="X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59"/>
      <c r="Z259" t="s">
        <v>44</v>
      </c>
      <c r="AA259" t="s">
        <v>225</v>
      </c>
      <c r="AB259" t="s">
        <v>442</v>
      </c>
      <c r="AC259" s="21">
        <v>37149.06</v>
      </c>
      <c r="AD259" s="21" t="s">
        <v>368</v>
      </c>
      <c r="AE259" t="str">
        <f>VLOOKUP(Table_Query_from_Actuarial___Production3[[#This Row],[Kor1]],$AI$3:$AK$105,3,FALSE)</f>
        <v>Charge-offs</v>
      </c>
      <c r="AF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60" spans="18:32" x14ac:dyDescent="0.2">
      <c r="R260" t="s">
        <v>3</v>
      </c>
      <c r="S260" t="s">
        <v>229</v>
      </c>
      <c r="T260" t="s">
        <v>445</v>
      </c>
      <c r="U260" s="21">
        <v>38810</v>
      </c>
      <c r="V260" s="21" t="s">
        <v>368</v>
      </c>
      <c r="W260" t="str">
        <f>VLOOKUP(Table_Query_from_Actuarial___Production[[#This Row],[Kor1]],$AI$3:$AK$105,3,FALSE)</f>
        <v>Premiums Written</v>
      </c>
      <c r="X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"/>
      <c r="Z260" t="s">
        <v>37</v>
      </c>
      <c r="AA260" t="s">
        <v>235</v>
      </c>
      <c r="AB260" t="s">
        <v>5</v>
      </c>
      <c r="AC260" s="21">
        <v>19.05</v>
      </c>
      <c r="AD260" s="21" t="s">
        <v>368</v>
      </c>
      <c r="AE260" t="str">
        <f>VLOOKUP(Table_Query_from_Actuarial___Production3[[#This Row],[Kor1]],$AI$3:$AK$105,3,FALSE)</f>
        <v>Misc. Expense</v>
      </c>
      <c r="AF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" spans="18:32" x14ac:dyDescent="0.2">
      <c r="R261" t="s">
        <v>49</v>
      </c>
      <c r="S261" t="s">
        <v>237</v>
      </c>
      <c r="T261" t="s">
        <v>442</v>
      </c>
      <c r="U261" s="21">
        <v>674799.72</v>
      </c>
      <c r="V261" s="21" t="s">
        <v>368</v>
      </c>
      <c r="W261" t="str">
        <f>VLOOKUP(Table_Query_from_Actuarial___Production[[#This Row],[Kor1]],$AI$3:$AK$105,3,FALSE)</f>
        <v>ALAE Paid</v>
      </c>
      <c r="X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"/>
      <c r="Z261" t="s">
        <v>13</v>
      </c>
      <c r="AA261" t="s">
        <v>241</v>
      </c>
      <c r="AB261" t="s">
        <v>5</v>
      </c>
      <c r="AC261" s="21">
        <v>46129.71</v>
      </c>
      <c r="AD261" s="21" t="s">
        <v>368</v>
      </c>
      <c r="AE261" t="str">
        <f>VLOOKUP(Table_Query_from_Actuarial___Production3[[#This Row],[Kor1]],$AI$3:$AK$105,3,FALSE)</f>
        <v>Operating Service Fees</v>
      </c>
      <c r="AF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" spans="18:32" x14ac:dyDescent="0.2">
      <c r="R262" t="s">
        <v>33</v>
      </c>
      <c r="S262" t="s">
        <v>254</v>
      </c>
      <c r="T262" t="s">
        <v>6</v>
      </c>
      <c r="U262" s="21">
        <v>11287.5</v>
      </c>
      <c r="V262" s="21" t="s">
        <v>368</v>
      </c>
      <c r="W262" t="str">
        <f>VLOOKUP(Table_Query_from_Actuarial___Production[[#This Row],[Kor1]],$AI$3:$AK$105,3,FALSE)</f>
        <v>Misc. Expense</v>
      </c>
      <c r="X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"/>
      <c r="Z262" t="s">
        <v>16</v>
      </c>
      <c r="AA262" t="s">
        <v>354</v>
      </c>
      <c r="AB262" t="s">
        <v>443</v>
      </c>
      <c r="AC262" s="21">
        <v>2227278.5699999998</v>
      </c>
      <c r="AD262" s="21" t="s">
        <v>368</v>
      </c>
      <c r="AE262" t="str">
        <f>VLOOKUP(Table_Query_from_Actuarial___Production3[[#This Row],[Kor1]],$AI$3:$AK$105,3,FALSE)</f>
        <v>Losses Outstanding</v>
      </c>
      <c r="AF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63" spans="18:32" x14ac:dyDescent="0.2">
      <c r="R263" t="s">
        <v>10</v>
      </c>
      <c r="S263" t="s">
        <v>224</v>
      </c>
      <c r="T263" t="s">
        <v>7</v>
      </c>
      <c r="U263" s="21">
        <v>106047.27</v>
      </c>
      <c r="V263" s="21" t="s">
        <v>368</v>
      </c>
      <c r="W263" t="str">
        <f>VLOOKUP(Table_Query_from_Actuarial___Production[[#This Row],[Kor1]],$AI$3:$AK$105,3,FALSE)</f>
        <v>Commissions</v>
      </c>
      <c r="X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63"/>
      <c r="Z263" t="s">
        <v>42</v>
      </c>
      <c r="AA263" t="s">
        <v>4</v>
      </c>
      <c r="AB263" t="s">
        <v>427</v>
      </c>
      <c r="AC263" s="21">
        <v>147.06</v>
      </c>
      <c r="AD263" s="21" t="s">
        <v>368</v>
      </c>
      <c r="AE263" t="str">
        <f>VLOOKUP(Table_Query_from_Actuarial___Production3[[#This Row],[Kor1]],$AI$3:$AK$105,3,FALSE)</f>
        <v>Misc. Income</v>
      </c>
      <c r="AF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" spans="18:32" x14ac:dyDescent="0.2">
      <c r="R264" t="s">
        <v>48</v>
      </c>
      <c r="S264" t="s">
        <v>224</v>
      </c>
      <c r="T264" t="s">
        <v>441</v>
      </c>
      <c r="U264" s="21">
        <v>2054.0500000000002</v>
      </c>
      <c r="V264" s="21" t="s">
        <v>370</v>
      </c>
      <c r="W264" t="str">
        <f>VLOOKUP(Table_Query_from_Actuarial___Production[[#This Row],[Kor1]],$AI$3:$AK$105,3,FALSE)</f>
        <v>Anticipated Salvage</v>
      </c>
      <c r="X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64"/>
      <c r="Z264" t="s">
        <v>44</v>
      </c>
      <c r="AA264" t="s">
        <v>244</v>
      </c>
      <c r="AB264" t="s">
        <v>351</v>
      </c>
      <c r="AC264" s="21">
        <v>66.400000000000006</v>
      </c>
      <c r="AD264" s="21" t="s">
        <v>368</v>
      </c>
      <c r="AE264" t="str">
        <f>VLOOKUP(Table_Query_from_Actuarial___Production3[[#This Row],[Kor1]],$AI$3:$AK$105,3,FALSE)</f>
        <v>Charge-offs</v>
      </c>
      <c r="AF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" spans="18:32" x14ac:dyDescent="0.2">
      <c r="R265" t="s">
        <v>3</v>
      </c>
      <c r="S265" t="s">
        <v>242</v>
      </c>
      <c r="T265" t="s">
        <v>442</v>
      </c>
      <c r="U265" s="21">
        <v>469784</v>
      </c>
      <c r="V265" s="21" t="s">
        <v>368</v>
      </c>
      <c r="W265" t="str">
        <f>VLOOKUP(Table_Query_from_Actuarial___Production[[#This Row],[Kor1]],$AI$3:$AK$105,3,FALSE)</f>
        <v>Premiums Written</v>
      </c>
      <c r="X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"/>
      <c r="Z265" t="s">
        <v>14</v>
      </c>
      <c r="AA265" t="s">
        <v>256</v>
      </c>
      <c r="AB265" t="s">
        <v>8</v>
      </c>
      <c r="AC265" s="21">
        <v>9487.73</v>
      </c>
      <c r="AD265" s="21" t="s">
        <v>368</v>
      </c>
      <c r="AE265" t="str">
        <f>VLOOKUP(Table_Query_from_Actuarial___Production3[[#This Row],[Kor1]],$AI$3:$AK$105,3,FALSE)</f>
        <v>Claims Expense</v>
      </c>
      <c r="AF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" spans="18:32" x14ac:dyDescent="0.2">
      <c r="R266" t="s">
        <v>12</v>
      </c>
      <c r="S266" t="s">
        <v>249</v>
      </c>
      <c r="T266" t="s">
        <v>445</v>
      </c>
      <c r="U266" s="21">
        <v>19952.52</v>
      </c>
      <c r="V266" s="21" t="s">
        <v>368</v>
      </c>
      <c r="W266" t="str">
        <f>VLOOKUP(Table_Query_from_Actuarial___Production[[#This Row],[Kor1]],$AI$3:$AK$105,3,FALSE)</f>
        <v>Premium Tax</v>
      </c>
      <c r="X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"/>
      <c r="Z266" t="s">
        <v>37</v>
      </c>
      <c r="AA266" t="s">
        <v>238</v>
      </c>
      <c r="AB266" t="s">
        <v>351</v>
      </c>
      <c r="AC266" s="21">
        <v>1111.1600000000001</v>
      </c>
      <c r="AD266" s="21" t="s">
        <v>368</v>
      </c>
      <c r="AE266" t="str">
        <f>VLOOKUP(Table_Query_from_Actuarial___Production3[[#This Row],[Kor1]],$AI$3:$AK$105,3,FALSE)</f>
        <v>Misc. Expense</v>
      </c>
      <c r="AF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" spans="18:32" x14ac:dyDescent="0.2">
      <c r="R267" t="s">
        <v>12</v>
      </c>
      <c r="S267" t="s">
        <v>257</v>
      </c>
      <c r="T267" t="s">
        <v>443</v>
      </c>
      <c r="U267" s="21">
        <v>59666.45</v>
      </c>
      <c r="V267" s="21" t="s">
        <v>368</v>
      </c>
      <c r="W267" t="str">
        <f>VLOOKUP(Table_Query_from_Actuarial___Production[[#This Row],[Kor1]],$AI$3:$AK$105,3,FALSE)</f>
        <v>Premium Tax</v>
      </c>
      <c r="X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"/>
      <c r="Z267" t="s">
        <v>46</v>
      </c>
      <c r="AA267" t="s">
        <v>354</v>
      </c>
      <c r="AB267" t="s">
        <v>356</v>
      </c>
      <c r="AC267" s="21">
        <v>1683271.05</v>
      </c>
      <c r="AD267" s="21" t="s">
        <v>368</v>
      </c>
      <c r="AE267" t="str">
        <f>VLOOKUP(Table_Query_from_Actuarial___Production3[[#This Row],[Kor1]],$AI$3:$AK$105,3,FALSE)</f>
        <v>Investment Income</v>
      </c>
      <c r="AF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68" spans="18:32" x14ac:dyDescent="0.2">
      <c r="R268" t="s">
        <v>31</v>
      </c>
      <c r="S268" t="s">
        <v>259</v>
      </c>
      <c r="T268" t="s">
        <v>445</v>
      </c>
      <c r="U268" s="21">
        <v>-14.55</v>
      </c>
      <c r="V268" s="21" t="s">
        <v>368</v>
      </c>
      <c r="W268" t="str">
        <f>VLOOKUP(Table_Query_from_Actuarial___Production[[#This Row],[Kor1]],$AI$3:$AK$105,3,FALSE)</f>
        <v>Misc. Expense</v>
      </c>
      <c r="X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"/>
      <c r="Z268" t="s">
        <v>11</v>
      </c>
      <c r="AA268" t="s">
        <v>225</v>
      </c>
      <c r="AB268" t="s">
        <v>433</v>
      </c>
      <c r="AC268" s="21">
        <v>71154.600000000006</v>
      </c>
      <c r="AD268" s="21" t="s">
        <v>369</v>
      </c>
      <c r="AE268" t="str">
        <f>VLOOKUP(Table_Query_from_Actuarial___Production3[[#This Row],[Kor1]],$AI$3:$AK$105,3,FALSE)</f>
        <v>Losses Paid</v>
      </c>
      <c r="AF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69" spans="18:32" x14ac:dyDescent="0.2">
      <c r="R269" t="s">
        <v>3</v>
      </c>
      <c r="S269" t="s">
        <v>354</v>
      </c>
      <c r="T269" t="s">
        <v>351</v>
      </c>
      <c r="U269" s="21">
        <v>931550906.97000003</v>
      </c>
      <c r="V269" s="21" t="s">
        <v>369</v>
      </c>
      <c r="W269" t="str">
        <f>VLOOKUP(Table_Query_from_Actuarial___Production[[#This Row],[Kor1]],$AI$3:$AK$105,3,FALSE)</f>
        <v>Premiums Written</v>
      </c>
      <c r="X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69"/>
      <c r="Z269" t="s">
        <v>13</v>
      </c>
      <c r="AA269" t="s">
        <v>246</v>
      </c>
      <c r="AB269" t="s">
        <v>441</v>
      </c>
      <c r="AC269" s="21">
        <v>861370.43</v>
      </c>
      <c r="AD269" s="21" t="s">
        <v>368</v>
      </c>
      <c r="AE269" t="str">
        <f>VLOOKUP(Table_Query_from_Actuarial___Production3[[#This Row],[Kor1]],$AI$3:$AK$105,3,FALSE)</f>
        <v>Operating Service Fees</v>
      </c>
      <c r="AF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" spans="18:32" x14ac:dyDescent="0.2">
      <c r="R270" t="s">
        <v>33</v>
      </c>
      <c r="S270" t="s">
        <v>232</v>
      </c>
      <c r="T270" t="s">
        <v>445</v>
      </c>
      <c r="U270" s="21">
        <v>8871.2800000000007</v>
      </c>
      <c r="V270" s="21" t="s">
        <v>368</v>
      </c>
      <c r="W270" t="str">
        <f>VLOOKUP(Table_Query_from_Actuarial___Production[[#This Row],[Kor1]],$AI$3:$AK$105,3,FALSE)</f>
        <v>Misc. Expense</v>
      </c>
      <c r="X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"/>
      <c r="Z270" t="s">
        <v>37</v>
      </c>
      <c r="AA270" t="s">
        <v>241</v>
      </c>
      <c r="AB270" t="s">
        <v>6</v>
      </c>
      <c r="AC270" s="21">
        <v>1719.8</v>
      </c>
      <c r="AD270" s="21" t="s">
        <v>368</v>
      </c>
      <c r="AE270" t="str">
        <f>VLOOKUP(Table_Query_from_Actuarial___Production3[[#This Row],[Kor1]],$AI$3:$AK$105,3,FALSE)</f>
        <v>Misc. Expense</v>
      </c>
      <c r="AF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" spans="18:32" x14ac:dyDescent="0.2">
      <c r="R271" t="s">
        <v>32</v>
      </c>
      <c r="S271" t="s">
        <v>239</v>
      </c>
      <c r="T271" t="s">
        <v>9</v>
      </c>
      <c r="U271" s="21">
        <v>11303.39</v>
      </c>
      <c r="V271" s="21" t="s">
        <v>368</v>
      </c>
      <c r="W271" t="str">
        <f>VLOOKUP(Table_Query_from_Actuarial___Production[[#This Row],[Kor1]],$AI$3:$AK$105,3,FALSE)</f>
        <v>Misc. Expense</v>
      </c>
      <c r="X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"/>
      <c r="Z271" t="s">
        <v>14</v>
      </c>
      <c r="AA271" t="s">
        <v>229</v>
      </c>
      <c r="AB271" t="s">
        <v>7</v>
      </c>
      <c r="AC271" s="21">
        <v>3816.58</v>
      </c>
      <c r="AD271" s="21" t="s">
        <v>368</v>
      </c>
      <c r="AE271" t="str">
        <f>VLOOKUP(Table_Query_from_Actuarial___Production3[[#This Row],[Kor1]],$AI$3:$AK$105,3,FALSE)</f>
        <v>Claims Expense</v>
      </c>
      <c r="AF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" spans="18:32" x14ac:dyDescent="0.2">
      <c r="R272" t="s">
        <v>39</v>
      </c>
      <c r="S272" t="s">
        <v>227</v>
      </c>
      <c r="T272" t="s">
        <v>443</v>
      </c>
      <c r="U272" s="21">
        <v>1372.57</v>
      </c>
      <c r="V272" s="21" t="s">
        <v>368</v>
      </c>
      <c r="W272" t="str">
        <f>VLOOKUP(Table_Query_from_Actuarial___Production[[#This Row],[Kor1]],$AI$3:$AK$105,3,FALSE)</f>
        <v>Misc. Income for Insolvent Companies</v>
      </c>
      <c r="X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"/>
      <c r="Z272" t="s">
        <v>49</v>
      </c>
      <c r="AA272" t="s">
        <v>242</v>
      </c>
      <c r="AB272" t="s">
        <v>441</v>
      </c>
      <c r="AC272" s="21">
        <v>16515.2</v>
      </c>
      <c r="AD272" s="21" t="s">
        <v>368</v>
      </c>
      <c r="AE272" t="str">
        <f>VLOOKUP(Table_Query_from_Actuarial___Production3[[#This Row],[Kor1]],$AI$3:$AK$105,3,FALSE)</f>
        <v>ALAE Paid</v>
      </c>
      <c r="AF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" spans="18:32" x14ac:dyDescent="0.2">
      <c r="R273" t="s">
        <v>41</v>
      </c>
      <c r="S273" t="s">
        <v>242</v>
      </c>
      <c r="T273" t="s">
        <v>8</v>
      </c>
      <c r="U273" s="21">
        <v>1310.24</v>
      </c>
      <c r="V273" s="21" t="s">
        <v>368</v>
      </c>
      <c r="W273" t="str">
        <f>VLOOKUP(Table_Query_from_Actuarial___Production[[#This Row],[Kor1]],$AI$3:$AK$105,3,FALSE)</f>
        <v>Misc. Income</v>
      </c>
      <c r="X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"/>
      <c r="Z273" t="s">
        <v>3</v>
      </c>
      <c r="AA273" t="s">
        <v>4</v>
      </c>
      <c r="AB273" t="s">
        <v>5</v>
      </c>
      <c r="AC273" s="21">
        <v>3524701</v>
      </c>
      <c r="AD273" s="21" t="s">
        <v>368</v>
      </c>
      <c r="AE273" t="str">
        <f>VLOOKUP(Table_Query_from_Actuarial___Production3[[#This Row],[Kor1]],$AI$3:$AK$105,3,FALSE)</f>
        <v>Premiums Written</v>
      </c>
      <c r="AF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" spans="18:32" x14ac:dyDescent="0.2">
      <c r="R274" t="s">
        <v>31</v>
      </c>
      <c r="S274" t="s">
        <v>235</v>
      </c>
      <c r="T274" t="s">
        <v>442</v>
      </c>
      <c r="U274" s="21">
        <v>964.07</v>
      </c>
      <c r="V274" s="21" t="s">
        <v>368</v>
      </c>
      <c r="W274" t="str">
        <f>VLOOKUP(Table_Query_from_Actuarial___Production[[#This Row],[Kor1]],$AI$3:$AK$105,3,FALSE)</f>
        <v>Misc. Expense</v>
      </c>
      <c r="X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"/>
      <c r="Z274" t="s">
        <v>10</v>
      </c>
      <c r="AA274" t="s">
        <v>256</v>
      </c>
      <c r="AB274" t="s">
        <v>433</v>
      </c>
      <c r="AC274" s="21">
        <v>7806.49</v>
      </c>
      <c r="AD274" s="21" t="s">
        <v>368</v>
      </c>
      <c r="AE274" t="str">
        <f>VLOOKUP(Table_Query_from_Actuarial___Production3[[#This Row],[Kor1]],$AI$3:$AK$105,3,FALSE)</f>
        <v>Commissions</v>
      </c>
      <c r="AF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" spans="18:32" x14ac:dyDescent="0.2">
      <c r="R275" t="s">
        <v>48</v>
      </c>
      <c r="S275" t="s">
        <v>267</v>
      </c>
      <c r="T275" t="s">
        <v>441</v>
      </c>
      <c r="U275" s="21">
        <v>4564.2299999999996</v>
      </c>
      <c r="V275" s="21" t="s">
        <v>368</v>
      </c>
      <c r="W275" t="str">
        <f>VLOOKUP(Table_Query_from_Actuarial___Production[[#This Row],[Kor1]],$AI$3:$AK$105,3,FALSE)</f>
        <v>Anticipated Salvage</v>
      </c>
      <c r="X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"/>
      <c r="Z275" t="s">
        <v>13</v>
      </c>
      <c r="AA275" t="s">
        <v>232</v>
      </c>
      <c r="AB275" t="s">
        <v>8</v>
      </c>
      <c r="AC275" s="21">
        <v>199178.74</v>
      </c>
      <c r="AD275" s="21" t="s">
        <v>368</v>
      </c>
      <c r="AE275" t="str">
        <f>VLOOKUP(Table_Query_from_Actuarial___Production3[[#This Row],[Kor1]],$AI$3:$AK$105,3,FALSE)</f>
        <v>Operating Service Fees</v>
      </c>
      <c r="AF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" spans="18:32" x14ac:dyDescent="0.2">
      <c r="R276" t="s">
        <v>39</v>
      </c>
      <c r="S276" t="s">
        <v>231</v>
      </c>
      <c r="T276" t="s">
        <v>6</v>
      </c>
      <c r="U276" s="21">
        <v>29.54</v>
      </c>
      <c r="V276" s="21" t="s">
        <v>368</v>
      </c>
      <c r="W276" t="str">
        <f>VLOOKUP(Table_Query_from_Actuarial___Production[[#This Row],[Kor1]],$AI$3:$AK$105,3,FALSE)</f>
        <v>Misc. Income for Insolvent Companies</v>
      </c>
      <c r="X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"/>
      <c r="Z276" t="s">
        <v>17</v>
      </c>
      <c r="AA276" t="s">
        <v>250</v>
      </c>
      <c r="AB276" t="s">
        <v>441</v>
      </c>
      <c r="AC276" s="21">
        <v>207710.76</v>
      </c>
      <c r="AD276" s="21" t="s">
        <v>368</v>
      </c>
      <c r="AE276" t="str">
        <f>VLOOKUP(Table_Query_from_Actuarial___Production3[[#This Row],[Kor1]],$AI$3:$AK$105,3,FALSE)</f>
        <v>IBNR</v>
      </c>
      <c r="AF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" spans="18:32" x14ac:dyDescent="0.2">
      <c r="R277" t="s">
        <v>44</v>
      </c>
      <c r="S277" t="s">
        <v>242</v>
      </c>
      <c r="T277" t="s">
        <v>427</v>
      </c>
      <c r="U277" s="21">
        <v>4492</v>
      </c>
      <c r="V277" s="21" t="s">
        <v>368</v>
      </c>
      <c r="W277" t="str">
        <f>VLOOKUP(Table_Query_from_Actuarial___Production[[#This Row],[Kor1]],$AI$3:$AK$105,3,FALSE)</f>
        <v>Charge-offs</v>
      </c>
      <c r="X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"/>
      <c r="Z277" t="s">
        <v>50</v>
      </c>
      <c r="AA277" t="s">
        <v>229</v>
      </c>
      <c r="AB277" t="s">
        <v>433</v>
      </c>
      <c r="AC277" s="21">
        <v>22144.73</v>
      </c>
      <c r="AD277" s="21" t="s">
        <v>368</v>
      </c>
      <c r="AE277" t="str">
        <f>VLOOKUP(Table_Query_from_Actuarial___Production3[[#This Row],[Kor1]],$AI$3:$AK$105,3,FALSE)</f>
        <v>ALAE Reserve</v>
      </c>
      <c r="AF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" spans="18:32" x14ac:dyDescent="0.2">
      <c r="R278" t="s">
        <v>14</v>
      </c>
      <c r="S278" t="s">
        <v>224</v>
      </c>
      <c r="T278" t="s">
        <v>8</v>
      </c>
      <c r="U278" s="21">
        <v>279772.99</v>
      </c>
      <c r="V278" s="21" t="s">
        <v>368</v>
      </c>
      <c r="W278" t="str">
        <f>VLOOKUP(Table_Query_from_Actuarial___Production[[#This Row],[Kor1]],$AI$3:$AK$105,3,FALSE)</f>
        <v>Claims Expense</v>
      </c>
      <c r="X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78"/>
      <c r="Z278" t="s">
        <v>18</v>
      </c>
      <c r="AA278" t="s">
        <v>225</v>
      </c>
      <c r="AB278" t="s">
        <v>8</v>
      </c>
      <c r="AC278" s="21">
        <v>1011823.53</v>
      </c>
      <c r="AD278" s="21" t="s">
        <v>369</v>
      </c>
      <c r="AE278" t="str">
        <f>VLOOKUP(Table_Query_from_Actuarial___Production3[[#This Row],[Kor1]],$AI$3:$AK$105,3,FALSE)</f>
        <v>Misc. Expense</v>
      </c>
      <c r="AF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79" spans="18:32" x14ac:dyDescent="0.2">
      <c r="R279" t="s">
        <v>14</v>
      </c>
      <c r="S279" t="s">
        <v>245</v>
      </c>
      <c r="T279" t="s">
        <v>441</v>
      </c>
      <c r="U279" s="21">
        <v>165.96</v>
      </c>
      <c r="V279" s="21" t="s">
        <v>368</v>
      </c>
      <c r="W279" t="str">
        <f>VLOOKUP(Table_Query_from_Actuarial___Production[[#This Row],[Kor1]],$AI$3:$AK$105,3,FALSE)</f>
        <v>Claims Expense</v>
      </c>
      <c r="X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"/>
      <c r="Z279" t="s">
        <v>13</v>
      </c>
      <c r="AA279" t="s">
        <v>251</v>
      </c>
      <c r="AB279" t="s">
        <v>433</v>
      </c>
      <c r="AC279" s="21">
        <v>136037.70000000001</v>
      </c>
      <c r="AD279" s="21" t="s">
        <v>368</v>
      </c>
      <c r="AE279" t="str">
        <f>VLOOKUP(Table_Query_from_Actuarial___Production3[[#This Row],[Kor1]],$AI$3:$AK$105,3,FALSE)</f>
        <v>Operating Service Fees</v>
      </c>
      <c r="AF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" spans="18:32" x14ac:dyDescent="0.2">
      <c r="R280" t="s">
        <v>43</v>
      </c>
      <c r="S280" t="s">
        <v>263</v>
      </c>
      <c r="T280" t="s">
        <v>442</v>
      </c>
      <c r="U280" s="21">
        <v>6.65</v>
      </c>
      <c r="V280" s="21" t="s">
        <v>368</v>
      </c>
      <c r="W280" t="str">
        <f>VLOOKUP(Table_Query_from_Actuarial___Production[[#This Row],[Kor1]],$AI$3:$AK$105,3,FALSE)</f>
        <v>Charge-offs</v>
      </c>
      <c r="X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"/>
      <c r="Z280" t="s">
        <v>3</v>
      </c>
      <c r="AA280" t="s">
        <v>231</v>
      </c>
      <c r="AB280" t="s">
        <v>7</v>
      </c>
      <c r="AC280" s="21">
        <v>98501</v>
      </c>
      <c r="AD280" s="21" t="s">
        <v>368</v>
      </c>
      <c r="AE280" t="str">
        <f>VLOOKUP(Table_Query_from_Actuarial___Production3[[#This Row],[Kor1]],$AI$3:$AK$105,3,FALSE)</f>
        <v>Premiums Written</v>
      </c>
      <c r="AF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" spans="18:32" x14ac:dyDescent="0.2">
      <c r="R281" t="s">
        <v>12</v>
      </c>
      <c r="S281" t="s">
        <v>237</v>
      </c>
      <c r="T281" t="s">
        <v>356</v>
      </c>
      <c r="U281" s="21">
        <v>844474.61</v>
      </c>
      <c r="V281" s="21" t="s">
        <v>368</v>
      </c>
      <c r="W281" t="str">
        <f>VLOOKUP(Table_Query_from_Actuarial___Production[[#This Row],[Kor1]],$AI$3:$AK$105,3,FALSE)</f>
        <v>Premium Tax</v>
      </c>
      <c r="X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"/>
      <c r="Z281" t="s">
        <v>32</v>
      </c>
      <c r="AA281" t="s">
        <v>236</v>
      </c>
      <c r="AB281" t="s">
        <v>351</v>
      </c>
      <c r="AC281" s="21">
        <v>-656</v>
      </c>
      <c r="AD281" s="21" t="s">
        <v>368</v>
      </c>
      <c r="AE281" t="str">
        <f>VLOOKUP(Table_Query_from_Actuarial___Production3[[#This Row],[Kor1]],$AI$3:$AK$105,3,FALSE)</f>
        <v>Misc. Expense</v>
      </c>
      <c r="AF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" spans="18:32" x14ac:dyDescent="0.2">
      <c r="R282" t="s">
        <v>75</v>
      </c>
      <c r="S282" t="s">
        <v>252</v>
      </c>
      <c r="T282" t="s">
        <v>443</v>
      </c>
      <c r="U282" s="21">
        <v>10407</v>
      </c>
      <c r="V282" s="21" t="s">
        <v>368</v>
      </c>
      <c r="W282" t="str">
        <f>VLOOKUP(Table_Query_from_Actuarial___Production[[#This Row],[Kor1]],$AI$3:$AK$105,3,FALSE)</f>
        <v>EBUB</v>
      </c>
      <c r="X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"/>
      <c r="Z282" t="s">
        <v>20</v>
      </c>
      <c r="AA282" t="s">
        <v>4</v>
      </c>
      <c r="AB282" t="s">
        <v>6</v>
      </c>
      <c r="AC282" s="21">
        <v>2097.38</v>
      </c>
      <c r="AD282" s="21" t="s">
        <v>368</v>
      </c>
      <c r="AE282" t="str">
        <f>VLOOKUP(Table_Query_from_Actuarial___Production3[[#This Row],[Kor1]],$AI$3:$AK$105,3,FALSE)</f>
        <v>Misc. Expense</v>
      </c>
      <c r="AF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" spans="18:32" x14ac:dyDescent="0.2">
      <c r="R283" t="s">
        <v>44</v>
      </c>
      <c r="S283" t="s">
        <v>232</v>
      </c>
      <c r="T283" t="s">
        <v>445</v>
      </c>
      <c r="U283" s="21">
        <v>1641.2</v>
      </c>
      <c r="V283" s="21" t="s">
        <v>368</v>
      </c>
      <c r="W283" t="str">
        <f>VLOOKUP(Table_Query_from_Actuarial___Production[[#This Row],[Kor1]],$AI$3:$AK$105,3,FALSE)</f>
        <v>Charge-offs</v>
      </c>
      <c r="X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"/>
      <c r="Z283" t="s">
        <v>27</v>
      </c>
      <c r="AA283" t="s">
        <v>259</v>
      </c>
      <c r="AB283" t="s">
        <v>5</v>
      </c>
      <c r="AC283" s="21">
        <v>528.59</v>
      </c>
      <c r="AD283" s="21" t="s">
        <v>368</v>
      </c>
      <c r="AE283" t="str">
        <f>VLOOKUP(Table_Query_from_Actuarial___Production3[[#This Row],[Kor1]],$AI$3:$AK$105,3,FALSE)</f>
        <v>Misc. Expense</v>
      </c>
      <c r="AF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" spans="18:32" x14ac:dyDescent="0.2">
      <c r="R284" t="s">
        <v>43</v>
      </c>
      <c r="S284" t="s">
        <v>265</v>
      </c>
      <c r="T284" t="s">
        <v>8</v>
      </c>
      <c r="U284" s="21">
        <v>1369.34</v>
      </c>
      <c r="V284" s="21" t="s">
        <v>368</v>
      </c>
      <c r="W284" t="str">
        <f>VLOOKUP(Table_Query_from_Actuarial___Production[[#This Row],[Kor1]],$AI$3:$AK$105,3,FALSE)</f>
        <v>Charge-offs</v>
      </c>
      <c r="X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"/>
      <c r="Z284" t="s">
        <v>32</v>
      </c>
      <c r="AA284" t="s">
        <v>4</v>
      </c>
      <c r="AB284" t="s">
        <v>5</v>
      </c>
      <c r="AC284" s="21">
        <v>70901.03</v>
      </c>
      <c r="AD284" s="21" t="s">
        <v>368</v>
      </c>
      <c r="AE284" t="str">
        <f>VLOOKUP(Table_Query_from_Actuarial___Production3[[#This Row],[Kor1]],$AI$3:$AK$105,3,FALSE)</f>
        <v>Misc. Expense</v>
      </c>
      <c r="AF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" spans="18:32" x14ac:dyDescent="0.2">
      <c r="R285" t="s">
        <v>38</v>
      </c>
      <c r="S285" t="s">
        <v>224</v>
      </c>
      <c r="T285" t="s">
        <v>356</v>
      </c>
      <c r="U285" s="21">
        <v>5905.79</v>
      </c>
      <c r="V285" s="21" t="s">
        <v>425</v>
      </c>
      <c r="W285" t="str">
        <f>VLOOKUP(Table_Query_from_Actuarial___Production[[#This Row],[Kor1]],$AI$3:$AK$105,3,FALSE)</f>
        <v>Misc. Income</v>
      </c>
      <c r="X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85"/>
      <c r="Z285" t="s">
        <v>14</v>
      </c>
      <c r="AA285" t="s">
        <v>230</v>
      </c>
      <c r="AB285" t="s">
        <v>356</v>
      </c>
      <c r="AC285" s="21">
        <v>2092542.11</v>
      </c>
      <c r="AD285" s="21" t="s">
        <v>368</v>
      </c>
      <c r="AE285" t="str">
        <f>VLOOKUP(Table_Query_from_Actuarial___Production3[[#This Row],[Kor1]],$AI$3:$AK$105,3,FALSE)</f>
        <v>Claims Expense</v>
      </c>
      <c r="AF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" spans="18:32" x14ac:dyDescent="0.2">
      <c r="R286" t="s">
        <v>20</v>
      </c>
      <c r="S286" t="s">
        <v>263</v>
      </c>
      <c r="T286" t="s">
        <v>356</v>
      </c>
      <c r="U286" s="21">
        <v>193.43</v>
      </c>
      <c r="V286" s="21" t="s">
        <v>368</v>
      </c>
      <c r="W286" t="str">
        <f>VLOOKUP(Table_Query_from_Actuarial___Production[[#This Row],[Kor1]],$AI$3:$AK$105,3,FALSE)</f>
        <v>Misc. Expense</v>
      </c>
      <c r="X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"/>
      <c r="Z286" t="s">
        <v>48</v>
      </c>
      <c r="AA286" t="s">
        <v>245</v>
      </c>
      <c r="AB286" t="s">
        <v>442</v>
      </c>
      <c r="AC286" s="21">
        <v>23.61</v>
      </c>
      <c r="AD286" s="21" t="s">
        <v>368</v>
      </c>
      <c r="AE286" t="str">
        <f>VLOOKUP(Table_Query_from_Actuarial___Production3[[#This Row],[Kor1]],$AI$3:$AK$105,3,FALSE)</f>
        <v>Anticipated Salvage</v>
      </c>
      <c r="AF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" spans="18:32" x14ac:dyDescent="0.2">
      <c r="R287" t="s">
        <v>41</v>
      </c>
      <c r="S287" t="s">
        <v>266</v>
      </c>
      <c r="T287" t="s">
        <v>8</v>
      </c>
      <c r="U287" s="21">
        <v>150</v>
      </c>
      <c r="V287" s="21" t="s">
        <v>368</v>
      </c>
      <c r="W287" t="str">
        <f>VLOOKUP(Table_Query_from_Actuarial___Production[[#This Row],[Kor1]],$AI$3:$AK$105,3,FALSE)</f>
        <v>Misc. Income</v>
      </c>
      <c r="X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"/>
      <c r="Z287" t="s">
        <v>11</v>
      </c>
      <c r="AA287" t="s">
        <v>224</v>
      </c>
      <c r="AB287" t="s">
        <v>5</v>
      </c>
      <c r="AC287" s="21">
        <v>83677.66</v>
      </c>
      <c r="AD287" s="21" t="s">
        <v>369</v>
      </c>
      <c r="AE287" t="str">
        <f>VLOOKUP(Table_Query_from_Actuarial___Production3[[#This Row],[Kor1]],$AI$3:$AK$105,3,FALSE)</f>
        <v>Losses Paid</v>
      </c>
      <c r="AF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88" spans="18:32" x14ac:dyDescent="0.2">
      <c r="R288" t="s">
        <v>44</v>
      </c>
      <c r="S288" t="s">
        <v>254</v>
      </c>
      <c r="T288" t="s">
        <v>9</v>
      </c>
      <c r="U288" s="21">
        <v>127582</v>
      </c>
      <c r="V288" s="21" t="s">
        <v>368</v>
      </c>
      <c r="W288" t="str">
        <f>VLOOKUP(Table_Query_from_Actuarial___Production[[#This Row],[Kor1]],$AI$3:$AK$105,3,FALSE)</f>
        <v>Charge-offs</v>
      </c>
      <c r="X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"/>
      <c r="Z288" t="s">
        <v>39</v>
      </c>
      <c r="AA288" t="s">
        <v>245</v>
      </c>
      <c r="AB288" t="s">
        <v>351</v>
      </c>
      <c r="AC288" s="21">
        <v>552</v>
      </c>
      <c r="AD288" s="21" t="s">
        <v>368</v>
      </c>
      <c r="AE288" t="str">
        <f>VLOOKUP(Table_Query_from_Actuarial___Production3[[#This Row],[Kor1]],$AI$3:$AK$105,3,FALSE)</f>
        <v>Misc. Income for Insolvent Companies</v>
      </c>
      <c r="AF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" spans="18:32" x14ac:dyDescent="0.2">
      <c r="R289" t="s">
        <v>44</v>
      </c>
      <c r="S289" t="s">
        <v>258</v>
      </c>
      <c r="T289" t="s">
        <v>427</v>
      </c>
      <c r="U289" s="21">
        <v>54442</v>
      </c>
      <c r="V289" s="21" t="s">
        <v>368</v>
      </c>
      <c r="W289" t="str">
        <f>VLOOKUP(Table_Query_from_Actuarial___Production[[#This Row],[Kor1]],$AI$3:$AK$105,3,FALSE)</f>
        <v>Charge-offs</v>
      </c>
      <c r="X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"/>
      <c r="Z289" t="s">
        <v>33</v>
      </c>
      <c r="AA289" t="s">
        <v>227</v>
      </c>
      <c r="AB289" t="s">
        <v>7</v>
      </c>
      <c r="AC289" s="21">
        <v>18469.169999999998</v>
      </c>
      <c r="AD289" s="21" t="s">
        <v>368</v>
      </c>
      <c r="AE289" t="str">
        <f>VLOOKUP(Table_Query_from_Actuarial___Production3[[#This Row],[Kor1]],$AI$3:$AK$105,3,FALSE)</f>
        <v>Misc. Expense</v>
      </c>
      <c r="AF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" spans="18:32" x14ac:dyDescent="0.2">
      <c r="R290" t="s">
        <v>49</v>
      </c>
      <c r="S290" t="s">
        <v>257</v>
      </c>
      <c r="T290" t="s">
        <v>8</v>
      </c>
      <c r="U290" s="21">
        <v>115332.97</v>
      </c>
      <c r="V290" s="21" t="s">
        <v>368</v>
      </c>
      <c r="W290" t="str">
        <f>VLOOKUP(Table_Query_from_Actuarial___Production[[#This Row],[Kor1]],$AI$3:$AK$105,3,FALSE)</f>
        <v>ALAE Paid</v>
      </c>
      <c r="X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"/>
      <c r="Z290" t="s">
        <v>38</v>
      </c>
      <c r="AA290" t="s">
        <v>225</v>
      </c>
      <c r="AB290" t="s">
        <v>8</v>
      </c>
      <c r="AC290" s="21">
        <v>1387918.86</v>
      </c>
      <c r="AD290" s="21" t="s">
        <v>368</v>
      </c>
      <c r="AE290" t="str">
        <f>VLOOKUP(Table_Query_from_Actuarial___Production3[[#This Row],[Kor1]],$AI$3:$AK$105,3,FALSE)</f>
        <v>Misc. Income</v>
      </c>
      <c r="AF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91" spans="18:32" x14ac:dyDescent="0.2">
      <c r="R291" t="s">
        <v>17</v>
      </c>
      <c r="S291" t="s">
        <v>245</v>
      </c>
      <c r="T291" t="s">
        <v>433</v>
      </c>
      <c r="U291" s="21">
        <v>252.2</v>
      </c>
      <c r="V291" s="21" t="s">
        <v>368</v>
      </c>
      <c r="W291" t="str">
        <f>VLOOKUP(Table_Query_from_Actuarial___Production[[#This Row],[Kor1]],$AI$3:$AK$105,3,FALSE)</f>
        <v>IBNR</v>
      </c>
      <c r="X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"/>
      <c r="Z291" t="s">
        <v>44</v>
      </c>
      <c r="AA291" t="s">
        <v>226</v>
      </c>
      <c r="AB291" t="s">
        <v>441</v>
      </c>
      <c r="AC291" s="21">
        <v>124121</v>
      </c>
      <c r="AD291" s="21" t="s">
        <v>368</v>
      </c>
      <c r="AE291" t="str">
        <f>VLOOKUP(Table_Query_from_Actuarial___Production3[[#This Row],[Kor1]],$AI$3:$AK$105,3,FALSE)</f>
        <v>Charge-offs</v>
      </c>
      <c r="AF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92" spans="18:32" x14ac:dyDescent="0.2">
      <c r="R292" t="s">
        <v>3</v>
      </c>
      <c r="S292" t="s">
        <v>224</v>
      </c>
      <c r="T292" t="s">
        <v>427</v>
      </c>
      <c r="U292" s="21">
        <v>1823862.7</v>
      </c>
      <c r="V292" s="21" t="s">
        <v>370</v>
      </c>
      <c r="W292" t="str">
        <f>VLOOKUP(Table_Query_from_Actuarial___Production[[#This Row],[Kor1]],$AI$3:$AK$105,3,FALSE)</f>
        <v>Premiums Written</v>
      </c>
      <c r="X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92"/>
      <c r="Z292" t="s">
        <v>49</v>
      </c>
      <c r="AA292" t="s">
        <v>237</v>
      </c>
      <c r="AB292" t="s">
        <v>442</v>
      </c>
      <c r="AC292" s="21">
        <v>120884.84</v>
      </c>
      <c r="AD292" s="21" t="s">
        <v>368</v>
      </c>
      <c r="AE292" t="str">
        <f>VLOOKUP(Table_Query_from_Actuarial___Production3[[#This Row],[Kor1]],$AI$3:$AK$105,3,FALSE)</f>
        <v>ALAE Paid</v>
      </c>
      <c r="AF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" spans="18:32" x14ac:dyDescent="0.2">
      <c r="R293" t="s">
        <v>14</v>
      </c>
      <c r="S293" t="s">
        <v>259</v>
      </c>
      <c r="T293" t="s">
        <v>433</v>
      </c>
      <c r="U293" s="21">
        <v>6418.67</v>
      </c>
      <c r="V293" s="21" t="s">
        <v>368</v>
      </c>
      <c r="W293" t="str">
        <f>VLOOKUP(Table_Query_from_Actuarial___Production[[#This Row],[Kor1]],$AI$3:$AK$105,3,FALSE)</f>
        <v>Claims Expense</v>
      </c>
      <c r="X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"/>
      <c r="Z293" t="s">
        <v>33</v>
      </c>
      <c r="AA293" t="s">
        <v>254</v>
      </c>
      <c r="AB293" t="s">
        <v>6</v>
      </c>
      <c r="AC293" s="21">
        <v>11287.5</v>
      </c>
      <c r="AD293" s="21" t="s">
        <v>368</v>
      </c>
      <c r="AE293" t="str">
        <f>VLOOKUP(Table_Query_from_Actuarial___Production3[[#This Row],[Kor1]],$AI$3:$AK$105,3,FALSE)</f>
        <v>Misc. Expense</v>
      </c>
      <c r="AF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" spans="18:32" x14ac:dyDescent="0.2">
      <c r="R294" t="s">
        <v>21</v>
      </c>
      <c r="S294" t="s">
        <v>252</v>
      </c>
      <c r="T294" t="s">
        <v>8</v>
      </c>
      <c r="U294" s="21">
        <v>20471.330000000002</v>
      </c>
      <c r="V294" s="21" t="s">
        <v>368</v>
      </c>
      <c r="W294" t="str">
        <f>VLOOKUP(Table_Query_from_Actuarial___Production[[#This Row],[Kor1]],$AI$3:$AK$105,3,FALSE)</f>
        <v>Misc. Expense</v>
      </c>
      <c r="X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"/>
      <c r="Z294" t="s">
        <v>10</v>
      </c>
      <c r="AA294" t="s">
        <v>224</v>
      </c>
      <c r="AB294" t="s">
        <v>7</v>
      </c>
      <c r="AC294" s="21">
        <v>106047.27</v>
      </c>
      <c r="AD294" s="21" t="s">
        <v>368</v>
      </c>
      <c r="AE294" t="str">
        <f>VLOOKUP(Table_Query_from_Actuarial___Production3[[#This Row],[Kor1]],$AI$3:$AK$105,3,FALSE)</f>
        <v>Commissions</v>
      </c>
      <c r="AF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95" spans="18:32" x14ac:dyDescent="0.2">
      <c r="R295" t="s">
        <v>439</v>
      </c>
      <c r="S295" t="s">
        <v>237</v>
      </c>
      <c r="T295" t="s">
        <v>443</v>
      </c>
      <c r="U295" s="21">
        <v>-1274329.18</v>
      </c>
      <c r="V295" s="21" t="s">
        <v>368</v>
      </c>
      <c r="W295" t="str">
        <f>VLOOKUP(Table_Query_from_Actuarial___Production[[#This Row],[Kor1]],$AI$3:$AK$105,3,FALSE)</f>
        <v>Operating Service Fees</v>
      </c>
      <c r="X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"/>
      <c r="Z295" t="s">
        <v>48</v>
      </c>
      <c r="AA295" t="s">
        <v>224</v>
      </c>
      <c r="AB295" t="s">
        <v>441</v>
      </c>
      <c r="AC295" s="21">
        <v>2863</v>
      </c>
      <c r="AD295" s="21" t="s">
        <v>370</v>
      </c>
      <c r="AE295" t="str">
        <f>VLOOKUP(Table_Query_from_Actuarial___Production3[[#This Row],[Kor1]],$AI$3:$AK$105,3,FALSE)</f>
        <v>Anticipated Salvage</v>
      </c>
      <c r="AF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96" spans="18:32" x14ac:dyDescent="0.2">
      <c r="R296" t="s">
        <v>10</v>
      </c>
      <c r="S296" t="s">
        <v>259</v>
      </c>
      <c r="T296" t="s">
        <v>6</v>
      </c>
      <c r="U296" s="21">
        <v>10404.030000000001</v>
      </c>
      <c r="V296" s="21" t="s">
        <v>368</v>
      </c>
      <c r="W296" t="str">
        <f>VLOOKUP(Table_Query_from_Actuarial___Production[[#This Row],[Kor1]],$AI$3:$AK$105,3,FALSE)</f>
        <v>Commissions</v>
      </c>
      <c r="X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"/>
      <c r="Z296" t="s">
        <v>3</v>
      </c>
      <c r="AA296" t="s">
        <v>242</v>
      </c>
      <c r="AB296" t="s">
        <v>442</v>
      </c>
      <c r="AC296" s="21">
        <v>482860</v>
      </c>
      <c r="AD296" s="21" t="s">
        <v>368</v>
      </c>
      <c r="AE296" t="str">
        <f>VLOOKUP(Table_Query_from_Actuarial___Production3[[#This Row],[Kor1]],$AI$3:$AK$105,3,FALSE)</f>
        <v>Premiums Written</v>
      </c>
      <c r="AF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" spans="18:32" x14ac:dyDescent="0.2">
      <c r="R297" t="s">
        <v>33</v>
      </c>
      <c r="S297" t="s">
        <v>227</v>
      </c>
      <c r="T297" t="s">
        <v>427</v>
      </c>
      <c r="U297" s="21">
        <v>12783.48</v>
      </c>
      <c r="V297" s="21" t="s">
        <v>368</v>
      </c>
      <c r="W297" t="str">
        <f>VLOOKUP(Table_Query_from_Actuarial___Production[[#This Row],[Kor1]],$AI$3:$AK$105,3,FALSE)</f>
        <v>Misc. Expense</v>
      </c>
      <c r="X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"/>
      <c r="Z297" t="s">
        <v>12</v>
      </c>
      <c r="AA297" t="s">
        <v>257</v>
      </c>
      <c r="AB297" t="s">
        <v>443</v>
      </c>
      <c r="AC297" s="21">
        <v>19094.05</v>
      </c>
      <c r="AD297" s="21" t="s">
        <v>368</v>
      </c>
      <c r="AE297" t="str">
        <f>VLOOKUP(Table_Query_from_Actuarial___Production3[[#This Row],[Kor1]],$AI$3:$AK$105,3,FALSE)</f>
        <v>Premium Tax</v>
      </c>
      <c r="AF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" spans="18:32" x14ac:dyDescent="0.2">
      <c r="R298" t="s">
        <v>39</v>
      </c>
      <c r="S298" t="s">
        <v>240</v>
      </c>
      <c r="T298" t="s">
        <v>427</v>
      </c>
      <c r="U298" s="21">
        <v>1281.44</v>
      </c>
      <c r="V298" s="21" t="s">
        <v>368</v>
      </c>
      <c r="W298" t="str">
        <f>VLOOKUP(Table_Query_from_Actuarial___Production[[#This Row],[Kor1]],$AI$3:$AK$105,3,FALSE)</f>
        <v>Misc. Income for Insolvent Companies</v>
      </c>
      <c r="X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"/>
      <c r="Z298" t="s">
        <v>3</v>
      </c>
      <c r="AA298" t="s">
        <v>354</v>
      </c>
      <c r="AB298" t="s">
        <v>351</v>
      </c>
      <c r="AC298" s="21">
        <v>931542157.11000001</v>
      </c>
      <c r="AD298" s="21" t="s">
        <v>369</v>
      </c>
      <c r="AE298" t="str">
        <f>VLOOKUP(Table_Query_from_Actuarial___Production3[[#This Row],[Kor1]],$AI$3:$AK$105,3,FALSE)</f>
        <v>Premiums Written</v>
      </c>
      <c r="AF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99" spans="18:32" x14ac:dyDescent="0.2">
      <c r="R299" t="s">
        <v>77</v>
      </c>
      <c r="S299" t="s">
        <v>237</v>
      </c>
      <c r="T299" t="s">
        <v>445</v>
      </c>
      <c r="U299" s="21">
        <v>8195063</v>
      </c>
      <c r="V299" s="21" t="s">
        <v>368</v>
      </c>
      <c r="W299" t="str">
        <f>VLOOKUP(Table_Query_from_Actuarial___Production[[#This Row],[Kor1]],$AI$3:$AK$105,3,FALSE)</f>
        <v>PDR</v>
      </c>
      <c r="X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"/>
      <c r="Z299" t="s">
        <v>32</v>
      </c>
      <c r="AA299" t="s">
        <v>239</v>
      </c>
      <c r="AB299" t="s">
        <v>9</v>
      </c>
      <c r="AC299" s="21">
        <v>11303.39</v>
      </c>
      <c r="AD299" s="21" t="s">
        <v>368</v>
      </c>
      <c r="AE299" t="str">
        <f>VLOOKUP(Table_Query_from_Actuarial___Production3[[#This Row],[Kor1]],$AI$3:$AK$105,3,FALSE)</f>
        <v>Misc. Expense</v>
      </c>
      <c r="AF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" spans="18:32" x14ac:dyDescent="0.2">
      <c r="R300" t="s">
        <v>14</v>
      </c>
      <c r="S300" t="s">
        <v>227</v>
      </c>
      <c r="T300" t="s">
        <v>7</v>
      </c>
      <c r="U300" s="21">
        <v>21904.98</v>
      </c>
      <c r="V300" s="21" t="s">
        <v>368</v>
      </c>
      <c r="W300" t="str">
        <f>VLOOKUP(Table_Query_from_Actuarial___Production[[#This Row],[Kor1]],$AI$3:$AK$105,3,FALSE)</f>
        <v>Claims Expense</v>
      </c>
      <c r="X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"/>
      <c r="Z300" t="s">
        <v>41</v>
      </c>
      <c r="AA300" t="s">
        <v>242</v>
      </c>
      <c r="AB300" t="s">
        <v>8</v>
      </c>
      <c r="AC300" s="21">
        <v>1310.24</v>
      </c>
      <c r="AD300" s="21" t="s">
        <v>368</v>
      </c>
      <c r="AE300" t="str">
        <f>VLOOKUP(Table_Query_from_Actuarial___Production3[[#This Row],[Kor1]],$AI$3:$AK$105,3,FALSE)</f>
        <v>Misc. Income</v>
      </c>
      <c r="AF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" spans="18:32" x14ac:dyDescent="0.2">
      <c r="R301" t="s">
        <v>77</v>
      </c>
      <c r="S301" t="s">
        <v>256</v>
      </c>
      <c r="T301" t="s">
        <v>445</v>
      </c>
      <c r="U301" s="21">
        <v>3659</v>
      </c>
      <c r="V301" s="21" t="s">
        <v>368</v>
      </c>
      <c r="W301" t="str">
        <f>VLOOKUP(Table_Query_from_Actuarial___Production[[#This Row],[Kor1]],$AI$3:$AK$105,3,FALSE)</f>
        <v>PDR</v>
      </c>
      <c r="X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"/>
      <c r="Z301" t="s">
        <v>3</v>
      </c>
      <c r="AA301" t="s">
        <v>236</v>
      </c>
      <c r="AB301" t="s">
        <v>5</v>
      </c>
      <c r="AC301" s="21">
        <v>20584</v>
      </c>
      <c r="AD301" s="21" t="s">
        <v>368</v>
      </c>
      <c r="AE301" t="str">
        <f>VLOOKUP(Table_Query_from_Actuarial___Production3[[#This Row],[Kor1]],$AI$3:$AK$105,3,FALSE)</f>
        <v>Premiums Written</v>
      </c>
      <c r="AF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" spans="18:32" x14ac:dyDescent="0.2">
      <c r="R302" t="s">
        <v>37</v>
      </c>
      <c r="S302" t="s">
        <v>243</v>
      </c>
      <c r="T302" t="s">
        <v>443</v>
      </c>
      <c r="U302" s="21">
        <v>67.180000000000007</v>
      </c>
      <c r="V302" s="21" t="s">
        <v>368</v>
      </c>
      <c r="W302" t="str">
        <f>VLOOKUP(Table_Query_from_Actuarial___Production[[#This Row],[Kor1]],$AI$3:$AK$105,3,FALSE)</f>
        <v>Misc. Expense</v>
      </c>
      <c r="X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"/>
      <c r="Z302" t="s">
        <v>31</v>
      </c>
      <c r="AA302" t="s">
        <v>235</v>
      </c>
      <c r="AB302" t="s">
        <v>442</v>
      </c>
      <c r="AC302" s="21">
        <v>964.07</v>
      </c>
      <c r="AD302" s="21" t="s">
        <v>368</v>
      </c>
      <c r="AE302" t="str">
        <f>VLOOKUP(Table_Query_from_Actuarial___Production3[[#This Row],[Kor1]],$AI$3:$AK$105,3,FALSE)</f>
        <v>Misc. Expense</v>
      </c>
      <c r="AF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" spans="18:32" x14ac:dyDescent="0.2">
      <c r="R303" t="s">
        <v>11</v>
      </c>
      <c r="S303" t="s">
        <v>225</v>
      </c>
      <c r="T303" t="s">
        <v>351</v>
      </c>
      <c r="U303" s="21">
        <v>512621.42</v>
      </c>
      <c r="V303" s="21" t="s">
        <v>369</v>
      </c>
      <c r="W303" t="str">
        <f>VLOOKUP(Table_Query_from_Actuarial___Production[[#This Row],[Kor1]],$AI$3:$AK$105,3,FALSE)</f>
        <v>Losses Paid</v>
      </c>
      <c r="X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03"/>
      <c r="Z303" t="s">
        <v>48</v>
      </c>
      <c r="AA303" t="s">
        <v>267</v>
      </c>
      <c r="AB303" t="s">
        <v>441</v>
      </c>
      <c r="AC303" s="21">
        <v>5796.08</v>
      </c>
      <c r="AD303" s="21" t="s">
        <v>368</v>
      </c>
      <c r="AE303" t="str">
        <f>VLOOKUP(Table_Query_from_Actuarial___Production3[[#This Row],[Kor1]],$AI$3:$AK$105,3,FALSE)</f>
        <v>Anticipated Salvage</v>
      </c>
      <c r="AF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" spans="18:32" x14ac:dyDescent="0.2">
      <c r="R304" t="s">
        <v>20</v>
      </c>
      <c r="S304" t="s">
        <v>259</v>
      </c>
      <c r="T304" t="s">
        <v>351</v>
      </c>
      <c r="U304" s="21">
        <v>96.91</v>
      </c>
      <c r="V304" s="21" t="s">
        <v>368</v>
      </c>
      <c r="W304" t="str">
        <f>VLOOKUP(Table_Query_from_Actuarial___Production[[#This Row],[Kor1]],$AI$3:$AK$105,3,FALSE)</f>
        <v>Misc. Expense</v>
      </c>
      <c r="X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"/>
      <c r="Z304" t="s">
        <v>44</v>
      </c>
      <c r="AA304" t="s">
        <v>244</v>
      </c>
      <c r="AB304" t="s">
        <v>5</v>
      </c>
      <c r="AC304" s="21">
        <v>20301.2</v>
      </c>
      <c r="AD304" s="21" t="s">
        <v>368</v>
      </c>
      <c r="AE304" t="str">
        <f>VLOOKUP(Table_Query_from_Actuarial___Production3[[#This Row],[Kor1]],$AI$3:$AK$105,3,FALSE)</f>
        <v>Charge-offs</v>
      </c>
      <c r="AF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" spans="18:32" x14ac:dyDescent="0.2">
      <c r="R305" t="s">
        <v>41</v>
      </c>
      <c r="S305" t="s">
        <v>239</v>
      </c>
      <c r="T305" t="s">
        <v>356</v>
      </c>
      <c r="U305" s="21">
        <v>300</v>
      </c>
      <c r="V305" s="21" t="s">
        <v>368</v>
      </c>
      <c r="W305" t="str">
        <f>VLOOKUP(Table_Query_from_Actuarial___Production[[#This Row],[Kor1]],$AI$3:$AK$105,3,FALSE)</f>
        <v>Misc. Income</v>
      </c>
      <c r="X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"/>
      <c r="Z305" t="s">
        <v>39</v>
      </c>
      <c r="AA305" t="s">
        <v>231</v>
      </c>
      <c r="AB305" t="s">
        <v>6</v>
      </c>
      <c r="AC305" s="21">
        <v>29.54</v>
      </c>
      <c r="AD305" s="21" t="s">
        <v>368</v>
      </c>
      <c r="AE305" t="str">
        <f>VLOOKUP(Table_Query_from_Actuarial___Production3[[#This Row],[Kor1]],$AI$3:$AK$105,3,FALSE)</f>
        <v>Misc. Income for Insolvent Companies</v>
      </c>
      <c r="AF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" spans="18:32" x14ac:dyDescent="0.2">
      <c r="R306" t="s">
        <v>44</v>
      </c>
      <c r="S306" t="s">
        <v>257</v>
      </c>
      <c r="T306" t="s">
        <v>351</v>
      </c>
      <c r="U306" s="21">
        <v>267199.93</v>
      </c>
      <c r="V306" s="21" t="s">
        <v>368</v>
      </c>
      <c r="W306" t="str">
        <f>VLOOKUP(Table_Query_from_Actuarial___Production[[#This Row],[Kor1]],$AI$3:$AK$105,3,FALSE)</f>
        <v>Charge-offs</v>
      </c>
      <c r="X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"/>
      <c r="Z306" t="s">
        <v>44</v>
      </c>
      <c r="AA306" t="s">
        <v>242</v>
      </c>
      <c r="AB306" t="s">
        <v>427</v>
      </c>
      <c r="AC306" s="21">
        <v>4492</v>
      </c>
      <c r="AD306" s="21" t="s">
        <v>368</v>
      </c>
      <c r="AE306" t="str">
        <f>VLOOKUP(Table_Query_from_Actuarial___Production3[[#This Row],[Kor1]],$AI$3:$AK$105,3,FALSE)</f>
        <v>Charge-offs</v>
      </c>
      <c r="AF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" spans="18:32" x14ac:dyDescent="0.2">
      <c r="R307" t="s">
        <v>13</v>
      </c>
      <c r="S307" t="s">
        <v>224</v>
      </c>
      <c r="T307" t="s">
        <v>7</v>
      </c>
      <c r="U307" s="21">
        <v>11163.53</v>
      </c>
      <c r="V307" s="21" t="s">
        <v>425</v>
      </c>
      <c r="W307" t="str">
        <f>VLOOKUP(Table_Query_from_Actuarial___Production[[#This Row],[Kor1]],$AI$3:$AK$105,3,FALSE)</f>
        <v>Operating Service Fees</v>
      </c>
      <c r="X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07"/>
      <c r="Z307" t="s">
        <v>14</v>
      </c>
      <c r="AA307" t="s">
        <v>224</v>
      </c>
      <c r="AB307" t="s">
        <v>8</v>
      </c>
      <c r="AC307" s="21">
        <v>279772.99</v>
      </c>
      <c r="AD307" s="21" t="s">
        <v>368</v>
      </c>
      <c r="AE307" t="str">
        <f>VLOOKUP(Table_Query_from_Actuarial___Production3[[#This Row],[Kor1]],$AI$3:$AK$105,3,FALSE)</f>
        <v>Claims Expense</v>
      </c>
      <c r="AF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08" spans="18:32" x14ac:dyDescent="0.2">
      <c r="R308" t="s">
        <v>439</v>
      </c>
      <c r="S308" t="s">
        <v>228</v>
      </c>
      <c r="T308" t="s">
        <v>433</v>
      </c>
      <c r="U308" s="21">
        <v>168748</v>
      </c>
      <c r="V308" s="21" t="s">
        <v>368</v>
      </c>
      <c r="W308" t="str">
        <f>VLOOKUP(Table_Query_from_Actuarial___Production[[#This Row],[Kor1]],$AI$3:$AK$105,3,FALSE)</f>
        <v>Operating Service Fees</v>
      </c>
      <c r="X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"/>
      <c r="Z308" t="s">
        <v>14</v>
      </c>
      <c r="AA308" t="s">
        <v>245</v>
      </c>
      <c r="AB308" t="s">
        <v>441</v>
      </c>
      <c r="AC308" s="21">
        <v>165.96</v>
      </c>
      <c r="AD308" s="21" t="s">
        <v>368</v>
      </c>
      <c r="AE308" t="str">
        <f>VLOOKUP(Table_Query_from_Actuarial___Production3[[#This Row],[Kor1]],$AI$3:$AK$105,3,FALSE)</f>
        <v>Claims Expense</v>
      </c>
      <c r="AF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" spans="18:32" x14ac:dyDescent="0.2">
      <c r="R309" t="s">
        <v>31</v>
      </c>
      <c r="S309" t="s">
        <v>256</v>
      </c>
      <c r="T309" t="s">
        <v>6</v>
      </c>
      <c r="U309" s="21">
        <v>290.48</v>
      </c>
      <c r="V309" s="21" t="s">
        <v>368</v>
      </c>
      <c r="W309" t="str">
        <f>VLOOKUP(Table_Query_from_Actuarial___Production[[#This Row],[Kor1]],$AI$3:$AK$105,3,FALSE)</f>
        <v>Misc. Expense</v>
      </c>
      <c r="X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"/>
      <c r="Z309" t="s">
        <v>48</v>
      </c>
      <c r="AA309" t="s">
        <v>259</v>
      </c>
      <c r="AB309" t="s">
        <v>427</v>
      </c>
      <c r="AC309" s="21">
        <v>199.69</v>
      </c>
      <c r="AD309" s="21" t="s">
        <v>368</v>
      </c>
      <c r="AE309" t="str">
        <f>VLOOKUP(Table_Query_from_Actuarial___Production3[[#This Row],[Kor1]],$AI$3:$AK$105,3,FALSE)</f>
        <v>Anticipated Salvage</v>
      </c>
      <c r="AF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" spans="18:32" x14ac:dyDescent="0.2">
      <c r="R310" t="s">
        <v>48</v>
      </c>
      <c r="S310" t="s">
        <v>243</v>
      </c>
      <c r="T310" t="s">
        <v>445</v>
      </c>
      <c r="U310" s="21">
        <v>306.39999999999998</v>
      </c>
      <c r="V310" s="21" t="s">
        <v>368</v>
      </c>
      <c r="W310" t="str">
        <f>VLOOKUP(Table_Query_from_Actuarial___Production[[#This Row],[Kor1]],$AI$3:$AK$105,3,FALSE)</f>
        <v>Anticipated Salvage</v>
      </c>
      <c r="X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"/>
      <c r="Z310" t="s">
        <v>43</v>
      </c>
      <c r="AA310" t="s">
        <v>263</v>
      </c>
      <c r="AB310" t="s">
        <v>442</v>
      </c>
      <c r="AC310" s="21">
        <v>6.1</v>
      </c>
      <c r="AD310" s="21" t="s">
        <v>368</v>
      </c>
      <c r="AE310" t="str">
        <f>VLOOKUP(Table_Query_from_Actuarial___Production3[[#This Row],[Kor1]],$AI$3:$AK$105,3,FALSE)</f>
        <v>Charge-offs</v>
      </c>
      <c r="AF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" spans="18:32" x14ac:dyDescent="0.2">
      <c r="R311" t="s">
        <v>17</v>
      </c>
      <c r="S311" t="s">
        <v>257</v>
      </c>
      <c r="T311" t="s">
        <v>445</v>
      </c>
      <c r="U311" s="21">
        <v>180819.43</v>
      </c>
      <c r="V311" s="21" t="s">
        <v>368</v>
      </c>
      <c r="W311" t="str">
        <f>VLOOKUP(Table_Query_from_Actuarial___Production[[#This Row],[Kor1]],$AI$3:$AK$105,3,FALSE)</f>
        <v>IBNR</v>
      </c>
      <c r="X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"/>
      <c r="Z311" t="s">
        <v>36</v>
      </c>
      <c r="AA311" t="s">
        <v>234</v>
      </c>
      <c r="AB311" t="s">
        <v>5</v>
      </c>
      <c r="AC311" s="21">
        <v>4062</v>
      </c>
      <c r="AD311" s="21" t="s">
        <v>368</v>
      </c>
      <c r="AE311" t="str">
        <f>VLOOKUP(Table_Query_from_Actuarial___Production3[[#This Row],[Kor1]],$AI$3:$AK$105,3,FALSE)</f>
        <v>Misc. Expense</v>
      </c>
      <c r="AF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" spans="18:32" x14ac:dyDescent="0.2">
      <c r="R312" t="s">
        <v>31</v>
      </c>
      <c r="S312" t="s">
        <v>231</v>
      </c>
      <c r="T312" t="s">
        <v>445</v>
      </c>
      <c r="U312" s="21">
        <v>1391.42</v>
      </c>
      <c r="V312" s="21" t="s">
        <v>368</v>
      </c>
      <c r="W312" t="str">
        <f>VLOOKUP(Table_Query_from_Actuarial___Production[[#This Row],[Kor1]],$AI$3:$AK$105,3,FALSE)</f>
        <v>Misc. Expense</v>
      </c>
      <c r="X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"/>
      <c r="Z312" t="s">
        <v>12</v>
      </c>
      <c r="AA312" t="s">
        <v>237</v>
      </c>
      <c r="AB312" t="s">
        <v>356</v>
      </c>
      <c r="AC312" s="21">
        <v>844474.61</v>
      </c>
      <c r="AD312" s="21" t="s">
        <v>368</v>
      </c>
      <c r="AE312" t="str">
        <f>VLOOKUP(Table_Query_from_Actuarial___Production3[[#This Row],[Kor1]],$AI$3:$AK$105,3,FALSE)</f>
        <v>Premium Tax</v>
      </c>
      <c r="AF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" spans="18:32" x14ac:dyDescent="0.2">
      <c r="R313" t="s">
        <v>12</v>
      </c>
      <c r="S313" t="s">
        <v>268</v>
      </c>
      <c r="T313" t="s">
        <v>6</v>
      </c>
      <c r="U313" s="21">
        <v>131</v>
      </c>
      <c r="V313" s="21" t="s">
        <v>368</v>
      </c>
      <c r="W313" t="str">
        <f>VLOOKUP(Table_Query_from_Actuarial___Production[[#This Row],[Kor1]],$AI$3:$AK$105,3,FALSE)</f>
        <v>Premium Tax</v>
      </c>
      <c r="X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"/>
      <c r="Z313" t="s">
        <v>43</v>
      </c>
      <c r="AA313" t="s">
        <v>265</v>
      </c>
      <c r="AB313" t="s">
        <v>8</v>
      </c>
      <c r="AC313" s="21">
        <v>1369.34</v>
      </c>
      <c r="AD313" s="21" t="s">
        <v>368</v>
      </c>
      <c r="AE313" t="str">
        <f>VLOOKUP(Table_Query_from_Actuarial___Production3[[#This Row],[Kor1]],$AI$3:$AK$105,3,FALSE)</f>
        <v>Charge-offs</v>
      </c>
      <c r="AF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" spans="18:32" x14ac:dyDescent="0.2">
      <c r="R314" t="s">
        <v>33</v>
      </c>
      <c r="S314" t="s">
        <v>246</v>
      </c>
      <c r="T314" t="s">
        <v>351</v>
      </c>
      <c r="U314" s="21">
        <v>16504.48</v>
      </c>
      <c r="V314" s="21" t="s">
        <v>368</v>
      </c>
      <c r="W314" t="str">
        <f>VLOOKUP(Table_Query_from_Actuarial___Production[[#This Row],[Kor1]],$AI$3:$AK$105,3,FALSE)</f>
        <v>Misc. Expense</v>
      </c>
      <c r="X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"/>
      <c r="Z314" t="s">
        <v>38</v>
      </c>
      <c r="AA314" t="s">
        <v>224</v>
      </c>
      <c r="AB314" t="s">
        <v>356</v>
      </c>
      <c r="AC314" s="21">
        <v>5905.79</v>
      </c>
      <c r="AD314" s="21" t="s">
        <v>425</v>
      </c>
      <c r="AE314" t="str">
        <f>VLOOKUP(Table_Query_from_Actuarial___Production3[[#This Row],[Kor1]],$AI$3:$AK$105,3,FALSE)</f>
        <v>Misc. Income</v>
      </c>
      <c r="AF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15" spans="18:32" x14ac:dyDescent="0.2">
      <c r="R315" t="s">
        <v>37</v>
      </c>
      <c r="S315" t="s">
        <v>241</v>
      </c>
      <c r="T315" t="s">
        <v>445</v>
      </c>
      <c r="U315" s="21">
        <v>-48.72</v>
      </c>
      <c r="V315" s="21" t="s">
        <v>368</v>
      </c>
      <c r="W315" t="str">
        <f>VLOOKUP(Table_Query_from_Actuarial___Production[[#This Row],[Kor1]],$AI$3:$AK$105,3,FALSE)</f>
        <v>Misc. Expense</v>
      </c>
      <c r="X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"/>
      <c r="Z315" t="s">
        <v>20</v>
      </c>
      <c r="AA315" t="s">
        <v>263</v>
      </c>
      <c r="AB315" t="s">
        <v>356</v>
      </c>
      <c r="AC315" s="21">
        <v>193.43</v>
      </c>
      <c r="AD315" s="21" t="s">
        <v>368</v>
      </c>
      <c r="AE315" t="str">
        <f>VLOOKUP(Table_Query_from_Actuarial___Production3[[#This Row],[Kor1]],$AI$3:$AK$105,3,FALSE)</f>
        <v>Misc. Expense</v>
      </c>
      <c r="AF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" spans="18:32" x14ac:dyDescent="0.2">
      <c r="R316" t="s">
        <v>44</v>
      </c>
      <c r="S316" t="s">
        <v>258</v>
      </c>
      <c r="T316" t="s">
        <v>443</v>
      </c>
      <c r="U316" s="21">
        <v>20727.580000000002</v>
      </c>
      <c r="V316" s="21" t="s">
        <v>368</v>
      </c>
      <c r="W316" t="str">
        <f>VLOOKUP(Table_Query_from_Actuarial___Production[[#This Row],[Kor1]],$AI$3:$AK$105,3,FALSE)</f>
        <v>Charge-offs</v>
      </c>
      <c r="X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"/>
      <c r="Z316" t="s">
        <v>41</v>
      </c>
      <c r="AA316" t="s">
        <v>266</v>
      </c>
      <c r="AB316" t="s">
        <v>8</v>
      </c>
      <c r="AC316" s="21">
        <v>150</v>
      </c>
      <c r="AD316" s="21" t="s">
        <v>368</v>
      </c>
      <c r="AE316" t="str">
        <f>VLOOKUP(Table_Query_from_Actuarial___Production3[[#This Row],[Kor1]],$AI$3:$AK$105,3,FALSE)</f>
        <v>Misc. Income</v>
      </c>
      <c r="AF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" spans="18:32" x14ac:dyDescent="0.2">
      <c r="R317" t="s">
        <v>48</v>
      </c>
      <c r="S317" t="s">
        <v>259</v>
      </c>
      <c r="T317" t="s">
        <v>443</v>
      </c>
      <c r="U317" s="21">
        <v>278.3</v>
      </c>
      <c r="V317" s="21" t="s">
        <v>368</v>
      </c>
      <c r="W317" t="str">
        <f>VLOOKUP(Table_Query_from_Actuarial___Production[[#This Row],[Kor1]],$AI$3:$AK$105,3,FALSE)</f>
        <v>Anticipated Salvage</v>
      </c>
      <c r="X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"/>
      <c r="Z317" t="s">
        <v>44</v>
      </c>
      <c r="AA317" t="s">
        <v>254</v>
      </c>
      <c r="AB317" t="s">
        <v>9</v>
      </c>
      <c r="AC317" s="21">
        <v>127582</v>
      </c>
      <c r="AD317" s="21" t="s">
        <v>368</v>
      </c>
      <c r="AE317" t="str">
        <f>VLOOKUP(Table_Query_from_Actuarial___Production3[[#This Row],[Kor1]],$AI$3:$AK$105,3,FALSE)</f>
        <v>Charge-offs</v>
      </c>
      <c r="AF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" spans="18:32" x14ac:dyDescent="0.2">
      <c r="R318" t="s">
        <v>43</v>
      </c>
      <c r="S318" t="s">
        <v>224</v>
      </c>
      <c r="T318" t="s">
        <v>8</v>
      </c>
      <c r="U318" s="21">
        <v>3.46</v>
      </c>
      <c r="V318" s="21" t="s">
        <v>369</v>
      </c>
      <c r="W318" t="str">
        <f>VLOOKUP(Table_Query_from_Actuarial___Production[[#This Row],[Kor1]],$AI$3:$AK$105,3,FALSE)</f>
        <v>Charge-offs</v>
      </c>
      <c r="X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18"/>
      <c r="Z318" t="s">
        <v>44</v>
      </c>
      <c r="AA318" t="s">
        <v>258</v>
      </c>
      <c r="AB318" t="s">
        <v>427</v>
      </c>
      <c r="AC318" s="21">
        <v>54442</v>
      </c>
      <c r="AD318" s="21" t="s">
        <v>368</v>
      </c>
      <c r="AE318" t="str">
        <f>VLOOKUP(Table_Query_from_Actuarial___Production3[[#This Row],[Kor1]],$AI$3:$AK$105,3,FALSE)</f>
        <v>Charge-offs</v>
      </c>
      <c r="AF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" spans="18:32" x14ac:dyDescent="0.2">
      <c r="R319" t="s">
        <v>44</v>
      </c>
      <c r="S319" t="s">
        <v>242</v>
      </c>
      <c r="T319" t="s">
        <v>443</v>
      </c>
      <c r="U319" s="21">
        <v>15</v>
      </c>
      <c r="V319" s="21" t="s">
        <v>368</v>
      </c>
      <c r="W319" t="str">
        <f>VLOOKUP(Table_Query_from_Actuarial___Production[[#This Row],[Kor1]],$AI$3:$AK$105,3,FALSE)</f>
        <v>Charge-offs</v>
      </c>
      <c r="X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"/>
      <c r="Z319" t="s">
        <v>49</v>
      </c>
      <c r="AA319" t="s">
        <v>257</v>
      </c>
      <c r="AB319" t="s">
        <v>8</v>
      </c>
      <c r="AC319" s="21">
        <v>115332.97</v>
      </c>
      <c r="AD319" s="21" t="s">
        <v>368</v>
      </c>
      <c r="AE319" t="str">
        <f>VLOOKUP(Table_Query_from_Actuarial___Production3[[#This Row],[Kor1]],$AI$3:$AK$105,3,FALSE)</f>
        <v>ALAE Paid</v>
      </c>
      <c r="AF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" spans="18:32" x14ac:dyDescent="0.2">
      <c r="R320" t="s">
        <v>47</v>
      </c>
      <c r="S320" t="s">
        <v>265</v>
      </c>
      <c r="T320" t="s">
        <v>442</v>
      </c>
      <c r="U320" s="21">
        <v>3156.67</v>
      </c>
      <c r="V320" s="21" t="s">
        <v>368</v>
      </c>
      <c r="W320" t="str">
        <f>VLOOKUP(Table_Query_from_Actuarial___Production[[#This Row],[Kor1]],$AI$3:$AK$105,3,FALSE)</f>
        <v>Investment Income</v>
      </c>
      <c r="X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"/>
      <c r="Z320" t="s">
        <v>17</v>
      </c>
      <c r="AA320" t="s">
        <v>245</v>
      </c>
      <c r="AB320" t="s">
        <v>433</v>
      </c>
      <c r="AC320" s="21">
        <v>161.94999999999999</v>
      </c>
      <c r="AD320" s="21" t="s">
        <v>368</v>
      </c>
      <c r="AE320" t="str">
        <f>VLOOKUP(Table_Query_from_Actuarial___Production3[[#This Row],[Kor1]],$AI$3:$AK$105,3,FALSE)</f>
        <v>IBNR</v>
      </c>
      <c r="AF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" spans="18:32" x14ac:dyDescent="0.2">
      <c r="R321" t="s">
        <v>14</v>
      </c>
      <c r="S321" t="s">
        <v>263</v>
      </c>
      <c r="T321" t="s">
        <v>433</v>
      </c>
      <c r="U321" s="21">
        <v>27842.84</v>
      </c>
      <c r="V321" s="21" t="s">
        <v>368</v>
      </c>
      <c r="W321" t="str">
        <f>VLOOKUP(Table_Query_from_Actuarial___Production[[#This Row],[Kor1]],$AI$3:$AK$105,3,FALSE)</f>
        <v>Claims Expense</v>
      </c>
      <c r="X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"/>
      <c r="Z321" t="s">
        <v>3</v>
      </c>
      <c r="AA321" t="s">
        <v>224</v>
      </c>
      <c r="AB321" t="s">
        <v>427</v>
      </c>
      <c r="AC321" s="21">
        <v>1823862.7</v>
      </c>
      <c r="AD321" s="21" t="s">
        <v>370</v>
      </c>
      <c r="AE321" t="str">
        <f>VLOOKUP(Table_Query_from_Actuarial___Production3[[#This Row],[Kor1]],$AI$3:$AK$105,3,FALSE)</f>
        <v>Premiums Written</v>
      </c>
      <c r="AF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22" spans="18:32" x14ac:dyDescent="0.2">
      <c r="R322" t="s">
        <v>37</v>
      </c>
      <c r="S322" t="s">
        <v>233</v>
      </c>
      <c r="T322" t="s">
        <v>445</v>
      </c>
      <c r="U322" s="21">
        <v>978.85</v>
      </c>
      <c r="V322" s="21" t="s">
        <v>368</v>
      </c>
      <c r="W322" t="str">
        <f>VLOOKUP(Table_Query_from_Actuarial___Production[[#This Row],[Kor1]],$AI$3:$AK$105,3,FALSE)</f>
        <v>Misc. Expense</v>
      </c>
      <c r="X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"/>
      <c r="Z322" t="s">
        <v>14</v>
      </c>
      <c r="AA322" t="s">
        <v>259</v>
      </c>
      <c r="AB322" t="s">
        <v>433</v>
      </c>
      <c r="AC322" s="21">
        <v>6418.67</v>
      </c>
      <c r="AD322" s="21" t="s">
        <v>368</v>
      </c>
      <c r="AE322" t="str">
        <f>VLOOKUP(Table_Query_from_Actuarial___Production3[[#This Row],[Kor1]],$AI$3:$AK$105,3,FALSE)</f>
        <v>Claims Expense</v>
      </c>
      <c r="AF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" spans="18:32" x14ac:dyDescent="0.2">
      <c r="R323" t="s">
        <v>48</v>
      </c>
      <c r="S323" t="s">
        <v>263</v>
      </c>
      <c r="T323" t="s">
        <v>443</v>
      </c>
      <c r="U323" s="21">
        <v>7326.64</v>
      </c>
      <c r="V323" s="21" t="s">
        <v>368</v>
      </c>
      <c r="W323" t="str">
        <f>VLOOKUP(Table_Query_from_Actuarial___Production[[#This Row],[Kor1]],$AI$3:$AK$105,3,FALSE)</f>
        <v>Anticipated Salvage</v>
      </c>
      <c r="X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"/>
      <c r="Z323" t="s">
        <v>21</v>
      </c>
      <c r="AA323" t="s">
        <v>252</v>
      </c>
      <c r="AB323" t="s">
        <v>8</v>
      </c>
      <c r="AC323" s="21">
        <v>20471.330000000002</v>
      </c>
      <c r="AD323" s="21" t="s">
        <v>368</v>
      </c>
      <c r="AE323" t="str">
        <f>VLOOKUP(Table_Query_from_Actuarial___Production3[[#This Row],[Kor1]],$AI$3:$AK$105,3,FALSE)</f>
        <v>Misc. Expense</v>
      </c>
      <c r="AF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" spans="18:32" x14ac:dyDescent="0.2">
      <c r="R324" t="s">
        <v>48</v>
      </c>
      <c r="S324" t="s">
        <v>266</v>
      </c>
      <c r="T324" t="s">
        <v>433</v>
      </c>
      <c r="U324" s="21">
        <v>723.02</v>
      </c>
      <c r="V324" s="21" t="s">
        <v>368</v>
      </c>
      <c r="W324" t="str">
        <f>VLOOKUP(Table_Query_from_Actuarial___Production[[#This Row],[Kor1]],$AI$3:$AK$105,3,FALSE)</f>
        <v>Anticipated Salvage</v>
      </c>
      <c r="X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"/>
      <c r="Z324" t="s">
        <v>439</v>
      </c>
      <c r="AA324" t="s">
        <v>237</v>
      </c>
      <c r="AB324" t="s">
        <v>443</v>
      </c>
      <c r="AC324" s="21">
        <v>-1274329.18</v>
      </c>
      <c r="AD324" s="21" t="s">
        <v>368</v>
      </c>
      <c r="AE324" t="str">
        <f>VLOOKUP(Table_Query_from_Actuarial___Production3[[#This Row],[Kor1]],$AI$3:$AK$105,3,FALSE)</f>
        <v>Operating Service Fees</v>
      </c>
      <c r="AF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" spans="18:32" x14ac:dyDescent="0.2">
      <c r="R325" t="s">
        <v>16</v>
      </c>
      <c r="S325" t="s">
        <v>232</v>
      </c>
      <c r="T325" t="s">
        <v>445</v>
      </c>
      <c r="U325" s="21">
        <v>44663.19</v>
      </c>
      <c r="V325" s="21" t="s">
        <v>368</v>
      </c>
      <c r="W325" t="str">
        <f>VLOOKUP(Table_Query_from_Actuarial___Production[[#This Row],[Kor1]],$AI$3:$AK$105,3,FALSE)</f>
        <v>Losses Outstanding</v>
      </c>
      <c r="X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"/>
      <c r="Z325" t="s">
        <v>10</v>
      </c>
      <c r="AA325" t="s">
        <v>259</v>
      </c>
      <c r="AB325" t="s">
        <v>6</v>
      </c>
      <c r="AC325" s="21">
        <v>10404.030000000001</v>
      </c>
      <c r="AD325" s="21" t="s">
        <v>368</v>
      </c>
      <c r="AE325" t="str">
        <f>VLOOKUP(Table_Query_from_Actuarial___Production3[[#This Row],[Kor1]],$AI$3:$AK$105,3,FALSE)</f>
        <v>Commissions</v>
      </c>
      <c r="AF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" spans="18:32" x14ac:dyDescent="0.2">
      <c r="R326" t="s">
        <v>44</v>
      </c>
      <c r="S326" t="s">
        <v>224</v>
      </c>
      <c r="T326" t="s">
        <v>442</v>
      </c>
      <c r="U326" s="21">
        <v>506.43</v>
      </c>
      <c r="V326" s="21" t="s">
        <v>425</v>
      </c>
      <c r="W326" t="str">
        <f>VLOOKUP(Table_Query_from_Actuarial___Production[[#This Row],[Kor1]],$AI$3:$AK$105,3,FALSE)</f>
        <v>Charge-offs</v>
      </c>
      <c r="X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26"/>
      <c r="Z326" t="s">
        <v>33</v>
      </c>
      <c r="AA326" t="s">
        <v>227</v>
      </c>
      <c r="AB326" t="s">
        <v>427</v>
      </c>
      <c r="AC326" s="21">
        <v>12783.48</v>
      </c>
      <c r="AD326" s="21" t="s">
        <v>368</v>
      </c>
      <c r="AE326" t="str">
        <f>VLOOKUP(Table_Query_from_Actuarial___Production3[[#This Row],[Kor1]],$AI$3:$AK$105,3,FALSE)</f>
        <v>Misc. Expense</v>
      </c>
      <c r="AF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" spans="18:32" x14ac:dyDescent="0.2">
      <c r="R327" t="s">
        <v>13</v>
      </c>
      <c r="S327" t="s">
        <v>227</v>
      </c>
      <c r="T327" t="s">
        <v>6</v>
      </c>
      <c r="U327" s="21">
        <v>275369.5</v>
      </c>
      <c r="V327" s="21" t="s">
        <v>368</v>
      </c>
      <c r="W327" t="str">
        <f>VLOOKUP(Table_Query_from_Actuarial___Production[[#This Row],[Kor1]],$AI$3:$AK$105,3,FALSE)</f>
        <v>Operating Service Fees</v>
      </c>
      <c r="X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"/>
      <c r="Z327" t="s">
        <v>3</v>
      </c>
      <c r="AA327" t="s">
        <v>354</v>
      </c>
      <c r="AB327" t="s">
        <v>5</v>
      </c>
      <c r="AC327" s="21">
        <v>736215235.63</v>
      </c>
      <c r="AD327" s="21" t="s">
        <v>369</v>
      </c>
      <c r="AE327" t="str">
        <f>VLOOKUP(Table_Query_from_Actuarial___Production3[[#This Row],[Kor1]],$AI$3:$AK$105,3,FALSE)</f>
        <v>Premiums Written</v>
      </c>
      <c r="AF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28" spans="18:32" x14ac:dyDescent="0.2">
      <c r="R328" t="s">
        <v>33</v>
      </c>
      <c r="S328" t="s">
        <v>254</v>
      </c>
      <c r="T328" t="s">
        <v>445</v>
      </c>
      <c r="U328" s="21">
        <v>10873.71</v>
      </c>
      <c r="V328" s="21" t="s">
        <v>368</v>
      </c>
      <c r="W328" t="str">
        <f>VLOOKUP(Table_Query_from_Actuarial___Production[[#This Row],[Kor1]],$AI$3:$AK$105,3,FALSE)</f>
        <v>Misc. Expense</v>
      </c>
      <c r="X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"/>
      <c r="Z328" t="s">
        <v>39</v>
      </c>
      <c r="AA328" t="s">
        <v>240</v>
      </c>
      <c r="AB328" t="s">
        <v>427</v>
      </c>
      <c r="AC328" s="21">
        <v>1281.44</v>
      </c>
      <c r="AD328" s="21" t="s">
        <v>368</v>
      </c>
      <c r="AE328" t="str">
        <f>VLOOKUP(Table_Query_from_Actuarial___Production3[[#This Row],[Kor1]],$AI$3:$AK$105,3,FALSE)</f>
        <v>Misc. Income for Insolvent Companies</v>
      </c>
      <c r="AF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" spans="18:32" x14ac:dyDescent="0.2">
      <c r="R329" t="s">
        <v>47</v>
      </c>
      <c r="S329" t="s">
        <v>257</v>
      </c>
      <c r="T329" t="s">
        <v>7</v>
      </c>
      <c r="U329" s="21">
        <v>1587.41</v>
      </c>
      <c r="V329" s="21" t="s">
        <v>368</v>
      </c>
      <c r="W329" t="str">
        <f>VLOOKUP(Table_Query_from_Actuarial___Production[[#This Row],[Kor1]],$AI$3:$AK$105,3,FALSE)</f>
        <v>Investment Income</v>
      </c>
      <c r="X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"/>
      <c r="Z329" t="s">
        <v>14</v>
      </c>
      <c r="AA329" t="s">
        <v>227</v>
      </c>
      <c r="AB329" t="s">
        <v>7</v>
      </c>
      <c r="AC329" s="21">
        <v>21904.98</v>
      </c>
      <c r="AD329" s="21" t="s">
        <v>368</v>
      </c>
      <c r="AE329" t="str">
        <f>VLOOKUP(Table_Query_from_Actuarial___Production3[[#This Row],[Kor1]],$AI$3:$AK$105,3,FALSE)</f>
        <v>Claims Expense</v>
      </c>
      <c r="AF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" spans="18:32" x14ac:dyDescent="0.2">
      <c r="R330" t="s">
        <v>11</v>
      </c>
      <c r="S330" t="s">
        <v>262</v>
      </c>
      <c r="T330" t="s">
        <v>433</v>
      </c>
      <c r="U330" s="21">
        <v>302436.87</v>
      </c>
      <c r="V330" s="21" t="s">
        <v>368</v>
      </c>
      <c r="W330" t="str">
        <f>VLOOKUP(Table_Query_from_Actuarial___Production[[#This Row],[Kor1]],$AI$3:$AK$105,3,FALSE)</f>
        <v>Losses Paid</v>
      </c>
      <c r="X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"/>
      <c r="Z330" t="s">
        <v>11</v>
      </c>
      <c r="AA330" t="s">
        <v>225</v>
      </c>
      <c r="AB330" t="s">
        <v>351</v>
      </c>
      <c r="AC330" s="21">
        <v>512621.42</v>
      </c>
      <c r="AD330" s="21" t="s">
        <v>369</v>
      </c>
      <c r="AE330" t="str">
        <f>VLOOKUP(Table_Query_from_Actuarial___Production3[[#This Row],[Kor1]],$AI$3:$AK$105,3,FALSE)</f>
        <v>Losses Paid</v>
      </c>
      <c r="AF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31" spans="18:32" x14ac:dyDescent="0.2">
      <c r="R331" t="s">
        <v>31</v>
      </c>
      <c r="S331" t="s">
        <v>248</v>
      </c>
      <c r="T331" t="s">
        <v>441</v>
      </c>
      <c r="U331" s="21">
        <v>972.65</v>
      </c>
      <c r="V331" s="21" t="s">
        <v>368</v>
      </c>
      <c r="W331" t="str">
        <f>VLOOKUP(Table_Query_from_Actuarial___Production[[#This Row],[Kor1]],$AI$3:$AK$105,3,FALSE)</f>
        <v>Misc. Expense</v>
      </c>
      <c r="X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"/>
      <c r="Z331" t="s">
        <v>20</v>
      </c>
      <c r="AA331" t="s">
        <v>259</v>
      </c>
      <c r="AB331" t="s">
        <v>351</v>
      </c>
      <c r="AC331" s="21">
        <v>96.91</v>
      </c>
      <c r="AD331" s="21" t="s">
        <v>368</v>
      </c>
      <c r="AE331" t="str">
        <f>VLOOKUP(Table_Query_from_Actuarial___Production3[[#This Row],[Kor1]],$AI$3:$AK$105,3,FALSE)</f>
        <v>Misc. Expense</v>
      </c>
      <c r="AF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" spans="18:32" x14ac:dyDescent="0.2">
      <c r="R332" t="s">
        <v>10</v>
      </c>
      <c r="S332" t="s">
        <v>264</v>
      </c>
      <c r="T332" t="s">
        <v>433</v>
      </c>
      <c r="U332" s="21">
        <v>235368.03</v>
      </c>
      <c r="V332" s="21" t="s">
        <v>368</v>
      </c>
      <c r="W332" t="str">
        <f>VLOOKUP(Table_Query_from_Actuarial___Production[[#This Row],[Kor1]],$AI$3:$AK$105,3,FALSE)</f>
        <v>Commissions</v>
      </c>
      <c r="X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"/>
      <c r="Z332" t="s">
        <v>41</v>
      </c>
      <c r="AA332" t="s">
        <v>239</v>
      </c>
      <c r="AB332" t="s">
        <v>356</v>
      </c>
      <c r="AC332" s="21">
        <v>300</v>
      </c>
      <c r="AD332" s="21" t="s">
        <v>368</v>
      </c>
      <c r="AE332" t="str">
        <f>VLOOKUP(Table_Query_from_Actuarial___Production3[[#This Row],[Kor1]],$AI$3:$AK$105,3,FALSE)</f>
        <v>Misc. Income</v>
      </c>
      <c r="AF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" spans="18:32" x14ac:dyDescent="0.2">
      <c r="R333" t="s">
        <v>47</v>
      </c>
      <c r="S333" t="s">
        <v>237</v>
      </c>
      <c r="T333" t="s">
        <v>351</v>
      </c>
      <c r="U333" s="21">
        <v>7691.44</v>
      </c>
      <c r="V333" s="21" t="s">
        <v>368</v>
      </c>
      <c r="W333" t="str">
        <f>VLOOKUP(Table_Query_from_Actuarial___Production[[#This Row],[Kor1]],$AI$3:$AK$105,3,FALSE)</f>
        <v>Investment Income</v>
      </c>
      <c r="X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"/>
      <c r="Z333" t="s">
        <v>44</v>
      </c>
      <c r="AA333" t="s">
        <v>257</v>
      </c>
      <c r="AB333" t="s">
        <v>351</v>
      </c>
      <c r="AC333" s="21">
        <v>267199.93</v>
      </c>
      <c r="AD333" s="21" t="s">
        <v>368</v>
      </c>
      <c r="AE333" t="str">
        <f>VLOOKUP(Table_Query_from_Actuarial___Production3[[#This Row],[Kor1]],$AI$3:$AK$105,3,FALSE)</f>
        <v>Charge-offs</v>
      </c>
      <c r="AF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" spans="18:32" x14ac:dyDescent="0.2">
      <c r="R334" t="s">
        <v>17</v>
      </c>
      <c r="S334" t="s">
        <v>263</v>
      </c>
      <c r="T334" t="s">
        <v>433</v>
      </c>
      <c r="U334" s="21">
        <v>34808.58</v>
      </c>
      <c r="V334" s="21" t="s">
        <v>368</v>
      </c>
      <c r="W334" t="str">
        <f>VLOOKUP(Table_Query_from_Actuarial___Production[[#This Row],[Kor1]],$AI$3:$AK$105,3,FALSE)</f>
        <v>IBNR</v>
      </c>
      <c r="X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"/>
      <c r="Z334" t="s">
        <v>13</v>
      </c>
      <c r="AA334" t="s">
        <v>224</v>
      </c>
      <c r="AB334" t="s">
        <v>7</v>
      </c>
      <c r="AC334" s="21">
        <v>11163.53</v>
      </c>
      <c r="AD334" s="21" t="s">
        <v>425</v>
      </c>
      <c r="AE334" t="str">
        <f>VLOOKUP(Table_Query_from_Actuarial___Production3[[#This Row],[Kor1]],$AI$3:$AK$105,3,FALSE)</f>
        <v>Operating Service Fees</v>
      </c>
      <c r="AF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35" spans="18:32" x14ac:dyDescent="0.2">
      <c r="R335" t="s">
        <v>39</v>
      </c>
      <c r="S335" t="s">
        <v>238</v>
      </c>
      <c r="T335" t="s">
        <v>433</v>
      </c>
      <c r="U335" s="21">
        <v>3937.98</v>
      </c>
      <c r="V335" s="21" t="s">
        <v>368</v>
      </c>
      <c r="W335" t="str">
        <f>VLOOKUP(Table_Query_from_Actuarial___Production[[#This Row],[Kor1]],$AI$3:$AK$105,3,FALSE)</f>
        <v>Misc. Income for Insolvent Companies</v>
      </c>
      <c r="X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"/>
      <c r="Z335" t="s">
        <v>439</v>
      </c>
      <c r="AA335" t="s">
        <v>228</v>
      </c>
      <c r="AB335" t="s">
        <v>433</v>
      </c>
      <c r="AC335" s="21">
        <v>168748</v>
      </c>
      <c r="AD335" s="21" t="s">
        <v>368</v>
      </c>
      <c r="AE335" t="str">
        <f>VLOOKUP(Table_Query_from_Actuarial___Production3[[#This Row],[Kor1]],$AI$3:$AK$105,3,FALSE)</f>
        <v>Operating Service Fees</v>
      </c>
      <c r="AF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" spans="18:32" x14ac:dyDescent="0.2">
      <c r="R336" t="s">
        <v>16</v>
      </c>
      <c r="S336" t="s">
        <v>226</v>
      </c>
      <c r="T336" t="s">
        <v>441</v>
      </c>
      <c r="U336" s="21">
        <v>68838.399999999994</v>
      </c>
      <c r="V336" s="21" t="s">
        <v>368</v>
      </c>
      <c r="W336" t="str">
        <f>VLOOKUP(Table_Query_from_Actuarial___Production[[#This Row],[Kor1]],$AI$3:$AK$105,3,FALSE)</f>
        <v>Losses Outstanding</v>
      </c>
      <c r="X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36"/>
      <c r="Z336" t="s">
        <v>31</v>
      </c>
      <c r="AA336" t="s">
        <v>256</v>
      </c>
      <c r="AB336" t="s">
        <v>6</v>
      </c>
      <c r="AC336" s="21">
        <v>290.48</v>
      </c>
      <c r="AD336" s="21" t="s">
        <v>368</v>
      </c>
      <c r="AE336" t="str">
        <f>VLOOKUP(Table_Query_from_Actuarial___Production3[[#This Row],[Kor1]],$AI$3:$AK$105,3,FALSE)</f>
        <v>Misc. Expense</v>
      </c>
      <c r="AF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" spans="18:32" x14ac:dyDescent="0.2">
      <c r="R337" t="s">
        <v>20</v>
      </c>
      <c r="S337" t="s">
        <v>4</v>
      </c>
      <c r="T337" t="s">
        <v>445</v>
      </c>
      <c r="U337" s="21">
        <v>854.39</v>
      </c>
      <c r="V337" s="21" t="s">
        <v>368</v>
      </c>
      <c r="W337" t="str">
        <f>VLOOKUP(Table_Query_from_Actuarial___Production[[#This Row],[Kor1]],$AI$3:$AK$105,3,FALSE)</f>
        <v>Misc. Expense</v>
      </c>
      <c r="X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"/>
      <c r="Z337" t="s">
        <v>50</v>
      </c>
      <c r="AA337" t="s">
        <v>252</v>
      </c>
      <c r="AB337" t="s">
        <v>8</v>
      </c>
      <c r="AC337" s="21">
        <v>26764.03</v>
      </c>
      <c r="AD337" s="21" t="s">
        <v>368</v>
      </c>
      <c r="AE337" t="str">
        <f>VLOOKUP(Table_Query_from_Actuarial___Production3[[#This Row],[Kor1]],$AI$3:$AK$105,3,FALSE)</f>
        <v>ALAE Reserve</v>
      </c>
      <c r="AF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" spans="18:32" x14ac:dyDescent="0.2">
      <c r="R338" t="s">
        <v>33</v>
      </c>
      <c r="S338" t="s">
        <v>232</v>
      </c>
      <c r="T338" t="s">
        <v>6</v>
      </c>
      <c r="U338" s="21">
        <v>17536.740000000002</v>
      </c>
      <c r="V338" s="21" t="s">
        <v>368</v>
      </c>
      <c r="W338" t="str">
        <f>VLOOKUP(Table_Query_from_Actuarial___Production[[#This Row],[Kor1]],$AI$3:$AK$105,3,FALSE)</f>
        <v>Misc. Expense</v>
      </c>
      <c r="X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"/>
      <c r="Z338" t="s">
        <v>13</v>
      </c>
      <c r="AA338" t="s">
        <v>246</v>
      </c>
      <c r="AB338" t="s">
        <v>5</v>
      </c>
      <c r="AC338" s="21">
        <v>15673.01</v>
      </c>
      <c r="AD338" s="21" t="s">
        <v>368</v>
      </c>
      <c r="AE338" t="str">
        <f>VLOOKUP(Table_Query_from_Actuarial___Production3[[#This Row],[Kor1]],$AI$3:$AK$105,3,FALSE)</f>
        <v>Operating Service Fees</v>
      </c>
      <c r="AF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" spans="18:32" x14ac:dyDescent="0.2">
      <c r="R339" t="s">
        <v>16</v>
      </c>
      <c r="S339" t="s">
        <v>225</v>
      </c>
      <c r="T339" t="s">
        <v>442</v>
      </c>
      <c r="U339" s="21">
        <v>65000</v>
      </c>
      <c r="V339" s="21" t="s">
        <v>368</v>
      </c>
      <c r="W339" t="str">
        <f>VLOOKUP(Table_Query_from_Actuarial___Production[[#This Row],[Kor1]],$AI$3:$AK$105,3,FALSE)</f>
        <v>Losses Outstanding</v>
      </c>
      <c r="X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39"/>
      <c r="Z339" t="s">
        <v>12</v>
      </c>
      <c r="AA339" t="s">
        <v>268</v>
      </c>
      <c r="AB339" t="s">
        <v>6</v>
      </c>
      <c r="AC339" s="21">
        <v>131</v>
      </c>
      <c r="AD339" s="21" t="s">
        <v>368</v>
      </c>
      <c r="AE339" t="str">
        <f>VLOOKUP(Table_Query_from_Actuarial___Production3[[#This Row],[Kor1]],$AI$3:$AK$105,3,FALSE)</f>
        <v>Premium Tax</v>
      </c>
      <c r="AF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" spans="18:32" x14ac:dyDescent="0.2">
      <c r="R340" t="s">
        <v>43</v>
      </c>
      <c r="S340" t="s">
        <v>230</v>
      </c>
      <c r="T340" t="s">
        <v>443</v>
      </c>
      <c r="U340" s="21">
        <v>113590.65</v>
      </c>
      <c r="V340" s="21" t="s">
        <v>368</v>
      </c>
      <c r="W340" t="str">
        <f>VLOOKUP(Table_Query_from_Actuarial___Production[[#This Row],[Kor1]],$AI$3:$AK$105,3,FALSE)</f>
        <v>Charge-offs</v>
      </c>
      <c r="X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"/>
      <c r="Z340" t="s">
        <v>33</v>
      </c>
      <c r="AA340" t="s">
        <v>246</v>
      </c>
      <c r="AB340" t="s">
        <v>351</v>
      </c>
      <c r="AC340" s="21">
        <v>16504.48</v>
      </c>
      <c r="AD340" s="21" t="s">
        <v>368</v>
      </c>
      <c r="AE340" t="str">
        <f>VLOOKUP(Table_Query_from_Actuarial___Production3[[#This Row],[Kor1]],$AI$3:$AK$105,3,FALSE)</f>
        <v>Misc. Expense</v>
      </c>
      <c r="AF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" spans="18:32" x14ac:dyDescent="0.2">
      <c r="R341" t="s">
        <v>44</v>
      </c>
      <c r="S341" t="s">
        <v>244</v>
      </c>
      <c r="T341" t="s">
        <v>441</v>
      </c>
      <c r="U341" s="21">
        <v>80081.649999999994</v>
      </c>
      <c r="V341" s="21" t="s">
        <v>368</v>
      </c>
      <c r="W341" t="str">
        <f>VLOOKUP(Table_Query_from_Actuarial___Production[[#This Row],[Kor1]],$AI$3:$AK$105,3,FALSE)</f>
        <v>Charge-offs</v>
      </c>
      <c r="X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"/>
      <c r="Z341" t="s">
        <v>38</v>
      </c>
      <c r="AA341" t="s">
        <v>225</v>
      </c>
      <c r="AB341" t="s">
        <v>5</v>
      </c>
      <c r="AC341" s="21">
        <v>750750.23</v>
      </c>
      <c r="AD341" s="21" t="s">
        <v>368</v>
      </c>
      <c r="AE341" t="str">
        <f>VLOOKUP(Table_Query_from_Actuarial___Production3[[#This Row],[Kor1]],$AI$3:$AK$105,3,FALSE)</f>
        <v>Misc. Income</v>
      </c>
      <c r="AF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42" spans="18:32" x14ac:dyDescent="0.2">
      <c r="R342" t="s">
        <v>48</v>
      </c>
      <c r="S342" t="s">
        <v>256</v>
      </c>
      <c r="T342" t="s">
        <v>441</v>
      </c>
      <c r="U342" s="21">
        <v>23.23</v>
      </c>
      <c r="V342" s="21" t="s">
        <v>368</v>
      </c>
      <c r="W342" t="str">
        <f>VLOOKUP(Table_Query_from_Actuarial___Production[[#This Row],[Kor1]],$AI$3:$AK$105,3,FALSE)</f>
        <v>Anticipated Salvage</v>
      </c>
      <c r="X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"/>
      <c r="Z342" t="s">
        <v>50</v>
      </c>
      <c r="AA342" t="s">
        <v>253</v>
      </c>
      <c r="AB342" t="s">
        <v>427</v>
      </c>
      <c r="AC342" s="21">
        <v>16.82</v>
      </c>
      <c r="AD342" s="21" t="s">
        <v>368</v>
      </c>
      <c r="AE342" t="str">
        <f>VLOOKUP(Table_Query_from_Actuarial___Production3[[#This Row],[Kor1]],$AI$3:$AK$105,3,FALSE)</f>
        <v>ALAE Reserve</v>
      </c>
      <c r="AF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" spans="18:32" x14ac:dyDescent="0.2">
      <c r="R343" t="s">
        <v>41</v>
      </c>
      <c r="S343" t="s">
        <v>252</v>
      </c>
      <c r="T343" t="s">
        <v>427</v>
      </c>
      <c r="U343" s="21">
        <v>2700.33</v>
      </c>
      <c r="V343" s="21" t="s">
        <v>368</v>
      </c>
      <c r="W343" t="str">
        <f>VLOOKUP(Table_Query_from_Actuarial___Production[[#This Row],[Kor1]],$AI$3:$AK$105,3,FALSE)</f>
        <v>Misc. Income</v>
      </c>
      <c r="X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"/>
      <c r="Z343" t="s">
        <v>43</v>
      </c>
      <c r="AA343" t="s">
        <v>224</v>
      </c>
      <c r="AB343" t="s">
        <v>8</v>
      </c>
      <c r="AC343" s="21">
        <v>3.46</v>
      </c>
      <c r="AD343" s="21" t="s">
        <v>369</v>
      </c>
      <c r="AE343" t="str">
        <f>VLOOKUP(Table_Query_from_Actuarial___Production3[[#This Row],[Kor1]],$AI$3:$AK$105,3,FALSE)</f>
        <v>Charge-offs</v>
      </c>
      <c r="AF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44" spans="18:32" x14ac:dyDescent="0.2">
      <c r="R344" t="s">
        <v>12</v>
      </c>
      <c r="S344" t="s">
        <v>257</v>
      </c>
      <c r="T344" t="s">
        <v>7</v>
      </c>
      <c r="U344" s="21">
        <v>25493.3</v>
      </c>
      <c r="V344" s="21" t="s">
        <v>368</v>
      </c>
      <c r="W344" t="str">
        <f>VLOOKUP(Table_Query_from_Actuarial___Production[[#This Row],[Kor1]],$AI$3:$AK$105,3,FALSE)</f>
        <v>Premium Tax</v>
      </c>
      <c r="X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"/>
      <c r="Z344" t="s">
        <v>44</v>
      </c>
      <c r="AA344" t="s">
        <v>242</v>
      </c>
      <c r="AB344" t="s">
        <v>443</v>
      </c>
      <c r="AC344" s="21">
        <v>59</v>
      </c>
      <c r="AD344" s="21" t="s">
        <v>368</v>
      </c>
      <c r="AE344" t="str">
        <f>VLOOKUP(Table_Query_from_Actuarial___Production3[[#This Row],[Kor1]],$AI$3:$AK$105,3,FALSE)</f>
        <v>Charge-offs</v>
      </c>
      <c r="AF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" spans="18:32" x14ac:dyDescent="0.2">
      <c r="R345" t="s">
        <v>41</v>
      </c>
      <c r="S345" t="s">
        <v>247</v>
      </c>
      <c r="T345" t="s">
        <v>7</v>
      </c>
      <c r="U345" s="21">
        <v>400</v>
      </c>
      <c r="V345" s="21" t="s">
        <v>368</v>
      </c>
      <c r="W345" t="str">
        <f>VLOOKUP(Table_Query_from_Actuarial___Production[[#This Row],[Kor1]],$AI$3:$AK$105,3,FALSE)</f>
        <v>Misc. Income</v>
      </c>
      <c r="X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"/>
      <c r="Z345" t="s">
        <v>47</v>
      </c>
      <c r="AA345" t="s">
        <v>265</v>
      </c>
      <c r="AB345" t="s">
        <v>442</v>
      </c>
      <c r="AC345" s="21">
        <v>3156.67</v>
      </c>
      <c r="AD345" s="21" t="s">
        <v>368</v>
      </c>
      <c r="AE345" t="str">
        <f>VLOOKUP(Table_Query_from_Actuarial___Production3[[#This Row],[Kor1]],$AI$3:$AK$105,3,FALSE)</f>
        <v>Investment Income</v>
      </c>
      <c r="AF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" spans="18:32" x14ac:dyDescent="0.2">
      <c r="R346" t="s">
        <v>13</v>
      </c>
      <c r="S346" t="s">
        <v>266</v>
      </c>
      <c r="T346" t="s">
        <v>443</v>
      </c>
      <c r="U346" s="21">
        <v>265008.64000000001</v>
      </c>
      <c r="V346" s="21" t="s">
        <v>368</v>
      </c>
      <c r="W346" t="str">
        <f>VLOOKUP(Table_Query_from_Actuarial___Production[[#This Row],[Kor1]],$AI$3:$AK$105,3,FALSE)</f>
        <v>Operating Service Fees</v>
      </c>
      <c r="X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"/>
      <c r="Z346" t="s">
        <v>14</v>
      </c>
      <c r="AA346" t="s">
        <v>263</v>
      </c>
      <c r="AB346" t="s">
        <v>433</v>
      </c>
      <c r="AC346" s="21">
        <v>27842.84</v>
      </c>
      <c r="AD346" s="21" t="s">
        <v>368</v>
      </c>
      <c r="AE346" t="str">
        <f>VLOOKUP(Table_Query_from_Actuarial___Production3[[#This Row],[Kor1]],$AI$3:$AK$105,3,FALSE)</f>
        <v>Claims Expense</v>
      </c>
      <c r="AF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" spans="18:32" x14ac:dyDescent="0.2">
      <c r="R347" t="s">
        <v>10</v>
      </c>
      <c r="S347" t="s">
        <v>235</v>
      </c>
      <c r="T347" t="s">
        <v>9</v>
      </c>
      <c r="U347" s="21">
        <v>39989.800000000003</v>
      </c>
      <c r="V347" s="21" t="s">
        <v>368</v>
      </c>
      <c r="W347" t="str">
        <f>VLOOKUP(Table_Query_from_Actuarial___Production[[#This Row],[Kor1]],$AI$3:$AK$105,3,FALSE)</f>
        <v>Commissions</v>
      </c>
      <c r="X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"/>
      <c r="Z347" t="s">
        <v>48</v>
      </c>
      <c r="AA347" t="s">
        <v>263</v>
      </c>
      <c r="AB347" t="s">
        <v>443</v>
      </c>
      <c r="AC347" s="21">
        <v>270.72000000000003</v>
      </c>
      <c r="AD347" s="21" t="s">
        <v>368</v>
      </c>
      <c r="AE347" t="str">
        <f>VLOOKUP(Table_Query_from_Actuarial___Production3[[#This Row],[Kor1]],$AI$3:$AK$105,3,FALSE)</f>
        <v>Anticipated Salvage</v>
      </c>
      <c r="AF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" spans="18:32" x14ac:dyDescent="0.2">
      <c r="R348" t="s">
        <v>13</v>
      </c>
      <c r="S348" t="s">
        <v>268</v>
      </c>
      <c r="T348" t="s">
        <v>441</v>
      </c>
      <c r="U348" s="21">
        <v>45927.74</v>
      </c>
      <c r="V348" s="21" t="s">
        <v>368</v>
      </c>
      <c r="W348" t="str">
        <f>VLOOKUP(Table_Query_from_Actuarial___Production[[#This Row],[Kor1]],$AI$3:$AK$105,3,FALSE)</f>
        <v>Operating Service Fees</v>
      </c>
      <c r="X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"/>
      <c r="Z348" t="s">
        <v>48</v>
      </c>
      <c r="AA348" t="s">
        <v>266</v>
      </c>
      <c r="AB348" t="s">
        <v>433</v>
      </c>
      <c r="AC348" s="21">
        <v>3308.76</v>
      </c>
      <c r="AD348" s="21" t="s">
        <v>368</v>
      </c>
      <c r="AE348" t="str">
        <f>VLOOKUP(Table_Query_from_Actuarial___Production3[[#This Row],[Kor1]],$AI$3:$AK$105,3,FALSE)</f>
        <v>Anticipated Salvage</v>
      </c>
      <c r="AF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" spans="18:32" x14ac:dyDescent="0.2">
      <c r="R349" t="s">
        <v>11</v>
      </c>
      <c r="S349" t="s">
        <v>224</v>
      </c>
      <c r="T349" t="s">
        <v>433</v>
      </c>
      <c r="U349" s="21">
        <v>10849.86</v>
      </c>
      <c r="V349" s="21" t="s">
        <v>369</v>
      </c>
      <c r="W349" t="str">
        <f>VLOOKUP(Table_Query_from_Actuarial___Production[[#This Row],[Kor1]],$AI$3:$AK$105,3,FALSE)</f>
        <v>Losses Paid</v>
      </c>
      <c r="X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49"/>
      <c r="Z349" t="s">
        <v>44</v>
      </c>
      <c r="AA349" t="s">
        <v>224</v>
      </c>
      <c r="AB349" t="s">
        <v>442</v>
      </c>
      <c r="AC349" s="21">
        <v>5.43</v>
      </c>
      <c r="AD349" s="21" t="s">
        <v>425</v>
      </c>
      <c r="AE349" t="str">
        <f>VLOOKUP(Table_Query_from_Actuarial___Production3[[#This Row],[Kor1]],$AI$3:$AK$105,3,FALSE)</f>
        <v>Charge-offs</v>
      </c>
      <c r="AF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50" spans="18:32" x14ac:dyDescent="0.2">
      <c r="R350" t="s">
        <v>13</v>
      </c>
      <c r="S350" t="s">
        <v>226</v>
      </c>
      <c r="T350" t="s">
        <v>443</v>
      </c>
      <c r="U350" s="21">
        <v>1310278.82</v>
      </c>
      <c r="V350" s="21" t="s">
        <v>368</v>
      </c>
      <c r="W350" t="str">
        <f>VLOOKUP(Table_Query_from_Actuarial___Production[[#This Row],[Kor1]],$AI$3:$AK$105,3,FALSE)</f>
        <v>Operating Service Fees</v>
      </c>
      <c r="X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50"/>
      <c r="Z350" t="s">
        <v>13</v>
      </c>
      <c r="AA350" t="s">
        <v>227</v>
      </c>
      <c r="AB350" t="s">
        <v>6</v>
      </c>
      <c r="AC350" s="21">
        <v>275369.5</v>
      </c>
      <c r="AD350" s="21" t="s">
        <v>368</v>
      </c>
      <c r="AE350" t="str">
        <f>VLOOKUP(Table_Query_from_Actuarial___Production3[[#This Row],[Kor1]],$AI$3:$AK$105,3,FALSE)</f>
        <v>Operating Service Fees</v>
      </c>
      <c r="AF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" spans="18:32" x14ac:dyDescent="0.2">
      <c r="R351" t="s">
        <v>46</v>
      </c>
      <c r="S351" t="s">
        <v>225</v>
      </c>
      <c r="T351" t="s">
        <v>442</v>
      </c>
      <c r="U351" s="21">
        <v>3565.84</v>
      </c>
      <c r="V351" s="21" t="s">
        <v>369</v>
      </c>
      <c r="W351" t="str">
        <f>VLOOKUP(Table_Query_from_Actuarial___Production[[#This Row],[Kor1]],$AI$3:$AK$105,3,FALSE)</f>
        <v>Investment Income</v>
      </c>
      <c r="X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51"/>
      <c r="Z351" t="s">
        <v>47</v>
      </c>
      <c r="AA351" t="s">
        <v>257</v>
      </c>
      <c r="AB351" t="s">
        <v>7</v>
      </c>
      <c r="AC351" s="21">
        <v>1587.41</v>
      </c>
      <c r="AD351" s="21" t="s">
        <v>368</v>
      </c>
      <c r="AE351" t="str">
        <f>VLOOKUP(Table_Query_from_Actuarial___Production3[[#This Row],[Kor1]],$AI$3:$AK$105,3,FALSE)</f>
        <v>Investment Income</v>
      </c>
      <c r="AF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" spans="18:32" x14ac:dyDescent="0.2">
      <c r="R352" t="s">
        <v>47</v>
      </c>
      <c r="S352" t="s">
        <v>237</v>
      </c>
      <c r="T352" t="s">
        <v>7</v>
      </c>
      <c r="U352" s="21">
        <v>0.05</v>
      </c>
      <c r="V352" s="21" t="s">
        <v>368</v>
      </c>
      <c r="W352" t="str">
        <f>VLOOKUP(Table_Query_from_Actuarial___Production[[#This Row],[Kor1]],$AI$3:$AK$105,3,FALSE)</f>
        <v>Investment Income</v>
      </c>
      <c r="X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"/>
      <c r="Z352" t="s">
        <v>11</v>
      </c>
      <c r="AA352" t="s">
        <v>262</v>
      </c>
      <c r="AB352" t="s">
        <v>433</v>
      </c>
      <c r="AC352" s="21">
        <v>302436.87</v>
      </c>
      <c r="AD352" s="21" t="s">
        <v>368</v>
      </c>
      <c r="AE352" t="str">
        <f>VLOOKUP(Table_Query_from_Actuarial___Production3[[#This Row],[Kor1]],$AI$3:$AK$105,3,FALSE)</f>
        <v>Losses Paid</v>
      </c>
      <c r="AF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" spans="18:32" x14ac:dyDescent="0.2">
      <c r="R353" t="s">
        <v>3</v>
      </c>
      <c r="S353" t="s">
        <v>267</v>
      </c>
      <c r="T353" t="s">
        <v>7</v>
      </c>
      <c r="U353" s="21">
        <v>295169</v>
      </c>
      <c r="V353" s="21" t="s">
        <v>368</v>
      </c>
      <c r="W353" t="str">
        <f>VLOOKUP(Table_Query_from_Actuarial___Production[[#This Row],[Kor1]],$AI$3:$AK$105,3,FALSE)</f>
        <v>Premiums Written</v>
      </c>
      <c r="X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"/>
      <c r="Z353" t="s">
        <v>11</v>
      </c>
      <c r="AA353" t="s">
        <v>264</v>
      </c>
      <c r="AB353" t="s">
        <v>5</v>
      </c>
      <c r="AC353" s="21">
        <v>1192741.58</v>
      </c>
      <c r="AD353" s="21" t="s">
        <v>368</v>
      </c>
      <c r="AE353" t="str">
        <f>VLOOKUP(Table_Query_from_Actuarial___Production3[[#This Row],[Kor1]],$AI$3:$AK$105,3,FALSE)</f>
        <v>Losses Paid</v>
      </c>
      <c r="AF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" spans="18:32" x14ac:dyDescent="0.2">
      <c r="R354" t="s">
        <v>13</v>
      </c>
      <c r="S354" t="s">
        <v>239</v>
      </c>
      <c r="T354" t="s">
        <v>427</v>
      </c>
      <c r="U354" s="21">
        <v>286869</v>
      </c>
      <c r="V354" s="21" t="s">
        <v>368</v>
      </c>
      <c r="W354" t="str">
        <f>VLOOKUP(Table_Query_from_Actuarial___Production[[#This Row],[Kor1]],$AI$3:$AK$105,3,FALSE)</f>
        <v>Operating Service Fees</v>
      </c>
      <c r="X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"/>
      <c r="Z354" t="s">
        <v>31</v>
      </c>
      <c r="AA354" t="s">
        <v>248</v>
      </c>
      <c r="AB354" t="s">
        <v>441</v>
      </c>
      <c r="AC354" s="21">
        <v>972.65</v>
      </c>
      <c r="AD354" s="21" t="s">
        <v>368</v>
      </c>
      <c r="AE354" t="str">
        <f>VLOOKUP(Table_Query_from_Actuarial___Production3[[#This Row],[Kor1]],$AI$3:$AK$105,3,FALSE)</f>
        <v>Misc. Expense</v>
      </c>
      <c r="AF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" spans="18:32" x14ac:dyDescent="0.2">
      <c r="R355" t="s">
        <v>39</v>
      </c>
      <c r="S355" t="s">
        <v>253</v>
      </c>
      <c r="T355" t="s">
        <v>433</v>
      </c>
      <c r="U355" s="21">
        <v>307</v>
      </c>
      <c r="V355" s="21" t="s">
        <v>368</v>
      </c>
      <c r="W355" t="str">
        <f>VLOOKUP(Table_Query_from_Actuarial___Production[[#This Row],[Kor1]],$AI$3:$AK$105,3,FALSE)</f>
        <v>Misc. Income for Insolvent Companies</v>
      </c>
      <c r="X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"/>
      <c r="Z355" t="s">
        <v>10</v>
      </c>
      <c r="AA355" t="s">
        <v>264</v>
      </c>
      <c r="AB355" t="s">
        <v>433</v>
      </c>
      <c r="AC355" s="21">
        <v>235368.03</v>
      </c>
      <c r="AD355" s="21" t="s">
        <v>368</v>
      </c>
      <c r="AE355" t="str">
        <f>VLOOKUP(Table_Query_from_Actuarial___Production3[[#This Row],[Kor1]],$AI$3:$AK$105,3,FALSE)</f>
        <v>Commissions</v>
      </c>
      <c r="AF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" spans="18:32" x14ac:dyDescent="0.2">
      <c r="R356" t="s">
        <v>38</v>
      </c>
      <c r="S356" t="s">
        <v>224</v>
      </c>
      <c r="T356" t="s">
        <v>9</v>
      </c>
      <c r="U356" s="21">
        <v>10754.43</v>
      </c>
      <c r="V356" s="21" t="s">
        <v>369</v>
      </c>
      <c r="W356" t="str">
        <f>VLOOKUP(Table_Query_from_Actuarial___Production[[#This Row],[Kor1]],$AI$3:$AK$105,3,FALSE)</f>
        <v>Misc. Income</v>
      </c>
      <c r="X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56"/>
      <c r="Z356" t="s">
        <v>47</v>
      </c>
      <c r="AA356" t="s">
        <v>237</v>
      </c>
      <c r="AB356" t="s">
        <v>351</v>
      </c>
      <c r="AC356" s="21">
        <v>7691.44</v>
      </c>
      <c r="AD356" s="21" t="s">
        <v>368</v>
      </c>
      <c r="AE356" t="str">
        <f>VLOOKUP(Table_Query_from_Actuarial___Production3[[#This Row],[Kor1]],$AI$3:$AK$105,3,FALSE)</f>
        <v>Investment Income</v>
      </c>
      <c r="AF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" spans="18:32" x14ac:dyDescent="0.2">
      <c r="R357" t="s">
        <v>144</v>
      </c>
      <c r="S357" t="s">
        <v>224</v>
      </c>
      <c r="T357" t="s">
        <v>427</v>
      </c>
      <c r="U357" s="21">
        <v>-9000</v>
      </c>
      <c r="V357" s="21" t="s">
        <v>368</v>
      </c>
      <c r="W357" t="str">
        <f>VLOOKUP(Table_Query_from_Actuarial___Production[[#This Row],[Kor1]],$AI$3:$AK$105,3,FALSE)</f>
        <v>Claims Expense</v>
      </c>
      <c r="X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57"/>
      <c r="Z357" t="s">
        <v>17</v>
      </c>
      <c r="AA357" t="s">
        <v>263</v>
      </c>
      <c r="AB357" t="s">
        <v>433</v>
      </c>
      <c r="AC357" s="21">
        <v>27555.599999999999</v>
      </c>
      <c r="AD357" s="21" t="s">
        <v>368</v>
      </c>
      <c r="AE357" t="str">
        <f>VLOOKUP(Table_Query_from_Actuarial___Production3[[#This Row],[Kor1]],$AI$3:$AK$105,3,FALSE)</f>
        <v>IBNR</v>
      </c>
      <c r="AF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" spans="18:32" x14ac:dyDescent="0.2">
      <c r="R358" t="s">
        <v>11</v>
      </c>
      <c r="S358" t="s">
        <v>232</v>
      </c>
      <c r="T358" t="s">
        <v>6</v>
      </c>
      <c r="U358" s="21">
        <v>1363135.55</v>
      </c>
      <c r="V358" s="21" t="s">
        <v>368</v>
      </c>
      <c r="W358" t="str">
        <f>VLOOKUP(Table_Query_from_Actuarial___Production[[#This Row],[Kor1]],$AI$3:$AK$105,3,FALSE)</f>
        <v>Losses Paid</v>
      </c>
      <c r="X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"/>
      <c r="Z358" t="s">
        <v>39</v>
      </c>
      <c r="AA358" t="s">
        <v>238</v>
      </c>
      <c r="AB358" t="s">
        <v>433</v>
      </c>
      <c r="AC358" s="21">
        <v>3937.98</v>
      </c>
      <c r="AD358" s="21" t="s">
        <v>368</v>
      </c>
      <c r="AE358" t="str">
        <f>VLOOKUP(Table_Query_from_Actuarial___Production3[[#This Row],[Kor1]],$AI$3:$AK$105,3,FALSE)</f>
        <v>Misc. Income for Insolvent Companies</v>
      </c>
      <c r="AF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" spans="18:32" x14ac:dyDescent="0.2">
      <c r="R359" t="s">
        <v>12</v>
      </c>
      <c r="S359" t="s">
        <v>251</v>
      </c>
      <c r="T359" t="s">
        <v>351</v>
      </c>
      <c r="U359" s="21">
        <v>4922.82</v>
      </c>
      <c r="V359" s="21" t="s">
        <v>368</v>
      </c>
      <c r="W359" t="str">
        <f>VLOOKUP(Table_Query_from_Actuarial___Production[[#This Row],[Kor1]],$AI$3:$AK$105,3,FALSE)</f>
        <v>Premium Tax</v>
      </c>
      <c r="X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"/>
      <c r="Z359" t="s">
        <v>16</v>
      </c>
      <c r="AA359" t="s">
        <v>226</v>
      </c>
      <c r="AB359" t="s">
        <v>441</v>
      </c>
      <c r="AC359" s="21">
        <v>261608.99</v>
      </c>
      <c r="AD359" s="21" t="s">
        <v>368</v>
      </c>
      <c r="AE359" t="str">
        <f>VLOOKUP(Table_Query_from_Actuarial___Production3[[#This Row],[Kor1]],$AI$3:$AK$105,3,FALSE)</f>
        <v>Losses Outstanding</v>
      </c>
      <c r="AF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60" spans="18:32" x14ac:dyDescent="0.2">
      <c r="R360" t="s">
        <v>31</v>
      </c>
      <c r="S360" t="s">
        <v>254</v>
      </c>
      <c r="T360" t="s">
        <v>427</v>
      </c>
      <c r="U360" s="21">
        <v>197.67</v>
      </c>
      <c r="V360" s="21" t="s">
        <v>368</v>
      </c>
      <c r="W360" t="str">
        <f>VLOOKUP(Table_Query_from_Actuarial___Production[[#This Row],[Kor1]],$AI$3:$AK$105,3,FALSE)</f>
        <v>Misc. Expense</v>
      </c>
      <c r="X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"/>
      <c r="Z360" t="s">
        <v>33</v>
      </c>
      <c r="AA360" t="s">
        <v>232</v>
      </c>
      <c r="AB360" t="s">
        <v>6</v>
      </c>
      <c r="AC360" s="21">
        <v>17536.740000000002</v>
      </c>
      <c r="AD360" s="21" t="s">
        <v>368</v>
      </c>
      <c r="AE360" t="str">
        <f>VLOOKUP(Table_Query_from_Actuarial___Production3[[#This Row],[Kor1]],$AI$3:$AK$105,3,FALSE)</f>
        <v>Misc. Expense</v>
      </c>
      <c r="AF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" spans="18:32" x14ac:dyDescent="0.2">
      <c r="R361" t="s">
        <v>44</v>
      </c>
      <c r="S361" t="s">
        <v>234</v>
      </c>
      <c r="T361" t="s">
        <v>443</v>
      </c>
      <c r="U361" s="21">
        <v>1366</v>
      </c>
      <c r="V361" s="21" t="s">
        <v>368</v>
      </c>
      <c r="W361" t="str">
        <f>VLOOKUP(Table_Query_from_Actuarial___Production[[#This Row],[Kor1]],$AI$3:$AK$105,3,FALSE)</f>
        <v>Charge-offs</v>
      </c>
      <c r="X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"/>
      <c r="Z361" t="s">
        <v>39</v>
      </c>
      <c r="AA361" t="s">
        <v>253</v>
      </c>
      <c r="AB361" t="s">
        <v>5</v>
      </c>
      <c r="AC361" s="21">
        <v>815.95</v>
      </c>
      <c r="AD361" s="21" t="s">
        <v>368</v>
      </c>
      <c r="AE361" t="str">
        <f>VLOOKUP(Table_Query_from_Actuarial___Production3[[#This Row],[Kor1]],$AI$3:$AK$105,3,FALSE)</f>
        <v>Misc. Income for Insolvent Companies</v>
      </c>
      <c r="AF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" spans="18:32" x14ac:dyDescent="0.2">
      <c r="R362" t="s">
        <v>25</v>
      </c>
      <c r="S362" t="s">
        <v>250</v>
      </c>
      <c r="T362" t="s">
        <v>6</v>
      </c>
      <c r="U362" s="21">
        <v>1871.76</v>
      </c>
      <c r="V362" s="21" t="s">
        <v>368</v>
      </c>
      <c r="W362" t="str">
        <f>VLOOKUP(Table_Query_from_Actuarial___Production[[#This Row],[Kor1]],$AI$3:$AK$105,3,FALSE)</f>
        <v>Misc. Expense</v>
      </c>
      <c r="X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"/>
      <c r="Z362" t="s">
        <v>16</v>
      </c>
      <c r="AA362" t="s">
        <v>225</v>
      </c>
      <c r="AB362" t="s">
        <v>442</v>
      </c>
      <c r="AC362" s="21">
        <v>40000</v>
      </c>
      <c r="AD362" s="21" t="s">
        <v>368</v>
      </c>
      <c r="AE362" t="str">
        <f>VLOOKUP(Table_Query_from_Actuarial___Production3[[#This Row],[Kor1]],$AI$3:$AK$105,3,FALSE)</f>
        <v>Losses Outstanding</v>
      </c>
      <c r="AF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63" spans="18:32" x14ac:dyDescent="0.2">
      <c r="R363" t="s">
        <v>46</v>
      </c>
      <c r="S363" t="s">
        <v>226</v>
      </c>
      <c r="T363" t="s">
        <v>441</v>
      </c>
      <c r="U363" s="21">
        <v>364.63</v>
      </c>
      <c r="V363" s="21" t="s">
        <v>368</v>
      </c>
      <c r="W363" t="str">
        <f>VLOOKUP(Table_Query_from_Actuarial___Production[[#This Row],[Kor1]],$AI$3:$AK$105,3,FALSE)</f>
        <v>Investment Income</v>
      </c>
      <c r="X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63"/>
      <c r="Z363" t="s">
        <v>43</v>
      </c>
      <c r="AA363" t="s">
        <v>230</v>
      </c>
      <c r="AB363" t="s">
        <v>443</v>
      </c>
      <c r="AC363" s="21">
        <v>-3304.04</v>
      </c>
      <c r="AD363" s="21" t="s">
        <v>368</v>
      </c>
      <c r="AE363" t="str">
        <f>VLOOKUP(Table_Query_from_Actuarial___Production3[[#This Row],[Kor1]],$AI$3:$AK$105,3,FALSE)</f>
        <v>Charge-offs</v>
      </c>
      <c r="AF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" spans="18:32" x14ac:dyDescent="0.2">
      <c r="R364" t="s">
        <v>34</v>
      </c>
      <c r="S364" t="s">
        <v>4</v>
      </c>
      <c r="T364" t="s">
        <v>6</v>
      </c>
      <c r="U364" s="21">
        <v>394.58</v>
      </c>
      <c r="V364" s="21" t="s">
        <v>368</v>
      </c>
      <c r="W364" t="str">
        <f>VLOOKUP(Table_Query_from_Actuarial___Production[[#This Row],[Kor1]],$AI$3:$AK$105,3,FALSE)</f>
        <v>Misc. Expense</v>
      </c>
      <c r="X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"/>
      <c r="Z364" t="s">
        <v>44</v>
      </c>
      <c r="AA364" t="s">
        <v>244</v>
      </c>
      <c r="AB364" t="s">
        <v>441</v>
      </c>
      <c r="AC364" s="21">
        <v>80081.649999999994</v>
      </c>
      <c r="AD364" s="21" t="s">
        <v>368</v>
      </c>
      <c r="AE364" t="str">
        <f>VLOOKUP(Table_Query_from_Actuarial___Production3[[#This Row],[Kor1]],$AI$3:$AK$105,3,FALSE)</f>
        <v>Charge-offs</v>
      </c>
      <c r="AF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" spans="18:32" x14ac:dyDescent="0.2">
      <c r="R365" t="s">
        <v>14</v>
      </c>
      <c r="S365" t="s">
        <v>224</v>
      </c>
      <c r="T365" t="s">
        <v>351</v>
      </c>
      <c r="U365" s="21">
        <v>267837.76</v>
      </c>
      <c r="V365" s="21" t="s">
        <v>370</v>
      </c>
      <c r="W365" t="str">
        <f>VLOOKUP(Table_Query_from_Actuarial___Production[[#This Row],[Kor1]],$AI$3:$AK$105,3,FALSE)</f>
        <v>Claims Expense</v>
      </c>
      <c r="X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65"/>
      <c r="Z365" t="s">
        <v>48</v>
      </c>
      <c r="AA365" t="s">
        <v>256</v>
      </c>
      <c r="AB365" t="s">
        <v>441</v>
      </c>
      <c r="AC365" s="21">
        <v>44.04</v>
      </c>
      <c r="AD365" s="21" t="s">
        <v>368</v>
      </c>
      <c r="AE365" t="str">
        <f>VLOOKUP(Table_Query_from_Actuarial___Production3[[#This Row],[Kor1]],$AI$3:$AK$105,3,FALSE)</f>
        <v>Anticipated Salvage</v>
      </c>
      <c r="AF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" spans="18:32" x14ac:dyDescent="0.2">
      <c r="R366" t="s">
        <v>12</v>
      </c>
      <c r="S366" t="s">
        <v>264</v>
      </c>
      <c r="T366" t="s">
        <v>442</v>
      </c>
      <c r="U366" s="21">
        <v>95483.35</v>
      </c>
      <c r="V366" s="21" t="s">
        <v>368</v>
      </c>
      <c r="W366" t="str">
        <f>VLOOKUP(Table_Query_from_Actuarial___Production[[#This Row],[Kor1]],$AI$3:$AK$105,3,FALSE)</f>
        <v>Premium Tax</v>
      </c>
      <c r="X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"/>
      <c r="Z366" t="s">
        <v>41</v>
      </c>
      <c r="AA366" t="s">
        <v>252</v>
      </c>
      <c r="AB366" t="s">
        <v>427</v>
      </c>
      <c r="AC366" s="21">
        <v>2700.33</v>
      </c>
      <c r="AD366" s="21" t="s">
        <v>368</v>
      </c>
      <c r="AE366" t="str">
        <f>VLOOKUP(Table_Query_from_Actuarial___Production3[[#This Row],[Kor1]],$AI$3:$AK$105,3,FALSE)</f>
        <v>Misc. Income</v>
      </c>
      <c r="AF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" spans="18:32" x14ac:dyDescent="0.2">
      <c r="R367" t="s">
        <v>34</v>
      </c>
      <c r="S367" t="s">
        <v>230</v>
      </c>
      <c r="T367" t="s">
        <v>445</v>
      </c>
      <c r="U367" s="21">
        <v>113303.08</v>
      </c>
      <c r="V367" s="21" t="s">
        <v>368</v>
      </c>
      <c r="W367" t="str">
        <f>VLOOKUP(Table_Query_from_Actuarial___Production[[#This Row],[Kor1]],$AI$3:$AK$105,3,FALSE)</f>
        <v>Misc. Expense</v>
      </c>
      <c r="X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"/>
      <c r="Z367" t="s">
        <v>12</v>
      </c>
      <c r="AA367" t="s">
        <v>257</v>
      </c>
      <c r="AB367" t="s">
        <v>7</v>
      </c>
      <c r="AC367" s="21">
        <v>25493.3</v>
      </c>
      <c r="AD367" s="21" t="s">
        <v>368</v>
      </c>
      <c r="AE367" t="str">
        <f>VLOOKUP(Table_Query_from_Actuarial___Production3[[#This Row],[Kor1]],$AI$3:$AK$105,3,FALSE)</f>
        <v>Premium Tax</v>
      </c>
      <c r="AF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" spans="18:32" x14ac:dyDescent="0.2">
      <c r="R368" t="s">
        <v>10</v>
      </c>
      <c r="S368" t="s">
        <v>262</v>
      </c>
      <c r="T368" t="s">
        <v>6</v>
      </c>
      <c r="U368" s="21">
        <v>15164.45</v>
      </c>
      <c r="V368" s="21" t="s">
        <v>368</v>
      </c>
      <c r="W368" t="str">
        <f>VLOOKUP(Table_Query_from_Actuarial___Production[[#This Row],[Kor1]],$AI$3:$AK$105,3,FALSE)</f>
        <v>Commissions</v>
      </c>
      <c r="X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"/>
      <c r="Z368" t="s">
        <v>41</v>
      </c>
      <c r="AA368" t="s">
        <v>247</v>
      </c>
      <c r="AB368" t="s">
        <v>7</v>
      </c>
      <c r="AC368" s="21">
        <v>400</v>
      </c>
      <c r="AD368" s="21" t="s">
        <v>368</v>
      </c>
      <c r="AE368" t="str">
        <f>VLOOKUP(Table_Query_from_Actuarial___Production3[[#This Row],[Kor1]],$AI$3:$AK$105,3,FALSE)</f>
        <v>Misc. Income</v>
      </c>
      <c r="AF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" spans="18:32" x14ac:dyDescent="0.2">
      <c r="R369" t="s">
        <v>11</v>
      </c>
      <c r="S369" t="s">
        <v>243</v>
      </c>
      <c r="T369" t="s">
        <v>6</v>
      </c>
      <c r="U369" s="21">
        <v>42778.11</v>
      </c>
      <c r="V369" s="21" t="s">
        <v>368</v>
      </c>
      <c r="W369" t="str">
        <f>VLOOKUP(Table_Query_from_Actuarial___Production[[#This Row],[Kor1]],$AI$3:$AK$105,3,FALSE)</f>
        <v>Losses Paid</v>
      </c>
      <c r="X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"/>
      <c r="Z369" t="s">
        <v>14</v>
      </c>
      <c r="AA369" t="s">
        <v>245</v>
      </c>
      <c r="AB369" t="s">
        <v>5</v>
      </c>
      <c r="AC369" s="21">
        <v>3406.62</v>
      </c>
      <c r="AD369" s="21" t="s">
        <v>368</v>
      </c>
      <c r="AE369" t="str">
        <f>VLOOKUP(Table_Query_from_Actuarial___Production3[[#This Row],[Kor1]],$AI$3:$AK$105,3,FALSE)</f>
        <v>Claims Expense</v>
      </c>
      <c r="AF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" spans="18:32" x14ac:dyDescent="0.2">
      <c r="R370" t="s">
        <v>20</v>
      </c>
      <c r="S370" t="s">
        <v>250</v>
      </c>
      <c r="T370" t="s">
        <v>9</v>
      </c>
      <c r="U370" s="21">
        <v>481.16</v>
      </c>
      <c r="V370" s="21" t="s">
        <v>368</v>
      </c>
      <c r="W370" t="str">
        <f>VLOOKUP(Table_Query_from_Actuarial___Production[[#This Row],[Kor1]],$AI$3:$AK$105,3,FALSE)</f>
        <v>Misc. Expense</v>
      </c>
      <c r="X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"/>
      <c r="Z370" t="s">
        <v>13</v>
      </c>
      <c r="AA370" t="s">
        <v>266</v>
      </c>
      <c r="AB370" t="s">
        <v>443</v>
      </c>
      <c r="AC370" s="21">
        <v>161793.45000000001</v>
      </c>
      <c r="AD370" s="21" t="s">
        <v>368</v>
      </c>
      <c r="AE370" t="str">
        <f>VLOOKUP(Table_Query_from_Actuarial___Production3[[#This Row],[Kor1]],$AI$3:$AK$105,3,FALSE)</f>
        <v>Operating Service Fees</v>
      </c>
      <c r="AF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" spans="18:32" x14ac:dyDescent="0.2">
      <c r="R371" t="s">
        <v>40</v>
      </c>
      <c r="S371" t="s">
        <v>257</v>
      </c>
      <c r="T371" t="s">
        <v>9</v>
      </c>
      <c r="U371" s="21">
        <v>90.35</v>
      </c>
      <c r="V371" s="21" t="s">
        <v>368</v>
      </c>
      <c r="W371" t="str">
        <f>VLOOKUP(Table_Query_from_Actuarial___Production[[#This Row],[Kor1]],$AI$3:$AK$105,3,FALSE)</f>
        <v>Misc. Income</v>
      </c>
      <c r="X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"/>
      <c r="Z371" t="s">
        <v>10</v>
      </c>
      <c r="AA371" t="s">
        <v>235</v>
      </c>
      <c r="AB371" t="s">
        <v>9</v>
      </c>
      <c r="AC371" s="21">
        <v>39989.800000000003</v>
      </c>
      <c r="AD371" s="21" t="s">
        <v>368</v>
      </c>
      <c r="AE371" t="str">
        <f>VLOOKUP(Table_Query_from_Actuarial___Production3[[#This Row],[Kor1]],$AI$3:$AK$105,3,FALSE)</f>
        <v>Commissions</v>
      </c>
      <c r="AF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" spans="18:32" x14ac:dyDescent="0.2">
      <c r="R372" t="s">
        <v>47</v>
      </c>
      <c r="S372" t="s">
        <v>264</v>
      </c>
      <c r="T372" t="s">
        <v>433</v>
      </c>
      <c r="U372" s="21">
        <v>4171.16</v>
      </c>
      <c r="V372" s="21" t="s">
        <v>368</v>
      </c>
      <c r="W372" t="str">
        <f>VLOOKUP(Table_Query_from_Actuarial___Production[[#This Row],[Kor1]],$AI$3:$AK$105,3,FALSE)</f>
        <v>Investment Income</v>
      </c>
      <c r="X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"/>
      <c r="Z372" t="s">
        <v>13</v>
      </c>
      <c r="AA372" t="s">
        <v>268</v>
      </c>
      <c r="AB372" t="s">
        <v>441</v>
      </c>
      <c r="AC372" s="21">
        <v>45927.74</v>
      </c>
      <c r="AD372" s="21" t="s">
        <v>368</v>
      </c>
      <c r="AE372" t="str">
        <f>VLOOKUP(Table_Query_from_Actuarial___Production3[[#This Row],[Kor1]],$AI$3:$AK$105,3,FALSE)</f>
        <v>Operating Service Fees</v>
      </c>
      <c r="AF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" spans="18:32" x14ac:dyDescent="0.2">
      <c r="R373" t="s">
        <v>41</v>
      </c>
      <c r="S373" t="s">
        <v>240</v>
      </c>
      <c r="T373" t="s">
        <v>441</v>
      </c>
      <c r="U373" s="21">
        <v>400.01</v>
      </c>
      <c r="V373" s="21" t="s">
        <v>368</v>
      </c>
      <c r="W373" t="str">
        <f>VLOOKUP(Table_Query_from_Actuarial___Production[[#This Row],[Kor1]],$AI$3:$AK$105,3,FALSE)</f>
        <v>Misc. Income</v>
      </c>
      <c r="X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"/>
      <c r="Z373" t="s">
        <v>11</v>
      </c>
      <c r="AA373" t="s">
        <v>224</v>
      </c>
      <c r="AB373" t="s">
        <v>433</v>
      </c>
      <c r="AC373" s="21">
        <v>10849.86</v>
      </c>
      <c r="AD373" s="21" t="s">
        <v>369</v>
      </c>
      <c r="AE373" t="str">
        <f>VLOOKUP(Table_Query_from_Actuarial___Production3[[#This Row],[Kor1]],$AI$3:$AK$105,3,FALSE)</f>
        <v>Losses Paid</v>
      </c>
      <c r="AF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74" spans="18:32" x14ac:dyDescent="0.2">
      <c r="R374" t="s">
        <v>47</v>
      </c>
      <c r="S374" t="s">
        <v>235</v>
      </c>
      <c r="T374" t="s">
        <v>427</v>
      </c>
      <c r="U374" s="21">
        <v>4374.13</v>
      </c>
      <c r="V374" s="21" t="s">
        <v>368</v>
      </c>
      <c r="W374" t="str">
        <f>VLOOKUP(Table_Query_from_Actuarial___Production[[#This Row],[Kor1]],$AI$3:$AK$105,3,FALSE)</f>
        <v>Investment Income</v>
      </c>
      <c r="X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"/>
      <c r="Z374" t="s">
        <v>13</v>
      </c>
      <c r="AA374" t="s">
        <v>226</v>
      </c>
      <c r="AB374" t="s">
        <v>443</v>
      </c>
      <c r="AC374" s="21">
        <v>1255723.92</v>
      </c>
      <c r="AD374" s="21" t="s">
        <v>368</v>
      </c>
      <c r="AE374" t="str">
        <f>VLOOKUP(Table_Query_from_Actuarial___Production3[[#This Row],[Kor1]],$AI$3:$AK$105,3,FALSE)</f>
        <v>Operating Service Fees</v>
      </c>
      <c r="AF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75" spans="18:32" x14ac:dyDescent="0.2">
      <c r="R375" t="s">
        <v>18</v>
      </c>
      <c r="S375" t="s">
        <v>224</v>
      </c>
      <c r="T375" t="s">
        <v>351</v>
      </c>
      <c r="U375" s="21">
        <v>92907.09</v>
      </c>
      <c r="V375" s="21" t="s">
        <v>370</v>
      </c>
      <c r="W375" t="str">
        <f>VLOOKUP(Table_Query_from_Actuarial___Production[[#This Row],[Kor1]],$AI$3:$AK$105,3,FALSE)</f>
        <v>Misc. Expense</v>
      </c>
      <c r="X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75"/>
      <c r="Z375" t="s">
        <v>46</v>
      </c>
      <c r="AA375" t="s">
        <v>225</v>
      </c>
      <c r="AB375" t="s">
        <v>442</v>
      </c>
      <c r="AC375" s="21">
        <v>3565.84</v>
      </c>
      <c r="AD375" s="21" t="s">
        <v>369</v>
      </c>
      <c r="AE375" t="str">
        <f>VLOOKUP(Table_Query_from_Actuarial___Production3[[#This Row],[Kor1]],$AI$3:$AK$105,3,FALSE)</f>
        <v>Investment Income</v>
      </c>
      <c r="AF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76" spans="18:32" x14ac:dyDescent="0.2">
      <c r="R376" t="s">
        <v>17</v>
      </c>
      <c r="S376" t="s">
        <v>261</v>
      </c>
      <c r="T376" t="s">
        <v>442</v>
      </c>
      <c r="U376" s="21">
        <v>32618.48</v>
      </c>
      <c r="V376" s="21" t="s">
        <v>368</v>
      </c>
      <c r="W376" t="str">
        <f>VLOOKUP(Table_Query_from_Actuarial___Production[[#This Row],[Kor1]],$AI$3:$AK$105,3,FALSE)</f>
        <v>IBNR</v>
      </c>
      <c r="X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"/>
      <c r="Z376" t="s">
        <v>16</v>
      </c>
      <c r="AA376" t="s">
        <v>243</v>
      </c>
      <c r="AB376" t="s">
        <v>356</v>
      </c>
      <c r="AC376" s="21">
        <v>-19</v>
      </c>
      <c r="AD376" s="21" t="s">
        <v>368</v>
      </c>
      <c r="AE376" t="str">
        <f>VLOOKUP(Table_Query_from_Actuarial___Production3[[#This Row],[Kor1]],$AI$3:$AK$105,3,FALSE)</f>
        <v>Losses Outstanding</v>
      </c>
      <c r="AF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" spans="18:32" x14ac:dyDescent="0.2">
      <c r="R377" t="s">
        <v>31</v>
      </c>
      <c r="S377" t="s">
        <v>232</v>
      </c>
      <c r="T377" t="s">
        <v>7</v>
      </c>
      <c r="U377" s="21">
        <v>881.21</v>
      </c>
      <c r="V377" s="21" t="s">
        <v>368</v>
      </c>
      <c r="W377" t="str">
        <f>VLOOKUP(Table_Query_from_Actuarial___Production[[#This Row],[Kor1]],$AI$3:$AK$105,3,FALSE)</f>
        <v>Misc. Expense</v>
      </c>
      <c r="X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"/>
      <c r="Z377" t="s">
        <v>47</v>
      </c>
      <c r="AA377" t="s">
        <v>237</v>
      </c>
      <c r="AB377" t="s">
        <v>7</v>
      </c>
      <c r="AC377" s="21">
        <v>0.05</v>
      </c>
      <c r="AD377" s="21" t="s">
        <v>368</v>
      </c>
      <c r="AE377" t="str">
        <f>VLOOKUP(Table_Query_from_Actuarial___Production3[[#This Row],[Kor1]],$AI$3:$AK$105,3,FALSE)</f>
        <v>Investment Income</v>
      </c>
      <c r="AF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" spans="18:32" x14ac:dyDescent="0.2">
      <c r="R378" t="s">
        <v>39</v>
      </c>
      <c r="S378" t="s">
        <v>236</v>
      </c>
      <c r="T378" t="s">
        <v>351</v>
      </c>
      <c r="U378" s="21">
        <v>93</v>
      </c>
      <c r="V378" s="21" t="s">
        <v>368</v>
      </c>
      <c r="W378" t="str">
        <f>VLOOKUP(Table_Query_from_Actuarial___Production[[#This Row],[Kor1]],$AI$3:$AK$105,3,FALSE)</f>
        <v>Misc. Income for Insolvent Companies</v>
      </c>
      <c r="X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"/>
      <c r="Z378" t="s">
        <v>3</v>
      </c>
      <c r="AA378" t="s">
        <v>267</v>
      </c>
      <c r="AB378" t="s">
        <v>7</v>
      </c>
      <c r="AC378" s="21">
        <v>295169</v>
      </c>
      <c r="AD378" s="21" t="s">
        <v>368</v>
      </c>
      <c r="AE378" t="str">
        <f>VLOOKUP(Table_Query_from_Actuarial___Production3[[#This Row],[Kor1]],$AI$3:$AK$105,3,FALSE)</f>
        <v>Premiums Written</v>
      </c>
      <c r="AF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" spans="18:32" x14ac:dyDescent="0.2">
      <c r="R379" t="s">
        <v>47</v>
      </c>
      <c r="S379" t="s">
        <v>257</v>
      </c>
      <c r="T379" t="s">
        <v>427</v>
      </c>
      <c r="U379" s="21">
        <v>42956.71</v>
      </c>
      <c r="V379" s="21" t="s">
        <v>368</v>
      </c>
      <c r="W379" t="str">
        <f>VLOOKUP(Table_Query_from_Actuarial___Production[[#This Row],[Kor1]],$AI$3:$AK$105,3,FALSE)</f>
        <v>Investment Income</v>
      </c>
      <c r="X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"/>
      <c r="Z379" t="s">
        <v>13</v>
      </c>
      <c r="AA379" t="s">
        <v>239</v>
      </c>
      <c r="AB379" t="s">
        <v>427</v>
      </c>
      <c r="AC379" s="21">
        <v>286869</v>
      </c>
      <c r="AD379" s="21" t="s">
        <v>368</v>
      </c>
      <c r="AE379" t="str">
        <f>VLOOKUP(Table_Query_from_Actuarial___Production3[[#This Row],[Kor1]],$AI$3:$AK$105,3,FALSE)</f>
        <v>Operating Service Fees</v>
      </c>
      <c r="AF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" spans="18:32" x14ac:dyDescent="0.2">
      <c r="R380" t="s">
        <v>14</v>
      </c>
      <c r="S380" t="s">
        <v>245</v>
      </c>
      <c r="T380" t="s">
        <v>351</v>
      </c>
      <c r="U380" s="21">
        <v>217.07</v>
      </c>
      <c r="V380" s="21" t="s">
        <v>368</v>
      </c>
      <c r="W380" t="str">
        <f>VLOOKUP(Table_Query_from_Actuarial___Production[[#This Row],[Kor1]],$AI$3:$AK$105,3,FALSE)</f>
        <v>Claims Expense</v>
      </c>
      <c r="X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"/>
      <c r="Z380" t="s">
        <v>39</v>
      </c>
      <c r="AA380" t="s">
        <v>253</v>
      </c>
      <c r="AB380" t="s">
        <v>433</v>
      </c>
      <c r="AC380" s="21">
        <v>307</v>
      </c>
      <c r="AD380" s="21" t="s">
        <v>368</v>
      </c>
      <c r="AE380" t="str">
        <f>VLOOKUP(Table_Query_from_Actuarial___Production3[[#This Row],[Kor1]],$AI$3:$AK$105,3,FALSE)</f>
        <v>Misc. Income for Insolvent Companies</v>
      </c>
      <c r="AF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" spans="18:32" x14ac:dyDescent="0.2">
      <c r="R381" t="s">
        <v>3</v>
      </c>
      <c r="S381" t="s">
        <v>265</v>
      </c>
      <c r="T381" t="s">
        <v>9</v>
      </c>
      <c r="U381" s="21">
        <v>620367</v>
      </c>
      <c r="V381" s="21" t="s">
        <v>368</v>
      </c>
      <c r="W381" t="str">
        <f>VLOOKUP(Table_Query_from_Actuarial___Production[[#This Row],[Kor1]],$AI$3:$AK$105,3,FALSE)</f>
        <v>Premiums Written</v>
      </c>
      <c r="X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"/>
      <c r="Z381" t="s">
        <v>38</v>
      </c>
      <c r="AA381" t="s">
        <v>224</v>
      </c>
      <c r="AB381" t="s">
        <v>9</v>
      </c>
      <c r="AC381" s="21">
        <v>10754.43</v>
      </c>
      <c r="AD381" s="21" t="s">
        <v>369</v>
      </c>
      <c r="AE381" t="str">
        <f>VLOOKUP(Table_Query_from_Actuarial___Production3[[#This Row],[Kor1]],$AI$3:$AK$105,3,FALSE)</f>
        <v>Misc. Income</v>
      </c>
      <c r="AF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82" spans="18:32" x14ac:dyDescent="0.2">
      <c r="R382" t="s">
        <v>13</v>
      </c>
      <c r="S382" t="s">
        <v>262</v>
      </c>
      <c r="T382" t="s">
        <v>9</v>
      </c>
      <c r="U382" s="21">
        <v>49379.06</v>
      </c>
      <c r="V382" s="21" t="s">
        <v>368</v>
      </c>
      <c r="W382" t="str">
        <f>VLOOKUP(Table_Query_from_Actuarial___Production[[#This Row],[Kor1]],$AI$3:$AK$105,3,FALSE)</f>
        <v>Operating Service Fees</v>
      </c>
      <c r="X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"/>
      <c r="Z382" t="s">
        <v>144</v>
      </c>
      <c r="AA382" t="s">
        <v>224</v>
      </c>
      <c r="AB382" t="s">
        <v>427</v>
      </c>
      <c r="AC382" s="21">
        <v>-11500</v>
      </c>
      <c r="AD382" s="21" t="s">
        <v>368</v>
      </c>
      <c r="AE382" t="str">
        <f>VLOOKUP(Table_Query_from_Actuarial___Production3[[#This Row],[Kor1]],$AI$3:$AK$105,3,FALSE)</f>
        <v>Claims Expense</v>
      </c>
      <c r="AF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83" spans="18:32" x14ac:dyDescent="0.2">
      <c r="R383" t="s">
        <v>144</v>
      </c>
      <c r="S383" t="s">
        <v>224</v>
      </c>
      <c r="T383" t="s">
        <v>441</v>
      </c>
      <c r="U383" s="21">
        <v>-2600</v>
      </c>
      <c r="V383" s="21" t="s">
        <v>369</v>
      </c>
      <c r="W383" t="str">
        <f>VLOOKUP(Table_Query_from_Actuarial___Production[[#This Row],[Kor1]],$AI$3:$AK$105,3,FALSE)</f>
        <v>Claims Expense</v>
      </c>
      <c r="X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83"/>
      <c r="Z383" t="s">
        <v>11</v>
      </c>
      <c r="AA383" t="s">
        <v>232</v>
      </c>
      <c r="AB383" t="s">
        <v>6</v>
      </c>
      <c r="AC383" s="21">
        <v>1363135.55</v>
      </c>
      <c r="AD383" s="21" t="s">
        <v>368</v>
      </c>
      <c r="AE383" t="str">
        <f>VLOOKUP(Table_Query_from_Actuarial___Production3[[#This Row],[Kor1]],$AI$3:$AK$105,3,FALSE)</f>
        <v>Losses Paid</v>
      </c>
      <c r="AF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" spans="18:32" x14ac:dyDescent="0.2">
      <c r="R384" t="s">
        <v>3</v>
      </c>
      <c r="S384" t="s">
        <v>263</v>
      </c>
      <c r="T384" t="s">
        <v>433</v>
      </c>
      <c r="U384" s="21">
        <v>529100</v>
      </c>
      <c r="V384" s="21" t="s">
        <v>368</v>
      </c>
      <c r="W384" t="str">
        <f>VLOOKUP(Table_Query_from_Actuarial___Production[[#This Row],[Kor1]],$AI$3:$AK$105,3,FALSE)</f>
        <v>Premiums Written</v>
      </c>
      <c r="X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"/>
      <c r="Z384" t="s">
        <v>12</v>
      </c>
      <c r="AA384" t="s">
        <v>251</v>
      </c>
      <c r="AB384" t="s">
        <v>351</v>
      </c>
      <c r="AC384" s="21">
        <v>4922.82</v>
      </c>
      <c r="AD384" s="21" t="s">
        <v>368</v>
      </c>
      <c r="AE384" t="str">
        <f>VLOOKUP(Table_Query_from_Actuarial___Production3[[#This Row],[Kor1]],$AI$3:$AK$105,3,FALSE)</f>
        <v>Premium Tax</v>
      </c>
      <c r="AF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" spans="18:32" x14ac:dyDescent="0.2">
      <c r="R385" t="s">
        <v>21</v>
      </c>
      <c r="S385" t="s">
        <v>241</v>
      </c>
      <c r="T385" t="s">
        <v>7</v>
      </c>
      <c r="U385" s="21">
        <v>2502.29</v>
      </c>
      <c r="V385" s="21" t="s">
        <v>368</v>
      </c>
      <c r="W385" t="str">
        <f>VLOOKUP(Table_Query_from_Actuarial___Production[[#This Row],[Kor1]],$AI$3:$AK$105,3,FALSE)</f>
        <v>Misc. Expense</v>
      </c>
      <c r="X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"/>
      <c r="Z385" t="s">
        <v>31</v>
      </c>
      <c r="AA385" t="s">
        <v>254</v>
      </c>
      <c r="AB385" t="s">
        <v>427</v>
      </c>
      <c r="AC385" s="21">
        <v>197.67</v>
      </c>
      <c r="AD385" s="21" t="s">
        <v>368</v>
      </c>
      <c r="AE385" t="str">
        <f>VLOOKUP(Table_Query_from_Actuarial___Production3[[#This Row],[Kor1]],$AI$3:$AK$105,3,FALSE)</f>
        <v>Misc. Expense</v>
      </c>
      <c r="AF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" spans="18:32" x14ac:dyDescent="0.2">
      <c r="R386" t="s">
        <v>39</v>
      </c>
      <c r="S386" t="s">
        <v>250</v>
      </c>
      <c r="T386" t="s">
        <v>7</v>
      </c>
      <c r="U386" s="21">
        <v>233</v>
      </c>
      <c r="V386" s="21" t="s">
        <v>368</v>
      </c>
      <c r="W386" t="str">
        <f>VLOOKUP(Table_Query_from_Actuarial___Production[[#This Row],[Kor1]],$AI$3:$AK$105,3,FALSE)</f>
        <v>Misc. Income for Insolvent Companies</v>
      </c>
      <c r="X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"/>
      <c r="Z386" t="s">
        <v>25</v>
      </c>
      <c r="AA386" t="s">
        <v>250</v>
      </c>
      <c r="AB386" t="s">
        <v>6</v>
      </c>
      <c r="AC386" s="21">
        <v>1871.76</v>
      </c>
      <c r="AD386" s="21" t="s">
        <v>368</v>
      </c>
      <c r="AE386" t="str">
        <f>VLOOKUP(Table_Query_from_Actuarial___Production3[[#This Row],[Kor1]],$AI$3:$AK$105,3,FALSE)</f>
        <v>Misc. Expense</v>
      </c>
      <c r="AF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" spans="18:32" x14ac:dyDescent="0.2">
      <c r="R387" t="s">
        <v>13</v>
      </c>
      <c r="S387" t="s">
        <v>354</v>
      </c>
      <c r="T387" t="s">
        <v>356</v>
      </c>
      <c r="U387" s="21">
        <v>30596910.23</v>
      </c>
      <c r="V387" s="21" t="s">
        <v>368</v>
      </c>
      <c r="W387" t="str">
        <f>VLOOKUP(Table_Query_from_Actuarial___Production[[#This Row],[Kor1]],$AI$3:$AK$105,3,FALSE)</f>
        <v>Operating Service Fees</v>
      </c>
      <c r="X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87"/>
      <c r="Z387" t="s">
        <v>46</v>
      </c>
      <c r="AA387" t="s">
        <v>226</v>
      </c>
      <c r="AB387" t="s">
        <v>441</v>
      </c>
      <c r="AC387" s="21">
        <v>364.63</v>
      </c>
      <c r="AD387" s="21" t="s">
        <v>368</v>
      </c>
      <c r="AE387" t="str">
        <f>VLOOKUP(Table_Query_from_Actuarial___Production3[[#This Row],[Kor1]],$AI$3:$AK$105,3,FALSE)</f>
        <v>Investment Income</v>
      </c>
      <c r="AF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88" spans="18:32" x14ac:dyDescent="0.2">
      <c r="R388" t="s">
        <v>33</v>
      </c>
      <c r="S388" t="s">
        <v>247</v>
      </c>
      <c r="T388" t="s">
        <v>442</v>
      </c>
      <c r="U388" s="21">
        <v>15987.54</v>
      </c>
      <c r="V388" s="21" t="s">
        <v>368</v>
      </c>
      <c r="W388" t="str">
        <f>VLOOKUP(Table_Query_from_Actuarial___Production[[#This Row],[Kor1]],$AI$3:$AK$105,3,FALSE)</f>
        <v>Misc. Expense</v>
      </c>
      <c r="X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"/>
      <c r="Z388" t="s">
        <v>34</v>
      </c>
      <c r="AA388" t="s">
        <v>4</v>
      </c>
      <c r="AB388" t="s">
        <v>6</v>
      </c>
      <c r="AC388" s="21">
        <v>394.54</v>
      </c>
      <c r="AD388" s="21" t="s">
        <v>368</v>
      </c>
      <c r="AE388" t="str">
        <f>VLOOKUP(Table_Query_from_Actuarial___Production3[[#This Row],[Kor1]],$AI$3:$AK$105,3,FALSE)</f>
        <v>Misc. Expense</v>
      </c>
      <c r="AF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" spans="18:32" x14ac:dyDescent="0.2">
      <c r="R389" t="s">
        <v>47</v>
      </c>
      <c r="S389" t="s">
        <v>232</v>
      </c>
      <c r="T389" t="s">
        <v>427</v>
      </c>
      <c r="U389" s="21">
        <v>5489.51</v>
      </c>
      <c r="V389" s="21" t="s">
        <v>368</v>
      </c>
      <c r="W389" t="str">
        <f>VLOOKUP(Table_Query_from_Actuarial___Production[[#This Row],[Kor1]],$AI$3:$AK$105,3,FALSE)</f>
        <v>Investment Income</v>
      </c>
      <c r="X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"/>
      <c r="Z389" t="s">
        <v>14</v>
      </c>
      <c r="AA389" t="s">
        <v>224</v>
      </c>
      <c r="AB389" t="s">
        <v>351</v>
      </c>
      <c r="AC389" s="21">
        <v>267837.76</v>
      </c>
      <c r="AD389" s="21" t="s">
        <v>370</v>
      </c>
      <c r="AE389" t="str">
        <f>VLOOKUP(Table_Query_from_Actuarial___Production3[[#This Row],[Kor1]],$AI$3:$AK$105,3,FALSE)</f>
        <v>Claims Expense</v>
      </c>
      <c r="AF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90" spans="18:32" x14ac:dyDescent="0.2">
      <c r="R390" t="s">
        <v>31</v>
      </c>
      <c r="S390" t="s">
        <v>248</v>
      </c>
      <c r="T390" t="s">
        <v>351</v>
      </c>
      <c r="U390" s="21">
        <v>771.98</v>
      </c>
      <c r="V390" s="21" t="s">
        <v>368</v>
      </c>
      <c r="W390" t="str">
        <f>VLOOKUP(Table_Query_from_Actuarial___Production[[#This Row],[Kor1]],$AI$3:$AK$105,3,FALSE)</f>
        <v>Misc. Expense</v>
      </c>
      <c r="X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"/>
      <c r="Z390" t="s">
        <v>43</v>
      </c>
      <c r="AA390" t="s">
        <v>224</v>
      </c>
      <c r="AB390" t="s">
        <v>5</v>
      </c>
      <c r="AC390" s="21">
        <v>323.79000000000002</v>
      </c>
      <c r="AD390" s="21" t="s">
        <v>425</v>
      </c>
      <c r="AE390" t="str">
        <f>VLOOKUP(Table_Query_from_Actuarial___Production3[[#This Row],[Kor1]],$AI$3:$AK$105,3,FALSE)</f>
        <v>Charge-offs</v>
      </c>
      <c r="AF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91" spans="18:32" x14ac:dyDescent="0.2">
      <c r="R391" t="s">
        <v>13</v>
      </c>
      <c r="S391" t="s">
        <v>242</v>
      </c>
      <c r="T391" t="s">
        <v>442</v>
      </c>
      <c r="U391" s="21">
        <v>85189.08</v>
      </c>
      <c r="V391" s="21" t="s">
        <v>368</v>
      </c>
      <c r="W391" t="str">
        <f>VLOOKUP(Table_Query_from_Actuarial___Production[[#This Row],[Kor1]],$AI$3:$AK$105,3,FALSE)</f>
        <v>Operating Service Fees</v>
      </c>
      <c r="X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"/>
      <c r="Z391" t="s">
        <v>12</v>
      </c>
      <c r="AA391" t="s">
        <v>264</v>
      </c>
      <c r="AB391" t="s">
        <v>442</v>
      </c>
      <c r="AC391" s="21">
        <v>97270.27</v>
      </c>
      <c r="AD391" s="21" t="s">
        <v>368</v>
      </c>
      <c r="AE391" t="str">
        <f>VLOOKUP(Table_Query_from_Actuarial___Production3[[#This Row],[Kor1]],$AI$3:$AK$105,3,FALSE)</f>
        <v>Premium Tax</v>
      </c>
      <c r="AF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" spans="18:32" x14ac:dyDescent="0.2">
      <c r="R392" t="s">
        <v>33</v>
      </c>
      <c r="S392" t="s">
        <v>234</v>
      </c>
      <c r="T392" t="s">
        <v>7</v>
      </c>
      <c r="U392" s="21">
        <v>13575.46</v>
      </c>
      <c r="V392" s="21" t="s">
        <v>368</v>
      </c>
      <c r="W392" t="str">
        <f>VLOOKUP(Table_Query_from_Actuarial___Production[[#This Row],[Kor1]],$AI$3:$AK$105,3,FALSE)</f>
        <v>Misc. Expense</v>
      </c>
      <c r="X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"/>
      <c r="Z392" t="s">
        <v>10</v>
      </c>
      <c r="AA392" t="s">
        <v>262</v>
      </c>
      <c r="AB392" t="s">
        <v>6</v>
      </c>
      <c r="AC392" s="21">
        <v>15164.45</v>
      </c>
      <c r="AD392" s="21" t="s">
        <v>368</v>
      </c>
      <c r="AE392" t="str">
        <f>VLOOKUP(Table_Query_from_Actuarial___Production3[[#This Row],[Kor1]],$AI$3:$AK$105,3,FALSE)</f>
        <v>Commissions</v>
      </c>
      <c r="AF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" spans="18:32" x14ac:dyDescent="0.2">
      <c r="R393" t="s">
        <v>37</v>
      </c>
      <c r="S393" t="s">
        <v>230</v>
      </c>
      <c r="T393" t="s">
        <v>433</v>
      </c>
      <c r="U393" s="21">
        <v>58945.85</v>
      </c>
      <c r="V393" s="21" t="s">
        <v>368</v>
      </c>
      <c r="W393" t="str">
        <f>VLOOKUP(Table_Query_from_Actuarial___Production[[#This Row],[Kor1]],$AI$3:$AK$105,3,FALSE)</f>
        <v>Misc. Expense</v>
      </c>
      <c r="X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"/>
      <c r="Z393" t="s">
        <v>11</v>
      </c>
      <c r="AA393" t="s">
        <v>243</v>
      </c>
      <c r="AB393" t="s">
        <v>6</v>
      </c>
      <c r="AC393" s="21">
        <v>42778.11</v>
      </c>
      <c r="AD393" s="21" t="s">
        <v>368</v>
      </c>
      <c r="AE393" t="str">
        <f>VLOOKUP(Table_Query_from_Actuarial___Production3[[#This Row],[Kor1]],$AI$3:$AK$105,3,FALSE)</f>
        <v>Losses Paid</v>
      </c>
      <c r="AF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" spans="18:32" x14ac:dyDescent="0.2">
      <c r="R394" t="s">
        <v>41</v>
      </c>
      <c r="S394" t="s">
        <v>262</v>
      </c>
      <c r="T394" t="s">
        <v>356</v>
      </c>
      <c r="U394" s="21">
        <v>200</v>
      </c>
      <c r="V394" s="21" t="s">
        <v>368</v>
      </c>
      <c r="W394" t="str">
        <f>VLOOKUP(Table_Query_from_Actuarial___Production[[#This Row],[Kor1]],$AI$3:$AK$105,3,FALSE)</f>
        <v>Misc. Income</v>
      </c>
      <c r="X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"/>
      <c r="Z394" t="s">
        <v>20</v>
      </c>
      <c r="AA394" t="s">
        <v>250</v>
      </c>
      <c r="AB394" t="s">
        <v>9</v>
      </c>
      <c r="AC394" s="21">
        <v>481.16</v>
      </c>
      <c r="AD394" s="21" t="s">
        <v>368</v>
      </c>
      <c r="AE394" t="str">
        <f>VLOOKUP(Table_Query_from_Actuarial___Production3[[#This Row],[Kor1]],$AI$3:$AK$105,3,FALSE)</f>
        <v>Misc. Expense</v>
      </c>
      <c r="AF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" spans="18:32" x14ac:dyDescent="0.2">
      <c r="R395" t="s">
        <v>47</v>
      </c>
      <c r="S395" t="s">
        <v>262</v>
      </c>
      <c r="T395" t="s">
        <v>433</v>
      </c>
      <c r="U395" s="21">
        <v>159.62</v>
      </c>
      <c r="V395" s="21" t="s">
        <v>368</v>
      </c>
      <c r="W395" t="str">
        <f>VLOOKUP(Table_Query_from_Actuarial___Production[[#This Row],[Kor1]],$AI$3:$AK$105,3,FALSE)</f>
        <v>Investment Income</v>
      </c>
      <c r="X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"/>
      <c r="Z395" t="s">
        <v>40</v>
      </c>
      <c r="AA395" t="s">
        <v>257</v>
      </c>
      <c r="AB395" t="s">
        <v>9</v>
      </c>
      <c r="AC395" s="21">
        <v>90.35</v>
      </c>
      <c r="AD395" s="21" t="s">
        <v>368</v>
      </c>
      <c r="AE395" t="str">
        <f>VLOOKUP(Table_Query_from_Actuarial___Production3[[#This Row],[Kor1]],$AI$3:$AK$105,3,FALSE)</f>
        <v>Misc. Income</v>
      </c>
      <c r="AF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" spans="18:32" x14ac:dyDescent="0.2">
      <c r="R396" t="s">
        <v>34</v>
      </c>
      <c r="S396" t="s">
        <v>250</v>
      </c>
      <c r="T396" t="s">
        <v>433</v>
      </c>
      <c r="U396" s="21">
        <v>771.41</v>
      </c>
      <c r="V396" s="21" t="s">
        <v>368</v>
      </c>
      <c r="W396" t="str">
        <f>VLOOKUP(Table_Query_from_Actuarial___Production[[#This Row],[Kor1]],$AI$3:$AK$105,3,FALSE)</f>
        <v>Misc. Expense</v>
      </c>
      <c r="X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"/>
      <c r="Z396" t="s">
        <v>47</v>
      </c>
      <c r="AA396" t="s">
        <v>264</v>
      </c>
      <c r="AB396" t="s">
        <v>433</v>
      </c>
      <c r="AC396" s="21">
        <v>4171.16</v>
      </c>
      <c r="AD396" s="21" t="s">
        <v>368</v>
      </c>
      <c r="AE396" t="str">
        <f>VLOOKUP(Table_Query_from_Actuarial___Production3[[#This Row],[Kor1]],$AI$3:$AK$105,3,FALSE)</f>
        <v>Investment Income</v>
      </c>
      <c r="AF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" spans="18:32" x14ac:dyDescent="0.2">
      <c r="R397" t="s">
        <v>14</v>
      </c>
      <c r="S397" t="s">
        <v>224</v>
      </c>
      <c r="T397" t="s">
        <v>441</v>
      </c>
      <c r="U397" s="21">
        <v>143017.25</v>
      </c>
      <c r="V397" s="21" t="s">
        <v>370</v>
      </c>
      <c r="W397" t="str">
        <f>VLOOKUP(Table_Query_from_Actuarial___Production[[#This Row],[Kor1]],$AI$3:$AK$105,3,FALSE)</f>
        <v>Claims Expense</v>
      </c>
      <c r="X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97"/>
      <c r="Z397" t="s">
        <v>48</v>
      </c>
      <c r="AA397" t="s">
        <v>253</v>
      </c>
      <c r="AB397" t="s">
        <v>427</v>
      </c>
      <c r="AC397" s="21">
        <v>0.22</v>
      </c>
      <c r="AD397" s="21" t="s">
        <v>368</v>
      </c>
      <c r="AE397" t="str">
        <f>VLOOKUP(Table_Query_from_Actuarial___Production3[[#This Row],[Kor1]],$AI$3:$AK$105,3,FALSE)</f>
        <v>Anticipated Salvage</v>
      </c>
      <c r="AF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" spans="18:32" x14ac:dyDescent="0.2">
      <c r="R398" t="s">
        <v>13</v>
      </c>
      <c r="S398" t="s">
        <v>224</v>
      </c>
      <c r="T398" t="s">
        <v>356</v>
      </c>
      <c r="U398" s="21">
        <v>322875.76</v>
      </c>
      <c r="V398" s="21" t="s">
        <v>368</v>
      </c>
      <c r="W398" t="str">
        <f>VLOOKUP(Table_Query_from_Actuarial___Production[[#This Row],[Kor1]],$AI$3:$AK$105,3,FALSE)</f>
        <v>Operating Service Fees</v>
      </c>
      <c r="X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98"/>
      <c r="Z398" t="s">
        <v>41</v>
      </c>
      <c r="AA398" t="s">
        <v>240</v>
      </c>
      <c r="AB398" t="s">
        <v>441</v>
      </c>
      <c r="AC398" s="21">
        <v>400.01</v>
      </c>
      <c r="AD398" s="21" t="s">
        <v>368</v>
      </c>
      <c r="AE398" t="str">
        <f>VLOOKUP(Table_Query_from_Actuarial___Production3[[#This Row],[Kor1]],$AI$3:$AK$105,3,FALSE)</f>
        <v>Misc. Income</v>
      </c>
      <c r="AF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" spans="18:32" x14ac:dyDescent="0.2">
      <c r="R399" t="s">
        <v>48</v>
      </c>
      <c r="S399" t="s">
        <v>254</v>
      </c>
      <c r="T399" t="s">
        <v>442</v>
      </c>
      <c r="U399" s="21">
        <v>192577.92000000001</v>
      </c>
      <c r="V399" s="21" t="s">
        <v>368</v>
      </c>
      <c r="W399" t="str">
        <f>VLOOKUP(Table_Query_from_Actuarial___Production[[#This Row],[Kor1]],$AI$3:$AK$105,3,FALSE)</f>
        <v>Anticipated Salvage</v>
      </c>
      <c r="X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"/>
      <c r="Z399" t="s">
        <v>47</v>
      </c>
      <c r="AA399" t="s">
        <v>235</v>
      </c>
      <c r="AB399" t="s">
        <v>427</v>
      </c>
      <c r="AC399" s="21">
        <v>4374.13</v>
      </c>
      <c r="AD399" s="21" t="s">
        <v>368</v>
      </c>
      <c r="AE399" t="str">
        <f>VLOOKUP(Table_Query_from_Actuarial___Production3[[#This Row],[Kor1]],$AI$3:$AK$105,3,FALSE)</f>
        <v>Investment Income</v>
      </c>
      <c r="AF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" spans="18:32" x14ac:dyDescent="0.2">
      <c r="R400" t="s">
        <v>37</v>
      </c>
      <c r="S400" t="s">
        <v>227</v>
      </c>
      <c r="T400" t="s">
        <v>351</v>
      </c>
      <c r="U400" s="21">
        <v>231.89</v>
      </c>
      <c r="V400" s="21" t="s">
        <v>368</v>
      </c>
      <c r="W400" t="str">
        <f>VLOOKUP(Table_Query_from_Actuarial___Production[[#This Row],[Kor1]],$AI$3:$AK$105,3,FALSE)</f>
        <v>Misc. Expense</v>
      </c>
      <c r="X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"/>
      <c r="Z400" t="s">
        <v>77</v>
      </c>
      <c r="AA400" t="s">
        <v>230</v>
      </c>
      <c r="AB400" t="s">
        <v>442</v>
      </c>
      <c r="AC400" s="21">
        <v>353442</v>
      </c>
      <c r="AD400" s="21" t="s">
        <v>368</v>
      </c>
      <c r="AE400" t="str">
        <f>VLOOKUP(Table_Query_from_Actuarial___Production3[[#This Row],[Kor1]],$AI$3:$AK$105,3,FALSE)</f>
        <v>PDR</v>
      </c>
      <c r="AF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" spans="18:32" x14ac:dyDescent="0.2">
      <c r="R401" t="s">
        <v>31</v>
      </c>
      <c r="S401" t="s">
        <v>243</v>
      </c>
      <c r="T401" t="s">
        <v>7</v>
      </c>
      <c r="U401" s="21">
        <v>1043.1099999999999</v>
      </c>
      <c r="V401" s="21" t="s">
        <v>368</v>
      </c>
      <c r="W401" t="str">
        <f>VLOOKUP(Table_Query_from_Actuarial___Production[[#This Row],[Kor1]],$AI$3:$AK$105,3,FALSE)</f>
        <v>Misc. Expense</v>
      </c>
      <c r="X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"/>
      <c r="Z401" t="s">
        <v>18</v>
      </c>
      <c r="AA401" t="s">
        <v>224</v>
      </c>
      <c r="AB401" t="s">
        <v>351</v>
      </c>
      <c r="AC401" s="21">
        <v>92907.09</v>
      </c>
      <c r="AD401" s="21" t="s">
        <v>370</v>
      </c>
      <c r="AE401" t="str">
        <f>VLOOKUP(Table_Query_from_Actuarial___Production3[[#This Row],[Kor1]],$AI$3:$AK$105,3,FALSE)</f>
        <v>Misc. Expense</v>
      </c>
      <c r="AF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02" spans="18:32" x14ac:dyDescent="0.2">
      <c r="R402" t="s">
        <v>41</v>
      </c>
      <c r="S402" t="s">
        <v>246</v>
      </c>
      <c r="T402" t="s">
        <v>356</v>
      </c>
      <c r="U402" s="21">
        <v>349.97</v>
      </c>
      <c r="V402" s="21" t="s">
        <v>368</v>
      </c>
      <c r="W402" t="str">
        <f>VLOOKUP(Table_Query_from_Actuarial___Production[[#This Row],[Kor1]],$AI$3:$AK$105,3,FALSE)</f>
        <v>Misc. Income</v>
      </c>
      <c r="X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"/>
      <c r="Z402" t="s">
        <v>17</v>
      </c>
      <c r="AA402" t="s">
        <v>261</v>
      </c>
      <c r="AB402" t="s">
        <v>442</v>
      </c>
      <c r="AC402" s="21">
        <v>56712.73</v>
      </c>
      <c r="AD402" s="21" t="s">
        <v>368</v>
      </c>
      <c r="AE402" t="str">
        <f>VLOOKUP(Table_Query_from_Actuarial___Production3[[#This Row],[Kor1]],$AI$3:$AK$105,3,FALSE)</f>
        <v>IBNR</v>
      </c>
      <c r="AF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" spans="18:32" x14ac:dyDescent="0.2">
      <c r="R403" t="s">
        <v>34</v>
      </c>
      <c r="S403" t="s">
        <v>256</v>
      </c>
      <c r="T403" t="s">
        <v>441</v>
      </c>
      <c r="U403" s="21">
        <v>10.62</v>
      </c>
      <c r="V403" s="21" t="s">
        <v>368</v>
      </c>
      <c r="W403" t="str">
        <f>VLOOKUP(Table_Query_from_Actuarial___Production[[#This Row],[Kor1]],$AI$3:$AK$105,3,FALSE)</f>
        <v>Misc. Expense</v>
      </c>
      <c r="X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"/>
      <c r="Z403" t="s">
        <v>31</v>
      </c>
      <c r="AA403" t="s">
        <v>232</v>
      </c>
      <c r="AB403" t="s">
        <v>7</v>
      </c>
      <c r="AC403" s="21">
        <v>881.21</v>
      </c>
      <c r="AD403" s="21" t="s">
        <v>368</v>
      </c>
      <c r="AE403" t="str">
        <f>VLOOKUP(Table_Query_from_Actuarial___Production3[[#This Row],[Kor1]],$AI$3:$AK$105,3,FALSE)</f>
        <v>Misc. Expense</v>
      </c>
      <c r="AF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" spans="18:32" x14ac:dyDescent="0.2">
      <c r="R404" t="s">
        <v>43</v>
      </c>
      <c r="S404" t="s">
        <v>239</v>
      </c>
      <c r="T404" t="s">
        <v>9</v>
      </c>
      <c r="U404" s="21">
        <v>63.15</v>
      </c>
      <c r="V404" s="21" t="s">
        <v>368</v>
      </c>
      <c r="W404" t="str">
        <f>VLOOKUP(Table_Query_from_Actuarial___Production[[#This Row],[Kor1]],$AI$3:$AK$105,3,FALSE)</f>
        <v>Charge-offs</v>
      </c>
      <c r="X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"/>
      <c r="Z404" t="s">
        <v>39</v>
      </c>
      <c r="AA404" t="s">
        <v>236</v>
      </c>
      <c r="AB404" t="s">
        <v>351</v>
      </c>
      <c r="AC404" s="21">
        <v>93</v>
      </c>
      <c r="AD404" s="21" t="s">
        <v>368</v>
      </c>
      <c r="AE404" t="str">
        <f>VLOOKUP(Table_Query_from_Actuarial___Production3[[#This Row],[Kor1]],$AI$3:$AK$105,3,FALSE)</f>
        <v>Misc. Income for Insolvent Companies</v>
      </c>
      <c r="AF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" spans="18:32" x14ac:dyDescent="0.2">
      <c r="R405" t="s">
        <v>44</v>
      </c>
      <c r="S405" t="s">
        <v>238</v>
      </c>
      <c r="T405" t="s">
        <v>443</v>
      </c>
      <c r="U405" s="21">
        <v>20661</v>
      </c>
      <c r="V405" s="21" t="s">
        <v>368</v>
      </c>
      <c r="W405" t="str">
        <f>VLOOKUP(Table_Query_from_Actuarial___Production[[#This Row],[Kor1]],$AI$3:$AK$105,3,FALSE)</f>
        <v>Charge-offs</v>
      </c>
      <c r="X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"/>
      <c r="Z405" t="s">
        <v>47</v>
      </c>
      <c r="AA405" t="s">
        <v>257</v>
      </c>
      <c r="AB405" t="s">
        <v>427</v>
      </c>
      <c r="AC405" s="21">
        <v>42956.71</v>
      </c>
      <c r="AD405" s="21" t="s">
        <v>368</v>
      </c>
      <c r="AE405" t="str">
        <f>VLOOKUP(Table_Query_from_Actuarial___Production3[[#This Row],[Kor1]],$AI$3:$AK$105,3,FALSE)</f>
        <v>Investment Income</v>
      </c>
      <c r="AF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" spans="18:32" x14ac:dyDescent="0.2">
      <c r="R406" t="s">
        <v>47</v>
      </c>
      <c r="S406" t="s">
        <v>257</v>
      </c>
      <c r="T406" t="s">
        <v>443</v>
      </c>
      <c r="U406" s="21">
        <v>170419.24</v>
      </c>
      <c r="V406" s="21" t="s">
        <v>368</v>
      </c>
      <c r="W406" t="str">
        <f>VLOOKUP(Table_Query_from_Actuarial___Production[[#This Row],[Kor1]],$AI$3:$AK$105,3,FALSE)</f>
        <v>Investment Income</v>
      </c>
      <c r="X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"/>
      <c r="Z406" t="s">
        <v>14</v>
      </c>
      <c r="AA406" t="s">
        <v>245</v>
      </c>
      <c r="AB406" t="s">
        <v>351</v>
      </c>
      <c r="AC406" s="21">
        <v>217.07</v>
      </c>
      <c r="AD406" s="21" t="s">
        <v>368</v>
      </c>
      <c r="AE406" t="str">
        <f>VLOOKUP(Table_Query_from_Actuarial___Production3[[#This Row],[Kor1]],$AI$3:$AK$105,3,FALSE)</f>
        <v>Claims Expense</v>
      </c>
      <c r="AF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" spans="18:32" x14ac:dyDescent="0.2">
      <c r="R407" t="s">
        <v>10</v>
      </c>
      <c r="S407" t="s">
        <v>246</v>
      </c>
      <c r="T407" t="s">
        <v>7</v>
      </c>
      <c r="U407" s="21">
        <v>40386</v>
      </c>
      <c r="V407" s="21" t="s">
        <v>368</v>
      </c>
      <c r="W407" t="str">
        <f>VLOOKUP(Table_Query_from_Actuarial___Production[[#This Row],[Kor1]],$AI$3:$AK$105,3,FALSE)</f>
        <v>Commissions</v>
      </c>
      <c r="X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"/>
      <c r="Z407" t="s">
        <v>3</v>
      </c>
      <c r="AA407" t="s">
        <v>265</v>
      </c>
      <c r="AB407" t="s">
        <v>9</v>
      </c>
      <c r="AC407" s="21">
        <v>620367</v>
      </c>
      <c r="AD407" s="21" t="s">
        <v>368</v>
      </c>
      <c r="AE407" t="str">
        <f>VLOOKUP(Table_Query_from_Actuarial___Production3[[#This Row],[Kor1]],$AI$3:$AK$105,3,FALSE)</f>
        <v>Premiums Written</v>
      </c>
      <c r="AF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" spans="18:32" x14ac:dyDescent="0.2">
      <c r="R408" t="s">
        <v>31</v>
      </c>
      <c r="S408" t="s">
        <v>229</v>
      </c>
      <c r="T408" t="s">
        <v>433</v>
      </c>
      <c r="U408" s="21">
        <v>859.88</v>
      </c>
      <c r="V408" s="21" t="s">
        <v>368</v>
      </c>
      <c r="W408" t="str">
        <f>VLOOKUP(Table_Query_from_Actuarial___Production[[#This Row],[Kor1]],$AI$3:$AK$105,3,FALSE)</f>
        <v>Misc. Expense</v>
      </c>
      <c r="X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"/>
      <c r="Z408" t="s">
        <v>13</v>
      </c>
      <c r="AA408" t="s">
        <v>262</v>
      </c>
      <c r="AB408" t="s">
        <v>9</v>
      </c>
      <c r="AC408" s="21">
        <v>49379.06</v>
      </c>
      <c r="AD408" s="21" t="s">
        <v>368</v>
      </c>
      <c r="AE408" t="str">
        <f>VLOOKUP(Table_Query_from_Actuarial___Production3[[#This Row],[Kor1]],$AI$3:$AK$105,3,FALSE)</f>
        <v>Operating Service Fees</v>
      </c>
      <c r="AF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" spans="18:32" x14ac:dyDescent="0.2">
      <c r="R409" t="s">
        <v>39</v>
      </c>
      <c r="S409" t="s">
        <v>265</v>
      </c>
      <c r="T409" t="s">
        <v>433</v>
      </c>
      <c r="U409" s="21">
        <v>8030.01</v>
      </c>
      <c r="V409" s="21" t="s">
        <v>368</v>
      </c>
      <c r="W409" t="str">
        <f>VLOOKUP(Table_Query_from_Actuarial___Production[[#This Row],[Kor1]],$AI$3:$AK$105,3,FALSE)</f>
        <v>Misc. Income for Insolvent Companies</v>
      </c>
      <c r="X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"/>
      <c r="Z409" t="s">
        <v>144</v>
      </c>
      <c r="AA409" t="s">
        <v>224</v>
      </c>
      <c r="AB409" t="s">
        <v>441</v>
      </c>
      <c r="AC409" s="21">
        <v>-2700</v>
      </c>
      <c r="AD409" s="21" t="s">
        <v>369</v>
      </c>
      <c r="AE409" t="str">
        <f>VLOOKUP(Table_Query_from_Actuarial___Production3[[#This Row],[Kor1]],$AI$3:$AK$105,3,FALSE)</f>
        <v>Claims Expense</v>
      </c>
      <c r="AF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10" spans="18:32" x14ac:dyDescent="0.2">
      <c r="R410" t="s">
        <v>20</v>
      </c>
      <c r="S410" t="s">
        <v>238</v>
      </c>
      <c r="T410" t="s">
        <v>427</v>
      </c>
      <c r="U410" s="21">
        <v>514.32000000000005</v>
      </c>
      <c r="V410" s="21" t="s">
        <v>368</v>
      </c>
      <c r="W410" t="str">
        <f>VLOOKUP(Table_Query_from_Actuarial___Production[[#This Row],[Kor1]],$AI$3:$AK$105,3,FALSE)</f>
        <v>Misc. Expense</v>
      </c>
      <c r="X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"/>
      <c r="Z410" t="s">
        <v>3</v>
      </c>
      <c r="AA410" t="s">
        <v>263</v>
      </c>
      <c r="AB410" t="s">
        <v>433</v>
      </c>
      <c r="AC410" s="21">
        <v>529100</v>
      </c>
      <c r="AD410" s="21" t="s">
        <v>368</v>
      </c>
      <c r="AE410" t="str">
        <f>VLOOKUP(Table_Query_from_Actuarial___Production3[[#This Row],[Kor1]],$AI$3:$AK$105,3,FALSE)</f>
        <v>Premiums Written</v>
      </c>
      <c r="AF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" spans="18:32" x14ac:dyDescent="0.2">
      <c r="R411" t="s">
        <v>10</v>
      </c>
      <c r="S411" t="s">
        <v>261</v>
      </c>
      <c r="T411" t="s">
        <v>351</v>
      </c>
      <c r="U411" s="21">
        <v>38838.699999999997</v>
      </c>
      <c r="V411" s="21" t="s">
        <v>368</v>
      </c>
      <c r="W411" t="str">
        <f>VLOOKUP(Table_Query_from_Actuarial___Production[[#This Row],[Kor1]],$AI$3:$AK$105,3,FALSE)</f>
        <v>Commissions</v>
      </c>
      <c r="X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"/>
      <c r="Z411" t="s">
        <v>21</v>
      </c>
      <c r="AA411" t="s">
        <v>241</v>
      </c>
      <c r="AB411" t="s">
        <v>7</v>
      </c>
      <c r="AC411" s="21">
        <v>2502.29</v>
      </c>
      <c r="AD411" s="21" t="s">
        <v>368</v>
      </c>
      <c r="AE411" t="str">
        <f>VLOOKUP(Table_Query_from_Actuarial___Production3[[#This Row],[Kor1]],$AI$3:$AK$105,3,FALSE)</f>
        <v>Misc. Expense</v>
      </c>
      <c r="AF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" spans="18:32" x14ac:dyDescent="0.2">
      <c r="R412" t="s">
        <v>37</v>
      </c>
      <c r="S412" t="s">
        <v>233</v>
      </c>
      <c r="T412" t="s">
        <v>6</v>
      </c>
      <c r="U412" s="21">
        <v>-87</v>
      </c>
      <c r="V412" s="21" t="s">
        <v>368</v>
      </c>
      <c r="W412" t="str">
        <f>VLOOKUP(Table_Query_from_Actuarial___Production[[#This Row],[Kor1]],$AI$3:$AK$105,3,FALSE)</f>
        <v>Misc. Expense</v>
      </c>
      <c r="X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"/>
      <c r="Z412" t="s">
        <v>39</v>
      </c>
      <c r="AA412" t="s">
        <v>250</v>
      </c>
      <c r="AB412" t="s">
        <v>7</v>
      </c>
      <c r="AC412" s="21">
        <v>233</v>
      </c>
      <c r="AD412" s="21" t="s">
        <v>368</v>
      </c>
      <c r="AE412" t="str">
        <f>VLOOKUP(Table_Query_from_Actuarial___Production3[[#This Row],[Kor1]],$AI$3:$AK$105,3,FALSE)</f>
        <v>Misc. Income for Insolvent Companies</v>
      </c>
      <c r="AF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" spans="18:32" x14ac:dyDescent="0.2">
      <c r="R413" t="s">
        <v>34</v>
      </c>
      <c r="S413" t="s">
        <v>4</v>
      </c>
      <c r="T413" t="s">
        <v>445</v>
      </c>
      <c r="U413" s="21">
        <v>106481.06</v>
      </c>
      <c r="V413" s="21" t="s">
        <v>368</v>
      </c>
      <c r="W413" t="str">
        <f>VLOOKUP(Table_Query_from_Actuarial___Production[[#This Row],[Kor1]],$AI$3:$AK$105,3,FALSE)</f>
        <v>Misc. Expense</v>
      </c>
      <c r="X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"/>
      <c r="Z413" t="s">
        <v>13</v>
      </c>
      <c r="AA413" t="s">
        <v>354</v>
      </c>
      <c r="AB413" t="s">
        <v>356</v>
      </c>
      <c r="AC413" s="21">
        <v>30599034.41</v>
      </c>
      <c r="AD413" s="21" t="s">
        <v>368</v>
      </c>
      <c r="AE413" t="str">
        <f>VLOOKUP(Table_Query_from_Actuarial___Production3[[#This Row],[Kor1]],$AI$3:$AK$105,3,FALSE)</f>
        <v>Operating Service Fees</v>
      </c>
      <c r="AF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14" spans="18:32" x14ac:dyDescent="0.2">
      <c r="R414" t="s">
        <v>17</v>
      </c>
      <c r="S414" t="s">
        <v>354</v>
      </c>
      <c r="T414" t="s">
        <v>427</v>
      </c>
      <c r="U414" s="21">
        <v>22468.94</v>
      </c>
      <c r="V414" s="21" t="s">
        <v>369</v>
      </c>
      <c r="W414" t="str">
        <f>VLOOKUP(Table_Query_from_Actuarial___Production[[#This Row],[Kor1]],$AI$3:$AK$105,3,FALSE)</f>
        <v>IBNR</v>
      </c>
      <c r="X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14"/>
      <c r="Z414" t="s">
        <v>33</v>
      </c>
      <c r="AA414" t="s">
        <v>247</v>
      </c>
      <c r="AB414" t="s">
        <v>442</v>
      </c>
      <c r="AC414" s="21">
        <v>15987.54</v>
      </c>
      <c r="AD414" s="21" t="s">
        <v>368</v>
      </c>
      <c r="AE414" t="str">
        <f>VLOOKUP(Table_Query_from_Actuarial___Production3[[#This Row],[Kor1]],$AI$3:$AK$105,3,FALSE)</f>
        <v>Misc. Expense</v>
      </c>
      <c r="AF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" spans="18:32" x14ac:dyDescent="0.2">
      <c r="R415" t="s">
        <v>11</v>
      </c>
      <c r="S415" t="s">
        <v>228</v>
      </c>
      <c r="T415" t="s">
        <v>442</v>
      </c>
      <c r="U415" s="21">
        <v>7291.1</v>
      </c>
      <c r="V415" s="21" t="s">
        <v>368</v>
      </c>
      <c r="W415" t="str">
        <f>VLOOKUP(Table_Query_from_Actuarial___Production[[#This Row],[Kor1]],$AI$3:$AK$105,3,FALSE)</f>
        <v>Losses Paid</v>
      </c>
      <c r="X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"/>
      <c r="Z415" t="s">
        <v>47</v>
      </c>
      <c r="AA415" t="s">
        <v>232</v>
      </c>
      <c r="AB415" t="s">
        <v>427</v>
      </c>
      <c r="AC415" s="21">
        <v>5489.51</v>
      </c>
      <c r="AD415" s="21" t="s">
        <v>368</v>
      </c>
      <c r="AE415" t="str">
        <f>VLOOKUP(Table_Query_from_Actuarial___Production3[[#This Row],[Kor1]],$AI$3:$AK$105,3,FALSE)</f>
        <v>Investment Income</v>
      </c>
      <c r="AF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" spans="18:32" x14ac:dyDescent="0.2">
      <c r="R416" t="s">
        <v>11</v>
      </c>
      <c r="S416" t="s">
        <v>249</v>
      </c>
      <c r="T416" t="s">
        <v>351</v>
      </c>
      <c r="U416" s="21">
        <v>77822.47</v>
      </c>
      <c r="V416" s="21" t="s">
        <v>368</v>
      </c>
      <c r="W416" t="str">
        <f>VLOOKUP(Table_Query_from_Actuarial___Production[[#This Row],[Kor1]],$AI$3:$AK$105,3,FALSE)</f>
        <v>Losses Paid</v>
      </c>
      <c r="X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"/>
      <c r="Z416" t="s">
        <v>31</v>
      </c>
      <c r="AA416" t="s">
        <v>248</v>
      </c>
      <c r="AB416" t="s">
        <v>351</v>
      </c>
      <c r="AC416" s="21">
        <v>771.98</v>
      </c>
      <c r="AD416" s="21" t="s">
        <v>368</v>
      </c>
      <c r="AE416" t="str">
        <f>VLOOKUP(Table_Query_from_Actuarial___Production3[[#This Row],[Kor1]],$AI$3:$AK$105,3,FALSE)</f>
        <v>Misc. Expense</v>
      </c>
      <c r="AF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" spans="18:32" x14ac:dyDescent="0.2">
      <c r="R417" t="s">
        <v>34</v>
      </c>
      <c r="S417" t="s">
        <v>230</v>
      </c>
      <c r="T417" t="s">
        <v>6</v>
      </c>
      <c r="U417" s="21">
        <v>4676.2299999999996</v>
      </c>
      <c r="V417" s="21" t="s">
        <v>368</v>
      </c>
      <c r="W417" t="str">
        <f>VLOOKUP(Table_Query_from_Actuarial___Production[[#This Row],[Kor1]],$AI$3:$AK$105,3,FALSE)</f>
        <v>Misc. Expense</v>
      </c>
      <c r="X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"/>
      <c r="Z417" t="s">
        <v>13</v>
      </c>
      <c r="AA417" t="s">
        <v>242</v>
      </c>
      <c r="AB417" t="s">
        <v>442</v>
      </c>
      <c r="AC417" s="21">
        <v>87548.32</v>
      </c>
      <c r="AD417" s="21" t="s">
        <v>368</v>
      </c>
      <c r="AE417" t="str">
        <f>VLOOKUP(Table_Query_from_Actuarial___Production3[[#This Row],[Kor1]],$AI$3:$AK$105,3,FALSE)</f>
        <v>Operating Service Fees</v>
      </c>
      <c r="AF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" spans="18:32" x14ac:dyDescent="0.2">
      <c r="R418" t="s">
        <v>48</v>
      </c>
      <c r="S418" t="s">
        <v>253</v>
      </c>
      <c r="T418" t="s">
        <v>443</v>
      </c>
      <c r="U418" s="21">
        <v>56.02</v>
      </c>
      <c r="V418" s="21" t="s">
        <v>368</v>
      </c>
      <c r="W418" t="str">
        <f>VLOOKUP(Table_Query_from_Actuarial___Production[[#This Row],[Kor1]],$AI$3:$AK$105,3,FALSE)</f>
        <v>Anticipated Salvage</v>
      </c>
      <c r="X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"/>
      <c r="Z418" t="s">
        <v>33</v>
      </c>
      <c r="AA418" t="s">
        <v>234</v>
      </c>
      <c r="AB418" t="s">
        <v>7</v>
      </c>
      <c r="AC418" s="21">
        <v>13575.46</v>
      </c>
      <c r="AD418" s="21" t="s">
        <v>368</v>
      </c>
      <c r="AE418" t="str">
        <f>VLOOKUP(Table_Query_from_Actuarial___Production3[[#This Row],[Kor1]],$AI$3:$AK$105,3,FALSE)</f>
        <v>Misc. Expense</v>
      </c>
      <c r="AF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" spans="18:32" x14ac:dyDescent="0.2">
      <c r="R419" t="s">
        <v>20</v>
      </c>
      <c r="S419" t="s">
        <v>234</v>
      </c>
      <c r="T419" t="s">
        <v>443</v>
      </c>
      <c r="U419" s="21">
        <v>296.10000000000002</v>
      </c>
      <c r="V419" s="21" t="s">
        <v>368</v>
      </c>
      <c r="W419" t="str">
        <f>VLOOKUP(Table_Query_from_Actuarial___Production[[#This Row],[Kor1]],$AI$3:$AK$105,3,FALSE)</f>
        <v>Misc. Expense</v>
      </c>
      <c r="X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"/>
      <c r="Z419" t="s">
        <v>37</v>
      </c>
      <c r="AA419" t="s">
        <v>230</v>
      </c>
      <c r="AB419" t="s">
        <v>433</v>
      </c>
      <c r="AC419" s="21">
        <v>58945.85</v>
      </c>
      <c r="AD419" s="21" t="s">
        <v>368</v>
      </c>
      <c r="AE419" t="str">
        <f>VLOOKUP(Table_Query_from_Actuarial___Production3[[#This Row],[Kor1]],$AI$3:$AK$105,3,FALSE)</f>
        <v>Misc. Expense</v>
      </c>
      <c r="AF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" spans="18:32" x14ac:dyDescent="0.2">
      <c r="R420" t="s">
        <v>18</v>
      </c>
      <c r="S420" t="s">
        <v>224</v>
      </c>
      <c r="T420" t="s">
        <v>441</v>
      </c>
      <c r="U420" s="21">
        <v>81208.78</v>
      </c>
      <c r="V420" s="21" t="s">
        <v>370</v>
      </c>
      <c r="W420" t="str">
        <f>VLOOKUP(Table_Query_from_Actuarial___Production[[#This Row],[Kor1]],$AI$3:$AK$105,3,FALSE)</f>
        <v>Misc. Expense</v>
      </c>
      <c r="X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20"/>
      <c r="Z420" t="s">
        <v>41</v>
      </c>
      <c r="AA420" t="s">
        <v>262</v>
      </c>
      <c r="AB420" t="s">
        <v>356</v>
      </c>
      <c r="AC420" s="21">
        <v>200</v>
      </c>
      <c r="AD420" s="21" t="s">
        <v>368</v>
      </c>
      <c r="AE420" t="str">
        <f>VLOOKUP(Table_Query_from_Actuarial___Production3[[#This Row],[Kor1]],$AI$3:$AK$105,3,FALSE)</f>
        <v>Misc. Income</v>
      </c>
      <c r="AF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" spans="18:32" x14ac:dyDescent="0.2">
      <c r="R421" t="s">
        <v>46</v>
      </c>
      <c r="S421" t="s">
        <v>225</v>
      </c>
      <c r="T421" t="s">
        <v>427</v>
      </c>
      <c r="U421" s="21">
        <v>65774.75</v>
      </c>
      <c r="V421" s="21" t="s">
        <v>368</v>
      </c>
      <c r="W421" t="str">
        <f>VLOOKUP(Table_Query_from_Actuarial___Production[[#This Row],[Kor1]],$AI$3:$AK$105,3,FALSE)</f>
        <v>Investment Income</v>
      </c>
      <c r="X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21"/>
      <c r="Z421" t="s">
        <v>47</v>
      </c>
      <c r="AA421" t="s">
        <v>262</v>
      </c>
      <c r="AB421" t="s">
        <v>433</v>
      </c>
      <c r="AC421" s="21">
        <v>159.62</v>
      </c>
      <c r="AD421" s="21" t="s">
        <v>368</v>
      </c>
      <c r="AE421" t="str">
        <f>VLOOKUP(Table_Query_from_Actuarial___Production3[[#This Row],[Kor1]],$AI$3:$AK$105,3,FALSE)</f>
        <v>Investment Income</v>
      </c>
      <c r="AF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" spans="18:32" x14ac:dyDescent="0.2">
      <c r="R422" t="s">
        <v>19</v>
      </c>
      <c r="S422" t="s">
        <v>236</v>
      </c>
      <c r="T422" t="s">
        <v>356</v>
      </c>
      <c r="U422" s="21">
        <v>28</v>
      </c>
      <c r="V422" s="21" t="s">
        <v>368</v>
      </c>
      <c r="W422" t="str">
        <f>VLOOKUP(Table_Query_from_Actuarial___Production[[#This Row],[Kor1]],$AI$3:$AK$105,3,FALSE)</f>
        <v>Misc. Expense for Insolvent Companies</v>
      </c>
      <c r="X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"/>
      <c r="Z422" t="s">
        <v>34</v>
      </c>
      <c r="AA422" t="s">
        <v>250</v>
      </c>
      <c r="AB422" t="s">
        <v>433</v>
      </c>
      <c r="AC422" s="21">
        <v>771.41</v>
      </c>
      <c r="AD422" s="21" t="s">
        <v>368</v>
      </c>
      <c r="AE422" t="str">
        <f>VLOOKUP(Table_Query_from_Actuarial___Production3[[#This Row],[Kor1]],$AI$3:$AK$105,3,FALSE)</f>
        <v>Misc. Expense</v>
      </c>
      <c r="AF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" spans="18:32" x14ac:dyDescent="0.2">
      <c r="R423" t="s">
        <v>12</v>
      </c>
      <c r="S423" t="s">
        <v>245</v>
      </c>
      <c r="T423" t="s">
        <v>6</v>
      </c>
      <c r="U423" s="21">
        <v>774.66</v>
      </c>
      <c r="V423" s="21" t="s">
        <v>368</v>
      </c>
      <c r="W423" t="str">
        <f>VLOOKUP(Table_Query_from_Actuarial___Production[[#This Row],[Kor1]],$AI$3:$AK$105,3,FALSE)</f>
        <v>Premium Tax</v>
      </c>
      <c r="X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"/>
      <c r="Z423" t="s">
        <v>14</v>
      </c>
      <c r="AA423" t="s">
        <v>224</v>
      </c>
      <c r="AB423" t="s">
        <v>441</v>
      </c>
      <c r="AC423" s="21">
        <v>143017.25</v>
      </c>
      <c r="AD423" s="21" t="s">
        <v>370</v>
      </c>
      <c r="AE423" t="str">
        <f>VLOOKUP(Table_Query_from_Actuarial___Production3[[#This Row],[Kor1]],$AI$3:$AK$105,3,FALSE)</f>
        <v>Claims Expense</v>
      </c>
      <c r="AF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24" spans="18:32" x14ac:dyDescent="0.2">
      <c r="R424" t="s">
        <v>48</v>
      </c>
      <c r="S424" t="s">
        <v>230</v>
      </c>
      <c r="T424" t="s">
        <v>445</v>
      </c>
      <c r="U424" s="21">
        <v>5482.65</v>
      </c>
      <c r="V424" s="21" t="s">
        <v>368</v>
      </c>
      <c r="W424" t="str">
        <f>VLOOKUP(Table_Query_from_Actuarial___Production[[#This Row],[Kor1]],$AI$3:$AK$105,3,FALSE)</f>
        <v>Anticipated Salvage</v>
      </c>
      <c r="X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"/>
      <c r="Z424" t="s">
        <v>13</v>
      </c>
      <c r="AA424" t="s">
        <v>224</v>
      </c>
      <c r="AB424" t="s">
        <v>356</v>
      </c>
      <c r="AC424" s="21">
        <v>322875.76</v>
      </c>
      <c r="AD424" s="21" t="s">
        <v>368</v>
      </c>
      <c r="AE424" t="str">
        <f>VLOOKUP(Table_Query_from_Actuarial___Production3[[#This Row],[Kor1]],$AI$3:$AK$105,3,FALSE)</f>
        <v>Operating Service Fees</v>
      </c>
      <c r="AF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25" spans="18:32" x14ac:dyDescent="0.2">
      <c r="R425" t="s">
        <v>75</v>
      </c>
      <c r="S425" t="s">
        <v>230</v>
      </c>
      <c r="T425" t="s">
        <v>442</v>
      </c>
      <c r="U425" s="21">
        <v>12376</v>
      </c>
      <c r="V425" s="21" t="s">
        <v>368</v>
      </c>
      <c r="W425" t="str">
        <f>VLOOKUP(Table_Query_from_Actuarial___Production[[#This Row],[Kor1]],$AI$3:$AK$105,3,FALSE)</f>
        <v>EBUB</v>
      </c>
      <c r="X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"/>
      <c r="Z425" t="s">
        <v>27</v>
      </c>
      <c r="AA425" t="s">
        <v>4</v>
      </c>
      <c r="AB425" t="s">
        <v>5</v>
      </c>
      <c r="AC425" s="21">
        <v>160.93</v>
      </c>
      <c r="AD425" s="21" t="s">
        <v>368</v>
      </c>
      <c r="AE425" t="str">
        <f>VLOOKUP(Table_Query_from_Actuarial___Production3[[#This Row],[Kor1]],$AI$3:$AK$105,3,FALSE)</f>
        <v>Misc. Expense</v>
      </c>
      <c r="AF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" spans="18:32" x14ac:dyDescent="0.2">
      <c r="R426" t="s">
        <v>11</v>
      </c>
      <c r="S426" t="s">
        <v>225</v>
      </c>
      <c r="T426" t="s">
        <v>441</v>
      </c>
      <c r="U426" s="21">
        <v>168943.63</v>
      </c>
      <c r="V426" s="21" t="s">
        <v>369</v>
      </c>
      <c r="W426" t="str">
        <f>VLOOKUP(Table_Query_from_Actuarial___Production[[#This Row],[Kor1]],$AI$3:$AK$105,3,FALSE)</f>
        <v>Losses Paid</v>
      </c>
      <c r="X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26"/>
      <c r="Z426" t="s">
        <v>48</v>
      </c>
      <c r="AA426" t="s">
        <v>254</v>
      </c>
      <c r="AB426" t="s">
        <v>442</v>
      </c>
      <c r="AC426" s="21">
        <v>166712.73000000001</v>
      </c>
      <c r="AD426" s="21" t="s">
        <v>368</v>
      </c>
      <c r="AE426" t="str">
        <f>VLOOKUP(Table_Query_from_Actuarial___Production3[[#This Row],[Kor1]],$AI$3:$AK$105,3,FALSE)</f>
        <v>Anticipated Salvage</v>
      </c>
      <c r="AF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" spans="18:32" x14ac:dyDescent="0.2">
      <c r="R427" t="s">
        <v>33</v>
      </c>
      <c r="S427" t="s">
        <v>228</v>
      </c>
      <c r="T427" t="s">
        <v>9</v>
      </c>
      <c r="U427" s="21">
        <v>11620.94</v>
      </c>
      <c r="V427" s="21" t="s">
        <v>368</v>
      </c>
      <c r="W427" t="str">
        <f>VLOOKUP(Table_Query_from_Actuarial___Production[[#This Row],[Kor1]],$AI$3:$AK$105,3,FALSE)</f>
        <v>Misc. Expense</v>
      </c>
      <c r="X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"/>
      <c r="Z427" t="s">
        <v>17</v>
      </c>
      <c r="AA427" t="s">
        <v>246</v>
      </c>
      <c r="AB427" t="s">
        <v>427</v>
      </c>
      <c r="AC427" s="21">
        <v>246994.26</v>
      </c>
      <c r="AD427" s="21" t="s">
        <v>368</v>
      </c>
      <c r="AE427" t="str">
        <f>VLOOKUP(Table_Query_from_Actuarial___Production3[[#This Row],[Kor1]],$AI$3:$AK$105,3,FALSE)</f>
        <v>IBNR</v>
      </c>
      <c r="AF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" spans="18:32" x14ac:dyDescent="0.2">
      <c r="R428" t="s">
        <v>48</v>
      </c>
      <c r="S428" t="s">
        <v>244</v>
      </c>
      <c r="T428" t="s">
        <v>441</v>
      </c>
      <c r="U428" s="21">
        <v>10832.56</v>
      </c>
      <c r="V428" s="21" t="s">
        <v>368</v>
      </c>
      <c r="W428" t="str">
        <f>VLOOKUP(Table_Query_from_Actuarial___Production[[#This Row],[Kor1]],$AI$3:$AK$105,3,FALSE)</f>
        <v>Anticipated Salvage</v>
      </c>
      <c r="X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"/>
      <c r="Z428" t="s">
        <v>37</v>
      </c>
      <c r="AA428" t="s">
        <v>227</v>
      </c>
      <c r="AB428" t="s">
        <v>351</v>
      </c>
      <c r="AC428" s="21">
        <v>231.89</v>
      </c>
      <c r="AD428" s="21" t="s">
        <v>368</v>
      </c>
      <c r="AE428" t="str">
        <f>VLOOKUP(Table_Query_from_Actuarial___Production3[[#This Row],[Kor1]],$AI$3:$AK$105,3,FALSE)</f>
        <v>Misc. Expense</v>
      </c>
      <c r="AF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" spans="18:32" x14ac:dyDescent="0.2">
      <c r="R429" t="s">
        <v>13</v>
      </c>
      <c r="S429" t="s">
        <v>266</v>
      </c>
      <c r="T429" t="s">
        <v>7</v>
      </c>
      <c r="U429" s="21">
        <v>123596.03</v>
      </c>
      <c r="V429" s="21" t="s">
        <v>368</v>
      </c>
      <c r="W429" t="str">
        <f>VLOOKUP(Table_Query_from_Actuarial___Production[[#This Row],[Kor1]],$AI$3:$AK$105,3,FALSE)</f>
        <v>Operating Service Fees</v>
      </c>
      <c r="X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"/>
      <c r="Z429" t="s">
        <v>31</v>
      </c>
      <c r="AA429" t="s">
        <v>243</v>
      </c>
      <c r="AB429" t="s">
        <v>7</v>
      </c>
      <c r="AC429" s="21">
        <v>1043.1099999999999</v>
      </c>
      <c r="AD429" s="21" t="s">
        <v>368</v>
      </c>
      <c r="AE429" t="str">
        <f>VLOOKUP(Table_Query_from_Actuarial___Production3[[#This Row],[Kor1]],$AI$3:$AK$105,3,FALSE)</f>
        <v>Misc. Expense</v>
      </c>
      <c r="AF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" spans="18:32" x14ac:dyDescent="0.2">
      <c r="R430" t="s">
        <v>439</v>
      </c>
      <c r="S430" t="s">
        <v>243</v>
      </c>
      <c r="T430" t="s">
        <v>433</v>
      </c>
      <c r="U430" s="21">
        <v>14743</v>
      </c>
      <c r="V430" s="21" t="s">
        <v>368</v>
      </c>
      <c r="W430" t="str">
        <f>VLOOKUP(Table_Query_from_Actuarial___Production[[#This Row],[Kor1]],$AI$3:$AK$105,3,FALSE)</f>
        <v>Operating Service Fees</v>
      </c>
      <c r="X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"/>
      <c r="Z430" t="s">
        <v>41</v>
      </c>
      <c r="AA430" t="s">
        <v>246</v>
      </c>
      <c r="AB430" t="s">
        <v>356</v>
      </c>
      <c r="AC430" s="21">
        <v>349.97</v>
      </c>
      <c r="AD430" s="21" t="s">
        <v>368</v>
      </c>
      <c r="AE430" t="str">
        <f>VLOOKUP(Table_Query_from_Actuarial___Production3[[#This Row],[Kor1]],$AI$3:$AK$105,3,FALSE)</f>
        <v>Misc. Income</v>
      </c>
      <c r="AF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" spans="18:32" x14ac:dyDescent="0.2">
      <c r="R431" t="s">
        <v>11</v>
      </c>
      <c r="S431" t="s">
        <v>224</v>
      </c>
      <c r="T431" t="s">
        <v>442</v>
      </c>
      <c r="U431" s="21">
        <v>135082.32999999999</v>
      </c>
      <c r="V431" s="21" t="s">
        <v>370</v>
      </c>
      <c r="W431" t="str">
        <f>VLOOKUP(Table_Query_from_Actuarial___Production[[#This Row],[Kor1]],$AI$3:$AK$105,3,FALSE)</f>
        <v>Losses Paid</v>
      </c>
      <c r="X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31"/>
      <c r="Z431" t="s">
        <v>34</v>
      </c>
      <c r="AA431" t="s">
        <v>256</v>
      </c>
      <c r="AB431" t="s">
        <v>441</v>
      </c>
      <c r="AC431" s="21">
        <v>10.62</v>
      </c>
      <c r="AD431" s="21" t="s">
        <v>368</v>
      </c>
      <c r="AE431" t="str">
        <f>VLOOKUP(Table_Query_from_Actuarial___Production3[[#This Row],[Kor1]],$AI$3:$AK$105,3,FALSE)</f>
        <v>Misc. Expense</v>
      </c>
      <c r="AF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" spans="18:32" x14ac:dyDescent="0.2">
      <c r="R432" t="s">
        <v>41</v>
      </c>
      <c r="S432" t="s">
        <v>227</v>
      </c>
      <c r="T432" t="s">
        <v>441</v>
      </c>
      <c r="U432" s="21">
        <v>150.01</v>
      </c>
      <c r="V432" s="21" t="s">
        <v>368</v>
      </c>
      <c r="W432" t="str">
        <f>VLOOKUP(Table_Query_from_Actuarial___Production[[#This Row],[Kor1]],$AI$3:$AK$105,3,FALSE)</f>
        <v>Misc. Income</v>
      </c>
      <c r="X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"/>
      <c r="Z432" t="s">
        <v>43</v>
      </c>
      <c r="AA432" t="s">
        <v>239</v>
      </c>
      <c r="AB432" t="s">
        <v>9</v>
      </c>
      <c r="AC432" s="21">
        <v>63.15</v>
      </c>
      <c r="AD432" s="21" t="s">
        <v>368</v>
      </c>
      <c r="AE432" t="str">
        <f>VLOOKUP(Table_Query_from_Actuarial___Production3[[#This Row],[Kor1]],$AI$3:$AK$105,3,FALSE)</f>
        <v>Charge-offs</v>
      </c>
      <c r="AF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" spans="18:32" x14ac:dyDescent="0.2">
      <c r="R433" t="s">
        <v>3</v>
      </c>
      <c r="S433" t="s">
        <v>263</v>
      </c>
      <c r="T433" t="s">
        <v>351</v>
      </c>
      <c r="U433" s="21">
        <v>299831</v>
      </c>
      <c r="V433" s="21" t="s">
        <v>368</v>
      </c>
      <c r="W433" t="str">
        <f>VLOOKUP(Table_Query_from_Actuarial___Production[[#This Row],[Kor1]],$AI$3:$AK$105,3,FALSE)</f>
        <v>Premiums Written</v>
      </c>
      <c r="X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"/>
      <c r="Z433" t="s">
        <v>47</v>
      </c>
      <c r="AA433" t="s">
        <v>257</v>
      </c>
      <c r="AB433" t="s">
        <v>443</v>
      </c>
      <c r="AC433" s="21">
        <v>63190.400000000001</v>
      </c>
      <c r="AD433" s="21" t="s">
        <v>368</v>
      </c>
      <c r="AE433" t="str">
        <f>VLOOKUP(Table_Query_from_Actuarial___Production3[[#This Row],[Kor1]],$AI$3:$AK$105,3,FALSE)</f>
        <v>Investment Income</v>
      </c>
      <c r="AF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" spans="18:32" x14ac:dyDescent="0.2">
      <c r="R434" t="s">
        <v>17</v>
      </c>
      <c r="S434" t="s">
        <v>263</v>
      </c>
      <c r="T434" t="s">
        <v>441</v>
      </c>
      <c r="U434" s="21">
        <v>28072.97</v>
      </c>
      <c r="V434" s="21" t="s">
        <v>368</v>
      </c>
      <c r="W434" t="str">
        <f>VLOOKUP(Table_Query_from_Actuarial___Production[[#This Row],[Kor1]],$AI$3:$AK$105,3,FALSE)</f>
        <v>IBNR</v>
      </c>
      <c r="X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"/>
      <c r="Z434" t="s">
        <v>10</v>
      </c>
      <c r="AA434" t="s">
        <v>246</v>
      </c>
      <c r="AB434" t="s">
        <v>7</v>
      </c>
      <c r="AC434" s="21">
        <v>40386</v>
      </c>
      <c r="AD434" s="21" t="s">
        <v>368</v>
      </c>
      <c r="AE434" t="str">
        <f>VLOOKUP(Table_Query_from_Actuarial___Production3[[#This Row],[Kor1]],$AI$3:$AK$105,3,FALSE)</f>
        <v>Commissions</v>
      </c>
      <c r="AF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" spans="18:32" x14ac:dyDescent="0.2">
      <c r="R435" t="s">
        <v>31</v>
      </c>
      <c r="S435" t="s">
        <v>244</v>
      </c>
      <c r="T435" t="s">
        <v>6</v>
      </c>
      <c r="U435" s="21">
        <v>23</v>
      </c>
      <c r="V435" s="21" t="s">
        <v>368</v>
      </c>
      <c r="W435" t="str">
        <f>VLOOKUP(Table_Query_from_Actuarial___Production[[#This Row],[Kor1]],$AI$3:$AK$105,3,FALSE)</f>
        <v>Misc. Expense</v>
      </c>
      <c r="X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"/>
      <c r="Z435" t="s">
        <v>31</v>
      </c>
      <c r="AA435" t="s">
        <v>229</v>
      </c>
      <c r="AB435" t="s">
        <v>433</v>
      </c>
      <c r="AC435" s="21">
        <v>859.88</v>
      </c>
      <c r="AD435" s="21" t="s">
        <v>368</v>
      </c>
      <c r="AE435" t="str">
        <f>VLOOKUP(Table_Query_from_Actuarial___Production3[[#This Row],[Kor1]],$AI$3:$AK$105,3,FALSE)</f>
        <v>Misc. Expense</v>
      </c>
      <c r="AF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" spans="18:32" x14ac:dyDescent="0.2">
      <c r="R436" t="s">
        <v>144</v>
      </c>
      <c r="S436" t="s">
        <v>224</v>
      </c>
      <c r="T436" t="s">
        <v>442</v>
      </c>
      <c r="U436" s="21">
        <v>-24400</v>
      </c>
      <c r="V436" s="21" t="s">
        <v>370</v>
      </c>
      <c r="W436" t="str">
        <f>VLOOKUP(Table_Query_from_Actuarial___Production[[#This Row],[Kor1]],$AI$3:$AK$105,3,FALSE)</f>
        <v>Claims Expense</v>
      </c>
      <c r="X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36"/>
      <c r="Z436" t="s">
        <v>75</v>
      </c>
      <c r="AA436" t="s">
        <v>246</v>
      </c>
      <c r="AB436" t="s">
        <v>441</v>
      </c>
      <c r="AC436" s="21">
        <v>7039</v>
      </c>
      <c r="AD436" s="21" t="s">
        <v>368</v>
      </c>
      <c r="AE436" t="str">
        <f>VLOOKUP(Table_Query_from_Actuarial___Production3[[#This Row],[Kor1]],$AI$3:$AK$105,3,FALSE)</f>
        <v>EBUB</v>
      </c>
      <c r="AF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" spans="18:32" x14ac:dyDescent="0.2">
      <c r="R437" t="s">
        <v>11</v>
      </c>
      <c r="S437" t="s">
        <v>254</v>
      </c>
      <c r="T437" t="s">
        <v>445</v>
      </c>
      <c r="U437" s="21">
        <v>136537.97</v>
      </c>
      <c r="V437" s="21" t="s">
        <v>368</v>
      </c>
      <c r="W437" t="str">
        <f>VLOOKUP(Table_Query_from_Actuarial___Production[[#This Row],[Kor1]],$AI$3:$AK$105,3,FALSE)</f>
        <v>Losses Paid</v>
      </c>
      <c r="X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"/>
      <c r="Z437" t="s">
        <v>39</v>
      </c>
      <c r="AA437" t="s">
        <v>243</v>
      </c>
      <c r="AB437" t="s">
        <v>5</v>
      </c>
      <c r="AC437" s="21">
        <v>8344.1299999999992</v>
      </c>
      <c r="AD437" s="21" t="s">
        <v>368</v>
      </c>
      <c r="AE437" t="str">
        <f>VLOOKUP(Table_Query_from_Actuarial___Production3[[#This Row],[Kor1]],$AI$3:$AK$105,3,FALSE)</f>
        <v>Misc. Income for Insolvent Companies</v>
      </c>
      <c r="AF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" spans="18:32" x14ac:dyDescent="0.2">
      <c r="R438" t="s">
        <v>10</v>
      </c>
      <c r="S438" t="s">
        <v>261</v>
      </c>
      <c r="T438" t="s">
        <v>433</v>
      </c>
      <c r="U438" s="21">
        <v>14852.75</v>
      </c>
      <c r="V438" s="21" t="s">
        <v>368</v>
      </c>
      <c r="W438" t="str">
        <f>VLOOKUP(Table_Query_from_Actuarial___Production[[#This Row],[Kor1]],$AI$3:$AK$105,3,FALSE)</f>
        <v>Commissions</v>
      </c>
      <c r="X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"/>
      <c r="Z438" t="s">
        <v>39</v>
      </c>
      <c r="AA438" t="s">
        <v>265</v>
      </c>
      <c r="AB438" t="s">
        <v>433</v>
      </c>
      <c r="AC438" s="21">
        <v>8030.01</v>
      </c>
      <c r="AD438" s="21" t="s">
        <v>368</v>
      </c>
      <c r="AE438" t="str">
        <f>VLOOKUP(Table_Query_from_Actuarial___Production3[[#This Row],[Kor1]],$AI$3:$AK$105,3,FALSE)</f>
        <v>Misc. Income for Insolvent Companies</v>
      </c>
      <c r="AF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" spans="18:32" x14ac:dyDescent="0.2">
      <c r="R439" t="s">
        <v>31</v>
      </c>
      <c r="S439" t="s">
        <v>238</v>
      </c>
      <c r="T439" t="s">
        <v>9</v>
      </c>
      <c r="U439" s="21">
        <v>577.6</v>
      </c>
      <c r="V439" s="21" t="s">
        <v>368</v>
      </c>
      <c r="W439" t="str">
        <f>VLOOKUP(Table_Query_from_Actuarial___Production[[#This Row],[Kor1]],$AI$3:$AK$105,3,FALSE)</f>
        <v>Misc. Expense</v>
      </c>
      <c r="X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"/>
      <c r="Z439" t="s">
        <v>20</v>
      </c>
      <c r="AA439" t="s">
        <v>238</v>
      </c>
      <c r="AB439" t="s">
        <v>427</v>
      </c>
      <c r="AC439" s="21">
        <v>514.32000000000005</v>
      </c>
      <c r="AD439" s="21" t="s">
        <v>368</v>
      </c>
      <c r="AE439" t="str">
        <f>VLOOKUP(Table_Query_from_Actuarial___Production3[[#This Row],[Kor1]],$AI$3:$AK$105,3,FALSE)</f>
        <v>Misc. Expense</v>
      </c>
      <c r="AF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" spans="18:32" x14ac:dyDescent="0.2">
      <c r="R440" t="s">
        <v>10</v>
      </c>
      <c r="S440" t="s">
        <v>248</v>
      </c>
      <c r="T440" t="s">
        <v>443</v>
      </c>
      <c r="U440" s="21">
        <v>25024.09</v>
      </c>
      <c r="V440" s="21" t="s">
        <v>368</v>
      </c>
      <c r="W440" t="str">
        <f>VLOOKUP(Table_Query_from_Actuarial___Production[[#This Row],[Kor1]],$AI$3:$AK$105,3,FALSE)</f>
        <v>Commissions</v>
      </c>
      <c r="X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"/>
      <c r="Z440" t="s">
        <v>10</v>
      </c>
      <c r="AA440" t="s">
        <v>261</v>
      </c>
      <c r="AB440" t="s">
        <v>351</v>
      </c>
      <c r="AC440" s="21">
        <v>38838.699999999997</v>
      </c>
      <c r="AD440" s="21" t="s">
        <v>368</v>
      </c>
      <c r="AE440" t="str">
        <f>VLOOKUP(Table_Query_from_Actuarial___Production3[[#This Row],[Kor1]],$AI$3:$AK$105,3,FALSE)</f>
        <v>Commissions</v>
      </c>
      <c r="AF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" spans="18:32" x14ac:dyDescent="0.2">
      <c r="R441" t="s">
        <v>13</v>
      </c>
      <c r="S441" t="s">
        <v>263</v>
      </c>
      <c r="T441" t="s">
        <v>442</v>
      </c>
      <c r="U441" s="21">
        <v>80621.350000000006</v>
      </c>
      <c r="V441" s="21" t="s">
        <v>368</v>
      </c>
      <c r="W441" t="str">
        <f>VLOOKUP(Table_Query_from_Actuarial___Production[[#This Row],[Kor1]],$AI$3:$AK$105,3,FALSE)</f>
        <v>Operating Service Fees</v>
      </c>
      <c r="X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"/>
      <c r="Z441" t="s">
        <v>37</v>
      </c>
      <c r="AA441" t="s">
        <v>233</v>
      </c>
      <c r="AB441" t="s">
        <v>6</v>
      </c>
      <c r="AC441" s="21">
        <v>-87</v>
      </c>
      <c r="AD441" s="21" t="s">
        <v>368</v>
      </c>
      <c r="AE441" t="str">
        <f>VLOOKUP(Table_Query_from_Actuarial___Production3[[#This Row],[Kor1]],$AI$3:$AK$105,3,FALSE)</f>
        <v>Misc. Expense</v>
      </c>
      <c r="AF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" spans="18:32" x14ac:dyDescent="0.2">
      <c r="R442" t="s">
        <v>31</v>
      </c>
      <c r="S442" t="s">
        <v>232</v>
      </c>
      <c r="T442" t="s">
        <v>351</v>
      </c>
      <c r="U442" s="21">
        <v>250.45</v>
      </c>
      <c r="V442" s="21" t="s">
        <v>368</v>
      </c>
      <c r="W442" t="str">
        <f>VLOOKUP(Table_Query_from_Actuarial___Production[[#This Row],[Kor1]],$AI$3:$AK$105,3,FALSE)</f>
        <v>Misc. Expense</v>
      </c>
      <c r="X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"/>
      <c r="Z442" t="s">
        <v>40</v>
      </c>
      <c r="AA442" t="s">
        <v>233</v>
      </c>
      <c r="AB442" t="s">
        <v>5</v>
      </c>
      <c r="AC442" s="21">
        <v>14</v>
      </c>
      <c r="AD442" s="21" t="s">
        <v>368</v>
      </c>
      <c r="AE442" t="str">
        <f>VLOOKUP(Table_Query_from_Actuarial___Production3[[#This Row],[Kor1]],$AI$3:$AK$105,3,FALSE)</f>
        <v>Misc. Income</v>
      </c>
      <c r="AF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" spans="18:32" x14ac:dyDescent="0.2">
      <c r="R443" t="s">
        <v>3</v>
      </c>
      <c r="S443" t="s">
        <v>233</v>
      </c>
      <c r="T443" t="s">
        <v>442</v>
      </c>
      <c r="U443" s="21">
        <v>1209840</v>
      </c>
      <c r="V443" s="21" t="s">
        <v>368</v>
      </c>
      <c r="W443" t="str">
        <f>VLOOKUP(Table_Query_from_Actuarial___Production[[#This Row],[Kor1]],$AI$3:$AK$105,3,FALSE)</f>
        <v>Premiums Written</v>
      </c>
      <c r="X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"/>
      <c r="Z443" t="s">
        <v>17</v>
      </c>
      <c r="AA443" t="s">
        <v>354</v>
      </c>
      <c r="AB443" t="s">
        <v>427</v>
      </c>
      <c r="AC443" s="21">
        <v>969440.01</v>
      </c>
      <c r="AD443" s="21" t="s">
        <v>369</v>
      </c>
      <c r="AE443" t="str">
        <f>VLOOKUP(Table_Query_from_Actuarial___Production3[[#This Row],[Kor1]],$AI$3:$AK$105,3,FALSE)</f>
        <v>IBNR</v>
      </c>
      <c r="AF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44" spans="18:32" x14ac:dyDescent="0.2">
      <c r="R444" t="s">
        <v>10</v>
      </c>
      <c r="S444" t="s">
        <v>245</v>
      </c>
      <c r="T444" t="s">
        <v>8</v>
      </c>
      <c r="U444" s="21">
        <v>22391.7</v>
      </c>
      <c r="V444" s="21" t="s">
        <v>368</v>
      </c>
      <c r="W444" t="str">
        <f>VLOOKUP(Table_Query_from_Actuarial___Production[[#This Row],[Kor1]],$AI$3:$AK$105,3,FALSE)</f>
        <v>Commissions</v>
      </c>
      <c r="X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"/>
      <c r="Z444" t="s">
        <v>11</v>
      </c>
      <c r="AA444" t="s">
        <v>249</v>
      </c>
      <c r="AB444" t="s">
        <v>351</v>
      </c>
      <c r="AC444" s="21">
        <v>77822.47</v>
      </c>
      <c r="AD444" s="21" t="s">
        <v>368</v>
      </c>
      <c r="AE444" t="str">
        <f>VLOOKUP(Table_Query_from_Actuarial___Production3[[#This Row],[Kor1]],$AI$3:$AK$105,3,FALSE)</f>
        <v>Losses Paid</v>
      </c>
      <c r="AF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" spans="18:32" x14ac:dyDescent="0.2">
      <c r="R445" t="s">
        <v>13</v>
      </c>
      <c r="S445" t="s">
        <v>226</v>
      </c>
      <c r="T445" t="s">
        <v>7</v>
      </c>
      <c r="U445" s="21">
        <v>1387732.06</v>
      </c>
      <c r="V445" s="21" t="s">
        <v>368</v>
      </c>
      <c r="W445" t="str">
        <f>VLOOKUP(Table_Query_from_Actuarial___Production[[#This Row],[Kor1]],$AI$3:$AK$105,3,FALSE)</f>
        <v>Operating Service Fees</v>
      </c>
      <c r="X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45"/>
      <c r="Z445" t="s">
        <v>34</v>
      </c>
      <c r="AA445" t="s">
        <v>230</v>
      </c>
      <c r="AB445" t="s">
        <v>6</v>
      </c>
      <c r="AC445" s="21">
        <v>4676.2299999999996</v>
      </c>
      <c r="AD445" s="21" t="s">
        <v>368</v>
      </c>
      <c r="AE445" t="str">
        <f>VLOOKUP(Table_Query_from_Actuarial___Production3[[#This Row],[Kor1]],$AI$3:$AK$105,3,FALSE)</f>
        <v>Misc. Expense</v>
      </c>
      <c r="AF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" spans="18:32" x14ac:dyDescent="0.2">
      <c r="R446" t="s">
        <v>10</v>
      </c>
      <c r="S446" t="s">
        <v>255</v>
      </c>
      <c r="T446" t="s">
        <v>356</v>
      </c>
      <c r="U446" s="21">
        <v>27752.55</v>
      </c>
      <c r="V446" s="21" t="s">
        <v>368</v>
      </c>
      <c r="W446" t="str">
        <f>VLOOKUP(Table_Query_from_Actuarial___Production[[#This Row],[Kor1]],$AI$3:$AK$105,3,FALSE)</f>
        <v>Commissions</v>
      </c>
      <c r="X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"/>
      <c r="Z446" t="s">
        <v>18</v>
      </c>
      <c r="AA446" t="s">
        <v>224</v>
      </c>
      <c r="AB446" t="s">
        <v>441</v>
      </c>
      <c r="AC446" s="21">
        <v>81208.78</v>
      </c>
      <c r="AD446" s="21" t="s">
        <v>370</v>
      </c>
      <c r="AE446" t="str">
        <f>VLOOKUP(Table_Query_from_Actuarial___Production3[[#This Row],[Kor1]],$AI$3:$AK$105,3,FALSE)</f>
        <v>Misc. Expense</v>
      </c>
      <c r="AF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47" spans="18:32" x14ac:dyDescent="0.2">
      <c r="R447" t="s">
        <v>11</v>
      </c>
      <c r="S447" t="s">
        <v>256</v>
      </c>
      <c r="T447" t="s">
        <v>427</v>
      </c>
      <c r="U447" s="21">
        <v>149176.78</v>
      </c>
      <c r="V447" s="21" t="s">
        <v>368</v>
      </c>
      <c r="W447" t="str">
        <f>VLOOKUP(Table_Query_from_Actuarial___Production[[#This Row],[Kor1]],$AI$3:$AK$105,3,FALSE)</f>
        <v>Losses Paid</v>
      </c>
      <c r="X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"/>
      <c r="Z447" t="s">
        <v>46</v>
      </c>
      <c r="AA447" t="s">
        <v>225</v>
      </c>
      <c r="AB447" t="s">
        <v>427</v>
      </c>
      <c r="AC447" s="21">
        <v>65774.75</v>
      </c>
      <c r="AD447" s="21" t="s">
        <v>368</v>
      </c>
      <c r="AE447" t="str">
        <f>VLOOKUP(Table_Query_from_Actuarial___Production3[[#This Row],[Kor1]],$AI$3:$AK$105,3,FALSE)</f>
        <v>Investment Income</v>
      </c>
      <c r="AF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48" spans="18:32" x14ac:dyDescent="0.2">
      <c r="R448" t="s">
        <v>48</v>
      </c>
      <c r="S448" t="s">
        <v>225</v>
      </c>
      <c r="T448" t="s">
        <v>427</v>
      </c>
      <c r="U448" s="21">
        <v>971</v>
      </c>
      <c r="V448" s="21" t="s">
        <v>369</v>
      </c>
      <c r="W448" t="str">
        <f>VLOOKUP(Table_Query_from_Actuarial___Production[[#This Row],[Kor1]],$AI$3:$AK$105,3,FALSE)</f>
        <v>Anticipated Salvage</v>
      </c>
      <c r="X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48"/>
      <c r="Z448" t="s">
        <v>19</v>
      </c>
      <c r="AA448" t="s">
        <v>236</v>
      </c>
      <c r="AB448" t="s">
        <v>356</v>
      </c>
      <c r="AC448" s="21">
        <v>28</v>
      </c>
      <c r="AD448" s="21" t="s">
        <v>368</v>
      </c>
      <c r="AE448" t="str">
        <f>VLOOKUP(Table_Query_from_Actuarial___Production3[[#This Row],[Kor1]],$AI$3:$AK$105,3,FALSE)</f>
        <v>Misc. Expense for Insolvent Companies</v>
      </c>
      <c r="AF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" spans="18:32" x14ac:dyDescent="0.2">
      <c r="R449" t="s">
        <v>43</v>
      </c>
      <c r="S449" t="s">
        <v>226</v>
      </c>
      <c r="T449" t="s">
        <v>433</v>
      </c>
      <c r="U449" s="21">
        <v>1052.01</v>
      </c>
      <c r="V449" s="21" t="s">
        <v>368</v>
      </c>
      <c r="W449" t="str">
        <f>VLOOKUP(Table_Query_from_Actuarial___Production[[#This Row],[Kor1]],$AI$3:$AK$105,3,FALSE)</f>
        <v>Charge-offs</v>
      </c>
      <c r="X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49"/>
      <c r="Z449" t="s">
        <v>12</v>
      </c>
      <c r="AA449" t="s">
        <v>245</v>
      </c>
      <c r="AB449" t="s">
        <v>6</v>
      </c>
      <c r="AC449" s="21">
        <v>774.66</v>
      </c>
      <c r="AD449" s="21" t="s">
        <v>368</v>
      </c>
      <c r="AE449" t="str">
        <f>VLOOKUP(Table_Query_from_Actuarial___Production3[[#This Row],[Kor1]],$AI$3:$AK$105,3,FALSE)</f>
        <v>Premium Tax</v>
      </c>
      <c r="AF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" spans="18:32" x14ac:dyDescent="0.2">
      <c r="R450" t="s">
        <v>14</v>
      </c>
      <c r="S450" t="s">
        <v>245</v>
      </c>
      <c r="T450" t="s">
        <v>433</v>
      </c>
      <c r="U450" s="21">
        <v>155.85</v>
      </c>
      <c r="V450" s="21" t="s">
        <v>368</v>
      </c>
      <c r="W450" t="str">
        <f>VLOOKUP(Table_Query_from_Actuarial___Production[[#This Row],[Kor1]],$AI$3:$AK$105,3,FALSE)</f>
        <v>Claims Expense</v>
      </c>
      <c r="X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"/>
      <c r="Z450" t="s">
        <v>11</v>
      </c>
      <c r="AA450" t="s">
        <v>225</v>
      </c>
      <c r="AB450" t="s">
        <v>441</v>
      </c>
      <c r="AC450" s="21">
        <v>161757.17000000001</v>
      </c>
      <c r="AD450" s="21" t="s">
        <v>369</v>
      </c>
      <c r="AE450" t="str">
        <f>VLOOKUP(Table_Query_from_Actuarial___Production3[[#This Row],[Kor1]],$AI$3:$AK$105,3,FALSE)</f>
        <v>Losses Paid</v>
      </c>
      <c r="AF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51" spans="18:32" x14ac:dyDescent="0.2">
      <c r="R451" t="s">
        <v>47</v>
      </c>
      <c r="S451" t="s">
        <v>238</v>
      </c>
      <c r="T451" t="s">
        <v>442</v>
      </c>
      <c r="U451" s="21">
        <v>5616.71</v>
      </c>
      <c r="V451" s="21" t="s">
        <v>368</v>
      </c>
      <c r="W451" t="str">
        <f>VLOOKUP(Table_Query_from_Actuarial___Production[[#This Row],[Kor1]],$AI$3:$AK$105,3,FALSE)</f>
        <v>Investment Income</v>
      </c>
      <c r="X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"/>
      <c r="Z451" t="s">
        <v>33</v>
      </c>
      <c r="AA451" t="s">
        <v>228</v>
      </c>
      <c r="AB451" t="s">
        <v>9</v>
      </c>
      <c r="AC451" s="21">
        <v>11620.94</v>
      </c>
      <c r="AD451" s="21" t="s">
        <v>368</v>
      </c>
      <c r="AE451" t="str">
        <f>VLOOKUP(Table_Query_from_Actuarial___Production3[[#This Row],[Kor1]],$AI$3:$AK$105,3,FALSE)</f>
        <v>Misc. Expense</v>
      </c>
      <c r="AF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" spans="18:32" x14ac:dyDescent="0.2">
      <c r="R452" t="s">
        <v>47</v>
      </c>
      <c r="S452" t="s">
        <v>234</v>
      </c>
      <c r="T452" t="s">
        <v>356</v>
      </c>
      <c r="U452" s="21">
        <v>2780.68</v>
      </c>
      <c r="V452" s="21" t="s">
        <v>368</v>
      </c>
      <c r="W452" t="str">
        <f>VLOOKUP(Table_Query_from_Actuarial___Production[[#This Row],[Kor1]],$AI$3:$AK$105,3,FALSE)</f>
        <v>Investment Income</v>
      </c>
      <c r="X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"/>
      <c r="Z452" t="s">
        <v>48</v>
      </c>
      <c r="AA452" t="s">
        <v>244</v>
      </c>
      <c r="AB452" t="s">
        <v>441</v>
      </c>
      <c r="AC452" s="21">
        <v>14878.37</v>
      </c>
      <c r="AD452" s="21" t="s">
        <v>368</v>
      </c>
      <c r="AE452" t="str">
        <f>VLOOKUP(Table_Query_from_Actuarial___Production3[[#This Row],[Kor1]],$AI$3:$AK$105,3,FALSE)</f>
        <v>Anticipated Salvage</v>
      </c>
      <c r="AF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" spans="18:32" x14ac:dyDescent="0.2">
      <c r="R453" t="s">
        <v>50</v>
      </c>
      <c r="S453" t="s">
        <v>234</v>
      </c>
      <c r="T453" t="s">
        <v>441</v>
      </c>
      <c r="U453" s="21">
        <v>24828.79</v>
      </c>
      <c r="V453" s="21" t="s">
        <v>368</v>
      </c>
      <c r="W453" t="str">
        <f>VLOOKUP(Table_Query_from_Actuarial___Production[[#This Row],[Kor1]],$AI$3:$AK$105,3,FALSE)</f>
        <v>ALAE Reserve</v>
      </c>
      <c r="X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"/>
      <c r="Z453" t="s">
        <v>13</v>
      </c>
      <c r="AA453" t="s">
        <v>266</v>
      </c>
      <c r="AB453" t="s">
        <v>7</v>
      </c>
      <c r="AC453" s="21">
        <v>123596.03</v>
      </c>
      <c r="AD453" s="21" t="s">
        <v>368</v>
      </c>
      <c r="AE453" t="str">
        <f>VLOOKUP(Table_Query_from_Actuarial___Production3[[#This Row],[Kor1]],$AI$3:$AK$105,3,FALSE)</f>
        <v>Operating Service Fees</v>
      </c>
      <c r="AF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" spans="18:32" x14ac:dyDescent="0.2">
      <c r="R454" t="s">
        <v>43</v>
      </c>
      <c r="S454" t="s">
        <v>226</v>
      </c>
      <c r="T454" t="s">
        <v>7</v>
      </c>
      <c r="U454" s="21">
        <v>48491.91</v>
      </c>
      <c r="V454" s="21" t="s">
        <v>368</v>
      </c>
      <c r="W454" t="str">
        <f>VLOOKUP(Table_Query_from_Actuarial___Production[[#This Row],[Kor1]],$AI$3:$AK$105,3,FALSE)</f>
        <v>Charge-offs</v>
      </c>
      <c r="X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54"/>
      <c r="Z454" t="s">
        <v>439</v>
      </c>
      <c r="AA454" t="s">
        <v>243</v>
      </c>
      <c r="AB454" t="s">
        <v>433</v>
      </c>
      <c r="AC454" s="21">
        <v>14743</v>
      </c>
      <c r="AD454" s="21" t="s">
        <v>368</v>
      </c>
      <c r="AE454" t="str">
        <f>VLOOKUP(Table_Query_from_Actuarial___Production3[[#This Row],[Kor1]],$AI$3:$AK$105,3,FALSE)</f>
        <v>Operating Service Fees</v>
      </c>
      <c r="AF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" spans="18:32" x14ac:dyDescent="0.2">
      <c r="R455" t="s">
        <v>44</v>
      </c>
      <c r="S455" t="s">
        <v>224</v>
      </c>
      <c r="T455" t="s">
        <v>433</v>
      </c>
      <c r="U455" s="21">
        <v>387.26</v>
      </c>
      <c r="V455" s="21" t="s">
        <v>368</v>
      </c>
      <c r="W455" t="str">
        <f>VLOOKUP(Table_Query_from_Actuarial___Production[[#This Row],[Kor1]],$AI$3:$AK$105,3,FALSE)</f>
        <v>Charge-offs</v>
      </c>
      <c r="X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55"/>
      <c r="Z455" t="s">
        <v>11</v>
      </c>
      <c r="AA455" t="s">
        <v>224</v>
      </c>
      <c r="AB455" t="s">
        <v>442</v>
      </c>
      <c r="AC455" s="21">
        <v>79994.880000000005</v>
      </c>
      <c r="AD455" s="21" t="s">
        <v>370</v>
      </c>
      <c r="AE455" t="str">
        <f>VLOOKUP(Table_Query_from_Actuarial___Production3[[#This Row],[Kor1]],$AI$3:$AK$105,3,FALSE)</f>
        <v>Losses Paid</v>
      </c>
      <c r="AF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56" spans="18:32" x14ac:dyDescent="0.2">
      <c r="R456" t="s">
        <v>3</v>
      </c>
      <c r="S456" t="s">
        <v>259</v>
      </c>
      <c r="T456" t="s">
        <v>351</v>
      </c>
      <c r="U456" s="21">
        <v>1279270</v>
      </c>
      <c r="V456" s="21" t="s">
        <v>368</v>
      </c>
      <c r="W456" t="str">
        <f>VLOOKUP(Table_Query_from_Actuarial___Production[[#This Row],[Kor1]],$AI$3:$AK$105,3,FALSE)</f>
        <v>Premiums Written</v>
      </c>
      <c r="X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"/>
      <c r="Z456" t="s">
        <v>41</v>
      </c>
      <c r="AA456" t="s">
        <v>227</v>
      </c>
      <c r="AB456" t="s">
        <v>441</v>
      </c>
      <c r="AC456" s="21">
        <v>150.01</v>
      </c>
      <c r="AD456" s="21" t="s">
        <v>368</v>
      </c>
      <c r="AE456" t="str">
        <f>VLOOKUP(Table_Query_from_Actuarial___Production3[[#This Row],[Kor1]],$AI$3:$AK$105,3,FALSE)</f>
        <v>Misc. Income</v>
      </c>
      <c r="AF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" spans="18:32" x14ac:dyDescent="0.2">
      <c r="R457" t="s">
        <v>10</v>
      </c>
      <c r="S457" t="s">
        <v>263</v>
      </c>
      <c r="T457" t="s">
        <v>441</v>
      </c>
      <c r="U457" s="21">
        <v>43529.1</v>
      </c>
      <c r="V457" s="21" t="s">
        <v>368</v>
      </c>
      <c r="W457" t="str">
        <f>VLOOKUP(Table_Query_from_Actuarial___Production[[#This Row],[Kor1]],$AI$3:$AK$105,3,FALSE)</f>
        <v>Commissions</v>
      </c>
      <c r="X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"/>
      <c r="Z457" t="s">
        <v>3</v>
      </c>
      <c r="AA457" t="s">
        <v>263</v>
      </c>
      <c r="AB457" t="s">
        <v>351</v>
      </c>
      <c r="AC457" s="21">
        <v>299831</v>
      </c>
      <c r="AD457" s="21" t="s">
        <v>368</v>
      </c>
      <c r="AE457" t="str">
        <f>VLOOKUP(Table_Query_from_Actuarial___Production3[[#This Row],[Kor1]],$AI$3:$AK$105,3,FALSE)</f>
        <v>Premiums Written</v>
      </c>
      <c r="AF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" spans="18:32" x14ac:dyDescent="0.2">
      <c r="R458" t="s">
        <v>11</v>
      </c>
      <c r="S458" t="s">
        <v>249</v>
      </c>
      <c r="T458" t="s">
        <v>441</v>
      </c>
      <c r="U458" s="21">
        <v>122951.63</v>
      </c>
      <c r="V458" s="21" t="s">
        <v>368</v>
      </c>
      <c r="W458" t="str">
        <f>VLOOKUP(Table_Query_from_Actuarial___Production[[#This Row],[Kor1]],$AI$3:$AK$105,3,FALSE)</f>
        <v>Losses Paid</v>
      </c>
      <c r="X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"/>
      <c r="Z458" t="s">
        <v>17</v>
      </c>
      <c r="AA458" t="s">
        <v>263</v>
      </c>
      <c r="AB458" t="s">
        <v>441</v>
      </c>
      <c r="AC458" s="21">
        <v>41978.51</v>
      </c>
      <c r="AD458" s="21" t="s">
        <v>368</v>
      </c>
      <c r="AE458" t="str">
        <f>VLOOKUP(Table_Query_from_Actuarial___Production3[[#This Row],[Kor1]],$AI$3:$AK$105,3,FALSE)</f>
        <v>IBNR</v>
      </c>
      <c r="AF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" spans="18:32" x14ac:dyDescent="0.2">
      <c r="R459" t="s">
        <v>39</v>
      </c>
      <c r="S459" t="s">
        <v>253</v>
      </c>
      <c r="T459" t="s">
        <v>351</v>
      </c>
      <c r="U459" s="21">
        <v>20</v>
      </c>
      <c r="V459" s="21" t="s">
        <v>368</v>
      </c>
      <c r="W459" t="str">
        <f>VLOOKUP(Table_Query_from_Actuarial___Production[[#This Row],[Kor1]],$AI$3:$AK$105,3,FALSE)</f>
        <v>Misc. Income for Insolvent Companies</v>
      </c>
      <c r="X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"/>
      <c r="Z459" t="s">
        <v>31</v>
      </c>
      <c r="AA459" t="s">
        <v>244</v>
      </c>
      <c r="AB459" t="s">
        <v>6</v>
      </c>
      <c r="AC459" s="21">
        <v>23</v>
      </c>
      <c r="AD459" s="21" t="s">
        <v>368</v>
      </c>
      <c r="AE459" t="str">
        <f>VLOOKUP(Table_Query_from_Actuarial___Production3[[#This Row],[Kor1]],$AI$3:$AK$105,3,FALSE)</f>
        <v>Misc. Expense</v>
      </c>
      <c r="AF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" spans="18:32" x14ac:dyDescent="0.2">
      <c r="R460" t="s">
        <v>37</v>
      </c>
      <c r="S460" t="s">
        <v>230</v>
      </c>
      <c r="T460" t="s">
        <v>351</v>
      </c>
      <c r="U460" s="21">
        <v>88245.25</v>
      </c>
      <c r="V460" s="21" t="s">
        <v>368</v>
      </c>
      <c r="W460" t="str">
        <f>VLOOKUP(Table_Query_from_Actuarial___Production[[#This Row],[Kor1]],$AI$3:$AK$105,3,FALSE)</f>
        <v>Misc. Expense</v>
      </c>
      <c r="X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"/>
      <c r="Z460" t="s">
        <v>144</v>
      </c>
      <c r="AA460" t="s">
        <v>224</v>
      </c>
      <c r="AB460" t="s">
        <v>442</v>
      </c>
      <c r="AC460" s="21">
        <v>-21900</v>
      </c>
      <c r="AD460" s="21" t="s">
        <v>370</v>
      </c>
      <c r="AE460" t="str">
        <f>VLOOKUP(Table_Query_from_Actuarial___Production3[[#This Row],[Kor1]],$AI$3:$AK$105,3,FALSE)</f>
        <v>Claims Expense</v>
      </c>
      <c r="AF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61" spans="18:32" x14ac:dyDescent="0.2">
      <c r="R461" t="s">
        <v>11</v>
      </c>
      <c r="S461" t="s">
        <v>264</v>
      </c>
      <c r="T461" t="s">
        <v>351</v>
      </c>
      <c r="U461" s="21">
        <v>1055614.8700000001</v>
      </c>
      <c r="V461" s="21" t="s">
        <v>368</v>
      </c>
      <c r="W461" t="str">
        <f>VLOOKUP(Table_Query_from_Actuarial___Production[[#This Row],[Kor1]],$AI$3:$AK$105,3,FALSE)</f>
        <v>Losses Paid</v>
      </c>
      <c r="X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"/>
      <c r="Z461" t="s">
        <v>10</v>
      </c>
      <c r="AA461" t="s">
        <v>261</v>
      </c>
      <c r="AB461" t="s">
        <v>433</v>
      </c>
      <c r="AC461" s="21">
        <v>14852.75</v>
      </c>
      <c r="AD461" s="21" t="s">
        <v>368</v>
      </c>
      <c r="AE461" t="str">
        <f>VLOOKUP(Table_Query_from_Actuarial___Production3[[#This Row],[Kor1]],$AI$3:$AK$105,3,FALSE)</f>
        <v>Commissions</v>
      </c>
      <c r="AF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" spans="18:32" x14ac:dyDescent="0.2">
      <c r="R462" t="s">
        <v>14</v>
      </c>
      <c r="S462" t="s">
        <v>255</v>
      </c>
      <c r="T462" t="s">
        <v>6</v>
      </c>
      <c r="U462" s="21">
        <v>7965</v>
      </c>
      <c r="V462" s="21" t="s">
        <v>368</v>
      </c>
      <c r="W462" t="str">
        <f>VLOOKUP(Table_Query_from_Actuarial___Production[[#This Row],[Kor1]],$AI$3:$AK$105,3,FALSE)</f>
        <v>Claims Expense</v>
      </c>
      <c r="X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"/>
      <c r="Z462" t="s">
        <v>31</v>
      </c>
      <c r="AA462" t="s">
        <v>238</v>
      </c>
      <c r="AB462" t="s">
        <v>9</v>
      </c>
      <c r="AC462" s="21">
        <v>577.6</v>
      </c>
      <c r="AD462" s="21" t="s">
        <v>368</v>
      </c>
      <c r="AE462" t="str">
        <f>VLOOKUP(Table_Query_from_Actuarial___Production3[[#This Row],[Kor1]],$AI$3:$AK$105,3,FALSE)</f>
        <v>Misc. Expense</v>
      </c>
      <c r="AF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" spans="18:32" x14ac:dyDescent="0.2">
      <c r="R463" t="s">
        <v>16</v>
      </c>
      <c r="S463" t="s">
        <v>225</v>
      </c>
      <c r="T463" t="s">
        <v>7</v>
      </c>
      <c r="U463" s="21">
        <v>20000</v>
      </c>
      <c r="V463" s="21" t="s">
        <v>369</v>
      </c>
      <c r="W463" t="str">
        <f>VLOOKUP(Table_Query_from_Actuarial___Production[[#This Row],[Kor1]],$AI$3:$AK$105,3,FALSE)</f>
        <v>Losses Outstanding</v>
      </c>
      <c r="X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63"/>
      <c r="Z463" t="s">
        <v>10</v>
      </c>
      <c r="AA463" t="s">
        <v>248</v>
      </c>
      <c r="AB463" t="s">
        <v>443</v>
      </c>
      <c r="AC463" s="21">
        <v>3790.29</v>
      </c>
      <c r="AD463" s="21" t="s">
        <v>368</v>
      </c>
      <c r="AE463" t="str">
        <f>VLOOKUP(Table_Query_from_Actuarial___Production3[[#This Row],[Kor1]],$AI$3:$AK$105,3,FALSE)</f>
        <v>Commissions</v>
      </c>
      <c r="AF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" spans="18:32" x14ac:dyDescent="0.2">
      <c r="R464" t="s">
        <v>46</v>
      </c>
      <c r="S464" t="s">
        <v>225</v>
      </c>
      <c r="T464" t="s">
        <v>443</v>
      </c>
      <c r="U464" s="21">
        <v>15813.57</v>
      </c>
      <c r="V464" s="21" t="s">
        <v>368</v>
      </c>
      <c r="W464" t="str">
        <f>VLOOKUP(Table_Query_from_Actuarial___Production[[#This Row],[Kor1]],$AI$3:$AK$105,3,FALSE)</f>
        <v>Investment Income</v>
      </c>
      <c r="X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64"/>
      <c r="Z464" t="s">
        <v>13</v>
      </c>
      <c r="AA464" t="s">
        <v>263</v>
      </c>
      <c r="AB464" t="s">
        <v>442</v>
      </c>
      <c r="AC464" s="21">
        <v>81517.97</v>
      </c>
      <c r="AD464" s="21" t="s">
        <v>368</v>
      </c>
      <c r="AE464" t="str">
        <f>VLOOKUP(Table_Query_from_Actuarial___Production3[[#This Row],[Kor1]],$AI$3:$AK$105,3,FALSE)</f>
        <v>Operating Service Fees</v>
      </c>
      <c r="AF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" spans="18:32" x14ac:dyDescent="0.2">
      <c r="R465" t="s">
        <v>3</v>
      </c>
      <c r="S465" t="s">
        <v>267</v>
      </c>
      <c r="T465" t="s">
        <v>427</v>
      </c>
      <c r="U465" s="21">
        <v>412188</v>
      </c>
      <c r="V465" s="21" t="s">
        <v>368</v>
      </c>
      <c r="W465" t="str">
        <f>VLOOKUP(Table_Query_from_Actuarial___Production[[#This Row],[Kor1]],$AI$3:$AK$105,3,FALSE)</f>
        <v>Premiums Written</v>
      </c>
      <c r="X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"/>
      <c r="Z465" t="s">
        <v>31</v>
      </c>
      <c r="AA465" t="s">
        <v>232</v>
      </c>
      <c r="AB465" t="s">
        <v>351</v>
      </c>
      <c r="AC465" s="21">
        <v>250.45</v>
      </c>
      <c r="AD465" s="21" t="s">
        <v>368</v>
      </c>
      <c r="AE465" t="str">
        <f>VLOOKUP(Table_Query_from_Actuarial___Production3[[#This Row],[Kor1]],$AI$3:$AK$105,3,FALSE)</f>
        <v>Misc. Expense</v>
      </c>
      <c r="AF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" spans="18:32" x14ac:dyDescent="0.2">
      <c r="R466" t="s">
        <v>10</v>
      </c>
      <c r="S466" t="s">
        <v>239</v>
      </c>
      <c r="T466" t="s">
        <v>433</v>
      </c>
      <c r="U466" s="21">
        <v>450682</v>
      </c>
      <c r="V466" s="21" t="s">
        <v>368</v>
      </c>
      <c r="W466" t="str">
        <f>VLOOKUP(Table_Query_from_Actuarial___Production[[#This Row],[Kor1]],$AI$3:$AK$105,3,FALSE)</f>
        <v>Commissions</v>
      </c>
      <c r="X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"/>
      <c r="Z466" t="s">
        <v>3</v>
      </c>
      <c r="AA466" t="s">
        <v>233</v>
      </c>
      <c r="AB466" t="s">
        <v>442</v>
      </c>
      <c r="AC466" s="21">
        <v>1245997</v>
      </c>
      <c r="AD466" s="21" t="s">
        <v>368</v>
      </c>
      <c r="AE466" t="str">
        <f>VLOOKUP(Table_Query_from_Actuarial___Production3[[#This Row],[Kor1]],$AI$3:$AK$105,3,FALSE)</f>
        <v>Premiums Written</v>
      </c>
      <c r="AF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" spans="18:32" x14ac:dyDescent="0.2">
      <c r="R467" t="s">
        <v>21</v>
      </c>
      <c r="S467" t="s">
        <v>239</v>
      </c>
      <c r="T467" t="s">
        <v>356</v>
      </c>
      <c r="U467" s="21">
        <v>349</v>
      </c>
      <c r="V467" s="21" t="s">
        <v>368</v>
      </c>
      <c r="W467" t="str">
        <f>VLOOKUP(Table_Query_from_Actuarial___Production[[#This Row],[Kor1]],$AI$3:$AK$105,3,FALSE)</f>
        <v>Misc. Expense</v>
      </c>
      <c r="X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"/>
      <c r="Z467" t="s">
        <v>10</v>
      </c>
      <c r="AA467" t="s">
        <v>245</v>
      </c>
      <c r="AB467" t="s">
        <v>8</v>
      </c>
      <c r="AC467" s="21">
        <v>22391.7</v>
      </c>
      <c r="AD467" s="21" t="s">
        <v>368</v>
      </c>
      <c r="AE467" t="str">
        <f>VLOOKUP(Table_Query_from_Actuarial___Production3[[#This Row],[Kor1]],$AI$3:$AK$105,3,FALSE)</f>
        <v>Commissions</v>
      </c>
      <c r="AF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" spans="18:32" x14ac:dyDescent="0.2">
      <c r="R468" t="s">
        <v>31</v>
      </c>
      <c r="S468" t="s">
        <v>252</v>
      </c>
      <c r="T468" t="s">
        <v>445</v>
      </c>
      <c r="U468" s="21">
        <v>3145.24</v>
      </c>
      <c r="V468" s="21" t="s">
        <v>368</v>
      </c>
      <c r="W468" t="str">
        <f>VLOOKUP(Table_Query_from_Actuarial___Production[[#This Row],[Kor1]],$AI$3:$AK$105,3,FALSE)</f>
        <v>Misc. Expense</v>
      </c>
      <c r="X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"/>
      <c r="Z468" t="s">
        <v>13</v>
      </c>
      <c r="AA468" t="s">
        <v>226</v>
      </c>
      <c r="AB468" t="s">
        <v>7</v>
      </c>
      <c r="AC468" s="21">
        <v>1387732.06</v>
      </c>
      <c r="AD468" s="21" t="s">
        <v>368</v>
      </c>
      <c r="AE468" t="str">
        <f>VLOOKUP(Table_Query_from_Actuarial___Production3[[#This Row],[Kor1]],$AI$3:$AK$105,3,FALSE)</f>
        <v>Operating Service Fees</v>
      </c>
      <c r="AF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69" spans="18:32" x14ac:dyDescent="0.2">
      <c r="R469" t="s">
        <v>10</v>
      </c>
      <c r="S469" t="s">
        <v>262</v>
      </c>
      <c r="T469" t="s">
        <v>445</v>
      </c>
      <c r="U469" s="21">
        <v>17275.95</v>
      </c>
      <c r="V469" s="21" t="s">
        <v>368</v>
      </c>
      <c r="W469" t="str">
        <f>VLOOKUP(Table_Query_from_Actuarial___Production[[#This Row],[Kor1]],$AI$3:$AK$105,3,FALSE)</f>
        <v>Commissions</v>
      </c>
      <c r="X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"/>
      <c r="Z469" t="s">
        <v>10</v>
      </c>
      <c r="AA469" t="s">
        <v>255</v>
      </c>
      <c r="AB469" t="s">
        <v>356</v>
      </c>
      <c r="AC469" s="21">
        <v>27752.55</v>
      </c>
      <c r="AD469" s="21" t="s">
        <v>368</v>
      </c>
      <c r="AE469" t="str">
        <f>VLOOKUP(Table_Query_from_Actuarial___Production3[[#This Row],[Kor1]],$AI$3:$AK$105,3,FALSE)</f>
        <v>Commissions</v>
      </c>
      <c r="AF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" spans="18:32" x14ac:dyDescent="0.2">
      <c r="R470" t="s">
        <v>47</v>
      </c>
      <c r="S470" t="s">
        <v>242</v>
      </c>
      <c r="T470" t="s">
        <v>9</v>
      </c>
      <c r="U470" s="21">
        <v>435.25</v>
      </c>
      <c r="V470" s="21" t="s">
        <v>368</v>
      </c>
      <c r="W470" t="str">
        <f>VLOOKUP(Table_Query_from_Actuarial___Production[[#This Row],[Kor1]],$AI$3:$AK$105,3,FALSE)</f>
        <v>Investment Income</v>
      </c>
      <c r="X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"/>
      <c r="Z470" t="s">
        <v>11</v>
      </c>
      <c r="AA470" t="s">
        <v>256</v>
      </c>
      <c r="AB470" t="s">
        <v>427</v>
      </c>
      <c r="AC470" s="21">
        <v>149176.78</v>
      </c>
      <c r="AD470" s="21" t="s">
        <v>368</v>
      </c>
      <c r="AE470" t="str">
        <f>VLOOKUP(Table_Query_from_Actuarial___Production3[[#This Row],[Kor1]],$AI$3:$AK$105,3,FALSE)</f>
        <v>Losses Paid</v>
      </c>
      <c r="AF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" spans="18:32" x14ac:dyDescent="0.2">
      <c r="R471" t="s">
        <v>38</v>
      </c>
      <c r="S471" t="s">
        <v>224</v>
      </c>
      <c r="T471" t="s">
        <v>8</v>
      </c>
      <c r="U471" s="21">
        <v>673942.78</v>
      </c>
      <c r="V471" s="21" t="s">
        <v>370</v>
      </c>
      <c r="W471" t="str">
        <f>VLOOKUP(Table_Query_from_Actuarial___Production[[#This Row],[Kor1]],$AI$3:$AK$105,3,FALSE)</f>
        <v>Misc. Income</v>
      </c>
      <c r="X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71"/>
      <c r="Z471" t="s">
        <v>48</v>
      </c>
      <c r="AA471" t="s">
        <v>225</v>
      </c>
      <c r="AB471" t="s">
        <v>427</v>
      </c>
      <c r="AC471" s="21">
        <v>1350.97</v>
      </c>
      <c r="AD471" s="21" t="s">
        <v>369</v>
      </c>
      <c r="AE471" t="str">
        <f>VLOOKUP(Table_Query_from_Actuarial___Production3[[#This Row],[Kor1]],$AI$3:$AK$105,3,FALSE)</f>
        <v>Anticipated Salvage</v>
      </c>
      <c r="AF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72" spans="18:32" x14ac:dyDescent="0.2">
      <c r="R472" t="s">
        <v>31</v>
      </c>
      <c r="S472" t="s">
        <v>243</v>
      </c>
      <c r="T472" t="s">
        <v>443</v>
      </c>
      <c r="U472" s="21">
        <v>1175.31</v>
      </c>
      <c r="V472" s="21" t="s">
        <v>368</v>
      </c>
      <c r="W472" t="str">
        <f>VLOOKUP(Table_Query_from_Actuarial___Production[[#This Row],[Kor1]],$AI$3:$AK$105,3,FALSE)</f>
        <v>Misc. Expense</v>
      </c>
      <c r="X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"/>
      <c r="Z472" t="s">
        <v>43</v>
      </c>
      <c r="AA472" t="s">
        <v>226</v>
      </c>
      <c r="AB472" t="s">
        <v>433</v>
      </c>
      <c r="AC472" s="21">
        <v>1052.01</v>
      </c>
      <c r="AD472" s="21" t="s">
        <v>368</v>
      </c>
      <c r="AE472" t="str">
        <f>VLOOKUP(Table_Query_from_Actuarial___Production3[[#This Row],[Kor1]],$AI$3:$AK$105,3,FALSE)</f>
        <v>Charge-offs</v>
      </c>
      <c r="AF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73" spans="18:32" x14ac:dyDescent="0.2">
      <c r="R473" t="s">
        <v>17</v>
      </c>
      <c r="S473" t="s">
        <v>224</v>
      </c>
      <c r="T473" t="s">
        <v>445</v>
      </c>
      <c r="U473" s="21">
        <v>138878.01</v>
      </c>
      <c r="V473" s="21" t="s">
        <v>370</v>
      </c>
      <c r="W473" t="str">
        <f>VLOOKUP(Table_Query_from_Actuarial___Production[[#This Row],[Kor1]],$AI$3:$AK$105,3,FALSE)</f>
        <v>IBNR</v>
      </c>
      <c r="X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73"/>
      <c r="Z473" t="s">
        <v>14</v>
      </c>
      <c r="AA473" t="s">
        <v>245</v>
      </c>
      <c r="AB473" t="s">
        <v>433</v>
      </c>
      <c r="AC473" s="21">
        <v>155.85</v>
      </c>
      <c r="AD473" s="21" t="s">
        <v>368</v>
      </c>
      <c r="AE473" t="str">
        <f>VLOOKUP(Table_Query_from_Actuarial___Production3[[#This Row],[Kor1]],$AI$3:$AK$105,3,FALSE)</f>
        <v>Claims Expense</v>
      </c>
      <c r="AF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" spans="18:32" x14ac:dyDescent="0.2">
      <c r="R474" t="s">
        <v>13</v>
      </c>
      <c r="S474" t="s">
        <v>258</v>
      </c>
      <c r="T474" t="s">
        <v>443</v>
      </c>
      <c r="U474" s="21">
        <v>617490.16</v>
      </c>
      <c r="V474" s="21" t="s">
        <v>368</v>
      </c>
      <c r="W474" t="str">
        <f>VLOOKUP(Table_Query_from_Actuarial___Production[[#This Row],[Kor1]],$AI$3:$AK$105,3,FALSE)</f>
        <v>Operating Service Fees</v>
      </c>
      <c r="X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"/>
      <c r="Z474" t="s">
        <v>47</v>
      </c>
      <c r="AA474" t="s">
        <v>238</v>
      </c>
      <c r="AB474" t="s">
        <v>442</v>
      </c>
      <c r="AC474" s="21">
        <v>5616.71</v>
      </c>
      <c r="AD474" s="21" t="s">
        <v>368</v>
      </c>
      <c r="AE474" t="str">
        <f>VLOOKUP(Table_Query_from_Actuarial___Production3[[#This Row],[Kor1]],$AI$3:$AK$105,3,FALSE)</f>
        <v>Investment Income</v>
      </c>
      <c r="AF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" spans="18:32" x14ac:dyDescent="0.2">
      <c r="R475" t="s">
        <v>14</v>
      </c>
      <c r="S475" t="s">
        <v>266</v>
      </c>
      <c r="T475" t="s">
        <v>356</v>
      </c>
      <c r="U475" s="21">
        <v>25889.49</v>
      </c>
      <c r="V475" s="21" t="s">
        <v>368</v>
      </c>
      <c r="W475" t="str">
        <f>VLOOKUP(Table_Query_from_Actuarial___Production[[#This Row],[Kor1]],$AI$3:$AK$105,3,FALSE)</f>
        <v>Claims Expense</v>
      </c>
      <c r="X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"/>
      <c r="Z475" t="s">
        <v>47</v>
      </c>
      <c r="AA475" t="s">
        <v>234</v>
      </c>
      <c r="AB475" t="s">
        <v>356</v>
      </c>
      <c r="AC475" s="21">
        <v>2780.68</v>
      </c>
      <c r="AD475" s="21" t="s">
        <v>368</v>
      </c>
      <c r="AE475" t="str">
        <f>VLOOKUP(Table_Query_from_Actuarial___Production3[[#This Row],[Kor1]],$AI$3:$AK$105,3,FALSE)</f>
        <v>Investment Income</v>
      </c>
      <c r="AF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" spans="18:32" x14ac:dyDescent="0.2">
      <c r="R476" t="s">
        <v>20</v>
      </c>
      <c r="S476" t="s">
        <v>247</v>
      </c>
      <c r="T476" t="s">
        <v>8</v>
      </c>
      <c r="U476" s="21">
        <v>370.48</v>
      </c>
      <c r="V476" s="21" t="s">
        <v>368</v>
      </c>
      <c r="W476" t="str">
        <f>VLOOKUP(Table_Query_from_Actuarial___Production[[#This Row],[Kor1]],$AI$3:$AK$105,3,FALSE)</f>
        <v>Misc. Expense</v>
      </c>
      <c r="X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"/>
      <c r="Z476" t="s">
        <v>50</v>
      </c>
      <c r="AA476" t="s">
        <v>234</v>
      </c>
      <c r="AB476" t="s">
        <v>441</v>
      </c>
      <c r="AC476" s="21">
        <v>51488.5</v>
      </c>
      <c r="AD476" s="21" t="s">
        <v>368</v>
      </c>
      <c r="AE476" t="str">
        <f>VLOOKUP(Table_Query_from_Actuarial___Production3[[#This Row],[Kor1]],$AI$3:$AK$105,3,FALSE)</f>
        <v>ALAE Reserve</v>
      </c>
      <c r="AF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" spans="18:32" x14ac:dyDescent="0.2">
      <c r="R477" t="s">
        <v>14</v>
      </c>
      <c r="S477" t="s">
        <v>235</v>
      </c>
      <c r="T477" t="s">
        <v>7</v>
      </c>
      <c r="U477" s="21">
        <v>25472.02</v>
      </c>
      <c r="V477" s="21" t="s">
        <v>368</v>
      </c>
      <c r="W477" t="str">
        <f>VLOOKUP(Table_Query_from_Actuarial___Production[[#This Row],[Kor1]],$AI$3:$AK$105,3,FALSE)</f>
        <v>Claims Expense</v>
      </c>
      <c r="X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"/>
      <c r="Z477" t="s">
        <v>43</v>
      </c>
      <c r="AA477" t="s">
        <v>226</v>
      </c>
      <c r="AB477" t="s">
        <v>7</v>
      </c>
      <c r="AC477" s="21">
        <v>48491.91</v>
      </c>
      <c r="AD477" s="21" t="s">
        <v>368</v>
      </c>
      <c r="AE477" t="str">
        <f>VLOOKUP(Table_Query_from_Actuarial___Production3[[#This Row],[Kor1]],$AI$3:$AK$105,3,FALSE)</f>
        <v>Charge-offs</v>
      </c>
      <c r="AF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78" spans="18:32" x14ac:dyDescent="0.2">
      <c r="R478" t="s">
        <v>14</v>
      </c>
      <c r="S478" t="s">
        <v>246</v>
      </c>
      <c r="T478" t="s">
        <v>356</v>
      </c>
      <c r="U478" s="21">
        <v>100851.52</v>
      </c>
      <c r="V478" s="21" t="s">
        <v>368</v>
      </c>
      <c r="W478" t="str">
        <f>VLOOKUP(Table_Query_from_Actuarial___Production[[#This Row],[Kor1]],$AI$3:$AK$105,3,FALSE)</f>
        <v>Claims Expense</v>
      </c>
      <c r="X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"/>
      <c r="Z478" t="s">
        <v>44</v>
      </c>
      <c r="AA478" t="s">
        <v>224</v>
      </c>
      <c r="AB478" t="s">
        <v>433</v>
      </c>
      <c r="AC478" s="21">
        <v>387.26</v>
      </c>
      <c r="AD478" s="21" t="s">
        <v>368</v>
      </c>
      <c r="AE478" t="str">
        <f>VLOOKUP(Table_Query_from_Actuarial___Production3[[#This Row],[Kor1]],$AI$3:$AK$105,3,FALSE)</f>
        <v>Charge-offs</v>
      </c>
      <c r="AF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79" spans="18:32" x14ac:dyDescent="0.2">
      <c r="R479" t="s">
        <v>39</v>
      </c>
      <c r="S479" t="s">
        <v>227</v>
      </c>
      <c r="T479" t="s">
        <v>7</v>
      </c>
      <c r="U479" s="21">
        <v>40</v>
      </c>
      <c r="V479" s="21" t="s">
        <v>368</v>
      </c>
      <c r="W479" t="str">
        <f>VLOOKUP(Table_Query_from_Actuarial___Production[[#This Row],[Kor1]],$AI$3:$AK$105,3,FALSE)</f>
        <v>Misc. Income for Insolvent Companies</v>
      </c>
      <c r="X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"/>
      <c r="Z479" t="s">
        <v>3</v>
      </c>
      <c r="AA479" t="s">
        <v>259</v>
      </c>
      <c r="AB479" t="s">
        <v>351</v>
      </c>
      <c r="AC479" s="21">
        <v>1279270</v>
      </c>
      <c r="AD479" s="21" t="s">
        <v>368</v>
      </c>
      <c r="AE479" t="str">
        <f>VLOOKUP(Table_Query_from_Actuarial___Production3[[#This Row],[Kor1]],$AI$3:$AK$105,3,FALSE)</f>
        <v>Premiums Written</v>
      </c>
      <c r="AF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" spans="18:32" x14ac:dyDescent="0.2">
      <c r="R480" t="s">
        <v>41</v>
      </c>
      <c r="S480" t="s">
        <v>255</v>
      </c>
      <c r="T480" t="s">
        <v>443</v>
      </c>
      <c r="U480" s="21">
        <v>350</v>
      </c>
      <c r="V480" s="21" t="s">
        <v>368</v>
      </c>
      <c r="W480" t="str">
        <f>VLOOKUP(Table_Query_from_Actuarial___Production[[#This Row],[Kor1]],$AI$3:$AK$105,3,FALSE)</f>
        <v>Misc. Income</v>
      </c>
      <c r="X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"/>
      <c r="Z480" t="s">
        <v>10</v>
      </c>
      <c r="AA480" t="s">
        <v>263</v>
      </c>
      <c r="AB480" t="s">
        <v>441</v>
      </c>
      <c r="AC480" s="21">
        <v>43529.1</v>
      </c>
      <c r="AD480" s="21" t="s">
        <v>368</v>
      </c>
      <c r="AE480" t="str">
        <f>VLOOKUP(Table_Query_from_Actuarial___Production3[[#This Row],[Kor1]],$AI$3:$AK$105,3,FALSE)</f>
        <v>Commissions</v>
      </c>
      <c r="AF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" spans="18:32" x14ac:dyDescent="0.2">
      <c r="R481" t="s">
        <v>36</v>
      </c>
      <c r="S481" t="s">
        <v>234</v>
      </c>
      <c r="T481" t="s">
        <v>351</v>
      </c>
      <c r="U481" s="21">
        <v>332.99</v>
      </c>
      <c r="V481" s="21" t="s">
        <v>368</v>
      </c>
      <c r="W481" t="str">
        <f>VLOOKUP(Table_Query_from_Actuarial___Production[[#This Row],[Kor1]],$AI$3:$AK$105,3,FALSE)</f>
        <v>Misc. Expense</v>
      </c>
      <c r="X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"/>
      <c r="Z481" t="s">
        <v>11</v>
      </c>
      <c r="AA481" t="s">
        <v>249</v>
      </c>
      <c r="AB481" t="s">
        <v>441</v>
      </c>
      <c r="AC481" s="21">
        <v>122951.63</v>
      </c>
      <c r="AD481" s="21" t="s">
        <v>368</v>
      </c>
      <c r="AE481" t="str">
        <f>VLOOKUP(Table_Query_from_Actuarial___Production3[[#This Row],[Kor1]],$AI$3:$AK$105,3,FALSE)</f>
        <v>Losses Paid</v>
      </c>
      <c r="AF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" spans="18:32" x14ac:dyDescent="0.2">
      <c r="R482" t="s">
        <v>3</v>
      </c>
      <c r="S482" t="s">
        <v>226</v>
      </c>
      <c r="T482" t="s">
        <v>442</v>
      </c>
      <c r="U482" s="21">
        <v>5232795</v>
      </c>
      <c r="V482" s="21" t="s">
        <v>368</v>
      </c>
      <c r="W482" t="str">
        <f>VLOOKUP(Table_Query_from_Actuarial___Production[[#This Row],[Kor1]],$AI$3:$AK$105,3,FALSE)</f>
        <v>Premiums Written</v>
      </c>
      <c r="X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82"/>
      <c r="Z482" t="s">
        <v>39</v>
      </c>
      <c r="AA482" t="s">
        <v>253</v>
      </c>
      <c r="AB482" t="s">
        <v>351</v>
      </c>
      <c r="AC482" s="21">
        <v>20</v>
      </c>
      <c r="AD482" s="21" t="s">
        <v>368</v>
      </c>
      <c r="AE482" t="str">
        <f>VLOOKUP(Table_Query_from_Actuarial___Production3[[#This Row],[Kor1]],$AI$3:$AK$105,3,FALSE)</f>
        <v>Misc. Income for Insolvent Companies</v>
      </c>
      <c r="AF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" spans="18:32" x14ac:dyDescent="0.2">
      <c r="R483" t="s">
        <v>31</v>
      </c>
      <c r="S483" t="s">
        <v>260</v>
      </c>
      <c r="T483" t="s">
        <v>356</v>
      </c>
      <c r="U483" s="21">
        <v>816.02</v>
      </c>
      <c r="V483" s="21" t="s">
        <v>368</v>
      </c>
      <c r="W483" t="str">
        <f>VLOOKUP(Table_Query_from_Actuarial___Production[[#This Row],[Kor1]],$AI$3:$AK$105,3,FALSE)</f>
        <v>Misc. Expense</v>
      </c>
      <c r="X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"/>
      <c r="Z483" t="s">
        <v>37</v>
      </c>
      <c r="AA483" t="s">
        <v>230</v>
      </c>
      <c r="AB483" t="s">
        <v>351</v>
      </c>
      <c r="AC483" s="21">
        <v>88245.25</v>
      </c>
      <c r="AD483" s="21" t="s">
        <v>368</v>
      </c>
      <c r="AE483" t="str">
        <f>VLOOKUP(Table_Query_from_Actuarial___Production3[[#This Row],[Kor1]],$AI$3:$AK$105,3,FALSE)</f>
        <v>Misc. Expense</v>
      </c>
      <c r="AF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" spans="18:32" x14ac:dyDescent="0.2">
      <c r="R484" t="s">
        <v>25</v>
      </c>
      <c r="S484" t="s">
        <v>4</v>
      </c>
      <c r="T484" t="s">
        <v>7</v>
      </c>
      <c r="U484" s="21">
        <v>14950.01</v>
      </c>
      <c r="V484" s="21" t="s">
        <v>368</v>
      </c>
      <c r="W484" t="str">
        <f>VLOOKUP(Table_Query_from_Actuarial___Production[[#This Row],[Kor1]],$AI$3:$AK$105,3,FALSE)</f>
        <v>Misc. Expense</v>
      </c>
      <c r="X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"/>
      <c r="Z484" t="s">
        <v>11</v>
      </c>
      <c r="AA484" t="s">
        <v>264</v>
      </c>
      <c r="AB484" t="s">
        <v>351</v>
      </c>
      <c r="AC484" s="21">
        <v>1055614.8700000001</v>
      </c>
      <c r="AD484" s="21" t="s">
        <v>368</v>
      </c>
      <c r="AE484" t="str">
        <f>VLOOKUP(Table_Query_from_Actuarial___Production3[[#This Row],[Kor1]],$AI$3:$AK$105,3,FALSE)</f>
        <v>Losses Paid</v>
      </c>
      <c r="AF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" spans="18:32" x14ac:dyDescent="0.2">
      <c r="R485" t="s">
        <v>40</v>
      </c>
      <c r="S485" t="s">
        <v>264</v>
      </c>
      <c r="T485" t="s">
        <v>9</v>
      </c>
      <c r="U485" s="21">
        <v>76.040000000000006</v>
      </c>
      <c r="V485" s="21" t="s">
        <v>368</v>
      </c>
      <c r="W485" t="str">
        <f>VLOOKUP(Table_Query_from_Actuarial___Production[[#This Row],[Kor1]],$AI$3:$AK$105,3,FALSE)</f>
        <v>Misc. Income</v>
      </c>
      <c r="X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"/>
      <c r="Z485" t="s">
        <v>14</v>
      </c>
      <c r="AA485" t="s">
        <v>255</v>
      </c>
      <c r="AB485" t="s">
        <v>6</v>
      </c>
      <c r="AC485" s="21">
        <v>7965</v>
      </c>
      <c r="AD485" s="21" t="s">
        <v>368</v>
      </c>
      <c r="AE485" t="str">
        <f>VLOOKUP(Table_Query_from_Actuarial___Production3[[#This Row],[Kor1]],$AI$3:$AK$105,3,FALSE)</f>
        <v>Claims Expense</v>
      </c>
      <c r="AF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" spans="18:32" x14ac:dyDescent="0.2">
      <c r="R486" t="s">
        <v>48</v>
      </c>
      <c r="S486" t="s">
        <v>247</v>
      </c>
      <c r="T486" t="s">
        <v>441</v>
      </c>
      <c r="U486" s="21">
        <v>1.67</v>
      </c>
      <c r="V486" s="21" t="s">
        <v>368</v>
      </c>
      <c r="W486" t="str">
        <f>VLOOKUP(Table_Query_from_Actuarial___Production[[#This Row],[Kor1]],$AI$3:$AK$105,3,FALSE)</f>
        <v>Anticipated Salvage</v>
      </c>
      <c r="X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"/>
      <c r="Z486" t="s">
        <v>16</v>
      </c>
      <c r="AA486" t="s">
        <v>225</v>
      </c>
      <c r="AB486" t="s">
        <v>7</v>
      </c>
      <c r="AC486" s="21">
        <v>2</v>
      </c>
      <c r="AD486" s="21" t="s">
        <v>369</v>
      </c>
      <c r="AE486" t="str">
        <f>VLOOKUP(Table_Query_from_Actuarial___Production3[[#This Row],[Kor1]],$AI$3:$AK$105,3,FALSE)</f>
        <v>Losses Outstanding</v>
      </c>
      <c r="AF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87" spans="18:32" x14ac:dyDescent="0.2">
      <c r="R487" t="s">
        <v>17</v>
      </c>
      <c r="S487" t="s">
        <v>224</v>
      </c>
      <c r="T487" t="s">
        <v>442</v>
      </c>
      <c r="U487" s="21">
        <v>35188.18</v>
      </c>
      <c r="V487" s="21" t="s">
        <v>368</v>
      </c>
      <c r="W487" t="str">
        <f>VLOOKUP(Table_Query_from_Actuarial___Production[[#This Row],[Kor1]],$AI$3:$AK$105,3,FALSE)</f>
        <v>IBNR</v>
      </c>
      <c r="X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87"/>
      <c r="Z487" t="s">
        <v>46</v>
      </c>
      <c r="AA487" t="s">
        <v>225</v>
      </c>
      <c r="AB487" t="s">
        <v>443</v>
      </c>
      <c r="AC487" s="21">
        <v>10368.879999999999</v>
      </c>
      <c r="AD487" s="21" t="s">
        <v>368</v>
      </c>
      <c r="AE487" t="str">
        <f>VLOOKUP(Table_Query_from_Actuarial___Production3[[#This Row],[Kor1]],$AI$3:$AK$105,3,FALSE)</f>
        <v>Investment Income</v>
      </c>
      <c r="AF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88" spans="18:32" x14ac:dyDescent="0.2">
      <c r="R488" t="s">
        <v>12</v>
      </c>
      <c r="S488" t="s">
        <v>251</v>
      </c>
      <c r="T488" t="s">
        <v>441</v>
      </c>
      <c r="U488" s="21">
        <v>22087.98</v>
      </c>
      <c r="V488" s="21" t="s">
        <v>368</v>
      </c>
      <c r="W488" t="str">
        <f>VLOOKUP(Table_Query_from_Actuarial___Production[[#This Row],[Kor1]],$AI$3:$AK$105,3,FALSE)</f>
        <v>Premium Tax</v>
      </c>
      <c r="X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"/>
      <c r="Z488" t="s">
        <v>3</v>
      </c>
      <c r="AA488" t="s">
        <v>267</v>
      </c>
      <c r="AB488" t="s">
        <v>427</v>
      </c>
      <c r="AC488" s="21">
        <v>412188</v>
      </c>
      <c r="AD488" s="21" t="s">
        <v>368</v>
      </c>
      <c r="AE488" t="str">
        <f>VLOOKUP(Table_Query_from_Actuarial___Production3[[#This Row],[Kor1]],$AI$3:$AK$105,3,FALSE)</f>
        <v>Premiums Written</v>
      </c>
      <c r="AF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" spans="18:32" x14ac:dyDescent="0.2">
      <c r="R489" t="s">
        <v>39</v>
      </c>
      <c r="S489" t="s">
        <v>238</v>
      </c>
      <c r="T489" t="s">
        <v>441</v>
      </c>
      <c r="U489" s="21">
        <v>352.52</v>
      </c>
      <c r="V489" s="21" t="s">
        <v>368</v>
      </c>
      <c r="W489" t="str">
        <f>VLOOKUP(Table_Query_from_Actuarial___Production[[#This Row],[Kor1]],$AI$3:$AK$105,3,FALSE)</f>
        <v>Misc. Income for Insolvent Companies</v>
      </c>
      <c r="X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"/>
      <c r="Z489" t="s">
        <v>10</v>
      </c>
      <c r="AA489" t="s">
        <v>239</v>
      </c>
      <c r="AB489" t="s">
        <v>433</v>
      </c>
      <c r="AC489" s="21">
        <v>450682</v>
      </c>
      <c r="AD489" s="21" t="s">
        <v>368</v>
      </c>
      <c r="AE489" t="str">
        <f>VLOOKUP(Table_Query_from_Actuarial___Production3[[#This Row],[Kor1]],$AI$3:$AK$105,3,FALSE)</f>
        <v>Commissions</v>
      </c>
      <c r="AF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" spans="18:32" x14ac:dyDescent="0.2">
      <c r="R490" t="s">
        <v>3</v>
      </c>
      <c r="S490" t="s">
        <v>229</v>
      </c>
      <c r="T490" t="s">
        <v>6</v>
      </c>
      <c r="U490" s="21">
        <v>25060</v>
      </c>
      <c r="V490" s="21" t="s">
        <v>368</v>
      </c>
      <c r="W490" t="str">
        <f>VLOOKUP(Table_Query_from_Actuarial___Production[[#This Row],[Kor1]],$AI$3:$AK$105,3,FALSE)</f>
        <v>Premiums Written</v>
      </c>
      <c r="X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"/>
      <c r="Z490" t="s">
        <v>39</v>
      </c>
      <c r="AA490" t="s">
        <v>232</v>
      </c>
      <c r="AB490" t="s">
        <v>5</v>
      </c>
      <c r="AC490" s="21">
        <v>1128.1300000000001</v>
      </c>
      <c r="AD490" s="21" t="s">
        <v>368</v>
      </c>
      <c r="AE490" t="str">
        <f>VLOOKUP(Table_Query_from_Actuarial___Production3[[#This Row],[Kor1]],$AI$3:$AK$105,3,FALSE)</f>
        <v>Misc. Income for Insolvent Companies</v>
      </c>
      <c r="AF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" spans="18:32" x14ac:dyDescent="0.2">
      <c r="R491" t="s">
        <v>44</v>
      </c>
      <c r="S491" t="s">
        <v>234</v>
      </c>
      <c r="T491" t="s">
        <v>427</v>
      </c>
      <c r="U491" s="21">
        <v>94719.1</v>
      </c>
      <c r="V491" s="21" t="s">
        <v>368</v>
      </c>
      <c r="W491" t="str">
        <f>VLOOKUP(Table_Query_from_Actuarial___Production[[#This Row],[Kor1]],$AI$3:$AK$105,3,FALSE)</f>
        <v>Charge-offs</v>
      </c>
      <c r="X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"/>
      <c r="Z491" t="s">
        <v>21</v>
      </c>
      <c r="AA491" t="s">
        <v>239</v>
      </c>
      <c r="AB491" t="s">
        <v>356</v>
      </c>
      <c r="AC491" s="21">
        <v>349</v>
      </c>
      <c r="AD491" s="21" t="s">
        <v>368</v>
      </c>
      <c r="AE491" t="str">
        <f>VLOOKUP(Table_Query_from_Actuarial___Production3[[#This Row],[Kor1]],$AI$3:$AK$105,3,FALSE)</f>
        <v>Misc. Expense</v>
      </c>
      <c r="AF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" spans="18:32" x14ac:dyDescent="0.2">
      <c r="R492" t="s">
        <v>14</v>
      </c>
      <c r="S492" t="s">
        <v>244</v>
      </c>
      <c r="T492" t="s">
        <v>445</v>
      </c>
      <c r="U492" s="21">
        <v>27004.69</v>
      </c>
      <c r="V492" s="21" t="s">
        <v>368</v>
      </c>
      <c r="W492" t="str">
        <f>VLOOKUP(Table_Query_from_Actuarial___Production[[#This Row],[Kor1]],$AI$3:$AK$105,3,FALSE)</f>
        <v>Claims Expense</v>
      </c>
      <c r="X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"/>
      <c r="Z492" t="s">
        <v>47</v>
      </c>
      <c r="AA492" t="s">
        <v>242</v>
      </c>
      <c r="AB492" t="s">
        <v>9</v>
      </c>
      <c r="AC492" s="21">
        <v>435.25</v>
      </c>
      <c r="AD492" s="21" t="s">
        <v>368</v>
      </c>
      <c r="AE492" t="str">
        <f>VLOOKUP(Table_Query_from_Actuarial___Production3[[#This Row],[Kor1]],$AI$3:$AK$105,3,FALSE)</f>
        <v>Investment Income</v>
      </c>
      <c r="AF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" spans="18:32" x14ac:dyDescent="0.2">
      <c r="R493" t="s">
        <v>48</v>
      </c>
      <c r="S493" t="s">
        <v>225</v>
      </c>
      <c r="T493" t="s">
        <v>443</v>
      </c>
      <c r="U493" s="21">
        <v>11955.04</v>
      </c>
      <c r="V493" s="21" t="s">
        <v>369</v>
      </c>
      <c r="W493" t="str">
        <f>VLOOKUP(Table_Query_from_Actuarial___Production[[#This Row],[Kor1]],$AI$3:$AK$105,3,FALSE)</f>
        <v>Anticipated Salvage</v>
      </c>
      <c r="X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93"/>
      <c r="Z493" t="s">
        <v>38</v>
      </c>
      <c r="AA493" t="s">
        <v>224</v>
      </c>
      <c r="AB493" t="s">
        <v>8</v>
      </c>
      <c r="AC493" s="21">
        <v>673942.78</v>
      </c>
      <c r="AD493" s="21" t="s">
        <v>370</v>
      </c>
      <c r="AE493" t="str">
        <f>VLOOKUP(Table_Query_from_Actuarial___Production3[[#This Row],[Kor1]],$AI$3:$AK$105,3,FALSE)</f>
        <v>Misc. Income</v>
      </c>
      <c r="AF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94" spans="18:32" x14ac:dyDescent="0.2">
      <c r="R494" t="s">
        <v>31</v>
      </c>
      <c r="S494" t="s">
        <v>249</v>
      </c>
      <c r="T494" t="s">
        <v>8</v>
      </c>
      <c r="U494" s="21">
        <v>19566.150000000001</v>
      </c>
      <c r="V494" s="21" t="s">
        <v>368</v>
      </c>
      <c r="W494" t="str">
        <f>VLOOKUP(Table_Query_from_Actuarial___Production[[#This Row],[Kor1]],$AI$3:$AK$105,3,FALSE)</f>
        <v>Misc. Expense</v>
      </c>
      <c r="X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"/>
      <c r="Z494" t="s">
        <v>31</v>
      </c>
      <c r="AA494" t="s">
        <v>243</v>
      </c>
      <c r="AB494" t="s">
        <v>443</v>
      </c>
      <c r="AC494" s="21">
        <v>624.92999999999995</v>
      </c>
      <c r="AD494" s="21" t="s">
        <v>368</v>
      </c>
      <c r="AE494" t="str">
        <f>VLOOKUP(Table_Query_from_Actuarial___Production3[[#This Row],[Kor1]],$AI$3:$AK$105,3,FALSE)</f>
        <v>Misc. Expense</v>
      </c>
      <c r="AF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" spans="18:32" x14ac:dyDescent="0.2">
      <c r="R495" t="s">
        <v>44</v>
      </c>
      <c r="S495" t="s">
        <v>244</v>
      </c>
      <c r="T495" t="s">
        <v>433</v>
      </c>
      <c r="U495" s="21">
        <v>31380.6</v>
      </c>
      <c r="V495" s="21" t="s">
        <v>368</v>
      </c>
      <c r="W495" t="str">
        <f>VLOOKUP(Table_Query_from_Actuarial___Production[[#This Row],[Kor1]],$AI$3:$AK$105,3,FALSE)</f>
        <v>Charge-offs</v>
      </c>
      <c r="X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"/>
      <c r="Z495" t="s">
        <v>13</v>
      </c>
      <c r="AA495" t="s">
        <v>258</v>
      </c>
      <c r="AB495" t="s">
        <v>443</v>
      </c>
      <c r="AC495" s="21">
        <v>219285.23</v>
      </c>
      <c r="AD495" s="21" t="s">
        <v>368</v>
      </c>
      <c r="AE495" t="str">
        <f>VLOOKUP(Table_Query_from_Actuarial___Production3[[#This Row],[Kor1]],$AI$3:$AK$105,3,FALSE)</f>
        <v>Operating Service Fees</v>
      </c>
      <c r="AF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" spans="18:32" x14ac:dyDescent="0.2">
      <c r="R496" t="s">
        <v>47</v>
      </c>
      <c r="S496" t="s">
        <v>267</v>
      </c>
      <c r="T496" t="s">
        <v>427</v>
      </c>
      <c r="U496" s="21">
        <v>2305.2199999999998</v>
      </c>
      <c r="V496" s="21" t="s">
        <v>368</v>
      </c>
      <c r="W496" t="str">
        <f>VLOOKUP(Table_Query_from_Actuarial___Production[[#This Row],[Kor1]],$AI$3:$AK$105,3,FALSE)</f>
        <v>Investment Income</v>
      </c>
      <c r="X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"/>
      <c r="Z496" t="s">
        <v>14</v>
      </c>
      <c r="AA496" t="s">
        <v>266</v>
      </c>
      <c r="AB496" t="s">
        <v>356</v>
      </c>
      <c r="AC496" s="21">
        <v>25889.49</v>
      </c>
      <c r="AD496" s="21" t="s">
        <v>368</v>
      </c>
      <c r="AE496" t="str">
        <f>VLOOKUP(Table_Query_from_Actuarial___Production3[[#This Row],[Kor1]],$AI$3:$AK$105,3,FALSE)</f>
        <v>Claims Expense</v>
      </c>
      <c r="AF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" spans="18:32" x14ac:dyDescent="0.2">
      <c r="R497" t="s">
        <v>44</v>
      </c>
      <c r="S497" t="s">
        <v>225</v>
      </c>
      <c r="T497" t="s">
        <v>427</v>
      </c>
      <c r="U497" s="21">
        <v>12945.46</v>
      </c>
      <c r="V497" s="21" t="s">
        <v>369</v>
      </c>
      <c r="W497" t="str">
        <f>VLOOKUP(Table_Query_from_Actuarial___Production[[#This Row],[Kor1]],$AI$3:$AK$105,3,FALSE)</f>
        <v>Charge-offs</v>
      </c>
      <c r="X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97"/>
      <c r="Z497" t="s">
        <v>20</v>
      </c>
      <c r="AA497" t="s">
        <v>247</v>
      </c>
      <c r="AB497" t="s">
        <v>8</v>
      </c>
      <c r="AC497" s="21">
        <v>370.48</v>
      </c>
      <c r="AD497" s="21" t="s">
        <v>368</v>
      </c>
      <c r="AE497" t="str">
        <f>VLOOKUP(Table_Query_from_Actuarial___Production3[[#This Row],[Kor1]],$AI$3:$AK$105,3,FALSE)</f>
        <v>Misc. Expense</v>
      </c>
      <c r="AF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" spans="18:32" x14ac:dyDescent="0.2">
      <c r="R498" t="s">
        <v>20</v>
      </c>
      <c r="S498" t="s">
        <v>257</v>
      </c>
      <c r="T498" t="s">
        <v>442</v>
      </c>
      <c r="U498" s="21">
        <v>357.47</v>
      </c>
      <c r="V498" s="21" t="s">
        <v>368</v>
      </c>
      <c r="W498" t="str">
        <f>VLOOKUP(Table_Query_from_Actuarial___Production[[#This Row],[Kor1]],$AI$3:$AK$105,3,FALSE)</f>
        <v>Misc. Expense</v>
      </c>
      <c r="X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"/>
      <c r="Z498" t="s">
        <v>14</v>
      </c>
      <c r="AA498" t="s">
        <v>235</v>
      </c>
      <c r="AB498" t="s">
        <v>7</v>
      </c>
      <c r="AC498" s="21">
        <v>25472.02</v>
      </c>
      <c r="AD498" s="21" t="s">
        <v>368</v>
      </c>
      <c r="AE498" t="str">
        <f>VLOOKUP(Table_Query_from_Actuarial___Production3[[#This Row],[Kor1]],$AI$3:$AK$105,3,FALSE)</f>
        <v>Claims Expense</v>
      </c>
      <c r="AF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" spans="18:32" x14ac:dyDescent="0.2">
      <c r="R499" t="s">
        <v>10</v>
      </c>
      <c r="S499" t="s">
        <v>263</v>
      </c>
      <c r="T499" t="s">
        <v>351</v>
      </c>
      <c r="U499" s="21">
        <v>29555.07</v>
      </c>
      <c r="V499" s="21" t="s">
        <v>368</v>
      </c>
      <c r="W499" t="str">
        <f>VLOOKUP(Table_Query_from_Actuarial___Production[[#This Row],[Kor1]],$AI$3:$AK$105,3,FALSE)</f>
        <v>Commissions</v>
      </c>
      <c r="X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"/>
      <c r="Z499" t="s">
        <v>14</v>
      </c>
      <c r="AA499" t="s">
        <v>246</v>
      </c>
      <c r="AB499" t="s">
        <v>356</v>
      </c>
      <c r="AC499" s="21">
        <v>100851.52</v>
      </c>
      <c r="AD499" s="21" t="s">
        <v>368</v>
      </c>
      <c r="AE499" t="str">
        <f>VLOOKUP(Table_Query_from_Actuarial___Production3[[#This Row],[Kor1]],$AI$3:$AK$105,3,FALSE)</f>
        <v>Claims Expense</v>
      </c>
      <c r="AF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" spans="18:32" x14ac:dyDescent="0.2">
      <c r="R500" t="s">
        <v>13</v>
      </c>
      <c r="S500" t="s">
        <v>259</v>
      </c>
      <c r="T500" t="s">
        <v>442</v>
      </c>
      <c r="U500" s="21">
        <v>9960.25</v>
      </c>
      <c r="V500" s="21" t="s">
        <v>368</v>
      </c>
      <c r="W500" t="str">
        <f>VLOOKUP(Table_Query_from_Actuarial___Production[[#This Row],[Kor1]],$AI$3:$AK$105,3,FALSE)</f>
        <v>Operating Service Fees</v>
      </c>
      <c r="X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"/>
      <c r="Z500" t="s">
        <v>39</v>
      </c>
      <c r="AA500" t="s">
        <v>227</v>
      </c>
      <c r="AB500" t="s">
        <v>7</v>
      </c>
      <c r="AC500" s="21">
        <v>40</v>
      </c>
      <c r="AD500" s="21" t="s">
        <v>368</v>
      </c>
      <c r="AE500" t="str">
        <f>VLOOKUP(Table_Query_from_Actuarial___Production3[[#This Row],[Kor1]],$AI$3:$AK$105,3,FALSE)</f>
        <v>Misc. Income for Insolvent Companies</v>
      </c>
      <c r="AF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" spans="18:32" x14ac:dyDescent="0.2">
      <c r="R501" t="s">
        <v>14</v>
      </c>
      <c r="S501" t="s">
        <v>265</v>
      </c>
      <c r="T501" t="s">
        <v>9</v>
      </c>
      <c r="U501" s="21">
        <v>37195.08</v>
      </c>
      <c r="V501" s="21" t="s">
        <v>368</v>
      </c>
      <c r="W501" t="str">
        <f>VLOOKUP(Table_Query_from_Actuarial___Production[[#This Row],[Kor1]],$AI$3:$AK$105,3,FALSE)</f>
        <v>Claims Expense</v>
      </c>
      <c r="X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"/>
      <c r="Z501" t="s">
        <v>41</v>
      </c>
      <c r="AA501" t="s">
        <v>255</v>
      </c>
      <c r="AB501" t="s">
        <v>443</v>
      </c>
      <c r="AC501" s="21">
        <v>250</v>
      </c>
      <c r="AD501" s="21" t="s">
        <v>368</v>
      </c>
      <c r="AE501" t="str">
        <f>VLOOKUP(Table_Query_from_Actuarial___Production3[[#This Row],[Kor1]],$AI$3:$AK$105,3,FALSE)</f>
        <v>Misc. Income</v>
      </c>
      <c r="AF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" spans="18:32" x14ac:dyDescent="0.2">
      <c r="R502" t="s">
        <v>11</v>
      </c>
      <c r="S502" t="s">
        <v>352</v>
      </c>
      <c r="T502" t="s">
        <v>6</v>
      </c>
      <c r="U502" s="21">
        <v>4390.21</v>
      </c>
      <c r="V502" s="21" t="s">
        <v>368</v>
      </c>
      <c r="W502" t="str">
        <f>VLOOKUP(Table_Query_from_Actuarial___Production[[#This Row],[Kor1]],$AI$3:$AK$105,3,FALSE)</f>
        <v>Losses Paid</v>
      </c>
      <c r="X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02"/>
      <c r="Z502" t="s">
        <v>36</v>
      </c>
      <c r="AA502" t="s">
        <v>234</v>
      </c>
      <c r="AB502" t="s">
        <v>351</v>
      </c>
      <c r="AC502" s="21">
        <v>332.99</v>
      </c>
      <c r="AD502" s="21" t="s">
        <v>368</v>
      </c>
      <c r="AE502" t="str">
        <f>VLOOKUP(Table_Query_from_Actuarial___Production3[[#This Row],[Kor1]],$AI$3:$AK$105,3,FALSE)</f>
        <v>Misc. Expense</v>
      </c>
      <c r="AF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" spans="18:32" x14ac:dyDescent="0.2">
      <c r="R503" t="s">
        <v>25</v>
      </c>
      <c r="S503" t="s">
        <v>250</v>
      </c>
      <c r="T503" t="s">
        <v>442</v>
      </c>
      <c r="U503" s="21">
        <v>362.53</v>
      </c>
      <c r="V503" s="21" t="s">
        <v>368</v>
      </c>
      <c r="W503" t="str">
        <f>VLOOKUP(Table_Query_from_Actuarial___Production[[#This Row],[Kor1]],$AI$3:$AK$105,3,FALSE)</f>
        <v>Misc. Expense</v>
      </c>
      <c r="X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"/>
      <c r="Z503" t="s">
        <v>47</v>
      </c>
      <c r="AA503" t="s">
        <v>261</v>
      </c>
      <c r="AB503" t="s">
        <v>5</v>
      </c>
      <c r="AC503" s="21">
        <v>6.18</v>
      </c>
      <c r="AD503" s="21" t="s">
        <v>368</v>
      </c>
      <c r="AE503" t="str">
        <f>VLOOKUP(Table_Query_from_Actuarial___Production3[[#This Row],[Kor1]],$AI$3:$AK$105,3,FALSE)</f>
        <v>Investment Income</v>
      </c>
      <c r="AF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" spans="18:32" x14ac:dyDescent="0.2">
      <c r="R504" t="s">
        <v>107</v>
      </c>
      <c r="S504" t="s">
        <v>259</v>
      </c>
      <c r="T504" t="s">
        <v>6</v>
      </c>
      <c r="U504" s="21">
        <v>137.15</v>
      </c>
      <c r="V504" s="21" t="s">
        <v>368</v>
      </c>
      <c r="W504" t="str">
        <f>VLOOKUP(Table_Query_from_Actuarial___Production[[#This Row],[Kor1]],$AI$3:$AK$105,3,FALSE)</f>
        <v>Misc. Expense</v>
      </c>
      <c r="X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"/>
      <c r="Z504" t="s">
        <v>3</v>
      </c>
      <c r="AA504" t="s">
        <v>226</v>
      </c>
      <c r="AB504" t="s">
        <v>442</v>
      </c>
      <c r="AC504" s="21">
        <v>5235615</v>
      </c>
      <c r="AD504" s="21" t="s">
        <v>368</v>
      </c>
      <c r="AE504" t="str">
        <f>VLOOKUP(Table_Query_from_Actuarial___Production3[[#This Row],[Kor1]],$AI$3:$AK$105,3,FALSE)</f>
        <v>Premiums Written</v>
      </c>
      <c r="AF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05" spans="18:32" x14ac:dyDescent="0.2">
      <c r="R505" t="s">
        <v>13</v>
      </c>
      <c r="S505" t="s">
        <v>257</v>
      </c>
      <c r="T505" t="s">
        <v>351</v>
      </c>
      <c r="U505" s="21">
        <v>204620.48</v>
      </c>
      <c r="V505" s="21" t="s">
        <v>368</v>
      </c>
      <c r="W505" t="str">
        <f>VLOOKUP(Table_Query_from_Actuarial___Production[[#This Row],[Kor1]],$AI$3:$AK$105,3,FALSE)</f>
        <v>Operating Service Fees</v>
      </c>
      <c r="X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"/>
      <c r="Z505" t="s">
        <v>31</v>
      </c>
      <c r="AA505" t="s">
        <v>260</v>
      </c>
      <c r="AB505" t="s">
        <v>356</v>
      </c>
      <c r="AC505" s="21">
        <v>816.02</v>
      </c>
      <c r="AD505" s="21" t="s">
        <v>368</v>
      </c>
      <c r="AE505" t="str">
        <f>VLOOKUP(Table_Query_from_Actuarial___Production3[[#This Row],[Kor1]],$AI$3:$AK$105,3,FALSE)</f>
        <v>Misc. Expense</v>
      </c>
      <c r="AF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" spans="18:32" x14ac:dyDescent="0.2">
      <c r="R506" t="s">
        <v>47</v>
      </c>
      <c r="S506" t="s">
        <v>232</v>
      </c>
      <c r="T506" t="s">
        <v>7</v>
      </c>
      <c r="U506" s="21">
        <v>0.06</v>
      </c>
      <c r="V506" s="21" t="s">
        <v>368</v>
      </c>
      <c r="W506" t="str">
        <f>VLOOKUP(Table_Query_from_Actuarial___Production[[#This Row],[Kor1]],$AI$3:$AK$105,3,FALSE)</f>
        <v>Investment Income</v>
      </c>
      <c r="X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"/>
      <c r="Z506" t="s">
        <v>25</v>
      </c>
      <c r="AA506" t="s">
        <v>4</v>
      </c>
      <c r="AB506" t="s">
        <v>7</v>
      </c>
      <c r="AC506" s="21">
        <v>14950.01</v>
      </c>
      <c r="AD506" s="21" t="s">
        <v>368</v>
      </c>
      <c r="AE506" t="str">
        <f>VLOOKUP(Table_Query_from_Actuarial___Production3[[#This Row],[Kor1]],$AI$3:$AK$105,3,FALSE)</f>
        <v>Misc. Expense</v>
      </c>
      <c r="AF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" spans="18:32" x14ac:dyDescent="0.2">
      <c r="R507" t="s">
        <v>13</v>
      </c>
      <c r="S507" t="s">
        <v>261</v>
      </c>
      <c r="T507" t="s">
        <v>6</v>
      </c>
      <c r="U507" s="21">
        <v>128530.71</v>
      </c>
      <c r="V507" s="21" t="s">
        <v>368</v>
      </c>
      <c r="W507" t="str">
        <f>VLOOKUP(Table_Query_from_Actuarial___Production[[#This Row],[Kor1]],$AI$3:$AK$105,3,FALSE)</f>
        <v>Operating Service Fees</v>
      </c>
      <c r="X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"/>
      <c r="Z507" t="s">
        <v>40</v>
      </c>
      <c r="AA507" t="s">
        <v>264</v>
      </c>
      <c r="AB507" t="s">
        <v>9</v>
      </c>
      <c r="AC507" s="21">
        <v>76.040000000000006</v>
      </c>
      <c r="AD507" s="21" t="s">
        <v>368</v>
      </c>
      <c r="AE507" t="str">
        <f>VLOOKUP(Table_Query_from_Actuarial___Production3[[#This Row],[Kor1]],$AI$3:$AK$105,3,FALSE)</f>
        <v>Misc. Income</v>
      </c>
      <c r="AF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" spans="18:32" x14ac:dyDescent="0.2">
      <c r="R508" t="s">
        <v>3</v>
      </c>
      <c r="S508" t="s">
        <v>267</v>
      </c>
      <c r="T508" t="s">
        <v>443</v>
      </c>
      <c r="U508" s="21">
        <v>1132142</v>
      </c>
      <c r="V508" s="21" t="s">
        <v>368</v>
      </c>
      <c r="W508" t="str">
        <f>VLOOKUP(Table_Query_from_Actuarial___Production[[#This Row],[Kor1]],$AI$3:$AK$105,3,FALSE)</f>
        <v>Premiums Written</v>
      </c>
      <c r="X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"/>
      <c r="Z508" t="s">
        <v>48</v>
      </c>
      <c r="AA508" t="s">
        <v>247</v>
      </c>
      <c r="AB508" t="s">
        <v>441</v>
      </c>
      <c r="AC508" s="21">
        <v>2.42</v>
      </c>
      <c r="AD508" s="21" t="s">
        <v>368</v>
      </c>
      <c r="AE508" t="str">
        <f>VLOOKUP(Table_Query_from_Actuarial___Production3[[#This Row],[Kor1]],$AI$3:$AK$105,3,FALSE)</f>
        <v>Anticipated Salvage</v>
      </c>
      <c r="AF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" spans="18:32" x14ac:dyDescent="0.2">
      <c r="R509" t="s">
        <v>3</v>
      </c>
      <c r="S509" t="s">
        <v>259</v>
      </c>
      <c r="T509" t="s">
        <v>441</v>
      </c>
      <c r="U509" s="21">
        <v>35731</v>
      </c>
      <c r="V509" s="21" t="s">
        <v>368</v>
      </c>
      <c r="W509" t="str">
        <f>VLOOKUP(Table_Query_from_Actuarial___Production[[#This Row],[Kor1]],$AI$3:$AK$105,3,FALSE)</f>
        <v>Premiums Written</v>
      </c>
      <c r="X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"/>
      <c r="Z509" t="s">
        <v>14</v>
      </c>
      <c r="AA509" t="s">
        <v>224</v>
      </c>
      <c r="AB509" t="s">
        <v>5</v>
      </c>
      <c r="AC509" s="21">
        <v>341474.3</v>
      </c>
      <c r="AD509" s="21" t="s">
        <v>370</v>
      </c>
      <c r="AE509" t="str">
        <f>VLOOKUP(Table_Query_from_Actuarial___Production3[[#This Row],[Kor1]],$AI$3:$AK$105,3,FALSE)</f>
        <v>Claims Expense</v>
      </c>
      <c r="AF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10" spans="18:32" x14ac:dyDescent="0.2">
      <c r="R510" t="s">
        <v>17</v>
      </c>
      <c r="S510" t="s">
        <v>244</v>
      </c>
      <c r="T510" t="s">
        <v>441</v>
      </c>
      <c r="U510" s="21">
        <v>319219.59999999998</v>
      </c>
      <c r="V510" s="21" t="s">
        <v>368</v>
      </c>
      <c r="W510" t="str">
        <f>VLOOKUP(Table_Query_from_Actuarial___Production[[#This Row],[Kor1]],$AI$3:$AK$105,3,FALSE)</f>
        <v>IBNR</v>
      </c>
      <c r="X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"/>
      <c r="Z510" t="s">
        <v>17</v>
      </c>
      <c r="AA510" t="s">
        <v>224</v>
      </c>
      <c r="AB510" t="s">
        <v>442</v>
      </c>
      <c r="AC510" s="21">
        <v>277079.53999999998</v>
      </c>
      <c r="AD510" s="21" t="s">
        <v>368</v>
      </c>
      <c r="AE510" t="str">
        <f>VLOOKUP(Table_Query_from_Actuarial___Production3[[#This Row],[Kor1]],$AI$3:$AK$105,3,FALSE)</f>
        <v>IBNR</v>
      </c>
      <c r="AF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11" spans="18:32" x14ac:dyDescent="0.2">
      <c r="R511" t="s">
        <v>14</v>
      </c>
      <c r="S511" t="s">
        <v>235</v>
      </c>
      <c r="T511" t="s">
        <v>427</v>
      </c>
      <c r="U511" s="21">
        <v>47934.52</v>
      </c>
      <c r="V511" s="21" t="s">
        <v>368</v>
      </c>
      <c r="W511" t="str">
        <f>VLOOKUP(Table_Query_from_Actuarial___Production[[#This Row],[Kor1]],$AI$3:$AK$105,3,FALSE)</f>
        <v>Claims Expense</v>
      </c>
      <c r="X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"/>
      <c r="Z511" t="s">
        <v>38</v>
      </c>
      <c r="AA511" t="s">
        <v>226</v>
      </c>
      <c r="AB511" t="s">
        <v>5</v>
      </c>
      <c r="AC511" s="21">
        <v>6058.1</v>
      </c>
      <c r="AD511" s="21" t="s">
        <v>368</v>
      </c>
      <c r="AE511" t="str">
        <f>VLOOKUP(Table_Query_from_Actuarial___Production3[[#This Row],[Kor1]],$AI$3:$AK$105,3,FALSE)</f>
        <v>Misc. Income</v>
      </c>
      <c r="AF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12" spans="18:32" x14ac:dyDescent="0.2">
      <c r="R512" t="s">
        <v>14</v>
      </c>
      <c r="S512" t="s">
        <v>233</v>
      </c>
      <c r="T512" t="s">
        <v>433</v>
      </c>
      <c r="U512" s="21">
        <v>90817.81</v>
      </c>
      <c r="V512" s="21" t="s">
        <v>368</v>
      </c>
      <c r="W512" t="str">
        <f>VLOOKUP(Table_Query_from_Actuarial___Production[[#This Row],[Kor1]],$AI$3:$AK$105,3,FALSE)</f>
        <v>Claims Expense</v>
      </c>
      <c r="X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"/>
      <c r="Z512" t="s">
        <v>12</v>
      </c>
      <c r="AA512" t="s">
        <v>251</v>
      </c>
      <c r="AB512" t="s">
        <v>441</v>
      </c>
      <c r="AC512" s="21">
        <v>22087.98</v>
      </c>
      <c r="AD512" s="21" t="s">
        <v>368</v>
      </c>
      <c r="AE512" t="str">
        <f>VLOOKUP(Table_Query_from_Actuarial___Production3[[#This Row],[Kor1]],$AI$3:$AK$105,3,FALSE)</f>
        <v>Premium Tax</v>
      </c>
      <c r="AF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" spans="18:32" x14ac:dyDescent="0.2">
      <c r="R513" t="s">
        <v>155</v>
      </c>
      <c r="S513" t="s">
        <v>354</v>
      </c>
      <c r="T513" t="s">
        <v>445</v>
      </c>
      <c r="U513" s="21">
        <v>459732.51</v>
      </c>
      <c r="V513" s="21" t="s">
        <v>369</v>
      </c>
      <c r="W513" t="str">
        <f>VLOOKUP(Table_Query_from_Actuarial___Production[[#This Row],[Kor1]],$AI$3:$AK$105,3,FALSE)</f>
        <v>Advance Premium</v>
      </c>
      <c r="X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13"/>
      <c r="Z513" t="s">
        <v>39</v>
      </c>
      <c r="AA513" t="s">
        <v>238</v>
      </c>
      <c r="AB513" t="s">
        <v>441</v>
      </c>
      <c r="AC513" s="21">
        <v>352.52</v>
      </c>
      <c r="AD513" s="21" t="s">
        <v>368</v>
      </c>
      <c r="AE513" t="str">
        <f>VLOOKUP(Table_Query_from_Actuarial___Production3[[#This Row],[Kor1]],$AI$3:$AK$105,3,FALSE)</f>
        <v>Misc. Income for Insolvent Companies</v>
      </c>
      <c r="AF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" spans="18:32" x14ac:dyDescent="0.2">
      <c r="R514" t="s">
        <v>48</v>
      </c>
      <c r="S514" t="s">
        <v>224</v>
      </c>
      <c r="T514" t="s">
        <v>433</v>
      </c>
      <c r="U514" s="21">
        <v>7700.67</v>
      </c>
      <c r="V514" s="21" t="s">
        <v>368</v>
      </c>
      <c r="W514" t="str">
        <f>VLOOKUP(Table_Query_from_Actuarial___Production[[#This Row],[Kor1]],$AI$3:$AK$105,3,FALSE)</f>
        <v>Anticipated Salvage</v>
      </c>
      <c r="X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14"/>
      <c r="Z514" t="s">
        <v>3</v>
      </c>
      <c r="AA514" t="s">
        <v>229</v>
      </c>
      <c r="AB514" t="s">
        <v>6</v>
      </c>
      <c r="AC514" s="21">
        <v>25060</v>
      </c>
      <c r="AD514" s="21" t="s">
        <v>368</v>
      </c>
      <c r="AE514" t="str">
        <f>VLOOKUP(Table_Query_from_Actuarial___Production3[[#This Row],[Kor1]],$AI$3:$AK$105,3,FALSE)</f>
        <v>Premiums Written</v>
      </c>
      <c r="AF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" spans="18:32" x14ac:dyDescent="0.2">
      <c r="R515" t="s">
        <v>144</v>
      </c>
      <c r="S515" t="s">
        <v>224</v>
      </c>
      <c r="T515" t="s">
        <v>433</v>
      </c>
      <c r="U515" s="21">
        <v>-300</v>
      </c>
      <c r="V515" s="21" t="s">
        <v>369</v>
      </c>
      <c r="W515" t="str">
        <f>VLOOKUP(Table_Query_from_Actuarial___Production[[#This Row],[Kor1]],$AI$3:$AK$105,3,FALSE)</f>
        <v>Claims Expense</v>
      </c>
      <c r="X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15"/>
      <c r="Z515" t="s">
        <v>44</v>
      </c>
      <c r="AA515" t="s">
        <v>234</v>
      </c>
      <c r="AB515" t="s">
        <v>427</v>
      </c>
      <c r="AC515" s="21">
        <v>94719.1</v>
      </c>
      <c r="AD515" s="21" t="s">
        <v>368</v>
      </c>
      <c r="AE515" t="str">
        <f>VLOOKUP(Table_Query_from_Actuarial___Production3[[#This Row],[Kor1]],$AI$3:$AK$105,3,FALSE)</f>
        <v>Charge-offs</v>
      </c>
      <c r="AF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" spans="18:32" x14ac:dyDescent="0.2">
      <c r="R516" t="s">
        <v>3</v>
      </c>
      <c r="S516" t="s">
        <v>248</v>
      </c>
      <c r="T516" t="s">
        <v>351</v>
      </c>
      <c r="U516" s="21">
        <v>67083</v>
      </c>
      <c r="V516" s="21" t="s">
        <v>368</v>
      </c>
      <c r="W516" t="str">
        <f>VLOOKUP(Table_Query_from_Actuarial___Production[[#This Row],[Kor1]],$AI$3:$AK$105,3,FALSE)</f>
        <v>Premiums Written</v>
      </c>
      <c r="X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"/>
      <c r="Z516" t="s">
        <v>48</v>
      </c>
      <c r="AA516" t="s">
        <v>225</v>
      </c>
      <c r="AB516" t="s">
        <v>443</v>
      </c>
      <c r="AC516" s="21">
        <v>170.04</v>
      </c>
      <c r="AD516" s="21" t="s">
        <v>369</v>
      </c>
      <c r="AE516" t="str">
        <f>VLOOKUP(Table_Query_from_Actuarial___Production3[[#This Row],[Kor1]],$AI$3:$AK$105,3,FALSE)</f>
        <v>Anticipated Salvage</v>
      </c>
      <c r="AF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17" spans="18:32" x14ac:dyDescent="0.2">
      <c r="R517" t="s">
        <v>37</v>
      </c>
      <c r="S517" t="s">
        <v>249</v>
      </c>
      <c r="T517" t="s">
        <v>356</v>
      </c>
      <c r="U517" s="21">
        <v>624.29999999999995</v>
      </c>
      <c r="V517" s="21" t="s">
        <v>368</v>
      </c>
      <c r="W517" t="str">
        <f>VLOOKUP(Table_Query_from_Actuarial___Production[[#This Row],[Kor1]],$AI$3:$AK$105,3,FALSE)</f>
        <v>Misc. Expense</v>
      </c>
      <c r="X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"/>
      <c r="Z517" t="s">
        <v>31</v>
      </c>
      <c r="AA517" t="s">
        <v>249</v>
      </c>
      <c r="AB517" t="s">
        <v>8</v>
      </c>
      <c r="AC517" s="21">
        <v>19566.150000000001</v>
      </c>
      <c r="AD517" s="21" t="s">
        <v>368</v>
      </c>
      <c r="AE517" t="str">
        <f>VLOOKUP(Table_Query_from_Actuarial___Production3[[#This Row],[Kor1]],$AI$3:$AK$105,3,FALSE)</f>
        <v>Misc. Expense</v>
      </c>
      <c r="AF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" spans="18:32" x14ac:dyDescent="0.2">
      <c r="R518" t="s">
        <v>11</v>
      </c>
      <c r="S518" t="s">
        <v>352</v>
      </c>
      <c r="T518" t="s">
        <v>443</v>
      </c>
      <c r="U518" s="21">
        <v>27922.79</v>
      </c>
      <c r="V518" s="21" t="s">
        <v>369</v>
      </c>
      <c r="W518" t="str">
        <f>VLOOKUP(Table_Query_from_Actuarial___Production[[#This Row],[Kor1]],$AI$3:$AK$105,3,FALSE)</f>
        <v>Losses Paid</v>
      </c>
      <c r="X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18"/>
      <c r="Z518" t="s">
        <v>44</v>
      </c>
      <c r="AA518" t="s">
        <v>244</v>
      </c>
      <c r="AB518" t="s">
        <v>433</v>
      </c>
      <c r="AC518" s="21">
        <v>31380.6</v>
      </c>
      <c r="AD518" s="21" t="s">
        <v>368</v>
      </c>
      <c r="AE518" t="str">
        <f>VLOOKUP(Table_Query_from_Actuarial___Production3[[#This Row],[Kor1]],$AI$3:$AK$105,3,FALSE)</f>
        <v>Charge-offs</v>
      </c>
      <c r="AF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" spans="18:32" x14ac:dyDescent="0.2">
      <c r="R519" t="s">
        <v>18</v>
      </c>
      <c r="S519" t="s">
        <v>352</v>
      </c>
      <c r="T519" t="s">
        <v>441</v>
      </c>
      <c r="U519" s="21">
        <v>152800.23000000001</v>
      </c>
      <c r="V519" s="21" t="s">
        <v>369</v>
      </c>
      <c r="W519" t="str">
        <f>VLOOKUP(Table_Query_from_Actuarial___Production[[#This Row],[Kor1]],$AI$3:$AK$105,3,FALSE)</f>
        <v>Misc. Expense</v>
      </c>
      <c r="X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19"/>
      <c r="Z519" t="s">
        <v>18</v>
      </c>
      <c r="AA519" t="s">
        <v>224</v>
      </c>
      <c r="AB519" t="s">
        <v>5</v>
      </c>
      <c r="AC519" s="21">
        <v>117349.16</v>
      </c>
      <c r="AD519" s="21" t="s">
        <v>370</v>
      </c>
      <c r="AE519" t="str">
        <f>VLOOKUP(Table_Query_from_Actuarial___Production3[[#This Row],[Kor1]],$AI$3:$AK$105,3,FALSE)</f>
        <v>Misc. Expense</v>
      </c>
      <c r="AF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20" spans="18:32" x14ac:dyDescent="0.2">
      <c r="R520" t="s">
        <v>3</v>
      </c>
      <c r="S520" t="s">
        <v>239</v>
      </c>
      <c r="T520" t="s">
        <v>433</v>
      </c>
      <c r="U520" s="21">
        <v>8482893</v>
      </c>
      <c r="V520" s="21" t="s">
        <v>368</v>
      </c>
      <c r="W520" t="str">
        <f>VLOOKUP(Table_Query_from_Actuarial___Production[[#This Row],[Kor1]],$AI$3:$AK$105,3,FALSE)</f>
        <v>Premiums Written</v>
      </c>
      <c r="X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"/>
      <c r="Z520" t="s">
        <v>47</v>
      </c>
      <c r="AA520" t="s">
        <v>267</v>
      </c>
      <c r="AB520" t="s">
        <v>427</v>
      </c>
      <c r="AC520" s="21">
        <v>2305.2199999999998</v>
      </c>
      <c r="AD520" s="21" t="s">
        <v>368</v>
      </c>
      <c r="AE520" t="str">
        <f>VLOOKUP(Table_Query_from_Actuarial___Production3[[#This Row],[Kor1]],$AI$3:$AK$105,3,FALSE)</f>
        <v>Investment Income</v>
      </c>
      <c r="AF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" spans="18:32" x14ac:dyDescent="0.2">
      <c r="R521" t="s">
        <v>33</v>
      </c>
      <c r="S521" t="s">
        <v>252</v>
      </c>
      <c r="T521" t="s">
        <v>6</v>
      </c>
      <c r="U521" s="21">
        <v>26883.24</v>
      </c>
      <c r="V521" s="21" t="s">
        <v>368</v>
      </c>
      <c r="W521" t="str">
        <f>VLOOKUP(Table_Query_from_Actuarial___Production[[#This Row],[Kor1]],$AI$3:$AK$105,3,FALSE)</f>
        <v>Misc. Expense</v>
      </c>
      <c r="X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"/>
      <c r="Z521" t="s">
        <v>44</v>
      </c>
      <c r="AA521" t="s">
        <v>225</v>
      </c>
      <c r="AB521" t="s">
        <v>427</v>
      </c>
      <c r="AC521" s="21">
        <v>12945.46</v>
      </c>
      <c r="AD521" s="21" t="s">
        <v>369</v>
      </c>
      <c r="AE521" t="str">
        <f>VLOOKUP(Table_Query_from_Actuarial___Production3[[#This Row],[Kor1]],$AI$3:$AK$105,3,FALSE)</f>
        <v>Charge-offs</v>
      </c>
      <c r="AF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22" spans="18:32" x14ac:dyDescent="0.2">
      <c r="R522" t="s">
        <v>48</v>
      </c>
      <c r="S522" t="s">
        <v>237</v>
      </c>
      <c r="T522" t="s">
        <v>433</v>
      </c>
      <c r="U522" s="21">
        <v>195692.91</v>
      </c>
      <c r="V522" s="21" t="s">
        <v>368</v>
      </c>
      <c r="W522" t="str">
        <f>VLOOKUP(Table_Query_from_Actuarial___Production[[#This Row],[Kor1]],$AI$3:$AK$105,3,FALSE)</f>
        <v>Anticipated Salvage</v>
      </c>
      <c r="X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"/>
      <c r="Z522" t="s">
        <v>20</v>
      </c>
      <c r="AA522" t="s">
        <v>257</v>
      </c>
      <c r="AB522" t="s">
        <v>442</v>
      </c>
      <c r="AC522" s="21">
        <v>357.47</v>
      </c>
      <c r="AD522" s="21" t="s">
        <v>368</v>
      </c>
      <c r="AE522" t="str">
        <f>VLOOKUP(Table_Query_from_Actuarial___Production3[[#This Row],[Kor1]],$AI$3:$AK$105,3,FALSE)</f>
        <v>Misc. Expense</v>
      </c>
      <c r="AF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" spans="18:32" x14ac:dyDescent="0.2">
      <c r="R523" t="s">
        <v>20</v>
      </c>
      <c r="S523" t="s">
        <v>260</v>
      </c>
      <c r="T523" t="s">
        <v>356</v>
      </c>
      <c r="U523" s="21">
        <v>1.53</v>
      </c>
      <c r="V523" s="21" t="s">
        <v>368</v>
      </c>
      <c r="W523" t="str">
        <f>VLOOKUP(Table_Query_from_Actuarial___Production[[#This Row],[Kor1]],$AI$3:$AK$105,3,FALSE)</f>
        <v>Misc. Expense</v>
      </c>
      <c r="X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"/>
      <c r="Z523" t="s">
        <v>10</v>
      </c>
      <c r="AA523" t="s">
        <v>263</v>
      </c>
      <c r="AB523" t="s">
        <v>351</v>
      </c>
      <c r="AC523" s="21">
        <v>29555.07</v>
      </c>
      <c r="AD523" s="21" t="s">
        <v>368</v>
      </c>
      <c r="AE523" t="str">
        <f>VLOOKUP(Table_Query_from_Actuarial___Production3[[#This Row],[Kor1]],$AI$3:$AK$105,3,FALSE)</f>
        <v>Commissions</v>
      </c>
      <c r="AF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" spans="18:32" x14ac:dyDescent="0.2">
      <c r="R524" t="s">
        <v>33</v>
      </c>
      <c r="S524" t="s">
        <v>256</v>
      </c>
      <c r="T524" t="s">
        <v>7</v>
      </c>
      <c r="U524" s="21">
        <v>10059.24</v>
      </c>
      <c r="V524" s="21" t="s">
        <v>368</v>
      </c>
      <c r="W524" t="str">
        <f>VLOOKUP(Table_Query_from_Actuarial___Production[[#This Row],[Kor1]],$AI$3:$AK$105,3,FALSE)</f>
        <v>Misc. Expense</v>
      </c>
      <c r="X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"/>
      <c r="Z524" t="s">
        <v>20</v>
      </c>
      <c r="AA524" t="s">
        <v>230</v>
      </c>
      <c r="AB524" t="s">
        <v>5</v>
      </c>
      <c r="AC524" s="21">
        <v>1992.7</v>
      </c>
      <c r="AD524" s="21" t="s">
        <v>368</v>
      </c>
      <c r="AE524" t="str">
        <f>VLOOKUP(Table_Query_from_Actuarial___Production3[[#This Row],[Kor1]],$AI$3:$AK$105,3,FALSE)</f>
        <v>Misc. Expense</v>
      </c>
      <c r="AF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" spans="18:32" x14ac:dyDescent="0.2">
      <c r="R525" t="s">
        <v>19</v>
      </c>
      <c r="S525" t="s">
        <v>252</v>
      </c>
      <c r="T525" t="s">
        <v>351</v>
      </c>
      <c r="U525" s="21">
        <v>606317.42000000004</v>
      </c>
      <c r="V525" s="21" t="s">
        <v>368</v>
      </c>
      <c r="W525" t="str">
        <f>VLOOKUP(Table_Query_from_Actuarial___Production[[#This Row],[Kor1]],$AI$3:$AK$105,3,FALSE)</f>
        <v>Misc. Expense for Insolvent Companies</v>
      </c>
      <c r="X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"/>
      <c r="Z525" t="s">
        <v>13</v>
      </c>
      <c r="AA525" t="s">
        <v>259</v>
      </c>
      <c r="AB525" t="s">
        <v>442</v>
      </c>
      <c r="AC525" s="21">
        <v>9960.25</v>
      </c>
      <c r="AD525" s="21" t="s">
        <v>368</v>
      </c>
      <c r="AE525" t="str">
        <f>VLOOKUP(Table_Query_from_Actuarial___Production3[[#This Row],[Kor1]],$AI$3:$AK$105,3,FALSE)</f>
        <v>Operating Service Fees</v>
      </c>
      <c r="AF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" spans="18:32" x14ac:dyDescent="0.2">
      <c r="R526" t="s">
        <v>39</v>
      </c>
      <c r="S526" t="s">
        <v>243</v>
      </c>
      <c r="T526" t="s">
        <v>351</v>
      </c>
      <c r="U526" s="21">
        <v>1706</v>
      </c>
      <c r="V526" s="21" t="s">
        <v>368</v>
      </c>
      <c r="W526" t="str">
        <f>VLOOKUP(Table_Query_from_Actuarial___Production[[#This Row],[Kor1]],$AI$3:$AK$105,3,FALSE)</f>
        <v>Misc. Income for Insolvent Companies</v>
      </c>
      <c r="X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"/>
      <c r="Z526" t="s">
        <v>14</v>
      </c>
      <c r="AA526" t="s">
        <v>265</v>
      </c>
      <c r="AB526" t="s">
        <v>9</v>
      </c>
      <c r="AC526" s="21">
        <v>37195.08</v>
      </c>
      <c r="AD526" s="21" t="s">
        <v>368</v>
      </c>
      <c r="AE526" t="str">
        <f>VLOOKUP(Table_Query_from_Actuarial___Production3[[#This Row],[Kor1]],$AI$3:$AK$105,3,FALSE)</f>
        <v>Claims Expense</v>
      </c>
      <c r="AF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" spans="18:32" x14ac:dyDescent="0.2">
      <c r="R527" t="s">
        <v>14</v>
      </c>
      <c r="S527" t="s">
        <v>251</v>
      </c>
      <c r="T527" t="s">
        <v>9</v>
      </c>
      <c r="U527" s="21">
        <v>3226.25</v>
      </c>
      <c r="V527" s="21" t="s">
        <v>368</v>
      </c>
      <c r="W527" t="str">
        <f>VLOOKUP(Table_Query_from_Actuarial___Production[[#This Row],[Kor1]],$AI$3:$AK$105,3,FALSE)</f>
        <v>Claims Expense</v>
      </c>
      <c r="X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"/>
      <c r="Z527" t="s">
        <v>11</v>
      </c>
      <c r="AA527" t="s">
        <v>352</v>
      </c>
      <c r="AB527" t="s">
        <v>6</v>
      </c>
      <c r="AC527" s="21">
        <v>4390.21</v>
      </c>
      <c r="AD527" s="21" t="s">
        <v>368</v>
      </c>
      <c r="AE527" t="str">
        <f>VLOOKUP(Table_Query_from_Actuarial___Production3[[#This Row],[Kor1]],$AI$3:$AK$105,3,FALSE)</f>
        <v>Losses Paid</v>
      </c>
      <c r="AF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28" spans="18:32" x14ac:dyDescent="0.2">
      <c r="R528" t="s">
        <v>31</v>
      </c>
      <c r="S528" t="s">
        <v>243</v>
      </c>
      <c r="T528" t="s">
        <v>427</v>
      </c>
      <c r="U528" s="21">
        <v>712.32</v>
      </c>
      <c r="V528" s="21" t="s">
        <v>368</v>
      </c>
      <c r="W528" t="str">
        <f>VLOOKUP(Table_Query_from_Actuarial___Production[[#This Row],[Kor1]],$AI$3:$AK$105,3,FALSE)</f>
        <v>Misc. Expense</v>
      </c>
      <c r="X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"/>
      <c r="Z528" t="s">
        <v>25</v>
      </c>
      <c r="AA528" t="s">
        <v>250</v>
      </c>
      <c r="AB528" t="s">
        <v>442</v>
      </c>
      <c r="AC528" s="21">
        <v>362.53</v>
      </c>
      <c r="AD528" s="21" t="s">
        <v>368</v>
      </c>
      <c r="AE528" t="str">
        <f>VLOOKUP(Table_Query_from_Actuarial___Production3[[#This Row],[Kor1]],$AI$3:$AK$105,3,FALSE)</f>
        <v>Misc. Expense</v>
      </c>
      <c r="AF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" spans="18:32" x14ac:dyDescent="0.2">
      <c r="R529" t="s">
        <v>38</v>
      </c>
      <c r="S529" t="s">
        <v>354</v>
      </c>
      <c r="T529" t="s">
        <v>427</v>
      </c>
      <c r="U529" s="21">
        <v>16574.18</v>
      </c>
      <c r="V529" s="21" t="s">
        <v>368</v>
      </c>
      <c r="W529" t="str">
        <f>VLOOKUP(Table_Query_from_Actuarial___Production[[#This Row],[Kor1]],$AI$3:$AK$105,3,FALSE)</f>
        <v>Misc. Income</v>
      </c>
      <c r="X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29"/>
      <c r="Z529" t="s">
        <v>107</v>
      </c>
      <c r="AA529" t="s">
        <v>259</v>
      </c>
      <c r="AB529" t="s">
        <v>6</v>
      </c>
      <c r="AC529" s="21">
        <v>137.15</v>
      </c>
      <c r="AD529" s="21" t="s">
        <v>368</v>
      </c>
      <c r="AE529" t="str">
        <f>VLOOKUP(Table_Query_from_Actuarial___Production3[[#This Row],[Kor1]],$AI$3:$AK$105,3,FALSE)</f>
        <v>Misc. Expense</v>
      </c>
      <c r="AF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" spans="18:32" x14ac:dyDescent="0.2">
      <c r="R530" t="s">
        <v>17</v>
      </c>
      <c r="S530" t="s">
        <v>239</v>
      </c>
      <c r="T530" t="s">
        <v>445</v>
      </c>
      <c r="U530" s="21">
        <v>456137.74</v>
      </c>
      <c r="V530" s="21" t="s">
        <v>368</v>
      </c>
      <c r="W530" t="str">
        <f>VLOOKUP(Table_Query_from_Actuarial___Production[[#This Row],[Kor1]],$AI$3:$AK$105,3,FALSE)</f>
        <v>IBNR</v>
      </c>
      <c r="X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"/>
      <c r="Z530" t="s">
        <v>11</v>
      </c>
      <c r="AA530" t="s">
        <v>225</v>
      </c>
      <c r="AB530" t="s">
        <v>5</v>
      </c>
      <c r="AC530" s="21">
        <v>11417418.48</v>
      </c>
      <c r="AD530" s="21" t="s">
        <v>369</v>
      </c>
      <c r="AE530" t="str">
        <f>VLOOKUP(Table_Query_from_Actuarial___Production3[[#This Row],[Kor1]],$AI$3:$AK$105,3,FALSE)</f>
        <v>Losses Paid</v>
      </c>
      <c r="AF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31" spans="18:32" x14ac:dyDescent="0.2">
      <c r="R531" t="s">
        <v>40</v>
      </c>
      <c r="S531" t="s">
        <v>255</v>
      </c>
      <c r="T531" t="s">
        <v>441</v>
      </c>
      <c r="U531" s="21">
        <v>5</v>
      </c>
      <c r="V531" s="21" t="s">
        <v>368</v>
      </c>
      <c r="W531" t="str">
        <f>VLOOKUP(Table_Query_from_Actuarial___Production[[#This Row],[Kor1]],$AI$3:$AK$105,3,FALSE)</f>
        <v>Misc. Income</v>
      </c>
      <c r="X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"/>
      <c r="Z531" t="s">
        <v>13</v>
      </c>
      <c r="AA531" t="s">
        <v>257</v>
      </c>
      <c r="AB531" t="s">
        <v>351</v>
      </c>
      <c r="AC531" s="21">
        <v>204620.48</v>
      </c>
      <c r="AD531" s="21" t="s">
        <v>368</v>
      </c>
      <c r="AE531" t="str">
        <f>VLOOKUP(Table_Query_from_Actuarial___Production3[[#This Row],[Kor1]],$AI$3:$AK$105,3,FALSE)</f>
        <v>Operating Service Fees</v>
      </c>
      <c r="AF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" spans="18:32" x14ac:dyDescent="0.2">
      <c r="R532" t="s">
        <v>3</v>
      </c>
      <c r="S532" t="s">
        <v>261</v>
      </c>
      <c r="T532" t="s">
        <v>433</v>
      </c>
      <c r="U532" s="21">
        <v>181271</v>
      </c>
      <c r="V532" s="21" t="s">
        <v>368</v>
      </c>
      <c r="W532" t="str">
        <f>VLOOKUP(Table_Query_from_Actuarial___Production[[#This Row],[Kor1]],$AI$3:$AK$105,3,FALSE)</f>
        <v>Premiums Written</v>
      </c>
      <c r="X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"/>
      <c r="Z532" t="s">
        <v>47</v>
      </c>
      <c r="AA532" t="s">
        <v>232</v>
      </c>
      <c r="AB532" t="s">
        <v>7</v>
      </c>
      <c r="AC532" s="21">
        <v>0.06</v>
      </c>
      <c r="AD532" s="21" t="s">
        <v>368</v>
      </c>
      <c r="AE532" t="str">
        <f>VLOOKUP(Table_Query_from_Actuarial___Production3[[#This Row],[Kor1]],$AI$3:$AK$105,3,FALSE)</f>
        <v>Investment Income</v>
      </c>
      <c r="AF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" spans="18:32" x14ac:dyDescent="0.2">
      <c r="R533" t="s">
        <v>10</v>
      </c>
      <c r="S533" t="s">
        <v>248</v>
      </c>
      <c r="T533" t="s">
        <v>7</v>
      </c>
      <c r="U533" s="21">
        <v>3051.81</v>
      </c>
      <c r="V533" s="21" t="s">
        <v>368</v>
      </c>
      <c r="W533" t="str">
        <f>VLOOKUP(Table_Query_from_Actuarial___Production[[#This Row],[Kor1]],$AI$3:$AK$105,3,FALSE)</f>
        <v>Commissions</v>
      </c>
      <c r="X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"/>
      <c r="Z533" t="s">
        <v>13</v>
      </c>
      <c r="AA533" t="s">
        <v>261</v>
      </c>
      <c r="AB533" t="s">
        <v>6</v>
      </c>
      <c r="AC533" s="21">
        <v>128530.71</v>
      </c>
      <c r="AD533" s="21" t="s">
        <v>368</v>
      </c>
      <c r="AE533" t="str">
        <f>VLOOKUP(Table_Query_from_Actuarial___Production3[[#This Row],[Kor1]],$AI$3:$AK$105,3,FALSE)</f>
        <v>Operating Service Fees</v>
      </c>
      <c r="AF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" spans="18:32" x14ac:dyDescent="0.2">
      <c r="R534" t="s">
        <v>10</v>
      </c>
      <c r="S534" t="s">
        <v>266</v>
      </c>
      <c r="T534" t="s">
        <v>427</v>
      </c>
      <c r="U534" s="21">
        <v>59672.81</v>
      </c>
      <c r="V534" s="21" t="s">
        <v>368</v>
      </c>
      <c r="W534" t="str">
        <f>VLOOKUP(Table_Query_from_Actuarial___Production[[#This Row],[Kor1]],$AI$3:$AK$105,3,FALSE)</f>
        <v>Commissions</v>
      </c>
      <c r="X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"/>
      <c r="Z534" t="s">
        <v>3</v>
      </c>
      <c r="AA534" t="s">
        <v>267</v>
      </c>
      <c r="AB534" t="s">
        <v>443</v>
      </c>
      <c r="AC534" s="21">
        <v>1959133</v>
      </c>
      <c r="AD534" s="21" t="s">
        <v>368</v>
      </c>
      <c r="AE534" t="str">
        <f>VLOOKUP(Table_Query_from_Actuarial___Production3[[#This Row],[Kor1]],$AI$3:$AK$105,3,FALSE)</f>
        <v>Premiums Written</v>
      </c>
      <c r="AF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" spans="18:32" x14ac:dyDescent="0.2">
      <c r="R535" t="s">
        <v>21</v>
      </c>
      <c r="S535" t="s">
        <v>228</v>
      </c>
      <c r="T535" t="s">
        <v>356</v>
      </c>
      <c r="U535" s="21">
        <v>1362.5</v>
      </c>
      <c r="V535" s="21" t="s">
        <v>368</v>
      </c>
      <c r="W535" t="str">
        <f>VLOOKUP(Table_Query_from_Actuarial___Production[[#This Row],[Kor1]],$AI$3:$AK$105,3,FALSE)</f>
        <v>Misc. Expense</v>
      </c>
      <c r="X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"/>
      <c r="Z535" t="s">
        <v>3</v>
      </c>
      <c r="AA535" t="s">
        <v>259</v>
      </c>
      <c r="AB535" t="s">
        <v>441</v>
      </c>
      <c r="AC535" s="21">
        <v>35731</v>
      </c>
      <c r="AD535" s="21" t="s">
        <v>368</v>
      </c>
      <c r="AE535" t="str">
        <f>VLOOKUP(Table_Query_from_Actuarial___Production3[[#This Row],[Kor1]],$AI$3:$AK$105,3,FALSE)</f>
        <v>Premiums Written</v>
      </c>
      <c r="AF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" spans="18:32" x14ac:dyDescent="0.2">
      <c r="R536" t="s">
        <v>47</v>
      </c>
      <c r="S536" t="s">
        <v>244</v>
      </c>
      <c r="T536" t="s">
        <v>427</v>
      </c>
      <c r="U536" s="21">
        <v>6445.43</v>
      </c>
      <c r="V536" s="21" t="s">
        <v>368</v>
      </c>
      <c r="W536" t="str">
        <f>VLOOKUP(Table_Query_from_Actuarial___Production[[#This Row],[Kor1]],$AI$3:$AK$105,3,FALSE)</f>
        <v>Investment Income</v>
      </c>
      <c r="X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"/>
      <c r="Z536" t="s">
        <v>14</v>
      </c>
      <c r="AA536" t="s">
        <v>241</v>
      </c>
      <c r="AB536" t="s">
        <v>5</v>
      </c>
      <c r="AC536" s="21">
        <v>16474.64</v>
      </c>
      <c r="AD536" s="21" t="s">
        <v>368</v>
      </c>
      <c r="AE536" t="str">
        <f>VLOOKUP(Table_Query_from_Actuarial___Production3[[#This Row],[Kor1]],$AI$3:$AK$105,3,FALSE)</f>
        <v>Claims Expense</v>
      </c>
      <c r="AF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" spans="18:32" x14ac:dyDescent="0.2">
      <c r="R537" t="s">
        <v>46</v>
      </c>
      <c r="S537" t="s">
        <v>225</v>
      </c>
      <c r="T537" t="s">
        <v>7</v>
      </c>
      <c r="U537" s="21">
        <v>6761.88</v>
      </c>
      <c r="V537" s="21" t="s">
        <v>368</v>
      </c>
      <c r="W537" t="str">
        <f>VLOOKUP(Table_Query_from_Actuarial___Production[[#This Row],[Kor1]],$AI$3:$AK$105,3,FALSE)</f>
        <v>Investment Income</v>
      </c>
      <c r="X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37"/>
      <c r="Z537" t="s">
        <v>17</v>
      </c>
      <c r="AA537" t="s">
        <v>244</v>
      </c>
      <c r="AB537" t="s">
        <v>441</v>
      </c>
      <c r="AC537" s="21">
        <v>514071.55</v>
      </c>
      <c r="AD537" s="21" t="s">
        <v>368</v>
      </c>
      <c r="AE537" t="str">
        <f>VLOOKUP(Table_Query_from_Actuarial___Production3[[#This Row],[Kor1]],$AI$3:$AK$105,3,FALSE)</f>
        <v>IBNR</v>
      </c>
      <c r="AF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" spans="18:32" x14ac:dyDescent="0.2">
      <c r="R538" t="s">
        <v>31</v>
      </c>
      <c r="S538" t="s">
        <v>230</v>
      </c>
      <c r="T538" t="s">
        <v>9</v>
      </c>
      <c r="U538" s="21">
        <v>2386.66</v>
      </c>
      <c r="V538" s="21" t="s">
        <v>368</v>
      </c>
      <c r="W538" t="str">
        <f>VLOOKUP(Table_Query_from_Actuarial___Production[[#This Row],[Kor1]],$AI$3:$AK$105,3,FALSE)</f>
        <v>Misc. Expense</v>
      </c>
      <c r="X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"/>
      <c r="Z538" t="s">
        <v>14</v>
      </c>
      <c r="AA538" t="s">
        <v>235</v>
      </c>
      <c r="AB538" t="s">
        <v>427</v>
      </c>
      <c r="AC538" s="21">
        <v>47934.52</v>
      </c>
      <c r="AD538" s="21" t="s">
        <v>368</v>
      </c>
      <c r="AE538" t="str">
        <f>VLOOKUP(Table_Query_from_Actuarial___Production3[[#This Row],[Kor1]],$AI$3:$AK$105,3,FALSE)</f>
        <v>Claims Expense</v>
      </c>
      <c r="AF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" spans="18:32" x14ac:dyDescent="0.2">
      <c r="R539" t="s">
        <v>3</v>
      </c>
      <c r="S539" t="s">
        <v>241</v>
      </c>
      <c r="T539" t="s">
        <v>442</v>
      </c>
      <c r="U539" s="21">
        <v>215062</v>
      </c>
      <c r="V539" s="21" t="s">
        <v>368</v>
      </c>
      <c r="W539" t="str">
        <f>VLOOKUP(Table_Query_from_Actuarial___Production[[#This Row],[Kor1]],$AI$3:$AK$105,3,FALSE)</f>
        <v>Premiums Written</v>
      </c>
      <c r="X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"/>
      <c r="Z539" t="s">
        <v>14</v>
      </c>
      <c r="AA539" t="s">
        <v>233</v>
      </c>
      <c r="AB539" t="s">
        <v>433</v>
      </c>
      <c r="AC539" s="21">
        <v>90817.81</v>
      </c>
      <c r="AD539" s="21" t="s">
        <v>368</v>
      </c>
      <c r="AE539" t="str">
        <f>VLOOKUP(Table_Query_from_Actuarial___Production3[[#This Row],[Kor1]],$AI$3:$AK$105,3,FALSE)</f>
        <v>Claims Expense</v>
      </c>
      <c r="AF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" spans="18:32" x14ac:dyDescent="0.2">
      <c r="R540" t="s">
        <v>16</v>
      </c>
      <c r="S540" t="s">
        <v>230</v>
      </c>
      <c r="T540" t="s">
        <v>433</v>
      </c>
      <c r="U540" s="21">
        <v>4092811.53</v>
      </c>
      <c r="V540" s="21" t="s">
        <v>368</v>
      </c>
      <c r="W540" t="str">
        <f>VLOOKUP(Table_Query_from_Actuarial___Production[[#This Row],[Kor1]],$AI$3:$AK$105,3,FALSE)</f>
        <v>Losses Outstanding</v>
      </c>
      <c r="X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"/>
      <c r="Z540" t="s">
        <v>48</v>
      </c>
      <c r="AA540" t="s">
        <v>224</v>
      </c>
      <c r="AB540" t="s">
        <v>433</v>
      </c>
      <c r="AC540" s="21">
        <v>18242.03</v>
      </c>
      <c r="AD540" s="21" t="s">
        <v>368</v>
      </c>
      <c r="AE540" t="str">
        <f>VLOOKUP(Table_Query_from_Actuarial___Production3[[#This Row],[Kor1]],$AI$3:$AK$105,3,FALSE)</f>
        <v>Anticipated Salvage</v>
      </c>
      <c r="AF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41" spans="18:32" x14ac:dyDescent="0.2">
      <c r="R541" t="s">
        <v>24</v>
      </c>
      <c r="S541" t="s">
        <v>259</v>
      </c>
      <c r="T541" t="s">
        <v>8</v>
      </c>
      <c r="U541" s="21">
        <v>-5.59</v>
      </c>
      <c r="V541" s="21" t="s">
        <v>368</v>
      </c>
      <c r="W541" t="str">
        <f>VLOOKUP(Table_Query_from_Actuarial___Production[[#This Row],[Kor1]],$AI$3:$AK$105,3,FALSE)</f>
        <v>Misc. Expense</v>
      </c>
      <c r="X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"/>
      <c r="Z541" t="s">
        <v>144</v>
      </c>
      <c r="AA541" t="s">
        <v>224</v>
      </c>
      <c r="AB541" t="s">
        <v>433</v>
      </c>
      <c r="AC541" s="21">
        <v>-2800</v>
      </c>
      <c r="AD541" s="21" t="s">
        <v>369</v>
      </c>
      <c r="AE541" t="str">
        <f>VLOOKUP(Table_Query_from_Actuarial___Production3[[#This Row],[Kor1]],$AI$3:$AK$105,3,FALSE)</f>
        <v>Claims Expense</v>
      </c>
      <c r="AF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42" spans="18:32" x14ac:dyDescent="0.2">
      <c r="R542" t="s">
        <v>10</v>
      </c>
      <c r="S542" t="s">
        <v>226</v>
      </c>
      <c r="T542" t="s">
        <v>427</v>
      </c>
      <c r="U542" s="21">
        <v>314833.34999999998</v>
      </c>
      <c r="V542" s="21" t="s">
        <v>368</v>
      </c>
      <c r="W542" t="str">
        <f>VLOOKUP(Table_Query_from_Actuarial___Production[[#This Row],[Kor1]],$AI$3:$AK$105,3,FALSE)</f>
        <v>Commissions</v>
      </c>
      <c r="X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42"/>
      <c r="Z542" t="s">
        <v>3</v>
      </c>
      <c r="AA542" t="s">
        <v>248</v>
      </c>
      <c r="AB542" t="s">
        <v>351</v>
      </c>
      <c r="AC542" s="21">
        <v>67083</v>
      </c>
      <c r="AD542" s="21" t="s">
        <v>368</v>
      </c>
      <c r="AE542" t="str">
        <f>VLOOKUP(Table_Query_from_Actuarial___Production3[[#This Row],[Kor1]],$AI$3:$AK$105,3,FALSE)</f>
        <v>Premiums Written</v>
      </c>
      <c r="AF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" spans="18:32" x14ac:dyDescent="0.2">
      <c r="R543" t="s">
        <v>77</v>
      </c>
      <c r="S543" t="s">
        <v>248</v>
      </c>
      <c r="T543" t="s">
        <v>443</v>
      </c>
      <c r="U543" s="21">
        <v>42922</v>
      </c>
      <c r="V543" s="21" t="s">
        <v>368</v>
      </c>
      <c r="W543" t="str">
        <f>VLOOKUP(Table_Query_from_Actuarial___Production[[#This Row],[Kor1]],$AI$3:$AK$105,3,FALSE)</f>
        <v>PDR</v>
      </c>
      <c r="X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"/>
      <c r="Z543" t="s">
        <v>37</v>
      </c>
      <c r="AA543" t="s">
        <v>249</v>
      </c>
      <c r="AB543" t="s">
        <v>356</v>
      </c>
      <c r="AC543" s="21">
        <v>624.29999999999995</v>
      </c>
      <c r="AD543" s="21" t="s">
        <v>368</v>
      </c>
      <c r="AE543" t="str">
        <f>VLOOKUP(Table_Query_from_Actuarial___Production3[[#This Row],[Kor1]],$AI$3:$AK$105,3,FALSE)</f>
        <v>Misc. Expense</v>
      </c>
      <c r="AF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" spans="18:32" x14ac:dyDescent="0.2">
      <c r="R544" t="s">
        <v>20</v>
      </c>
      <c r="S544" t="s">
        <v>238</v>
      </c>
      <c r="T544" t="s">
        <v>7</v>
      </c>
      <c r="U544" s="21">
        <v>113.37</v>
      </c>
      <c r="V544" s="21" t="s">
        <v>368</v>
      </c>
      <c r="W544" t="str">
        <f>VLOOKUP(Table_Query_from_Actuarial___Production[[#This Row],[Kor1]],$AI$3:$AK$105,3,FALSE)</f>
        <v>Misc. Expense</v>
      </c>
      <c r="X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"/>
      <c r="Z544" t="s">
        <v>11</v>
      </c>
      <c r="AA544" t="s">
        <v>352</v>
      </c>
      <c r="AB544" t="s">
        <v>443</v>
      </c>
      <c r="AC544" s="21">
        <v>11413.43</v>
      </c>
      <c r="AD544" s="21" t="s">
        <v>369</v>
      </c>
      <c r="AE544" t="str">
        <f>VLOOKUP(Table_Query_from_Actuarial___Production3[[#This Row],[Kor1]],$AI$3:$AK$105,3,FALSE)</f>
        <v>Losses Paid</v>
      </c>
      <c r="AF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45" spans="18:32" x14ac:dyDescent="0.2">
      <c r="R545" t="s">
        <v>10</v>
      </c>
      <c r="S545" t="s">
        <v>233</v>
      </c>
      <c r="T545" t="s">
        <v>442</v>
      </c>
      <c r="U545" s="21">
        <v>76931.240000000005</v>
      </c>
      <c r="V545" s="21" t="s">
        <v>368</v>
      </c>
      <c r="W545" t="str">
        <f>VLOOKUP(Table_Query_from_Actuarial___Production[[#This Row],[Kor1]],$AI$3:$AK$105,3,FALSE)</f>
        <v>Commissions</v>
      </c>
      <c r="X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"/>
      <c r="Z545" t="s">
        <v>18</v>
      </c>
      <c r="AA545" t="s">
        <v>352</v>
      </c>
      <c r="AB545" t="s">
        <v>441</v>
      </c>
      <c r="AC545" s="21">
        <v>152800.23000000001</v>
      </c>
      <c r="AD545" s="21" t="s">
        <v>369</v>
      </c>
      <c r="AE545" t="str">
        <f>VLOOKUP(Table_Query_from_Actuarial___Production3[[#This Row],[Kor1]],$AI$3:$AK$105,3,FALSE)</f>
        <v>Misc. Expense</v>
      </c>
      <c r="AF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46" spans="18:32" x14ac:dyDescent="0.2">
      <c r="R546" t="s">
        <v>28</v>
      </c>
      <c r="S546" t="s">
        <v>259</v>
      </c>
      <c r="T546" t="s">
        <v>8</v>
      </c>
      <c r="U546" s="21">
        <v>643.80999999999995</v>
      </c>
      <c r="V546" s="21" t="s">
        <v>368</v>
      </c>
      <c r="W546" t="str">
        <f>VLOOKUP(Table_Query_from_Actuarial___Production[[#This Row],[Kor1]],$AI$3:$AK$105,3,FALSE)</f>
        <v>Misc. Expense</v>
      </c>
      <c r="X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"/>
      <c r="Z546" t="s">
        <v>3</v>
      </c>
      <c r="AA546" t="s">
        <v>239</v>
      </c>
      <c r="AB546" t="s">
        <v>433</v>
      </c>
      <c r="AC546" s="21">
        <v>8482893</v>
      </c>
      <c r="AD546" s="21" t="s">
        <v>368</v>
      </c>
      <c r="AE546" t="str">
        <f>VLOOKUP(Table_Query_from_Actuarial___Production3[[#This Row],[Kor1]],$AI$3:$AK$105,3,FALSE)</f>
        <v>Premiums Written</v>
      </c>
      <c r="AF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" spans="18:32" x14ac:dyDescent="0.2">
      <c r="R547" t="s">
        <v>33</v>
      </c>
      <c r="S547" t="s">
        <v>4</v>
      </c>
      <c r="T547" t="s">
        <v>433</v>
      </c>
      <c r="U547" s="21">
        <v>41049.370000000003</v>
      </c>
      <c r="V547" s="21" t="s">
        <v>368</v>
      </c>
      <c r="W547" t="str">
        <f>VLOOKUP(Table_Query_from_Actuarial___Production[[#This Row],[Kor1]],$AI$3:$AK$105,3,FALSE)</f>
        <v>Misc. Expense</v>
      </c>
      <c r="X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"/>
      <c r="Z547" t="s">
        <v>3</v>
      </c>
      <c r="AA547" t="s">
        <v>251</v>
      </c>
      <c r="AB547" t="s">
        <v>5</v>
      </c>
      <c r="AC547" s="21">
        <v>41060</v>
      </c>
      <c r="AD547" s="21" t="s">
        <v>368</v>
      </c>
      <c r="AE547" t="str">
        <f>VLOOKUP(Table_Query_from_Actuarial___Production3[[#This Row],[Kor1]],$AI$3:$AK$105,3,FALSE)</f>
        <v>Premiums Written</v>
      </c>
      <c r="AF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" spans="18:32" x14ac:dyDescent="0.2">
      <c r="R548" t="s">
        <v>10</v>
      </c>
      <c r="S548" t="s">
        <v>240</v>
      </c>
      <c r="T548" t="s">
        <v>8</v>
      </c>
      <c r="U548" s="21">
        <v>103955.25</v>
      </c>
      <c r="V548" s="21" t="s">
        <v>368</v>
      </c>
      <c r="W548" t="str">
        <f>VLOOKUP(Table_Query_from_Actuarial___Production[[#This Row],[Kor1]],$AI$3:$AK$105,3,FALSE)</f>
        <v>Commissions</v>
      </c>
      <c r="X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"/>
      <c r="Z548" t="s">
        <v>33</v>
      </c>
      <c r="AA548" t="s">
        <v>252</v>
      </c>
      <c r="AB548" t="s">
        <v>6</v>
      </c>
      <c r="AC548" s="21">
        <v>26883.24</v>
      </c>
      <c r="AD548" s="21" t="s">
        <v>368</v>
      </c>
      <c r="AE548" t="str">
        <f>VLOOKUP(Table_Query_from_Actuarial___Production3[[#This Row],[Kor1]],$AI$3:$AK$105,3,FALSE)</f>
        <v>Misc. Expense</v>
      </c>
      <c r="AF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" spans="18:32" x14ac:dyDescent="0.2">
      <c r="R549" t="s">
        <v>11</v>
      </c>
      <c r="S549" t="s">
        <v>231</v>
      </c>
      <c r="T549" t="s">
        <v>7</v>
      </c>
      <c r="U549" s="21">
        <v>123129.95</v>
      </c>
      <c r="V549" s="21" t="s">
        <v>368</v>
      </c>
      <c r="W549" t="str">
        <f>VLOOKUP(Table_Query_from_Actuarial___Production[[#This Row],[Kor1]],$AI$3:$AK$105,3,FALSE)</f>
        <v>Losses Paid</v>
      </c>
      <c r="X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"/>
      <c r="Z549" t="s">
        <v>48</v>
      </c>
      <c r="AA549" t="s">
        <v>237</v>
      </c>
      <c r="AB549" t="s">
        <v>433</v>
      </c>
      <c r="AC549" s="21">
        <v>311665.11</v>
      </c>
      <c r="AD549" s="21" t="s">
        <v>368</v>
      </c>
      <c r="AE549" t="str">
        <f>VLOOKUP(Table_Query_from_Actuarial___Production3[[#This Row],[Kor1]],$AI$3:$AK$105,3,FALSE)</f>
        <v>Anticipated Salvage</v>
      </c>
      <c r="AF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" spans="18:32" x14ac:dyDescent="0.2">
      <c r="R550" t="s">
        <v>13</v>
      </c>
      <c r="S550" t="s">
        <v>268</v>
      </c>
      <c r="T550" t="s">
        <v>433</v>
      </c>
      <c r="U550" s="21">
        <v>40865.79</v>
      </c>
      <c r="V550" s="21" t="s">
        <v>368</v>
      </c>
      <c r="W550" t="str">
        <f>VLOOKUP(Table_Query_from_Actuarial___Production[[#This Row],[Kor1]],$AI$3:$AK$105,3,FALSE)</f>
        <v>Operating Service Fees</v>
      </c>
      <c r="X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"/>
      <c r="Z550" t="s">
        <v>13</v>
      </c>
      <c r="AA550" t="s">
        <v>224</v>
      </c>
      <c r="AB550" t="s">
        <v>5</v>
      </c>
      <c r="AC550" s="21">
        <v>15557.19</v>
      </c>
      <c r="AD550" s="21" t="s">
        <v>369</v>
      </c>
      <c r="AE550" t="str">
        <f>VLOOKUP(Table_Query_from_Actuarial___Production3[[#This Row],[Kor1]],$AI$3:$AK$105,3,FALSE)</f>
        <v>Operating Service Fees</v>
      </c>
      <c r="AF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51" spans="18:32" x14ac:dyDescent="0.2">
      <c r="R551" t="s">
        <v>47</v>
      </c>
      <c r="S551" t="s">
        <v>229</v>
      </c>
      <c r="T551" t="s">
        <v>351</v>
      </c>
      <c r="U551" s="21">
        <v>274.61</v>
      </c>
      <c r="V551" s="21" t="s">
        <v>368</v>
      </c>
      <c r="W551" t="str">
        <f>VLOOKUP(Table_Query_from_Actuarial___Production[[#This Row],[Kor1]],$AI$3:$AK$105,3,FALSE)</f>
        <v>Investment Income</v>
      </c>
      <c r="X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"/>
      <c r="Z551" t="s">
        <v>10</v>
      </c>
      <c r="AA551" t="s">
        <v>239</v>
      </c>
      <c r="AB551" t="s">
        <v>5</v>
      </c>
      <c r="AC551" s="21">
        <v>2250.54</v>
      </c>
      <c r="AD551" s="21" t="s">
        <v>368</v>
      </c>
      <c r="AE551" t="str">
        <f>VLOOKUP(Table_Query_from_Actuarial___Production3[[#This Row],[Kor1]],$AI$3:$AK$105,3,FALSE)</f>
        <v>Commissions</v>
      </c>
      <c r="AF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" spans="18:32" x14ac:dyDescent="0.2">
      <c r="R552" t="s">
        <v>19</v>
      </c>
      <c r="S552" t="s">
        <v>249</v>
      </c>
      <c r="T552" t="s">
        <v>441</v>
      </c>
      <c r="U552" s="21">
        <v>207.03</v>
      </c>
      <c r="V552" s="21" t="s">
        <v>368</v>
      </c>
      <c r="W552" t="str">
        <f>VLOOKUP(Table_Query_from_Actuarial___Production[[#This Row],[Kor1]],$AI$3:$AK$105,3,FALSE)</f>
        <v>Misc. Expense for Insolvent Companies</v>
      </c>
      <c r="X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"/>
      <c r="Z552" t="s">
        <v>20</v>
      </c>
      <c r="AA552" t="s">
        <v>260</v>
      </c>
      <c r="AB552" t="s">
        <v>356</v>
      </c>
      <c r="AC552" s="21">
        <v>1.53</v>
      </c>
      <c r="AD552" s="21" t="s">
        <v>368</v>
      </c>
      <c r="AE552" t="str">
        <f>VLOOKUP(Table_Query_from_Actuarial___Production3[[#This Row],[Kor1]],$AI$3:$AK$105,3,FALSE)</f>
        <v>Misc. Expense</v>
      </c>
      <c r="AF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" spans="18:32" x14ac:dyDescent="0.2">
      <c r="R553" t="s">
        <v>20</v>
      </c>
      <c r="S553" t="s">
        <v>252</v>
      </c>
      <c r="T553" t="s">
        <v>7</v>
      </c>
      <c r="U553" s="21">
        <v>2957.55</v>
      </c>
      <c r="V553" s="21" t="s">
        <v>368</v>
      </c>
      <c r="W553" t="str">
        <f>VLOOKUP(Table_Query_from_Actuarial___Production[[#This Row],[Kor1]],$AI$3:$AK$105,3,FALSE)</f>
        <v>Misc. Expense</v>
      </c>
      <c r="X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"/>
      <c r="Z553" t="s">
        <v>33</v>
      </c>
      <c r="AA553" t="s">
        <v>256</v>
      </c>
      <c r="AB553" t="s">
        <v>7</v>
      </c>
      <c r="AC553" s="21">
        <v>10059.24</v>
      </c>
      <c r="AD553" s="21" t="s">
        <v>368</v>
      </c>
      <c r="AE553" t="str">
        <f>VLOOKUP(Table_Query_from_Actuarial___Production3[[#This Row],[Kor1]],$AI$3:$AK$105,3,FALSE)</f>
        <v>Misc. Expense</v>
      </c>
      <c r="AF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" spans="18:32" x14ac:dyDescent="0.2">
      <c r="R554" t="s">
        <v>14</v>
      </c>
      <c r="S554" t="s">
        <v>255</v>
      </c>
      <c r="T554" t="s">
        <v>445</v>
      </c>
      <c r="U554" s="21">
        <v>2228.6799999999998</v>
      </c>
      <c r="V554" s="21" t="s">
        <v>368</v>
      </c>
      <c r="W554" t="str">
        <f>VLOOKUP(Table_Query_from_Actuarial___Production[[#This Row],[Kor1]],$AI$3:$AK$105,3,FALSE)</f>
        <v>Claims Expense</v>
      </c>
      <c r="X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"/>
      <c r="Z554" t="s">
        <v>19</v>
      </c>
      <c r="AA554" t="s">
        <v>252</v>
      </c>
      <c r="AB554" t="s">
        <v>351</v>
      </c>
      <c r="AC554" s="21">
        <v>606317.42000000004</v>
      </c>
      <c r="AD554" s="21" t="s">
        <v>368</v>
      </c>
      <c r="AE554" t="str">
        <f>VLOOKUP(Table_Query_from_Actuarial___Production3[[#This Row],[Kor1]],$AI$3:$AK$105,3,FALSE)</f>
        <v>Misc. Expense for Insolvent Companies</v>
      </c>
      <c r="AF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" spans="18:32" x14ac:dyDescent="0.2">
      <c r="R555" t="s">
        <v>19</v>
      </c>
      <c r="S555" t="s">
        <v>243</v>
      </c>
      <c r="T555" t="s">
        <v>6</v>
      </c>
      <c r="U555" s="21">
        <v>969</v>
      </c>
      <c r="V555" s="21" t="s">
        <v>368</v>
      </c>
      <c r="W555" t="str">
        <f>VLOOKUP(Table_Query_from_Actuarial___Production[[#This Row],[Kor1]],$AI$3:$AK$105,3,FALSE)</f>
        <v>Misc. Expense for Insolvent Companies</v>
      </c>
      <c r="X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"/>
      <c r="Z555" t="s">
        <v>39</v>
      </c>
      <c r="AA555" t="s">
        <v>243</v>
      </c>
      <c r="AB555" t="s">
        <v>351</v>
      </c>
      <c r="AC555" s="21">
        <v>1706</v>
      </c>
      <c r="AD555" s="21" t="s">
        <v>368</v>
      </c>
      <c r="AE555" t="str">
        <f>VLOOKUP(Table_Query_from_Actuarial___Production3[[#This Row],[Kor1]],$AI$3:$AK$105,3,FALSE)</f>
        <v>Misc. Income for Insolvent Companies</v>
      </c>
      <c r="AF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" spans="18:32" x14ac:dyDescent="0.2">
      <c r="R556" t="s">
        <v>20</v>
      </c>
      <c r="S556" t="s">
        <v>232</v>
      </c>
      <c r="T556" t="s">
        <v>445</v>
      </c>
      <c r="U556" s="21">
        <v>85.46</v>
      </c>
      <c r="V556" s="21" t="s">
        <v>368</v>
      </c>
      <c r="W556" t="str">
        <f>VLOOKUP(Table_Query_from_Actuarial___Production[[#This Row],[Kor1]],$AI$3:$AK$105,3,FALSE)</f>
        <v>Misc. Expense</v>
      </c>
      <c r="X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"/>
      <c r="Z556" t="s">
        <v>14</v>
      </c>
      <c r="AA556" t="s">
        <v>251</v>
      </c>
      <c r="AB556" t="s">
        <v>9</v>
      </c>
      <c r="AC556" s="21">
        <v>3226.25</v>
      </c>
      <c r="AD556" s="21" t="s">
        <v>368</v>
      </c>
      <c r="AE556" t="str">
        <f>VLOOKUP(Table_Query_from_Actuarial___Production3[[#This Row],[Kor1]],$AI$3:$AK$105,3,FALSE)</f>
        <v>Claims Expense</v>
      </c>
      <c r="AF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" spans="18:32" x14ac:dyDescent="0.2">
      <c r="R557" t="s">
        <v>40</v>
      </c>
      <c r="S557" t="s">
        <v>256</v>
      </c>
      <c r="T557" t="s">
        <v>433</v>
      </c>
      <c r="U557" s="21">
        <v>9</v>
      </c>
      <c r="V557" s="21" t="s">
        <v>368</v>
      </c>
      <c r="W557" t="str">
        <f>VLOOKUP(Table_Query_from_Actuarial___Production[[#This Row],[Kor1]],$AI$3:$AK$105,3,FALSE)</f>
        <v>Misc. Income</v>
      </c>
      <c r="X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"/>
      <c r="Z557" t="s">
        <v>31</v>
      </c>
      <c r="AA557" t="s">
        <v>243</v>
      </c>
      <c r="AB557" t="s">
        <v>427</v>
      </c>
      <c r="AC557" s="21">
        <v>712.32</v>
      </c>
      <c r="AD557" s="21" t="s">
        <v>368</v>
      </c>
      <c r="AE557" t="str">
        <f>VLOOKUP(Table_Query_from_Actuarial___Production3[[#This Row],[Kor1]],$AI$3:$AK$105,3,FALSE)</f>
        <v>Misc. Expense</v>
      </c>
      <c r="AF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" spans="18:32" x14ac:dyDescent="0.2">
      <c r="R558" t="s">
        <v>41</v>
      </c>
      <c r="S558" t="s">
        <v>261</v>
      </c>
      <c r="T558" t="s">
        <v>6</v>
      </c>
      <c r="U558" s="21">
        <v>1254.4100000000001</v>
      </c>
      <c r="V558" s="21" t="s">
        <v>368</v>
      </c>
      <c r="W558" t="str">
        <f>VLOOKUP(Table_Query_from_Actuarial___Production[[#This Row],[Kor1]],$AI$3:$AK$105,3,FALSE)</f>
        <v>Misc. Income</v>
      </c>
      <c r="X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"/>
      <c r="Z558" t="s">
        <v>38</v>
      </c>
      <c r="AA558" t="s">
        <v>354</v>
      </c>
      <c r="AB558" t="s">
        <v>427</v>
      </c>
      <c r="AC558" s="21">
        <v>16574.18</v>
      </c>
      <c r="AD558" s="21" t="s">
        <v>368</v>
      </c>
      <c r="AE558" t="str">
        <f>VLOOKUP(Table_Query_from_Actuarial___Production3[[#This Row],[Kor1]],$AI$3:$AK$105,3,FALSE)</f>
        <v>Misc. Income</v>
      </c>
      <c r="AF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59" spans="18:32" x14ac:dyDescent="0.2">
      <c r="R559" t="s">
        <v>17</v>
      </c>
      <c r="S559" t="s">
        <v>227</v>
      </c>
      <c r="T559" t="s">
        <v>433</v>
      </c>
      <c r="U559" s="21">
        <v>2441.2399999999998</v>
      </c>
      <c r="V559" s="21" t="s">
        <v>368</v>
      </c>
      <c r="W559" t="str">
        <f>VLOOKUP(Table_Query_from_Actuarial___Production[[#This Row],[Kor1]],$AI$3:$AK$105,3,FALSE)</f>
        <v>IBNR</v>
      </c>
      <c r="X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"/>
      <c r="Z559" t="s">
        <v>40</v>
      </c>
      <c r="AA559" t="s">
        <v>255</v>
      </c>
      <c r="AB559" t="s">
        <v>441</v>
      </c>
      <c r="AC559" s="21">
        <v>5</v>
      </c>
      <c r="AD559" s="21" t="s">
        <v>368</v>
      </c>
      <c r="AE559" t="str">
        <f>VLOOKUP(Table_Query_from_Actuarial___Production3[[#This Row],[Kor1]],$AI$3:$AK$105,3,FALSE)</f>
        <v>Misc. Income</v>
      </c>
      <c r="AF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" spans="18:32" x14ac:dyDescent="0.2">
      <c r="R560" t="s">
        <v>47</v>
      </c>
      <c r="S560" t="s">
        <v>250</v>
      </c>
      <c r="T560" t="s">
        <v>7</v>
      </c>
      <c r="U560" s="21">
        <v>7.0000000000000007E-2</v>
      </c>
      <c r="V560" s="21" t="s">
        <v>368</v>
      </c>
      <c r="W560" t="str">
        <f>VLOOKUP(Table_Query_from_Actuarial___Production[[#This Row],[Kor1]],$AI$3:$AK$105,3,FALSE)</f>
        <v>Investment Income</v>
      </c>
      <c r="X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"/>
      <c r="Z560" t="s">
        <v>3</v>
      </c>
      <c r="AA560" t="s">
        <v>261</v>
      </c>
      <c r="AB560" t="s">
        <v>433</v>
      </c>
      <c r="AC560" s="21">
        <v>181271</v>
      </c>
      <c r="AD560" s="21" t="s">
        <v>368</v>
      </c>
      <c r="AE560" t="str">
        <f>VLOOKUP(Table_Query_from_Actuarial___Production3[[#This Row],[Kor1]],$AI$3:$AK$105,3,FALSE)</f>
        <v>Premiums Written</v>
      </c>
      <c r="AF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" spans="18:32" x14ac:dyDescent="0.2">
      <c r="R561" t="s">
        <v>48</v>
      </c>
      <c r="S561" t="s">
        <v>236</v>
      </c>
      <c r="T561" t="s">
        <v>433</v>
      </c>
      <c r="U561" s="21">
        <v>400.35</v>
      </c>
      <c r="V561" s="21" t="s">
        <v>368</v>
      </c>
      <c r="W561" t="str">
        <f>VLOOKUP(Table_Query_from_Actuarial___Production[[#This Row],[Kor1]],$AI$3:$AK$105,3,FALSE)</f>
        <v>Anticipated Salvage</v>
      </c>
      <c r="X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"/>
      <c r="Z561" t="s">
        <v>10</v>
      </c>
      <c r="AA561" t="s">
        <v>248</v>
      </c>
      <c r="AB561" t="s">
        <v>7</v>
      </c>
      <c r="AC561" s="21">
        <v>3051.81</v>
      </c>
      <c r="AD561" s="21" t="s">
        <v>368</v>
      </c>
      <c r="AE561" t="str">
        <f>VLOOKUP(Table_Query_from_Actuarial___Production3[[#This Row],[Kor1]],$AI$3:$AK$105,3,FALSE)</f>
        <v>Commissions</v>
      </c>
      <c r="AF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" spans="18:32" x14ac:dyDescent="0.2">
      <c r="R562" t="s">
        <v>12</v>
      </c>
      <c r="S562" t="s">
        <v>246</v>
      </c>
      <c r="T562" t="s">
        <v>6</v>
      </c>
      <c r="U562" s="21">
        <v>1363.82</v>
      </c>
      <c r="V562" s="21" t="s">
        <v>368</v>
      </c>
      <c r="W562" t="str">
        <f>VLOOKUP(Table_Query_from_Actuarial___Production[[#This Row],[Kor1]],$AI$3:$AK$105,3,FALSE)</f>
        <v>Premium Tax</v>
      </c>
      <c r="X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"/>
      <c r="Z562" t="s">
        <v>10</v>
      </c>
      <c r="AA562" t="s">
        <v>266</v>
      </c>
      <c r="AB562" t="s">
        <v>427</v>
      </c>
      <c r="AC562" s="21">
        <v>59672.81</v>
      </c>
      <c r="AD562" s="21" t="s">
        <v>368</v>
      </c>
      <c r="AE562" t="str">
        <f>VLOOKUP(Table_Query_from_Actuarial___Production3[[#This Row],[Kor1]],$AI$3:$AK$105,3,FALSE)</f>
        <v>Commissions</v>
      </c>
      <c r="AF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" spans="18:32" x14ac:dyDescent="0.2">
      <c r="R563" t="s">
        <v>11</v>
      </c>
      <c r="S563" t="s">
        <v>352</v>
      </c>
      <c r="T563" t="s">
        <v>427</v>
      </c>
      <c r="U563" s="21">
        <v>95227.71</v>
      </c>
      <c r="V563" s="21" t="s">
        <v>369</v>
      </c>
      <c r="W563" t="str">
        <f>VLOOKUP(Table_Query_from_Actuarial___Production[[#This Row],[Kor1]],$AI$3:$AK$105,3,FALSE)</f>
        <v>Losses Paid</v>
      </c>
      <c r="X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63"/>
      <c r="Z563" t="s">
        <v>21</v>
      </c>
      <c r="AA563" t="s">
        <v>228</v>
      </c>
      <c r="AB563" t="s">
        <v>356</v>
      </c>
      <c r="AC563" s="21">
        <v>1362.5</v>
      </c>
      <c r="AD563" s="21" t="s">
        <v>368</v>
      </c>
      <c r="AE563" t="str">
        <f>VLOOKUP(Table_Query_from_Actuarial___Production3[[#This Row],[Kor1]],$AI$3:$AK$105,3,FALSE)</f>
        <v>Misc. Expense</v>
      </c>
      <c r="AF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" spans="18:32" x14ac:dyDescent="0.2">
      <c r="R564" t="s">
        <v>43</v>
      </c>
      <c r="S564" t="s">
        <v>226</v>
      </c>
      <c r="T564" t="s">
        <v>351</v>
      </c>
      <c r="U564" s="21">
        <v>44391.91</v>
      </c>
      <c r="V564" s="21" t="s">
        <v>368</v>
      </c>
      <c r="W564" t="str">
        <f>VLOOKUP(Table_Query_from_Actuarial___Production[[#This Row],[Kor1]],$AI$3:$AK$105,3,FALSE)</f>
        <v>Charge-offs</v>
      </c>
      <c r="X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64"/>
      <c r="Z564" t="s">
        <v>47</v>
      </c>
      <c r="AA564" t="s">
        <v>244</v>
      </c>
      <c r="AB564" t="s">
        <v>427</v>
      </c>
      <c r="AC564" s="21">
        <v>6445.43</v>
      </c>
      <c r="AD564" s="21" t="s">
        <v>368</v>
      </c>
      <c r="AE564" t="str">
        <f>VLOOKUP(Table_Query_from_Actuarial___Production3[[#This Row],[Kor1]],$AI$3:$AK$105,3,FALSE)</f>
        <v>Investment Income</v>
      </c>
      <c r="AF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" spans="18:32" x14ac:dyDescent="0.2">
      <c r="R565" t="s">
        <v>17</v>
      </c>
      <c r="S565" t="s">
        <v>259</v>
      </c>
      <c r="T565" t="s">
        <v>442</v>
      </c>
      <c r="U565" s="21">
        <v>5530.99</v>
      </c>
      <c r="V565" s="21" t="s">
        <v>368</v>
      </c>
      <c r="W565" t="str">
        <f>VLOOKUP(Table_Query_from_Actuarial___Production[[#This Row],[Kor1]],$AI$3:$AK$105,3,FALSE)</f>
        <v>IBNR</v>
      </c>
      <c r="X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"/>
      <c r="Z565" t="s">
        <v>46</v>
      </c>
      <c r="AA565" t="s">
        <v>225</v>
      </c>
      <c r="AB565" t="s">
        <v>7</v>
      </c>
      <c r="AC565" s="21">
        <v>6761.88</v>
      </c>
      <c r="AD565" s="21" t="s">
        <v>368</v>
      </c>
      <c r="AE565" t="str">
        <f>VLOOKUP(Table_Query_from_Actuarial___Production3[[#This Row],[Kor1]],$AI$3:$AK$105,3,FALSE)</f>
        <v>Investment Income</v>
      </c>
      <c r="AF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66" spans="18:32" x14ac:dyDescent="0.2">
      <c r="R566" t="s">
        <v>11</v>
      </c>
      <c r="S566" t="s">
        <v>258</v>
      </c>
      <c r="T566" t="s">
        <v>6</v>
      </c>
      <c r="U566" s="21">
        <v>975064.09</v>
      </c>
      <c r="V566" s="21" t="s">
        <v>368</v>
      </c>
      <c r="W566" t="str">
        <f>VLOOKUP(Table_Query_from_Actuarial___Production[[#This Row],[Kor1]],$AI$3:$AK$105,3,FALSE)</f>
        <v>Losses Paid</v>
      </c>
      <c r="X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"/>
      <c r="Z566" t="s">
        <v>31</v>
      </c>
      <c r="AA566" t="s">
        <v>230</v>
      </c>
      <c r="AB566" t="s">
        <v>9</v>
      </c>
      <c r="AC566" s="21">
        <v>2386.66</v>
      </c>
      <c r="AD566" s="21" t="s">
        <v>368</v>
      </c>
      <c r="AE566" t="str">
        <f>VLOOKUP(Table_Query_from_Actuarial___Production3[[#This Row],[Kor1]],$AI$3:$AK$105,3,FALSE)</f>
        <v>Misc. Expense</v>
      </c>
      <c r="AF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" spans="18:32" x14ac:dyDescent="0.2">
      <c r="R567" t="s">
        <v>107</v>
      </c>
      <c r="S567" t="s">
        <v>259</v>
      </c>
      <c r="T567" t="s">
        <v>445</v>
      </c>
      <c r="U567" s="21">
        <v>11.02</v>
      </c>
      <c r="V567" s="21" t="s">
        <v>368</v>
      </c>
      <c r="W567" t="str">
        <f>VLOOKUP(Table_Query_from_Actuarial___Production[[#This Row],[Kor1]],$AI$3:$AK$105,3,FALSE)</f>
        <v>Misc. Expense</v>
      </c>
      <c r="X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"/>
      <c r="Z567" t="s">
        <v>3</v>
      </c>
      <c r="AA567" t="s">
        <v>241</v>
      </c>
      <c r="AB567" t="s">
        <v>442</v>
      </c>
      <c r="AC567" s="21">
        <v>218035</v>
      </c>
      <c r="AD567" s="21" t="s">
        <v>368</v>
      </c>
      <c r="AE567" t="str">
        <f>VLOOKUP(Table_Query_from_Actuarial___Production3[[#This Row],[Kor1]],$AI$3:$AK$105,3,FALSE)</f>
        <v>Premiums Written</v>
      </c>
      <c r="AF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" spans="18:32" x14ac:dyDescent="0.2">
      <c r="R568" t="s">
        <v>3</v>
      </c>
      <c r="S568" t="s">
        <v>354</v>
      </c>
      <c r="T568" t="s">
        <v>356</v>
      </c>
      <c r="U568" s="21">
        <v>114444820.31999999</v>
      </c>
      <c r="V568" s="21" t="s">
        <v>368</v>
      </c>
      <c r="W568" t="str">
        <f>VLOOKUP(Table_Query_from_Actuarial___Production[[#This Row],[Kor1]],$AI$3:$AK$105,3,FALSE)</f>
        <v>Premiums Written</v>
      </c>
      <c r="X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68"/>
      <c r="Z568" t="s">
        <v>16</v>
      </c>
      <c r="AA568" t="s">
        <v>230</v>
      </c>
      <c r="AB568" t="s">
        <v>433</v>
      </c>
      <c r="AC568" s="21">
        <v>7180508.1699999999</v>
      </c>
      <c r="AD568" s="21" t="s">
        <v>368</v>
      </c>
      <c r="AE568" t="str">
        <f>VLOOKUP(Table_Query_from_Actuarial___Production3[[#This Row],[Kor1]],$AI$3:$AK$105,3,FALSE)</f>
        <v>Losses Outstanding</v>
      </c>
      <c r="AF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" spans="18:32" x14ac:dyDescent="0.2">
      <c r="R569" t="s">
        <v>46</v>
      </c>
      <c r="S569" t="s">
        <v>352</v>
      </c>
      <c r="T569" t="s">
        <v>351</v>
      </c>
      <c r="U569" s="21">
        <v>42.09</v>
      </c>
      <c r="V569" s="21" t="s">
        <v>368</v>
      </c>
      <c r="W569" t="str">
        <f>VLOOKUP(Table_Query_from_Actuarial___Production[[#This Row],[Kor1]],$AI$3:$AK$105,3,FALSE)</f>
        <v>Investment Income</v>
      </c>
      <c r="X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69"/>
      <c r="Z569" t="s">
        <v>24</v>
      </c>
      <c r="AA569" t="s">
        <v>259</v>
      </c>
      <c r="AB569" t="s">
        <v>8</v>
      </c>
      <c r="AC569" s="21">
        <v>-5.59</v>
      </c>
      <c r="AD569" s="21" t="s">
        <v>368</v>
      </c>
      <c r="AE569" t="str">
        <f>VLOOKUP(Table_Query_from_Actuarial___Production3[[#This Row],[Kor1]],$AI$3:$AK$105,3,FALSE)</f>
        <v>Misc. Expense</v>
      </c>
      <c r="AF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" spans="18:32" x14ac:dyDescent="0.2">
      <c r="R570" t="s">
        <v>41</v>
      </c>
      <c r="S570" t="s">
        <v>227</v>
      </c>
      <c r="T570" t="s">
        <v>351</v>
      </c>
      <c r="U570" s="21">
        <v>1056.58</v>
      </c>
      <c r="V570" s="21" t="s">
        <v>368</v>
      </c>
      <c r="W570" t="str">
        <f>VLOOKUP(Table_Query_from_Actuarial___Production[[#This Row],[Kor1]],$AI$3:$AK$105,3,FALSE)</f>
        <v>Misc. Income</v>
      </c>
      <c r="X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"/>
      <c r="Z570" t="s">
        <v>10</v>
      </c>
      <c r="AA570" t="s">
        <v>226</v>
      </c>
      <c r="AB570" t="s">
        <v>427</v>
      </c>
      <c r="AC570" s="21">
        <v>314833.34999999998</v>
      </c>
      <c r="AD570" s="21" t="s">
        <v>368</v>
      </c>
      <c r="AE570" t="str">
        <f>VLOOKUP(Table_Query_from_Actuarial___Production3[[#This Row],[Kor1]],$AI$3:$AK$105,3,FALSE)</f>
        <v>Commissions</v>
      </c>
      <c r="AF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71" spans="18:32" x14ac:dyDescent="0.2">
      <c r="R571" t="s">
        <v>44</v>
      </c>
      <c r="S571" t="s">
        <v>232</v>
      </c>
      <c r="T571" t="s">
        <v>356</v>
      </c>
      <c r="U571" s="21">
        <v>2298.7199999999998</v>
      </c>
      <c r="V571" s="21" t="s">
        <v>368</v>
      </c>
      <c r="W571" t="str">
        <f>VLOOKUP(Table_Query_from_Actuarial___Production[[#This Row],[Kor1]],$AI$3:$AK$105,3,FALSE)</f>
        <v>Charge-offs</v>
      </c>
      <c r="X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"/>
      <c r="Z571" t="s">
        <v>10</v>
      </c>
      <c r="AA571" t="s">
        <v>261</v>
      </c>
      <c r="AB571" t="s">
        <v>5</v>
      </c>
      <c r="AC571" s="21">
        <v>27199.15</v>
      </c>
      <c r="AD571" s="21" t="s">
        <v>368</v>
      </c>
      <c r="AE571" t="str">
        <f>VLOOKUP(Table_Query_from_Actuarial___Production3[[#This Row],[Kor1]],$AI$3:$AK$105,3,FALSE)</f>
        <v>Commissions</v>
      </c>
      <c r="AF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" spans="18:32" x14ac:dyDescent="0.2">
      <c r="R572" t="s">
        <v>3</v>
      </c>
      <c r="S572" t="s">
        <v>263</v>
      </c>
      <c r="T572" t="s">
        <v>441</v>
      </c>
      <c r="U572" s="21">
        <v>529645</v>
      </c>
      <c r="V572" s="21" t="s">
        <v>368</v>
      </c>
      <c r="W572" t="str">
        <f>VLOOKUP(Table_Query_from_Actuarial___Production[[#This Row],[Kor1]],$AI$3:$AK$105,3,FALSE)</f>
        <v>Premiums Written</v>
      </c>
      <c r="X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"/>
      <c r="Z572" t="s">
        <v>77</v>
      </c>
      <c r="AA572" t="s">
        <v>248</v>
      </c>
      <c r="AB572" t="s">
        <v>443</v>
      </c>
      <c r="AC572" s="21">
        <v>23795</v>
      </c>
      <c r="AD572" s="21" t="s">
        <v>368</v>
      </c>
      <c r="AE572" t="str">
        <f>VLOOKUP(Table_Query_from_Actuarial___Production3[[#This Row],[Kor1]],$AI$3:$AK$105,3,FALSE)</f>
        <v>PDR</v>
      </c>
      <c r="AF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" spans="18:32" x14ac:dyDescent="0.2">
      <c r="R573" t="s">
        <v>43</v>
      </c>
      <c r="S573" t="s">
        <v>249</v>
      </c>
      <c r="T573" t="s">
        <v>6</v>
      </c>
      <c r="U573" s="21">
        <v>705.06</v>
      </c>
      <c r="V573" s="21" t="s">
        <v>368</v>
      </c>
      <c r="W573" t="str">
        <f>VLOOKUP(Table_Query_from_Actuarial___Production[[#This Row],[Kor1]],$AI$3:$AK$105,3,FALSE)</f>
        <v>Charge-offs</v>
      </c>
      <c r="X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"/>
      <c r="Z573" t="s">
        <v>20</v>
      </c>
      <c r="AA573" t="s">
        <v>238</v>
      </c>
      <c r="AB573" t="s">
        <v>7</v>
      </c>
      <c r="AC573" s="21">
        <v>113.37</v>
      </c>
      <c r="AD573" s="21" t="s">
        <v>368</v>
      </c>
      <c r="AE573" t="str">
        <f>VLOOKUP(Table_Query_from_Actuarial___Production3[[#This Row],[Kor1]],$AI$3:$AK$105,3,FALSE)</f>
        <v>Misc. Expense</v>
      </c>
      <c r="AF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" spans="18:32" x14ac:dyDescent="0.2">
      <c r="R574" t="s">
        <v>47</v>
      </c>
      <c r="S574" t="s">
        <v>231</v>
      </c>
      <c r="T574" t="s">
        <v>441</v>
      </c>
      <c r="U574" s="21">
        <v>23.26</v>
      </c>
      <c r="V574" s="21" t="s">
        <v>368</v>
      </c>
      <c r="W574" t="str">
        <f>VLOOKUP(Table_Query_from_Actuarial___Production[[#This Row],[Kor1]],$AI$3:$AK$105,3,FALSE)</f>
        <v>Investment Income</v>
      </c>
      <c r="X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"/>
      <c r="Z574" t="s">
        <v>10</v>
      </c>
      <c r="AA574" t="s">
        <v>233</v>
      </c>
      <c r="AB574" t="s">
        <v>442</v>
      </c>
      <c r="AC574" s="21">
        <v>78953.94</v>
      </c>
      <c r="AD574" s="21" t="s">
        <v>368</v>
      </c>
      <c r="AE574" t="str">
        <f>VLOOKUP(Table_Query_from_Actuarial___Production3[[#This Row],[Kor1]],$AI$3:$AK$105,3,FALSE)</f>
        <v>Commissions</v>
      </c>
      <c r="AF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" spans="18:32" x14ac:dyDescent="0.2">
      <c r="R575" t="s">
        <v>3</v>
      </c>
      <c r="S575" t="s">
        <v>266</v>
      </c>
      <c r="T575" t="s">
        <v>7</v>
      </c>
      <c r="U575" s="21">
        <v>584908</v>
      </c>
      <c r="V575" s="21" t="s">
        <v>368</v>
      </c>
      <c r="W575" t="str">
        <f>VLOOKUP(Table_Query_from_Actuarial___Production[[#This Row],[Kor1]],$AI$3:$AK$105,3,FALSE)</f>
        <v>Premiums Written</v>
      </c>
      <c r="X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"/>
      <c r="Z575" t="s">
        <v>28</v>
      </c>
      <c r="AA575" t="s">
        <v>259</v>
      </c>
      <c r="AB575" t="s">
        <v>8</v>
      </c>
      <c r="AC575" s="21">
        <v>643.80999999999995</v>
      </c>
      <c r="AD575" s="21" t="s">
        <v>368</v>
      </c>
      <c r="AE575" t="str">
        <f>VLOOKUP(Table_Query_from_Actuarial___Production3[[#This Row],[Kor1]],$AI$3:$AK$105,3,FALSE)</f>
        <v>Misc. Expense</v>
      </c>
      <c r="AF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" spans="18:32" x14ac:dyDescent="0.2">
      <c r="R576" t="s">
        <v>12</v>
      </c>
      <c r="S576" t="s">
        <v>235</v>
      </c>
      <c r="T576" t="s">
        <v>356</v>
      </c>
      <c r="U576" s="21">
        <v>34205.03</v>
      </c>
      <c r="V576" s="21" t="s">
        <v>368</v>
      </c>
      <c r="W576" t="str">
        <f>VLOOKUP(Table_Query_from_Actuarial___Production[[#This Row],[Kor1]],$AI$3:$AK$105,3,FALSE)</f>
        <v>Premium Tax</v>
      </c>
      <c r="X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"/>
      <c r="Z576" t="s">
        <v>33</v>
      </c>
      <c r="AA576" t="s">
        <v>4</v>
      </c>
      <c r="AB576" t="s">
        <v>433</v>
      </c>
      <c r="AC576" s="21">
        <v>41049.370000000003</v>
      </c>
      <c r="AD576" s="21" t="s">
        <v>368</v>
      </c>
      <c r="AE576" t="str">
        <f>VLOOKUP(Table_Query_from_Actuarial___Production3[[#This Row],[Kor1]],$AI$3:$AK$105,3,FALSE)</f>
        <v>Misc. Expense</v>
      </c>
      <c r="AF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" spans="18:32" x14ac:dyDescent="0.2">
      <c r="R577" t="s">
        <v>17</v>
      </c>
      <c r="S577" t="s">
        <v>4</v>
      </c>
      <c r="T577" t="s">
        <v>356</v>
      </c>
      <c r="U577" s="21">
        <v>210039</v>
      </c>
      <c r="V577" s="21" t="s">
        <v>368</v>
      </c>
      <c r="W577" t="str">
        <f>VLOOKUP(Table_Query_from_Actuarial___Production[[#This Row],[Kor1]],$AI$3:$AK$105,3,FALSE)</f>
        <v>IBNR</v>
      </c>
      <c r="X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"/>
      <c r="Z577" t="s">
        <v>10</v>
      </c>
      <c r="AA577" t="s">
        <v>240</v>
      </c>
      <c r="AB577" t="s">
        <v>8</v>
      </c>
      <c r="AC577" s="21">
        <v>103955.25</v>
      </c>
      <c r="AD577" s="21" t="s">
        <v>368</v>
      </c>
      <c r="AE577" t="str">
        <f>VLOOKUP(Table_Query_from_Actuarial___Production3[[#This Row],[Kor1]],$AI$3:$AK$105,3,FALSE)</f>
        <v>Commissions</v>
      </c>
      <c r="AF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" spans="18:32" x14ac:dyDescent="0.2">
      <c r="R578" t="s">
        <v>48</v>
      </c>
      <c r="S578" t="s">
        <v>244</v>
      </c>
      <c r="T578" t="s">
        <v>433</v>
      </c>
      <c r="U578" s="21">
        <v>3859.16</v>
      </c>
      <c r="V578" s="21" t="s">
        <v>368</v>
      </c>
      <c r="W578" t="str">
        <f>VLOOKUP(Table_Query_from_Actuarial___Production[[#This Row],[Kor1]],$AI$3:$AK$105,3,FALSE)</f>
        <v>Anticipated Salvage</v>
      </c>
      <c r="X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"/>
      <c r="Z578" t="s">
        <v>11</v>
      </c>
      <c r="AA578" t="s">
        <v>231</v>
      </c>
      <c r="AB578" t="s">
        <v>7</v>
      </c>
      <c r="AC578" s="21">
        <v>123129.95</v>
      </c>
      <c r="AD578" s="21" t="s">
        <v>368</v>
      </c>
      <c r="AE578" t="str">
        <f>VLOOKUP(Table_Query_from_Actuarial___Production3[[#This Row],[Kor1]],$AI$3:$AK$105,3,FALSE)</f>
        <v>Losses Paid</v>
      </c>
      <c r="AF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" spans="18:32" x14ac:dyDescent="0.2">
      <c r="R579" t="s">
        <v>3</v>
      </c>
      <c r="S579" t="s">
        <v>224</v>
      </c>
      <c r="T579" t="s">
        <v>442</v>
      </c>
      <c r="U579" s="21">
        <v>42370</v>
      </c>
      <c r="V579" s="21" t="s">
        <v>369</v>
      </c>
      <c r="W579" t="str">
        <f>VLOOKUP(Table_Query_from_Actuarial___Production[[#This Row],[Kor1]],$AI$3:$AK$105,3,FALSE)</f>
        <v>Premiums Written</v>
      </c>
      <c r="X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79"/>
      <c r="Z579" t="s">
        <v>13</v>
      </c>
      <c r="AA579" t="s">
        <v>268</v>
      </c>
      <c r="AB579" t="s">
        <v>433</v>
      </c>
      <c r="AC579" s="21">
        <v>40865.79</v>
      </c>
      <c r="AD579" s="21" t="s">
        <v>368</v>
      </c>
      <c r="AE579" t="str">
        <f>VLOOKUP(Table_Query_from_Actuarial___Production3[[#This Row],[Kor1]],$AI$3:$AK$105,3,FALSE)</f>
        <v>Operating Service Fees</v>
      </c>
      <c r="AF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" spans="18:32" x14ac:dyDescent="0.2">
      <c r="R580" t="s">
        <v>16</v>
      </c>
      <c r="S580" t="s">
        <v>354</v>
      </c>
      <c r="T580" t="s">
        <v>445</v>
      </c>
      <c r="U580" s="21">
        <v>130302356.11</v>
      </c>
      <c r="V580" s="21" t="s">
        <v>369</v>
      </c>
      <c r="W580" t="str">
        <f>VLOOKUP(Table_Query_from_Actuarial___Production[[#This Row],[Kor1]],$AI$3:$AK$105,3,FALSE)</f>
        <v>Losses Outstanding</v>
      </c>
      <c r="X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80"/>
      <c r="Z580" t="s">
        <v>47</v>
      </c>
      <c r="AA580" t="s">
        <v>229</v>
      </c>
      <c r="AB580" t="s">
        <v>351</v>
      </c>
      <c r="AC580" s="21">
        <v>274.61</v>
      </c>
      <c r="AD580" s="21" t="s">
        <v>368</v>
      </c>
      <c r="AE580" t="str">
        <f>VLOOKUP(Table_Query_from_Actuarial___Production3[[#This Row],[Kor1]],$AI$3:$AK$105,3,FALSE)</f>
        <v>Investment Income</v>
      </c>
      <c r="AF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" spans="18:32" x14ac:dyDescent="0.2">
      <c r="R581" t="s">
        <v>44</v>
      </c>
      <c r="S581" t="s">
        <v>225</v>
      </c>
      <c r="T581" t="s">
        <v>443</v>
      </c>
      <c r="U581" s="21">
        <v>1452</v>
      </c>
      <c r="V581" s="21" t="s">
        <v>369</v>
      </c>
      <c r="W581" t="str">
        <f>VLOOKUP(Table_Query_from_Actuarial___Production[[#This Row],[Kor1]],$AI$3:$AK$105,3,FALSE)</f>
        <v>Charge-offs</v>
      </c>
      <c r="X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81"/>
      <c r="Z581" t="s">
        <v>19</v>
      </c>
      <c r="AA581" t="s">
        <v>249</v>
      </c>
      <c r="AB581" t="s">
        <v>441</v>
      </c>
      <c r="AC581" s="21">
        <v>207.03</v>
      </c>
      <c r="AD581" s="21" t="s">
        <v>368</v>
      </c>
      <c r="AE581" t="str">
        <f>VLOOKUP(Table_Query_from_Actuarial___Production3[[#This Row],[Kor1]],$AI$3:$AK$105,3,FALSE)</f>
        <v>Misc. Expense for Insolvent Companies</v>
      </c>
      <c r="AF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" spans="18:32" x14ac:dyDescent="0.2">
      <c r="R582" t="s">
        <v>13</v>
      </c>
      <c r="S582" t="s">
        <v>262</v>
      </c>
      <c r="T582" t="s">
        <v>427</v>
      </c>
      <c r="U582" s="21">
        <v>66535.55</v>
      </c>
      <c r="V582" s="21" t="s">
        <v>368</v>
      </c>
      <c r="W582" t="str">
        <f>VLOOKUP(Table_Query_from_Actuarial___Production[[#This Row],[Kor1]],$AI$3:$AK$105,3,FALSE)</f>
        <v>Operating Service Fees</v>
      </c>
      <c r="X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"/>
      <c r="Z582" t="s">
        <v>20</v>
      </c>
      <c r="AA582" t="s">
        <v>252</v>
      </c>
      <c r="AB582" t="s">
        <v>7</v>
      </c>
      <c r="AC582" s="21">
        <v>2957.55</v>
      </c>
      <c r="AD582" s="21" t="s">
        <v>368</v>
      </c>
      <c r="AE582" t="str">
        <f>VLOOKUP(Table_Query_from_Actuarial___Production3[[#This Row],[Kor1]],$AI$3:$AK$105,3,FALSE)</f>
        <v>Misc. Expense</v>
      </c>
      <c r="AF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" spans="18:32" x14ac:dyDescent="0.2">
      <c r="R583" t="s">
        <v>50</v>
      </c>
      <c r="S583" t="s">
        <v>234</v>
      </c>
      <c r="T583" t="s">
        <v>433</v>
      </c>
      <c r="U583" s="21">
        <v>3186.97</v>
      </c>
      <c r="V583" s="21" t="s">
        <v>368</v>
      </c>
      <c r="W583" t="str">
        <f>VLOOKUP(Table_Query_from_Actuarial___Production[[#This Row],[Kor1]],$AI$3:$AK$105,3,FALSE)</f>
        <v>ALAE Reserve</v>
      </c>
      <c r="X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"/>
      <c r="Z583" t="s">
        <v>19</v>
      </c>
      <c r="AA583" t="s">
        <v>243</v>
      </c>
      <c r="AB583" t="s">
        <v>6</v>
      </c>
      <c r="AC583" s="21">
        <v>969</v>
      </c>
      <c r="AD583" s="21" t="s">
        <v>368</v>
      </c>
      <c r="AE583" t="str">
        <f>VLOOKUP(Table_Query_from_Actuarial___Production3[[#This Row],[Kor1]],$AI$3:$AK$105,3,FALSE)</f>
        <v>Misc. Expense for Insolvent Companies</v>
      </c>
      <c r="AF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" spans="18:32" x14ac:dyDescent="0.2">
      <c r="R584" t="s">
        <v>13</v>
      </c>
      <c r="S584" t="s">
        <v>265</v>
      </c>
      <c r="T584" t="s">
        <v>8</v>
      </c>
      <c r="U584" s="21">
        <v>147414.97</v>
      </c>
      <c r="V584" s="21" t="s">
        <v>368</v>
      </c>
      <c r="W584" t="str">
        <f>VLOOKUP(Table_Query_from_Actuarial___Production[[#This Row],[Kor1]],$AI$3:$AK$105,3,FALSE)</f>
        <v>Operating Service Fees</v>
      </c>
      <c r="X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"/>
      <c r="Z584" t="s">
        <v>40</v>
      </c>
      <c r="AA584" t="s">
        <v>256</v>
      </c>
      <c r="AB584" t="s">
        <v>433</v>
      </c>
      <c r="AC584" s="21">
        <v>9</v>
      </c>
      <c r="AD584" s="21" t="s">
        <v>368</v>
      </c>
      <c r="AE584" t="str">
        <f>VLOOKUP(Table_Query_from_Actuarial___Production3[[#This Row],[Kor1]],$AI$3:$AK$105,3,FALSE)</f>
        <v>Misc. Income</v>
      </c>
      <c r="AF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" spans="18:32" x14ac:dyDescent="0.2">
      <c r="R585" t="s">
        <v>43</v>
      </c>
      <c r="S585" t="s">
        <v>224</v>
      </c>
      <c r="T585" t="s">
        <v>351</v>
      </c>
      <c r="U585" s="21">
        <v>3.03</v>
      </c>
      <c r="V585" s="21" t="s">
        <v>425</v>
      </c>
      <c r="W585" t="str">
        <f>VLOOKUP(Table_Query_from_Actuarial___Production[[#This Row],[Kor1]],$AI$3:$AK$105,3,FALSE)</f>
        <v>Charge-offs</v>
      </c>
      <c r="X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85"/>
      <c r="Z585" t="s">
        <v>41</v>
      </c>
      <c r="AA585" t="s">
        <v>261</v>
      </c>
      <c r="AB585" t="s">
        <v>6</v>
      </c>
      <c r="AC585" s="21">
        <v>1254.4100000000001</v>
      </c>
      <c r="AD585" s="21" t="s">
        <v>368</v>
      </c>
      <c r="AE585" t="str">
        <f>VLOOKUP(Table_Query_from_Actuarial___Production3[[#This Row],[Kor1]],$AI$3:$AK$105,3,FALSE)</f>
        <v>Misc. Income</v>
      </c>
      <c r="AF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" spans="18:32" x14ac:dyDescent="0.2">
      <c r="R586" t="s">
        <v>11</v>
      </c>
      <c r="S586" t="s">
        <v>260</v>
      </c>
      <c r="T586" t="s">
        <v>351</v>
      </c>
      <c r="U586" s="21">
        <v>8694.7099999999991</v>
      </c>
      <c r="V586" s="21" t="s">
        <v>368</v>
      </c>
      <c r="W586" t="str">
        <f>VLOOKUP(Table_Query_from_Actuarial___Production[[#This Row],[Kor1]],$AI$3:$AK$105,3,FALSE)</f>
        <v>Losses Paid</v>
      </c>
      <c r="X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"/>
      <c r="Z586" t="s">
        <v>17</v>
      </c>
      <c r="AA586" t="s">
        <v>227</v>
      </c>
      <c r="AB586" t="s">
        <v>433</v>
      </c>
      <c r="AC586" s="21">
        <v>1445.42</v>
      </c>
      <c r="AD586" s="21" t="s">
        <v>368</v>
      </c>
      <c r="AE586" t="str">
        <f>VLOOKUP(Table_Query_from_Actuarial___Production3[[#This Row],[Kor1]],$AI$3:$AK$105,3,FALSE)</f>
        <v>IBNR</v>
      </c>
      <c r="AF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" spans="18:32" x14ac:dyDescent="0.2">
      <c r="R587" t="s">
        <v>14</v>
      </c>
      <c r="S587" t="s">
        <v>235</v>
      </c>
      <c r="T587" t="s">
        <v>443</v>
      </c>
      <c r="U587" s="21">
        <v>2473.2199999999998</v>
      </c>
      <c r="V587" s="21" t="s">
        <v>368</v>
      </c>
      <c r="W587" t="str">
        <f>VLOOKUP(Table_Query_from_Actuarial___Production[[#This Row],[Kor1]],$AI$3:$AK$105,3,FALSE)</f>
        <v>Claims Expense</v>
      </c>
      <c r="X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"/>
      <c r="Z587" t="s">
        <v>47</v>
      </c>
      <c r="AA587" t="s">
        <v>250</v>
      </c>
      <c r="AB587" t="s">
        <v>7</v>
      </c>
      <c r="AC587" s="21">
        <v>7.0000000000000007E-2</v>
      </c>
      <c r="AD587" s="21" t="s">
        <v>368</v>
      </c>
      <c r="AE587" t="str">
        <f>VLOOKUP(Table_Query_from_Actuarial___Production3[[#This Row],[Kor1]],$AI$3:$AK$105,3,FALSE)</f>
        <v>Investment Income</v>
      </c>
      <c r="AF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" spans="18:32" x14ac:dyDescent="0.2">
      <c r="R588" t="s">
        <v>14</v>
      </c>
      <c r="S588" t="s">
        <v>262</v>
      </c>
      <c r="T588" t="s">
        <v>442</v>
      </c>
      <c r="U588" s="21">
        <v>8274.18</v>
      </c>
      <c r="V588" s="21" t="s">
        <v>368</v>
      </c>
      <c r="W588" t="str">
        <f>VLOOKUP(Table_Query_from_Actuarial___Production[[#This Row],[Kor1]],$AI$3:$AK$105,3,FALSE)</f>
        <v>Claims Expense</v>
      </c>
      <c r="X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"/>
      <c r="Z588" t="s">
        <v>48</v>
      </c>
      <c r="AA588" t="s">
        <v>236</v>
      </c>
      <c r="AB588" t="s">
        <v>433</v>
      </c>
      <c r="AC588" s="21">
        <v>646.39</v>
      </c>
      <c r="AD588" s="21" t="s">
        <v>368</v>
      </c>
      <c r="AE588" t="str">
        <f>VLOOKUP(Table_Query_from_Actuarial___Production3[[#This Row],[Kor1]],$AI$3:$AK$105,3,FALSE)</f>
        <v>Anticipated Salvage</v>
      </c>
      <c r="AF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" spans="18:32" x14ac:dyDescent="0.2">
      <c r="R589" t="s">
        <v>40</v>
      </c>
      <c r="S589" t="s">
        <v>235</v>
      </c>
      <c r="T589" t="s">
        <v>433</v>
      </c>
      <c r="U589" s="21">
        <v>28</v>
      </c>
      <c r="V589" s="21" t="s">
        <v>368</v>
      </c>
      <c r="W589" t="str">
        <f>VLOOKUP(Table_Query_from_Actuarial___Production[[#This Row],[Kor1]],$AI$3:$AK$105,3,FALSE)</f>
        <v>Misc. Income</v>
      </c>
      <c r="X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"/>
      <c r="Z589" t="s">
        <v>12</v>
      </c>
      <c r="AA589" t="s">
        <v>246</v>
      </c>
      <c r="AB589" t="s">
        <v>6</v>
      </c>
      <c r="AC589" s="21">
        <v>1363.82</v>
      </c>
      <c r="AD589" s="21" t="s">
        <v>368</v>
      </c>
      <c r="AE589" t="str">
        <f>VLOOKUP(Table_Query_from_Actuarial___Production3[[#This Row],[Kor1]],$AI$3:$AK$105,3,FALSE)</f>
        <v>Premium Tax</v>
      </c>
      <c r="AF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" spans="18:32" x14ac:dyDescent="0.2">
      <c r="R590" t="s">
        <v>47</v>
      </c>
      <c r="S590" t="s">
        <v>241</v>
      </c>
      <c r="T590" t="s">
        <v>433</v>
      </c>
      <c r="U590" s="21">
        <v>1292.48</v>
      </c>
      <c r="V590" s="21" t="s">
        <v>368</v>
      </c>
      <c r="W590" t="str">
        <f>VLOOKUP(Table_Query_from_Actuarial___Production[[#This Row],[Kor1]],$AI$3:$AK$105,3,FALSE)</f>
        <v>Investment Income</v>
      </c>
      <c r="X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"/>
      <c r="Z590" t="s">
        <v>11</v>
      </c>
      <c r="AA590" t="s">
        <v>352</v>
      </c>
      <c r="AB590" t="s">
        <v>427</v>
      </c>
      <c r="AC590" s="21">
        <v>103039.39</v>
      </c>
      <c r="AD590" s="21" t="s">
        <v>369</v>
      </c>
      <c r="AE590" t="str">
        <f>VLOOKUP(Table_Query_from_Actuarial___Production3[[#This Row],[Kor1]],$AI$3:$AK$105,3,FALSE)</f>
        <v>Losses Paid</v>
      </c>
      <c r="AF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91" spans="18:32" x14ac:dyDescent="0.2">
      <c r="R591" t="s">
        <v>10</v>
      </c>
      <c r="S591" t="s">
        <v>226</v>
      </c>
      <c r="T591" t="s">
        <v>443</v>
      </c>
      <c r="U591" s="21">
        <v>523390.4</v>
      </c>
      <c r="V591" s="21" t="s">
        <v>368</v>
      </c>
      <c r="W591" t="str">
        <f>VLOOKUP(Table_Query_from_Actuarial___Production[[#This Row],[Kor1]],$AI$3:$AK$105,3,FALSE)</f>
        <v>Commissions</v>
      </c>
      <c r="X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91"/>
      <c r="Z591" t="s">
        <v>43</v>
      </c>
      <c r="AA591" t="s">
        <v>226</v>
      </c>
      <c r="AB591" t="s">
        <v>351</v>
      </c>
      <c r="AC591" s="21">
        <v>44391.91</v>
      </c>
      <c r="AD591" s="21" t="s">
        <v>368</v>
      </c>
      <c r="AE591" t="str">
        <f>VLOOKUP(Table_Query_from_Actuarial___Production3[[#This Row],[Kor1]],$AI$3:$AK$105,3,FALSE)</f>
        <v>Charge-offs</v>
      </c>
      <c r="AF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92" spans="18:32" x14ac:dyDescent="0.2">
      <c r="R592" t="s">
        <v>11</v>
      </c>
      <c r="S592" t="s">
        <v>236</v>
      </c>
      <c r="T592" t="s">
        <v>356</v>
      </c>
      <c r="U592" s="21">
        <v>2250.86</v>
      </c>
      <c r="V592" s="21" t="s">
        <v>368</v>
      </c>
      <c r="W592" t="str">
        <f>VLOOKUP(Table_Query_from_Actuarial___Production[[#This Row],[Kor1]],$AI$3:$AK$105,3,FALSE)</f>
        <v>Losses Paid</v>
      </c>
      <c r="X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"/>
      <c r="Z592" t="s">
        <v>17</v>
      </c>
      <c r="AA592" t="s">
        <v>259</v>
      </c>
      <c r="AB592" t="s">
        <v>442</v>
      </c>
      <c r="AC592" s="21">
        <v>10372.94</v>
      </c>
      <c r="AD592" s="21" t="s">
        <v>368</v>
      </c>
      <c r="AE592" t="str">
        <f>VLOOKUP(Table_Query_from_Actuarial___Production3[[#This Row],[Kor1]],$AI$3:$AK$105,3,FALSE)</f>
        <v>IBNR</v>
      </c>
      <c r="AF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" spans="18:32" x14ac:dyDescent="0.2">
      <c r="R593" t="s">
        <v>33</v>
      </c>
      <c r="S593" t="s">
        <v>256</v>
      </c>
      <c r="T593" t="s">
        <v>443</v>
      </c>
      <c r="U593" s="21">
        <v>21062.63</v>
      </c>
      <c r="V593" s="21" t="s">
        <v>368</v>
      </c>
      <c r="W593" t="str">
        <f>VLOOKUP(Table_Query_from_Actuarial___Production[[#This Row],[Kor1]],$AI$3:$AK$105,3,FALSE)</f>
        <v>Misc. Expense</v>
      </c>
      <c r="X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"/>
      <c r="Z593" t="s">
        <v>11</v>
      </c>
      <c r="AA593" t="s">
        <v>258</v>
      </c>
      <c r="AB593" t="s">
        <v>6</v>
      </c>
      <c r="AC593" s="21">
        <v>974815.81</v>
      </c>
      <c r="AD593" s="21" t="s">
        <v>368</v>
      </c>
      <c r="AE593" t="str">
        <f>VLOOKUP(Table_Query_from_Actuarial___Production3[[#This Row],[Kor1]],$AI$3:$AK$105,3,FALSE)</f>
        <v>Losses Paid</v>
      </c>
      <c r="AF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" spans="18:32" x14ac:dyDescent="0.2">
      <c r="R594" t="s">
        <v>12</v>
      </c>
      <c r="S594" t="s">
        <v>241</v>
      </c>
      <c r="T594" t="s">
        <v>441</v>
      </c>
      <c r="U594" s="21">
        <v>5439.25</v>
      </c>
      <c r="V594" s="21" t="s">
        <v>368</v>
      </c>
      <c r="W594" t="str">
        <f>VLOOKUP(Table_Query_from_Actuarial___Production[[#This Row],[Kor1]],$AI$3:$AK$105,3,FALSE)</f>
        <v>Premium Tax</v>
      </c>
      <c r="X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"/>
      <c r="Z594" t="s">
        <v>3</v>
      </c>
      <c r="AA594" t="s">
        <v>354</v>
      </c>
      <c r="AB594" t="s">
        <v>356</v>
      </c>
      <c r="AC594" s="21">
        <v>114454015.89</v>
      </c>
      <c r="AD594" s="21" t="s">
        <v>368</v>
      </c>
      <c r="AE594" t="str">
        <f>VLOOKUP(Table_Query_from_Actuarial___Production3[[#This Row],[Kor1]],$AI$3:$AK$105,3,FALSE)</f>
        <v>Premiums Written</v>
      </c>
      <c r="AF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95" spans="18:32" x14ac:dyDescent="0.2">
      <c r="R595" t="s">
        <v>38</v>
      </c>
      <c r="S595" t="s">
        <v>225</v>
      </c>
      <c r="T595" t="s">
        <v>433</v>
      </c>
      <c r="U595" s="21">
        <v>1035300.54</v>
      </c>
      <c r="V595" s="21" t="s">
        <v>368</v>
      </c>
      <c r="W595" t="str">
        <f>VLOOKUP(Table_Query_from_Actuarial___Production[[#This Row],[Kor1]],$AI$3:$AK$105,3,FALSE)</f>
        <v>Misc. Income</v>
      </c>
      <c r="X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95"/>
      <c r="Z595" t="s">
        <v>46</v>
      </c>
      <c r="AA595" t="s">
        <v>352</v>
      </c>
      <c r="AB595" t="s">
        <v>351</v>
      </c>
      <c r="AC595" s="21">
        <v>42.09</v>
      </c>
      <c r="AD595" s="21" t="s">
        <v>368</v>
      </c>
      <c r="AE595" t="str">
        <f>VLOOKUP(Table_Query_from_Actuarial___Production3[[#This Row],[Kor1]],$AI$3:$AK$105,3,FALSE)</f>
        <v>Investment Income</v>
      </c>
      <c r="AF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96" spans="18:32" x14ac:dyDescent="0.2">
      <c r="R596" t="s">
        <v>19</v>
      </c>
      <c r="S596" t="s">
        <v>249</v>
      </c>
      <c r="T596" t="s">
        <v>351</v>
      </c>
      <c r="U596" s="21">
        <v>2559</v>
      </c>
      <c r="V596" s="21" t="s">
        <v>368</v>
      </c>
      <c r="W596" t="str">
        <f>VLOOKUP(Table_Query_from_Actuarial___Production[[#This Row],[Kor1]],$AI$3:$AK$105,3,FALSE)</f>
        <v>Misc. Expense for Insolvent Companies</v>
      </c>
      <c r="X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"/>
      <c r="Z596" t="s">
        <v>41</v>
      </c>
      <c r="AA596" t="s">
        <v>227</v>
      </c>
      <c r="AB596" t="s">
        <v>351</v>
      </c>
      <c r="AC596" s="21">
        <v>1056.58</v>
      </c>
      <c r="AD596" s="21" t="s">
        <v>368</v>
      </c>
      <c r="AE596" t="str">
        <f>VLOOKUP(Table_Query_from_Actuarial___Production3[[#This Row],[Kor1]],$AI$3:$AK$105,3,FALSE)</f>
        <v>Misc. Income</v>
      </c>
      <c r="AF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" spans="18:32" x14ac:dyDescent="0.2">
      <c r="R597" t="s">
        <v>31</v>
      </c>
      <c r="S597" t="s">
        <v>258</v>
      </c>
      <c r="T597" t="s">
        <v>7</v>
      </c>
      <c r="U597" s="21">
        <v>786.91</v>
      </c>
      <c r="V597" s="21" t="s">
        <v>368</v>
      </c>
      <c r="W597" t="str">
        <f>VLOOKUP(Table_Query_from_Actuarial___Production[[#This Row],[Kor1]],$AI$3:$AK$105,3,FALSE)</f>
        <v>Misc. Expense</v>
      </c>
      <c r="X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"/>
      <c r="Z597" t="s">
        <v>44</v>
      </c>
      <c r="AA597" t="s">
        <v>232</v>
      </c>
      <c r="AB597" t="s">
        <v>356</v>
      </c>
      <c r="AC597" s="21">
        <v>2298.7199999999998</v>
      </c>
      <c r="AD597" s="21" t="s">
        <v>368</v>
      </c>
      <c r="AE597" t="str">
        <f>VLOOKUP(Table_Query_from_Actuarial___Production3[[#This Row],[Kor1]],$AI$3:$AK$105,3,FALSE)</f>
        <v>Charge-offs</v>
      </c>
      <c r="AF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" spans="18:32" x14ac:dyDescent="0.2">
      <c r="R598" t="s">
        <v>3</v>
      </c>
      <c r="S598" t="s">
        <v>237</v>
      </c>
      <c r="T598" t="s">
        <v>445</v>
      </c>
      <c r="U598" s="21">
        <v>26247807</v>
      </c>
      <c r="V598" s="21" t="s">
        <v>368</v>
      </c>
      <c r="W598" t="str">
        <f>VLOOKUP(Table_Query_from_Actuarial___Production[[#This Row],[Kor1]],$AI$3:$AK$105,3,FALSE)</f>
        <v>Premiums Written</v>
      </c>
      <c r="X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"/>
      <c r="Z598" t="s">
        <v>3</v>
      </c>
      <c r="AA598" t="s">
        <v>263</v>
      </c>
      <c r="AB598" t="s">
        <v>441</v>
      </c>
      <c r="AC598" s="21">
        <v>529645</v>
      </c>
      <c r="AD598" s="21" t="s">
        <v>368</v>
      </c>
      <c r="AE598" t="str">
        <f>VLOOKUP(Table_Query_from_Actuarial___Production3[[#This Row],[Kor1]],$AI$3:$AK$105,3,FALSE)</f>
        <v>Premiums Written</v>
      </c>
      <c r="AF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" spans="18:32" x14ac:dyDescent="0.2">
      <c r="R599" t="s">
        <v>3</v>
      </c>
      <c r="S599" t="s">
        <v>248</v>
      </c>
      <c r="T599" t="s">
        <v>441</v>
      </c>
      <c r="U599" s="21">
        <v>612329</v>
      </c>
      <c r="V599" s="21" t="s">
        <v>368</v>
      </c>
      <c r="W599" t="str">
        <f>VLOOKUP(Table_Query_from_Actuarial___Production[[#This Row],[Kor1]],$AI$3:$AK$105,3,FALSE)</f>
        <v>Premiums Written</v>
      </c>
      <c r="X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"/>
      <c r="Z599" t="s">
        <v>39</v>
      </c>
      <c r="AA599" t="s">
        <v>238</v>
      </c>
      <c r="AB599" t="s">
        <v>5</v>
      </c>
      <c r="AC599" s="21">
        <v>38112.879999999997</v>
      </c>
      <c r="AD599" s="21" t="s">
        <v>368</v>
      </c>
      <c r="AE599" t="str">
        <f>VLOOKUP(Table_Query_from_Actuarial___Production3[[#This Row],[Kor1]],$AI$3:$AK$105,3,FALSE)</f>
        <v>Misc. Income for Insolvent Companies</v>
      </c>
      <c r="AF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" spans="18:32" x14ac:dyDescent="0.2">
      <c r="R600" t="s">
        <v>36</v>
      </c>
      <c r="S600" t="s">
        <v>234</v>
      </c>
      <c r="T600" t="s">
        <v>433</v>
      </c>
      <c r="U600" s="21">
        <v>167.01</v>
      </c>
      <c r="V600" s="21" t="s">
        <v>368</v>
      </c>
      <c r="W600" t="str">
        <f>VLOOKUP(Table_Query_from_Actuarial___Production[[#This Row],[Kor1]],$AI$3:$AK$105,3,FALSE)</f>
        <v>Misc. Expense</v>
      </c>
      <c r="X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"/>
      <c r="Z600" t="s">
        <v>43</v>
      </c>
      <c r="AA600" t="s">
        <v>249</v>
      </c>
      <c r="AB600" t="s">
        <v>6</v>
      </c>
      <c r="AC600" s="21">
        <v>705.06</v>
      </c>
      <c r="AD600" s="21" t="s">
        <v>368</v>
      </c>
      <c r="AE600" t="str">
        <f>VLOOKUP(Table_Query_from_Actuarial___Production3[[#This Row],[Kor1]],$AI$3:$AK$105,3,FALSE)</f>
        <v>Charge-offs</v>
      </c>
      <c r="AF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" spans="18:32" x14ac:dyDescent="0.2">
      <c r="R601" t="s">
        <v>31</v>
      </c>
      <c r="S601" t="s">
        <v>231</v>
      </c>
      <c r="T601" t="s">
        <v>356</v>
      </c>
      <c r="U601" s="21">
        <v>860.94</v>
      </c>
      <c r="V601" s="21" t="s">
        <v>368</v>
      </c>
      <c r="W601" t="str">
        <f>VLOOKUP(Table_Query_from_Actuarial___Production[[#This Row],[Kor1]],$AI$3:$AK$105,3,FALSE)</f>
        <v>Misc. Expense</v>
      </c>
      <c r="X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"/>
      <c r="Z601" t="s">
        <v>47</v>
      </c>
      <c r="AA601" t="s">
        <v>231</v>
      </c>
      <c r="AB601" t="s">
        <v>441</v>
      </c>
      <c r="AC601" s="21">
        <v>23.26</v>
      </c>
      <c r="AD601" s="21" t="s">
        <v>368</v>
      </c>
      <c r="AE601" t="str">
        <f>VLOOKUP(Table_Query_from_Actuarial___Production3[[#This Row],[Kor1]],$AI$3:$AK$105,3,FALSE)</f>
        <v>Investment Income</v>
      </c>
      <c r="AF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" spans="18:32" x14ac:dyDescent="0.2">
      <c r="R602" t="s">
        <v>47</v>
      </c>
      <c r="S602" t="s">
        <v>249</v>
      </c>
      <c r="T602" t="s">
        <v>445</v>
      </c>
      <c r="U602" s="21">
        <v>7554.24</v>
      </c>
      <c r="V602" s="21" t="s">
        <v>368</v>
      </c>
      <c r="W602" t="str">
        <f>VLOOKUP(Table_Query_from_Actuarial___Production[[#This Row],[Kor1]],$AI$3:$AK$105,3,FALSE)</f>
        <v>Investment Income</v>
      </c>
      <c r="X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"/>
      <c r="Z602" t="s">
        <v>3</v>
      </c>
      <c r="AA602" t="s">
        <v>266</v>
      </c>
      <c r="AB602" t="s">
        <v>7</v>
      </c>
      <c r="AC602" s="21">
        <v>584908</v>
      </c>
      <c r="AD602" s="21" t="s">
        <v>368</v>
      </c>
      <c r="AE602" t="str">
        <f>VLOOKUP(Table_Query_from_Actuarial___Production3[[#This Row],[Kor1]],$AI$3:$AK$105,3,FALSE)</f>
        <v>Premiums Written</v>
      </c>
      <c r="AF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" spans="18:32" x14ac:dyDescent="0.2">
      <c r="R603" t="s">
        <v>13</v>
      </c>
      <c r="S603" t="s">
        <v>267</v>
      </c>
      <c r="T603" t="s">
        <v>7</v>
      </c>
      <c r="U603" s="21">
        <v>47227.040000000001</v>
      </c>
      <c r="V603" s="21" t="s">
        <v>368</v>
      </c>
      <c r="W603" t="str">
        <f>VLOOKUP(Table_Query_from_Actuarial___Production[[#This Row],[Kor1]],$AI$3:$AK$105,3,FALSE)</f>
        <v>Operating Service Fees</v>
      </c>
      <c r="X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"/>
      <c r="Z603" t="s">
        <v>12</v>
      </c>
      <c r="AA603" t="s">
        <v>235</v>
      </c>
      <c r="AB603" t="s">
        <v>356</v>
      </c>
      <c r="AC603" s="21">
        <v>34205.03</v>
      </c>
      <c r="AD603" s="21" t="s">
        <v>368</v>
      </c>
      <c r="AE603" t="str">
        <f>VLOOKUP(Table_Query_from_Actuarial___Production3[[#This Row],[Kor1]],$AI$3:$AK$105,3,FALSE)</f>
        <v>Premium Tax</v>
      </c>
      <c r="AF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" spans="18:32" x14ac:dyDescent="0.2">
      <c r="R604" t="s">
        <v>13</v>
      </c>
      <c r="S604" t="s">
        <v>233</v>
      </c>
      <c r="T604" t="s">
        <v>427</v>
      </c>
      <c r="U604" s="21">
        <v>138611.93</v>
      </c>
      <c r="V604" s="21" t="s">
        <v>368</v>
      </c>
      <c r="W604" t="str">
        <f>VLOOKUP(Table_Query_from_Actuarial___Production[[#This Row],[Kor1]],$AI$3:$AK$105,3,FALSE)</f>
        <v>Operating Service Fees</v>
      </c>
      <c r="X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"/>
      <c r="Z604" t="s">
        <v>12</v>
      </c>
      <c r="AA604" t="s">
        <v>251</v>
      </c>
      <c r="AB604" t="s">
        <v>5</v>
      </c>
      <c r="AC604" s="21">
        <v>1231.8</v>
      </c>
      <c r="AD604" s="21" t="s">
        <v>368</v>
      </c>
      <c r="AE604" t="str">
        <f>VLOOKUP(Table_Query_from_Actuarial___Production3[[#This Row],[Kor1]],$AI$3:$AK$105,3,FALSE)</f>
        <v>Premium Tax</v>
      </c>
      <c r="AF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" spans="18:32" x14ac:dyDescent="0.2">
      <c r="R605" t="s">
        <v>49</v>
      </c>
      <c r="S605" t="s">
        <v>226</v>
      </c>
      <c r="T605" t="s">
        <v>351</v>
      </c>
      <c r="U605" s="21">
        <v>549624.99</v>
      </c>
      <c r="V605" s="21" t="s">
        <v>368</v>
      </c>
      <c r="W605" t="str">
        <f>VLOOKUP(Table_Query_from_Actuarial___Production[[#This Row],[Kor1]],$AI$3:$AK$105,3,FALSE)</f>
        <v>ALAE Paid</v>
      </c>
      <c r="X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05"/>
      <c r="Z605" t="s">
        <v>17</v>
      </c>
      <c r="AA605" t="s">
        <v>4</v>
      </c>
      <c r="AB605" t="s">
        <v>356</v>
      </c>
      <c r="AC605" s="21">
        <v>522898.56</v>
      </c>
      <c r="AD605" s="21" t="s">
        <v>368</v>
      </c>
      <c r="AE605" t="str">
        <f>VLOOKUP(Table_Query_from_Actuarial___Production3[[#This Row],[Kor1]],$AI$3:$AK$105,3,FALSE)</f>
        <v>IBNR</v>
      </c>
      <c r="AF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" spans="18:32" x14ac:dyDescent="0.2">
      <c r="R606" t="s">
        <v>40</v>
      </c>
      <c r="S606" t="s">
        <v>240</v>
      </c>
      <c r="T606" t="s">
        <v>351</v>
      </c>
      <c r="U606" s="21">
        <v>7.99</v>
      </c>
      <c r="V606" s="21" t="s">
        <v>368</v>
      </c>
      <c r="W606" t="str">
        <f>VLOOKUP(Table_Query_from_Actuarial___Production[[#This Row],[Kor1]],$AI$3:$AK$105,3,FALSE)</f>
        <v>Misc. Income</v>
      </c>
      <c r="X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"/>
      <c r="Z606" t="s">
        <v>48</v>
      </c>
      <c r="AA606" t="s">
        <v>244</v>
      </c>
      <c r="AB606" t="s">
        <v>433</v>
      </c>
      <c r="AC606" s="21">
        <v>4686.87</v>
      </c>
      <c r="AD606" s="21" t="s">
        <v>368</v>
      </c>
      <c r="AE606" t="str">
        <f>VLOOKUP(Table_Query_from_Actuarial___Production3[[#This Row],[Kor1]],$AI$3:$AK$105,3,FALSE)</f>
        <v>Anticipated Salvage</v>
      </c>
      <c r="AF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" spans="18:32" x14ac:dyDescent="0.2">
      <c r="R607" t="s">
        <v>12</v>
      </c>
      <c r="S607" t="s">
        <v>261</v>
      </c>
      <c r="T607" t="s">
        <v>442</v>
      </c>
      <c r="U607" s="21">
        <v>7268.43</v>
      </c>
      <c r="V607" s="21" t="s">
        <v>368</v>
      </c>
      <c r="W607" t="str">
        <f>VLOOKUP(Table_Query_from_Actuarial___Production[[#This Row],[Kor1]],$AI$3:$AK$105,3,FALSE)</f>
        <v>Premium Tax</v>
      </c>
      <c r="X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"/>
      <c r="Z607" t="s">
        <v>16</v>
      </c>
      <c r="AA607" t="s">
        <v>352</v>
      </c>
      <c r="AB607" t="s">
        <v>5</v>
      </c>
      <c r="AC607" s="21">
        <v>9492.3700000000008</v>
      </c>
      <c r="AD607" s="21" t="s">
        <v>369</v>
      </c>
      <c r="AE607" t="str">
        <f>VLOOKUP(Table_Query_from_Actuarial___Production3[[#This Row],[Kor1]],$AI$3:$AK$105,3,FALSE)</f>
        <v>Losses Outstanding</v>
      </c>
      <c r="AF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08" spans="18:32" x14ac:dyDescent="0.2">
      <c r="R608" t="s">
        <v>41</v>
      </c>
      <c r="S608" t="s">
        <v>251</v>
      </c>
      <c r="T608" t="s">
        <v>441</v>
      </c>
      <c r="U608" s="21">
        <v>50.01</v>
      </c>
      <c r="V608" s="21" t="s">
        <v>368</v>
      </c>
      <c r="W608" t="str">
        <f>VLOOKUP(Table_Query_from_Actuarial___Production[[#This Row],[Kor1]],$AI$3:$AK$105,3,FALSE)</f>
        <v>Misc. Income</v>
      </c>
      <c r="X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"/>
      <c r="Z608" t="s">
        <v>3</v>
      </c>
      <c r="AA608" t="s">
        <v>224</v>
      </c>
      <c r="AB608" t="s">
        <v>442</v>
      </c>
      <c r="AC608" s="21">
        <v>40622</v>
      </c>
      <c r="AD608" s="21" t="s">
        <v>369</v>
      </c>
      <c r="AE608" t="str">
        <f>VLOOKUP(Table_Query_from_Actuarial___Production3[[#This Row],[Kor1]],$AI$3:$AK$105,3,FALSE)</f>
        <v>Premiums Written</v>
      </c>
      <c r="AF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09" spans="18:32" x14ac:dyDescent="0.2">
      <c r="R609" t="s">
        <v>47</v>
      </c>
      <c r="S609" t="s">
        <v>244</v>
      </c>
      <c r="T609" t="s">
        <v>9</v>
      </c>
      <c r="U609" s="21">
        <v>155.57</v>
      </c>
      <c r="V609" s="21" t="s">
        <v>368</v>
      </c>
      <c r="W609" t="str">
        <f>VLOOKUP(Table_Query_from_Actuarial___Production[[#This Row],[Kor1]],$AI$3:$AK$105,3,FALSE)</f>
        <v>Investment Income</v>
      </c>
      <c r="X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"/>
      <c r="Z609" t="s">
        <v>13</v>
      </c>
      <c r="AA609" t="s">
        <v>262</v>
      </c>
      <c r="AB609" t="s">
        <v>427</v>
      </c>
      <c r="AC609" s="21">
        <v>66535.55</v>
      </c>
      <c r="AD609" s="21" t="s">
        <v>368</v>
      </c>
      <c r="AE609" t="str">
        <f>VLOOKUP(Table_Query_from_Actuarial___Production3[[#This Row],[Kor1]],$AI$3:$AK$105,3,FALSE)</f>
        <v>Operating Service Fees</v>
      </c>
      <c r="AF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" spans="18:32" x14ac:dyDescent="0.2">
      <c r="R610" t="s">
        <v>20</v>
      </c>
      <c r="S610" t="s">
        <v>253</v>
      </c>
      <c r="T610" t="s">
        <v>356</v>
      </c>
      <c r="U610" s="21">
        <v>1.53</v>
      </c>
      <c r="V610" s="21" t="s">
        <v>368</v>
      </c>
      <c r="W610" t="str">
        <f>VLOOKUP(Table_Query_from_Actuarial___Production[[#This Row],[Kor1]],$AI$3:$AK$105,3,FALSE)</f>
        <v>Misc. Expense</v>
      </c>
      <c r="X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"/>
      <c r="Z610" t="s">
        <v>50</v>
      </c>
      <c r="AA610" t="s">
        <v>234</v>
      </c>
      <c r="AB610" t="s">
        <v>433</v>
      </c>
      <c r="AC610" s="21">
        <v>12632.02</v>
      </c>
      <c r="AD610" s="21" t="s">
        <v>368</v>
      </c>
      <c r="AE610" t="str">
        <f>VLOOKUP(Table_Query_from_Actuarial___Production3[[#This Row],[Kor1]],$AI$3:$AK$105,3,FALSE)</f>
        <v>ALAE Reserve</v>
      </c>
      <c r="AF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" spans="18:32" x14ac:dyDescent="0.2">
      <c r="R611" t="s">
        <v>18</v>
      </c>
      <c r="S611" t="s">
        <v>224</v>
      </c>
      <c r="T611" t="s">
        <v>433</v>
      </c>
      <c r="U611" s="21">
        <v>148488.49</v>
      </c>
      <c r="V611" s="21" t="s">
        <v>370</v>
      </c>
      <c r="W611" t="str">
        <f>VLOOKUP(Table_Query_from_Actuarial___Production[[#This Row],[Kor1]],$AI$3:$AK$105,3,FALSE)</f>
        <v>Misc. Expense</v>
      </c>
      <c r="X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11"/>
      <c r="Z611" t="s">
        <v>13</v>
      </c>
      <c r="AA611" t="s">
        <v>265</v>
      </c>
      <c r="AB611" t="s">
        <v>8</v>
      </c>
      <c r="AC611" s="21">
        <v>147414.97</v>
      </c>
      <c r="AD611" s="21" t="s">
        <v>368</v>
      </c>
      <c r="AE611" t="str">
        <f>VLOOKUP(Table_Query_from_Actuarial___Production3[[#This Row],[Kor1]],$AI$3:$AK$105,3,FALSE)</f>
        <v>Operating Service Fees</v>
      </c>
      <c r="AF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" spans="18:32" x14ac:dyDescent="0.2">
      <c r="R612" t="s">
        <v>25</v>
      </c>
      <c r="S612" t="s">
        <v>259</v>
      </c>
      <c r="T612" t="s">
        <v>8</v>
      </c>
      <c r="U612" s="21">
        <v>666.5</v>
      </c>
      <c r="V612" s="21" t="s">
        <v>368</v>
      </c>
      <c r="W612" t="str">
        <f>VLOOKUP(Table_Query_from_Actuarial___Production[[#This Row],[Kor1]],$AI$3:$AK$105,3,FALSE)</f>
        <v>Misc. Expense</v>
      </c>
      <c r="X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"/>
      <c r="Z612" t="s">
        <v>43</v>
      </c>
      <c r="AA612" t="s">
        <v>224</v>
      </c>
      <c r="AB612" t="s">
        <v>351</v>
      </c>
      <c r="AC612" s="21">
        <v>3.03</v>
      </c>
      <c r="AD612" s="21" t="s">
        <v>425</v>
      </c>
      <c r="AE612" t="str">
        <f>VLOOKUP(Table_Query_from_Actuarial___Production3[[#This Row],[Kor1]],$AI$3:$AK$105,3,FALSE)</f>
        <v>Charge-offs</v>
      </c>
      <c r="AF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13" spans="18:32" x14ac:dyDescent="0.2">
      <c r="R613" t="s">
        <v>47</v>
      </c>
      <c r="S613" t="s">
        <v>250</v>
      </c>
      <c r="T613" t="s">
        <v>443</v>
      </c>
      <c r="U613" s="21">
        <v>8592.2900000000009</v>
      </c>
      <c r="V613" s="21" t="s">
        <v>368</v>
      </c>
      <c r="W613" t="str">
        <f>VLOOKUP(Table_Query_from_Actuarial___Production[[#This Row],[Kor1]],$AI$3:$AK$105,3,FALSE)</f>
        <v>Investment Income</v>
      </c>
      <c r="X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"/>
      <c r="Z613" t="s">
        <v>11</v>
      </c>
      <c r="AA613" t="s">
        <v>260</v>
      </c>
      <c r="AB613" t="s">
        <v>351</v>
      </c>
      <c r="AC613" s="21">
        <v>8694.7099999999991</v>
      </c>
      <c r="AD613" s="21" t="s">
        <v>368</v>
      </c>
      <c r="AE613" t="str">
        <f>VLOOKUP(Table_Query_from_Actuarial___Production3[[#This Row],[Kor1]],$AI$3:$AK$105,3,FALSE)</f>
        <v>Losses Paid</v>
      </c>
      <c r="AF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" spans="18:32" x14ac:dyDescent="0.2">
      <c r="R614" t="s">
        <v>3</v>
      </c>
      <c r="S614" t="s">
        <v>240</v>
      </c>
      <c r="T614" t="s">
        <v>8</v>
      </c>
      <c r="U614" s="21">
        <v>1671095</v>
      </c>
      <c r="V614" s="21" t="s">
        <v>368</v>
      </c>
      <c r="W614" t="str">
        <f>VLOOKUP(Table_Query_from_Actuarial___Production[[#This Row],[Kor1]],$AI$3:$AK$105,3,FALSE)</f>
        <v>Premiums Written</v>
      </c>
      <c r="X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"/>
      <c r="Z614" t="s">
        <v>14</v>
      </c>
      <c r="AA614" t="s">
        <v>235</v>
      </c>
      <c r="AB614" t="s">
        <v>443</v>
      </c>
      <c r="AC614" s="21">
        <v>134.29</v>
      </c>
      <c r="AD614" s="21" t="s">
        <v>368</v>
      </c>
      <c r="AE614" t="str">
        <f>VLOOKUP(Table_Query_from_Actuarial___Production3[[#This Row],[Kor1]],$AI$3:$AK$105,3,FALSE)</f>
        <v>Claims Expense</v>
      </c>
      <c r="AF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" spans="18:32" x14ac:dyDescent="0.2">
      <c r="R615" t="s">
        <v>47</v>
      </c>
      <c r="S615" t="s">
        <v>248</v>
      </c>
      <c r="T615" t="s">
        <v>7</v>
      </c>
      <c r="U615" s="21">
        <v>0.03</v>
      </c>
      <c r="V615" s="21" t="s">
        <v>368</v>
      </c>
      <c r="W615" t="str">
        <f>VLOOKUP(Table_Query_from_Actuarial___Production[[#This Row],[Kor1]],$AI$3:$AK$105,3,FALSE)</f>
        <v>Investment Income</v>
      </c>
      <c r="X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"/>
      <c r="Z615" t="s">
        <v>14</v>
      </c>
      <c r="AA615" t="s">
        <v>262</v>
      </c>
      <c r="AB615" t="s">
        <v>442</v>
      </c>
      <c r="AC615" s="21">
        <v>7916.15</v>
      </c>
      <c r="AD615" s="21" t="s">
        <v>368</v>
      </c>
      <c r="AE615" t="str">
        <f>VLOOKUP(Table_Query_from_Actuarial___Production3[[#This Row],[Kor1]],$AI$3:$AK$105,3,FALSE)</f>
        <v>Claims Expense</v>
      </c>
      <c r="AF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" spans="18:32" x14ac:dyDescent="0.2">
      <c r="R616" t="s">
        <v>10</v>
      </c>
      <c r="S616" t="s">
        <v>224</v>
      </c>
      <c r="T616" t="s">
        <v>8</v>
      </c>
      <c r="U616" s="21">
        <v>3739.7</v>
      </c>
      <c r="V616" s="21" t="s">
        <v>425</v>
      </c>
      <c r="W616" t="str">
        <f>VLOOKUP(Table_Query_from_Actuarial___Production[[#This Row],[Kor1]],$AI$3:$AK$105,3,FALSE)</f>
        <v>Commissions</v>
      </c>
      <c r="X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6"/>
      <c r="Z616" t="s">
        <v>40</v>
      </c>
      <c r="AA616" t="s">
        <v>235</v>
      </c>
      <c r="AB616" t="s">
        <v>433</v>
      </c>
      <c r="AC616" s="21">
        <v>28</v>
      </c>
      <c r="AD616" s="21" t="s">
        <v>368</v>
      </c>
      <c r="AE616" t="str">
        <f>VLOOKUP(Table_Query_from_Actuarial___Production3[[#This Row],[Kor1]],$AI$3:$AK$105,3,FALSE)</f>
        <v>Misc. Income</v>
      </c>
      <c r="AF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" spans="18:32" x14ac:dyDescent="0.2">
      <c r="R617" t="s">
        <v>43</v>
      </c>
      <c r="S617" t="s">
        <v>226</v>
      </c>
      <c r="T617" t="s">
        <v>441</v>
      </c>
      <c r="U617" s="21">
        <v>4884.0600000000004</v>
      </c>
      <c r="V617" s="21" t="s">
        <v>368</v>
      </c>
      <c r="W617" t="str">
        <f>VLOOKUP(Table_Query_from_Actuarial___Production[[#This Row],[Kor1]],$AI$3:$AK$105,3,FALSE)</f>
        <v>Charge-offs</v>
      </c>
      <c r="X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17"/>
      <c r="Z617" t="s">
        <v>17</v>
      </c>
      <c r="AA617" t="s">
        <v>265</v>
      </c>
      <c r="AB617" t="s">
        <v>427</v>
      </c>
      <c r="AC617" s="21">
        <v>98666.58</v>
      </c>
      <c r="AD617" s="21" t="s">
        <v>368</v>
      </c>
      <c r="AE617" t="str">
        <f>VLOOKUP(Table_Query_from_Actuarial___Production3[[#This Row],[Kor1]],$AI$3:$AK$105,3,FALSE)</f>
        <v>IBNR</v>
      </c>
      <c r="AF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" spans="18:32" x14ac:dyDescent="0.2">
      <c r="R618" t="s">
        <v>10</v>
      </c>
      <c r="S618" t="s">
        <v>239</v>
      </c>
      <c r="T618" t="s">
        <v>441</v>
      </c>
      <c r="U618" s="21">
        <v>705642.45</v>
      </c>
      <c r="V618" s="21" t="s">
        <v>368</v>
      </c>
      <c r="W618" t="str">
        <f>VLOOKUP(Table_Query_from_Actuarial___Production[[#This Row],[Kor1]],$AI$3:$AK$105,3,FALSE)</f>
        <v>Commissions</v>
      </c>
      <c r="X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"/>
      <c r="Z618" t="s">
        <v>47</v>
      </c>
      <c r="AA618" t="s">
        <v>241</v>
      </c>
      <c r="AB618" t="s">
        <v>433</v>
      </c>
      <c r="AC618" s="21">
        <v>1292.48</v>
      </c>
      <c r="AD618" s="21" t="s">
        <v>368</v>
      </c>
      <c r="AE618" t="str">
        <f>VLOOKUP(Table_Query_from_Actuarial___Production3[[#This Row],[Kor1]],$AI$3:$AK$105,3,FALSE)</f>
        <v>Investment Income</v>
      </c>
      <c r="AF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" spans="18:32" x14ac:dyDescent="0.2">
      <c r="R619" t="s">
        <v>14</v>
      </c>
      <c r="S619" t="s">
        <v>265</v>
      </c>
      <c r="T619" t="s">
        <v>427</v>
      </c>
      <c r="U619" s="21">
        <v>53976.54</v>
      </c>
      <c r="V619" s="21" t="s">
        <v>368</v>
      </c>
      <c r="W619" t="str">
        <f>VLOOKUP(Table_Query_from_Actuarial___Production[[#This Row],[Kor1]],$AI$3:$AK$105,3,FALSE)</f>
        <v>Claims Expense</v>
      </c>
      <c r="X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"/>
      <c r="Z619" t="s">
        <v>10</v>
      </c>
      <c r="AA619" t="s">
        <v>226</v>
      </c>
      <c r="AB619" t="s">
        <v>443</v>
      </c>
      <c r="AC619" s="21">
        <v>503140.2</v>
      </c>
      <c r="AD619" s="21" t="s">
        <v>368</v>
      </c>
      <c r="AE619" t="str">
        <f>VLOOKUP(Table_Query_from_Actuarial___Production3[[#This Row],[Kor1]],$AI$3:$AK$105,3,FALSE)</f>
        <v>Commissions</v>
      </c>
      <c r="AF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20" spans="18:32" x14ac:dyDescent="0.2">
      <c r="R620" t="s">
        <v>43</v>
      </c>
      <c r="S620" t="s">
        <v>224</v>
      </c>
      <c r="T620" t="s">
        <v>441</v>
      </c>
      <c r="U620" s="21">
        <v>5.8</v>
      </c>
      <c r="V620" s="21" t="s">
        <v>425</v>
      </c>
      <c r="W620" t="str">
        <f>VLOOKUP(Table_Query_from_Actuarial___Production[[#This Row],[Kor1]],$AI$3:$AK$105,3,FALSE)</f>
        <v>Charge-offs</v>
      </c>
      <c r="X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20"/>
      <c r="Z620" t="s">
        <v>11</v>
      </c>
      <c r="AA620" t="s">
        <v>236</v>
      </c>
      <c r="AB620" t="s">
        <v>356</v>
      </c>
      <c r="AC620" s="21">
        <v>2250.86</v>
      </c>
      <c r="AD620" s="21" t="s">
        <v>368</v>
      </c>
      <c r="AE620" t="str">
        <f>VLOOKUP(Table_Query_from_Actuarial___Production3[[#This Row],[Kor1]],$AI$3:$AK$105,3,FALSE)</f>
        <v>Losses Paid</v>
      </c>
      <c r="AF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" spans="18:32" x14ac:dyDescent="0.2">
      <c r="R621" t="s">
        <v>11</v>
      </c>
      <c r="S621" t="s">
        <v>231</v>
      </c>
      <c r="T621" t="s">
        <v>351</v>
      </c>
      <c r="U621" s="21">
        <v>7861.42</v>
      </c>
      <c r="V621" s="21" t="s">
        <v>368</v>
      </c>
      <c r="W621" t="str">
        <f>VLOOKUP(Table_Query_from_Actuarial___Production[[#This Row],[Kor1]],$AI$3:$AK$105,3,FALSE)</f>
        <v>Losses Paid</v>
      </c>
      <c r="X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"/>
      <c r="Z621" t="s">
        <v>33</v>
      </c>
      <c r="AA621" t="s">
        <v>256</v>
      </c>
      <c r="AB621" t="s">
        <v>443</v>
      </c>
      <c r="AC621" s="21">
        <v>8239.25</v>
      </c>
      <c r="AD621" s="21" t="s">
        <v>368</v>
      </c>
      <c r="AE621" t="str">
        <f>VLOOKUP(Table_Query_from_Actuarial___Production3[[#This Row],[Kor1]],$AI$3:$AK$105,3,FALSE)</f>
        <v>Misc. Expense</v>
      </c>
      <c r="AF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" spans="18:32" x14ac:dyDescent="0.2">
      <c r="R622" t="s">
        <v>17</v>
      </c>
      <c r="S622" t="s">
        <v>265</v>
      </c>
      <c r="T622" t="s">
        <v>443</v>
      </c>
      <c r="U622" s="21">
        <v>290927.12</v>
      </c>
      <c r="V622" s="21" t="s">
        <v>368</v>
      </c>
      <c r="W622" t="str">
        <f>VLOOKUP(Table_Query_from_Actuarial___Production[[#This Row],[Kor1]],$AI$3:$AK$105,3,FALSE)</f>
        <v>IBNR</v>
      </c>
      <c r="X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"/>
      <c r="Z622" t="s">
        <v>12</v>
      </c>
      <c r="AA622" t="s">
        <v>241</v>
      </c>
      <c r="AB622" t="s">
        <v>441</v>
      </c>
      <c r="AC622" s="21">
        <v>5439.25</v>
      </c>
      <c r="AD622" s="21" t="s">
        <v>368</v>
      </c>
      <c r="AE622" t="str">
        <f>VLOOKUP(Table_Query_from_Actuarial___Production3[[#This Row],[Kor1]],$AI$3:$AK$105,3,FALSE)</f>
        <v>Premium Tax</v>
      </c>
      <c r="AF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" spans="18:32" x14ac:dyDescent="0.2">
      <c r="R623" t="s">
        <v>47</v>
      </c>
      <c r="S623" t="s">
        <v>248</v>
      </c>
      <c r="T623" t="s">
        <v>433</v>
      </c>
      <c r="U623" s="21">
        <v>741.02</v>
      </c>
      <c r="V623" s="21" t="s">
        <v>368</v>
      </c>
      <c r="W623" t="str">
        <f>VLOOKUP(Table_Query_from_Actuarial___Production[[#This Row],[Kor1]],$AI$3:$AK$105,3,FALSE)</f>
        <v>Investment Income</v>
      </c>
      <c r="X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"/>
      <c r="Z623" t="s">
        <v>40</v>
      </c>
      <c r="AA623" t="s">
        <v>241</v>
      </c>
      <c r="AB623" t="s">
        <v>5</v>
      </c>
      <c r="AC623" s="21">
        <v>122</v>
      </c>
      <c r="AD623" s="21" t="s">
        <v>368</v>
      </c>
      <c r="AE623" t="str">
        <f>VLOOKUP(Table_Query_from_Actuarial___Production3[[#This Row],[Kor1]],$AI$3:$AK$105,3,FALSE)</f>
        <v>Misc. Income</v>
      </c>
      <c r="AF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" spans="18:32" x14ac:dyDescent="0.2">
      <c r="R624" t="s">
        <v>49</v>
      </c>
      <c r="S624" t="s">
        <v>235</v>
      </c>
      <c r="T624" t="s">
        <v>442</v>
      </c>
      <c r="U624" s="21">
        <v>547</v>
      </c>
      <c r="V624" s="21" t="s">
        <v>368</v>
      </c>
      <c r="W624" t="str">
        <f>VLOOKUP(Table_Query_from_Actuarial___Production[[#This Row],[Kor1]],$AI$3:$AK$105,3,FALSE)</f>
        <v>ALAE Paid</v>
      </c>
      <c r="X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"/>
      <c r="Z624" t="s">
        <v>38</v>
      </c>
      <c r="AA624" t="s">
        <v>225</v>
      </c>
      <c r="AB624" t="s">
        <v>433</v>
      </c>
      <c r="AC624" s="21">
        <v>1035300.54</v>
      </c>
      <c r="AD624" s="21" t="s">
        <v>368</v>
      </c>
      <c r="AE624" t="str">
        <f>VLOOKUP(Table_Query_from_Actuarial___Production3[[#This Row],[Kor1]],$AI$3:$AK$105,3,FALSE)</f>
        <v>Misc. Income</v>
      </c>
      <c r="AF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25" spans="18:32" x14ac:dyDescent="0.2">
      <c r="R625" t="s">
        <v>10</v>
      </c>
      <c r="S625" t="s">
        <v>261</v>
      </c>
      <c r="T625" t="s">
        <v>441</v>
      </c>
      <c r="U625" s="21">
        <v>15330.6</v>
      </c>
      <c r="V625" s="21" t="s">
        <v>368</v>
      </c>
      <c r="W625" t="str">
        <f>VLOOKUP(Table_Query_from_Actuarial___Production[[#This Row],[Kor1]],$AI$3:$AK$105,3,FALSE)</f>
        <v>Commissions</v>
      </c>
      <c r="X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"/>
      <c r="Z625" t="s">
        <v>19</v>
      </c>
      <c r="AA625" t="s">
        <v>249</v>
      </c>
      <c r="AB625" t="s">
        <v>351</v>
      </c>
      <c r="AC625" s="21">
        <v>2559</v>
      </c>
      <c r="AD625" s="21" t="s">
        <v>368</v>
      </c>
      <c r="AE625" t="str">
        <f>VLOOKUP(Table_Query_from_Actuarial___Production3[[#This Row],[Kor1]],$AI$3:$AK$105,3,FALSE)</f>
        <v>Misc. Expense for Insolvent Companies</v>
      </c>
      <c r="AF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" spans="18:32" x14ac:dyDescent="0.2">
      <c r="R626" t="s">
        <v>12</v>
      </c>
      <c r="S626" t="s">
        <v>241</v>
      </c>
      <c r="T626" t="s">
        <v>351</v>
      </c>
      <c r="U626" s="21">
        <v>25815.599999999999</v>
      </c>
      <c r="V626" s="21" t="s">
        <v>368</v>
      </c>
      <c r="W626" t="str">
        <f>VLOOKUP(Table_Query_from_Actuarial___Production[[#This Row],[Kor1]],$AI$3:$AK$105,3,FALSE)</f>
        <v>Premium Tax</v>
      </c>
      <c r="X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"/>
      <c r="Z626" t="s">
        <v>31</v>
      </c>
      <c r="AA626" t="s">
        <v>258</v>
      </c>
      <c r="AB626" t="s">
        <v>7</v>
      </c>
      <c r="AC626" s="21">
        <v>786.91</v>
      </c>
      <c r="AD626" s="21" t="s">
        <v>368</v>
      </c>
      <c r="AE626" t="str">
        <f>VLOOKUP(Table_Query_from_Actuarial___Production3[[#This Row],[Kor1]],$AI$3:$AK$105,3,FALSE)</f>
        <v>Misc. Expense</v>
      </c>
      <c r="AF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" spans="18:32" x14ac:dyDescent="0.2">
      <c r="R627" t="s">
        <v>12</v>
      </c>
      <c r="S627" t="s">
        <v>266</v>
      </c>
      <c r="T627" t="s">
        <v>443</v>
      </c>
      <c r="U627" s="21">
        <v>73303.98</v>
      </c>
      <c r="V627" s="21" t="s">
        <v>368</v>
      </c>
      <c r="W627" t="str">
        <f>VLOOKUP(Table_Query_from_Actuarial___Production[[#This Row],[Kor1]],$AI$3:$AK$105,3,FALSE)</f>
        <v>Premium Tax</v>
      </c>
      <c r="X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"/>
      <c r="Z627" t="s">
        <v>40</v>
      </c>
      <c r="AA627" t="s">
        <v>244</v>
      </c>
      <c r="AB627" t="s">
        <v>5</v>
      </c>
      <c r="AC627" s="21">
        <v>166.01</v>
      </c>
      <c r="AD627" s="21" t="s">
        <v>368</v>
      </c>
      <c r="AE627" t="str">
        <f>VLOOKUP(Table_Query_from_Actuarial___Production3[[#This Row],[Kor1]],$AI$3:$AK$105,3,FALSE)</f>
        <v>Misc. Income</v>
      </c>
      <c r="AF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" spans="18:32" x14ac:dyDescent="0.2">
      <c r="R628" t="s">
        <v>13</v>
      </c>
      <c r="S628" t="s">
        <v>224</v>
      </c>
      <c r="T628" t="s">
        <v>441</v>
      </c>
      <c r="U628" s="21">
        <v>10871.87</v>
      </c>
      <c r="V628" s="21" t="s">
        <v>369</v>
      </c>
      <c r="W628" t="str">
        <f>VLOOKUP(Table_Query_from_Actuarial___Production[[#This Row],[Kor1]],$AI$3:$AK$105,3,FALSE)</f>
        <v>Operating Service Fees</v>
      </c>
      <c r="X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28"/>
      <c r="Z628" t="s">
        <v>3</v>
      </c>
      <c r="AA628" t="s">
        <v>248</v>
      </c>
      <c r="AB628" t="s">
        <v>441</v>
      </c>
      <c r="AC628" s="21">
        <v>612329</v>
      </c>
      <c r="AD628" s="21" t="s">
        <v>368</v>
      </c>
      <c r="AE628" t="str">
        <f>VLOOKUP(Table_Query_from_Actuarial___Production3[[#This Row],[Kor1]],$AI$3:$AK$105,3,FALSE)</f>
        <v>Premiums Written</v>
      </c>
      <c r="AF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" spans="18:32" x14ac:dyDescent="0.2">
      <c r="R629" t="s">
        <v>10</v>
      </c>
      <c r="S629" t="s">
        <v>227</v>
      </c>
      <c r="T629" t="s">
        <v>356</v>
      </c>
      <c r="U629" s="21">
        <v>2108.9499999999998</v>
      </c>
      <c r="V629" s="21" t="s">
        <v>368</v>
      </c>
      <c r="W629" t="str">
        <f>VLOOKUP(Table_Query_from_Actuarial___Production[[#This Row],[Kor1]],$AI$3:$AK$105,3,FALSE)</f>
        <v>Commissions</v>
      </c>
      <c r="X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"/>
      <c r="Z629" t="s">
        <v>36</v>
      </c>
      <c r="AA629" t="s">
        <v>234</v>
      </c>
      <c r="AB629" t="s">
        <v>433</v>
      </c>
      <c r="AC629" s="21">
        <v>167.01</v>
      </c>
      <c r="AD629" s="21" t="s">
        <v>368</v>
      </c>
      <c r="AE629" t="str">
        <f>VLOOKUP(Table_Query_from_Actuarial___Production3[[#This Row],[Kor1]],$AI$3:$AK$105,3,FALSE)</f>
        <v>Misc. Expense</v>
      </c>
      <c r="AF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" spans="18:32" x14ac:dyDescent="0.2">
      <c r="R630" t="s">
        <v>11</v>
      </c>
      <c r="S630" t="s">
        <v>252</v>
      </c>
      <c r="T630" t="s">
        <v>441</v>
      </c>
      <c r="U630" s="21">
        <v>12306548.82</v>
      </c>
      <c r="V630" s="21" t="s">
        <v>368</v>
      </c>
      <c r="W630" t="str">
        <f>VLOOKUP(Table_Query_from_Actuarial___Production[[#This Row],[Kor1]],$AI$3:$AK$105,3,FALSE)</f>
        <v>Losses Paid</v>
      </c>
      <c r="X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"/>
      <c r="Z630" t="s">
        <v>31</v>
      </c>
      <c r="AA630" t="s">
        <v>231</v>
      </c>
      <c r="AB630" t="s">
        <v>356</v>
      </c>
      <c r="AC630" s="21">
        <v>860.94</v>
      </c>
      <c r="AD630" s="21" t="s">
        <v>368</v>
      </c>
      <c r="AE630" t="str">
        <f>VLOOKUP(Table_Query_from_Actuarial___Production3[[#This Row],[Kor1]],$AI$3:$AK$105,3,FALSE)</f>
        <v>Misc. Expense</v>
      </c>
      <c r="AF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" spans="18:32" x14ac:dyDescent="0.2">
      <c r="R631" t="s">
        <v>14</v>
      </c>
      <c r="S631" t="s">
        <v>241</v>
      </c>
      <c r="T631" t="s">
        <v>433</v>
      </c>
      <c r="U631" s="21">
        <v>38547.32</v>
      </c>
      <c r="V631" s="21" t="s">
        <v>368</v>
      </c>
      <c r="W631" t="str">
        <f>VLOOKUP(Table_Query_from_Actuarial___Production[[#This Row],[Kor1]],$AI$3:$AK$105,3,FALSE)</f>
        <v>Claims Expense</v>
      </c>
      <c r="X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"/>
      <c r="Z631" t="s">
        <v>13</v>
      </c>
      <c r="AA631" t="s">
        <v>267</v>
      </c>
      <c r="AB631" t="s">
        <v>7</v>
      </c>
      <c r="AC631" s="21">
        <v>47227.040000000001</v>
      </c>
      <c r="AD631" s="21" t="s">
        <v>368</v>
      </c>
      <c r="AE631" t="str">
        <f>VLOOKUP(Table_Query_from_Actuarial___Production3[[#This Row],[Kor1]],$AI$3:$AK$105,3,FALSE)</f>
        <v>Operating Service Fees</v>
      </c>
      <c r="AF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" spans="18:32" x14ac:dyDescent="0.2">
      <c r="R632" t="s">
        <v>40</v>
      </c>
      <c r="S632" t="s">
        <v>251</v>
      </c>
      <c r="T632" t="s">
        <v>6</v>
      </c>
      <c r="U632" s="21">
        <v>7</v>
      </c>
      <c r="V632" s="21" t="s">
        <v>368</v>
      </c>
      <c r="W632" t="str">
        <f>VLOOKUP(Table_Query_from_Actuarial___Production[[#This Row],[Kor1]],$AI$3:$AK$105,3,FALSE)</f>
        <v>Misc. Income</v>
      </c>
      <c r="X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"/>
      <c r="Z632" t="s">
        <v>13</v>
      </c>
      <c r="AA632" t="s">
        <v>233</v>
      </c>
      <c r="AB632" t="s">
        <v>427</v>
      </c>
      <c r="AC632" s="21">
        <v>138611.93</v>
      </c>
      <c r="AD632" s="21" t="s">
        <v>368</v>
      </c>
      <c r="AE632" t="str">
        <f>VLOOKUP(Table_Query_from_Actuarial___Production3[[#This Row],[Kor1]],$AI$3:$AK$105,3,FALSE)</f>
        <v>Operating Service Fees</v>
      </c>
      <c r="AF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" spans="18:32" x14ac:dyDescent="0.2">
      <c r="R633" t="s">
        <v>43</v>
      </c>
      <c r="S633" t="s">
        <v>227</v>
      </c>
      <c r="T633" t="s">
        <v>442</v>
      </c>
      <c r="U633" s="21">
        <v>2701.11</v>
      </c>
      <c r="V633" s="21" t="s">
        <v>368</v>
      </c>
      <c r="W633" t="str">
        <f>VLOOKUP(Table_Query_from_Actuarial___Production[[#This Row],[Kor1]],$AI$3:$AK$105,3,FALSE)</f>
        <v>Charge-offs</v>
      </c>
      <c r="X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"/>
      <c r="Z633" t="s">
        <v>49</v>
      </c>
      <c r="AA633" t="s">
        <v>226</v>
      </c>
      <c r="AB633" t="s">
        <v>351</v>
      </c>
      <c r="AC633" s="21">
        <v>538206.77</v>
      </c>
      <c r="AD633" s="21" t="s">
        <v>368</v>
      </c>
      <c r="AE633" t="str">
        <f>VLOOKUP(Table_Query_from_Actuarial___Production3[[#This Row],[Kor1]],$AI$3:$AK$105,3,FALSE)</f>
        <v>ALAE Paid</v>
      </c>
      <c r="AF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4" spans="18:32" x14ac:dyDescent="0.2">
      <c r="R634" t="s">
        <v>47</v>
      </c>
      <c r="S634" t="s">
        <v>261</v>
      </c>
      <c r="T634" t="s">
        <v>351</v>
      </c>
      <c r="U634" s="21">
        <v>1778</v>
      </c>
      <c r="V634" s="21" t="s">
        <v>368</v>
      </c>
      <c r="W634" t="str">
        <f>VLOOKUP(Table_Query_from_Actuarial___Production[[#This Row],[Kor1]],$AI$3:$AK$105,3,FALSE)</f>
        <v>Investment Income</v>
      </c>
      <c r="X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"/>
      <c r="Z634" t="s">
        <v>40</v>
      </c>
      <c r="AA634" t="s">
        <v>240</v>
      </c>
      <c r="AB634" t="s">
        <v>351</v>
      </c>
      <c r="AC634" s="21">
        <v>7.99</v>
      </c>
      <c r="AD634" s="21" t="s">
        <v>368</v>
      </c>
      <c r="AE634" t="str">
        <f>VLOOKUP(Table_Query_from_Actuarial___Production3[[#This Row],[Kor1]],$AI$3:$AK$105,3,FALSE)</f>
        <v>Misc. Income</v>
      </c>
      <c r="AF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" spans="18:32" x14ac:dyDescent="0.2">
      <c r="R635" t="s">
        <v>40</v>
      </c>
      <c r="S635" t="s">
        <v>240</v>
      </c>
      <c r="T635" t="s">
        <v>433</v>
      </c>
      <c r="U635" s="21">
        <v>1</v>
      </c>
      <c r="V635" s="21" t="s">
        <v>368</v>
      </c>
      <c r="W635" t="str">
        <f>VLOOKUP(Table_Query_from_Actuarial___Production[[#This Row],[Kor1]],$AI$3:$AK$105,3,FALSE)</f>
        <v>Misc. Income</v>
      </c>
      <c r="X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"/>
      <c r="Z635" t="s">
        <v>12</v>
      </c>
      <c r="AA635" t="s">
        <v>261</v>
      </c>
      <c r="AB635" t="s">
        <v>442</v>
      </c>
      <c r="AC635" s="21">
        <v>7213.79</v>
      </c>
      <c r="AD635" s="21" t="s">
        <v>368</v>
      </c>
      <c r="AE635" t="str">
        <f>VLOOKUP(Table_Query_from_Actuarial___Production3[[#This Row],[Kor1]],$AI$3:$AK$105,3,FALSE)</f>
        <v>Premium Tax</v>
      </c>
      <c r="AF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" spans="18:32" x14ac:dyDescent="0.2">
      <c r="R636" t="s">
        <v>47</v>
      </c>
      <c r="S636" t="s">
        <v>268</v>
      </c>
      <c r="T636" t="s">
        <v>445</v>
      </c>
      <c r="U636" s="21">
        <v>887.42</v>
      </c>
      <c r="V636" s="21" t="s">
        <v>368</v>
      </c>
      <c r="W636" t="str">
        <f>VLOOKUP(Table_Query_from_Actuarial___Production[[#This Row],[Kor1]],$AI$3:$AK$105,3,FALSE)</f>
        <v>Investment Income</v>
      </c>
      <c r="X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"/>
      <c r="Z636" t="s">
        <v>41</v>
      </c>
      <c r="AA636" t="s">
        <v>251</v>
      </c>
      <c r="AB636" t="s">
        <v>441</v>
      </c>
      <c r="AC636" s="21">
        <v>50.01</v>
      </c>
      <c r="AD636" s="21" t="s">
        <v>368</v>
      </c>
      <c r="AE636" t="str">
        <f>VLOOKUP(Table_Query_from_Actuarial___Production3[[#This Row],[Kor1]],$AI$3:$AK$105,3,FALSE)</f>
        <v>Misc. Income</v>
      </c>
      <c r="AF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" spans="18:32" x14ac:dyDescent="0.2">
      <c r="R637" t="s">
        <v>18</v>
      </c>
      <c r="S637" t="s">
        <v>224</v>
      </c>
      <c r="T637" t="s">
        <v>8</v>
      </c>
      <c r="U637" s="21">
        <v>247243.25</v>
      </c>
      <c r="V637" s="21" t="s">
        <v>368</v>
      </c>
      <c r="W637" t="str">
        <f>VLOOKUP(Table_Query_from_Actuarial___Production[[#This Row],[Kor1]],$AI$3:$AK$105,3,FALSE)</f>
        <v>Misc. Expense</v>
      </c>
      <c r="X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37"/>
      <c r="Z637" t="s">
        <v>47</v>
      </c>
      <c r="AA637" t="s">
        <v>244</v>
      </c>
      <c r="AB637" t="s">
        <v>9</v>
      </c>
      <c r="AC637" s="21">
        <v>155.57</v>
      </c>
      <c r="AD637" s="21" t="s">
        <v>368</v>
      </c>
      <c r="AE637" t="str">
        <f>VLOOKUP(Table_Query_from_Actuarial___Production3[[#This Row],[Kor1]],$AI$3:$AK$105,3,FALSE)</f>
        <v>Investment Income</v>
      </c>
      <c r="AF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" spans="18:32" x14ac:dyDescent="0.2">
      <c r="R638" t="s">
        <v>10</v>
      </c>
      <c r="S638" t="s">
        <v>268</v>
      </c>
      <c r="T638" t="s">
        <v>441</v>
      </c>
      <c r="U638" s="21">
        <v>12157.25</v>
      </c>
      <c r="V638" s="21" t="s">
        <v>368</v>
      </c>
      <c r="W638" t="str">
        <f>VLOOKUP(Table_Query_from_Actuarial___Production[[#This Row],[Kor1]],$AI$3:$AK$105,3,FALSE)</f>
        <v>Commissions</v>
      </c>
      <c r="X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"/>
      <c r="Z638" t="s">
        <v>46</v>
      </c>
      <c r="AA638" t="s">
        <v>352</v>
      </c>
      <c r="AB638" t="s">
        <v>5</v>
      </c>
      <c r="AC638" s="21">
        <v>0.47</v>
      </c>
      <c r="AD638" s="21" t="s">
        <v>368</v>
      </c>
      <c r="AE638" t="str">
        <f>VLOOKUP(Table_Query_from_Actuarial___Production3[[#This Row],[Kor1]],$AI$3:$AK$105,3,FALSE)</f>
        <v>Investment Income</v>
      </c>
      <c r="AF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39" spans="18:32" x14ac:dyDescent="0.2">
      <c r="R639" t="s">
        <v>44</v>
      </c>
      <c r="S639" t="s">
        <v>225</v>
      </c>
      <c r="T639" t="s">
        <v>7</v>
      </c>
      <c r="U639" s="21">
        <v>22520.63</v>
      </c>
      <c r="V639" s="21" t="s">
        <v>369</v>
      </c>
      <c r="W639" t="str">
        <f>VLOOKUP(Table_Query_from_Actuarial___Production[[#This Row],[Kor1]],$AI$3:$AK$105,3,FALSE)</f>
        <v>Charge-offs</v>
      </c>
      <c r="X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39"/>
      <c r="Z639" t="s">
        <v>20</v>
      </c>
      <c r="AA639" t="s">
        <v>253</v>
      </c>
      <c r="AB639" t="s">
        <v>356</v>
      </c>
      <c r="AC639" s="21">
        <v>1.53</v>
      </c>
      <c r="AD639" s="21" t="s">
        <v>368</v>
      </c>
      <c r="AE639" t="str">
        <f>VLOOKUP(Table_Query_from_Actuarial___Production3[[#This Row],[Kor1]],$AI$3:$AK$105,3,FALSE)</f>
        <v>Misc. Expense</v>
      </c>
      <c r="AF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" spans="18:32" x14ac:dyDescent="0.2">
      <c r="R640" t="s">
        <v>11</v>
      </c>
      <c r="S640" t="s">
        <v>234</v>
      </c>
      <c r="T640" t="s">
        <v>441</v>
      </c>
      <c r="U640" s="21">
        <v>277092.65000000002</v>
      </c>
      <c r="V640" s="21" t="s">
        <v>368</v>
      </c>
      <c r="W640" t="str">
        <f>VLOOKUP(Table_Query_from_Actuarial___Production[[#This Row],[Kor1]],$AI$3:$AK$105,3,FALSE)</f>
        <v>Losses Paid</v>
      </c>
      <c r="X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"/>
      <c r="Z640" t="s">
        <v>18</v>
      </c>
      <c r="AA640" t="s">
        <v>224</v>
      </c>
      <c r="AB640" t="s">
        <v>433</v>
      </c>
      <c r="AC640" s="21">
        <v>148488.49</v>
      </c>
      <c r="AD640" s="21" t="s">
        <v>370</v>
      </c>
      <c r="AE640" t="str">
        <f>VLOOKUP(Table_Query_from_Actuarial___Production3[[#This Row],[Kor1]],$AI$3:$AK$105,3,FALSE)</f>
        <v>Misc. Expense</v>
      </c>
      <c r="AF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41" spans="18:32" x14ac:dyDescent="0.2">
      <c r="R641" t="s">
        <v>34</v>
      </c>
      <c r="S641" t="s">
        <v>249</v>
      </c>
      <c r="T641" t="s">
        <v>9</v>
      </c>
      <c r="U641" s="21">
        <v>32.76</v>
      </c>
      <c r="V641" s="21" t="s">
        <v>368</v>
      </c>
      <c r="W641" t="str">
        <f>VLOOKUP(Table_Query_from_Actuarial___Production[[#This Row],[Kor1]],$AI$3:$AK$105,3,FALSE)</f>
        <v>Misc. Expense</v>
      </c>
      <c r="X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"/>
      <c r="Z641" t="s">
        <v>25</v>
      </c>
      <c r="AA641" t="s">
        <v>259</v>
      </c>
      <c r="AB641" t="s">
        <v>8</v>
      </c>
      <c r="AC641" s="21">
        <v>666.5</v>
      </c>
      <c r="AD641" s="21" t="s">
        <v>368</v>
      </c>
      <c r="AE641" t="str">
        <f>VLOOKUP(Table_Query_from_Actuarial___Production3[[#This Row],[Kor1]],$AI$3:$AK$105,3,FALSE)</f>
        <v>Misc. Expense</v>
      </c>
      <c r="AF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" spans="18:32" x14ac:dyDescent="0.2">
      <c r="R642" t="s">
        <v>47</v>
      </c>
      <c r="S642" t="s">
        <v>236</v>
      </c>
      <c r="T642" t="s">
        <v>445</v>
      </c>
      <c r="U642" s="21">
        <v>736.63</v>
      </c>
      <c r="V642" s="21" t="s">
        <v>368</v>
      </c>
      <c r="W642" t="str">
        <f>VLOOKUP(Table_Query_from_Actuarial___Production[[#This Row],[Kor1]],$AI$3:$AK$105,3,FALSE)</f>
        <v>Investment Income</v>
      </c>
      <c r="X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"/>
      <c r="Z642" t="s">
        <v>47</v>
      </c>
      <c r="AA642" t="s">
        <v>250</v>
      </c>
      <c r="AB642" t="s">
        <v>443</v>
      </c>
      <c r="AC642" s="21">
        <v>2991.58</v>
      </c>
      <c r="AD642" s="21" t="s">
        <v>368</v>
      </c>
      <c r="AE642" t="str">
        <f>VLOOKUP(Table_Query_from_Actuarial___Production3[[#This Row],[Kor1]],$AI$3:$AK$105,3,FALSE)</f>
        <v>Investment Income</v>
      </c>
      <c r="AF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" spans="18:32" x14ac:dyDescent="0.2">
      <c r="R643" t="s">
        <v>19</v>
      </c>
      <c r="S643" t="s">
        <v>252</v>
      </c>
      <c r="T643" t="s">
        <v>433</v>
      </c>
      <c r="U643" s="21">
        <v>453086.16</v>
      </c>
      <c r="V643" s="21" t="s">
        <v>368</v>
      </c>
      <c r="W643" t="str">
        <f>VLOOKUP(Table_Query_from_Actuarial___Production[[#This Row],[Kor1]],$AI$3:$AK$105,3,FALSE)</f>
        <v>Misc. Expense for Insolvent Companies</v>
      </c>
      <c r="X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"/>
      <c r="Z643" t="s">
        <v>3</v>
      </c>
      <c r="AA643" t="s">
        <v>240</v>
      </c>
      <c r="AB643" t="s">
        <v>8</v>
      </c>
      <c r="AC643" s="21">
        <v>1671095</v>
      </c>
      <c r="AD643" s="21" t="s">
        <v>368</v>
      </c>
      <c r="AE643" t="str">
        <f>VLOOKUP(Table_Query_from_Actuarial___Production3[[#This Row],[Kor1]],$AI$3:$AK$105,3,FALSE)</f>
        <v>Premiums Written</v>
      </c>
      <c r="AF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" spans="18:32" x14ac:dyDescent="0.2">
      <c r="R644" t="s">
        <v>11</v>
      </c>
      <c r="S644" t="s">
        <v>238</v>
      </c>
      <c r="T644" t="s">
        <v>351</v>
      </c>
      <c r="U644" s="21">
        <v>86088.78</v>
      </c>
      <c r="V644" s="21" t="s">
        <v>368</v>
      </c>
      <c r="W644" t="str">
        <f>VLOOKUP(Table_Query_from_Actuarial___Production[[#This Row],[Kor1]],$AI$3:$AK$105,3,FALSE)</f>
        <v>Losses Paid</v>
      </c>
      <c r="X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"/>
      <c r="Z644" t="s">
        <v>47</v>
      </c>
      <c r="AA644" t="s">
        <v>248</v>
      </c>
      <c r="AB644" t="s">
        <v>7</v>
      </c>
      <c r="AC644" s="21">
        <v>0.03</v>
      </c>
      <c r="AD644" s="21" t="s">
        <v>368</v>
      </c>
      <c r="AE644" t="str">
        <f>VLOOKUP(Table_Query_from_Actuarial___Production3[[#This Row],[Kor1]],$AI$3:$AK$105,3,FALSE)</f>
        <v>Investment Income</v>
      </c>
      <c r="AF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" spans="18:32" x14ac:dyDescent="0.2">
      <c r="R645" t="s">
        <v>12</v>
      </c>
      <c r="S645" t="s">
        <v>268</v>
      </c>
      <c r="T645" t="s">
        <v>441</v>
      </c>
      <c r="U645" s="21">
        <v>5017.72</v>
      </c>
      <c r="V645" s="21" t="s">
        <v>368</v>
      </c>
      <c r="W645" t="str">
        <f>VLOOKUP(Table_Query_from_Actuarial___Production[[#This Row],[Kor1]],$AI$3:$AK$105,3,FALSE)</f>
        <v>Premium Tax</v>
      </c>
      <c r="X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"/>
      <c r="Z645" t="s">
        <v>10</v>
      </c>
      <c r="AA645" t="s">
        <v>224</v>
      </c>
      <c r="AB645" t="s">
        <v>8</v>
      </c>
      <c r="AC645" s="21">
        <v>3739.7</v>
      </c>
      <c r="AD645" s="21" t="s">
        <v>425</v>
      </c>
      <c r="AE645" t="str">
        <f>VLOOKUP(Table_Query_from_Actuarial___Production3[[#This Row],[Kor1]],$AI$3:$AK$105,3,FALSE)</f>
        <v>Commissions</v>
      </c>
      <c r="AF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46" spans="18:32" x14ac:dyDescent="0.2">
      <c r="R646" t="s">
        <v>13</v>
      </c>
      <c r="S646" t="s">
        <v>239</v>
      </c>
      <c r="T646" t="s">
        <v>7</v>
      </c>
      <c r="U646" s="21">
        <v>34452.74</v>
      </c>
      <c r="V646" s="21" t="s">
        <v>368</v>
      </c>
      <c r="W646" t="str">
        <f>VLOOKUP(Table_Query_from_Actuarial___Production[[#This Row],[Kor1]],$AI$3:$AK$105,3,FALSE)</f>
        <v>Operating Service Fees</v>
      </c>
      <c r="X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"/>
      <c r="Z646" t="s">
        <v>43</v>
      </c>
      <c r="AA646" t="s">
        <v>226</v>
      </c>
      <c r="AB646" t="s">
        <v>441</v>
      </c>
      <c r="AC646" s="21">
        <v>4884.0600000000004</v>
      </c>
      <c r="AD646" s="21" t="s">
        <v>368</v>
      </c>
      <c r="AE646" t="str">
        <f>VLOOKUP(Table_Query_from_Actuarial___Production3[[#This Row],[Kor1]],$AI$3:$AK$105,3,FALSE)</f>
        <v>Charge-offs</v>
      </c>
      <c r="AF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47" spans="18:32" x14ac:dyDescent="0.2">
      <c r="R647" t="s">
        <v>41</v>
      </c>
      <c r="S647" t="s">
        <v>256</v>
      </c>
      <c r="T647" t="s">
        <v>441</v>
      </c>
      <c r="U647" s="21">
        <v>1200</v>
      </c>
      <c r="V647" s="21" t="s">
        <v>368</v>
      </c>
      <c r="W647" t="str">
        <f>VLOOKUP(Table_Query_from_Actuarial___Production[[#This Row],[Kor1]],$AI$3:$AK$105,3,FALSE)</f>
        <v>Misc. Income</v>
      </c>
      <c r="X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"/>
      <c r="Z647" t="s">
        <v>10</v>
      </c>
      <c r="AA647" t="s">
        <v>239</v>
      </c>
      <c r="AB647" t="s">
        <v>441</v>
      </c>
      <c r="AC647" s="21">
        <v>709666.95</v>
      </c>
      <c r="AD647" s="21" t="s">
        <v>368</v>
      </c>
      <c r="AE647" t="str">
        <f>VLOOKUP(Table_Query_from_Actuarial___Production3[[#This Row],[Kor1]],$AI$3:$AK$105,3,FALSE)</f>
        <v>Commissions</v>
      </c>
      <c r="AF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" spans="18:32" x14ac:dyDescent="0.2">
      <c r="R648" t="s">
        <v>3</v>
      </c>
      <c r="S648" t="s">
        <v>266</v>
      </c>
      <c r="T648" t="s">
        <v>427</v>
      </c>
      <c r="U648" s="21">
        <v>766769</v>
      </c>
      <c r="V648" s="21" t="s">
        <v>368</v>
      </c>
      <c r="W648" t="str">
        <f>VLOOKUP(Table_Query_from_Actuarial___Production[[#This Row],[Kor1]],$AI$3:$AK$105,3,FALSE)</f>
        <v>Premiums Written</v>
      </c>
      <c r="X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"/>
      <c r="Z648" t="s">
        <v>14</v>
      </c>
      <c r="AA648" t="s">
        <v>265</v>
      </c>
      <c r="AB648" t="s">
        <v>427</v>
      </c>
      <c r="AC648" s="21">
        <v>53976.54</v>
      </c>
      <c r="AD648" s="21" t="s">
        <v>368</v>
      </c>
      <c r="AE648" t="str">
        <f>VLOOKUP(Table_Query_from_Actuarial___Production3[[#This Row],[Kor1]],$AI$3:$AK$105,3,FALSE)</f>
        <v>Claims Expense</v>
      </c>
      <c r="AF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" spans="18:32" x14ac:dyDescent="0.2">
      <c r="R649" t="s">
        <v>13</v>
      </c>
      <c r="S649" t="s">
        <v>240</v>
      </c>
      <c r="T649" t="s">
        <v>8</v>
      </c>
      <c r="U649" s="21">
        <v>346735.78</v>
      </c>
      <c r="V649" s="21" t="s">
        <v>368</v>
      </c>
      <c r="W649" t="str">
        <f>VLOOKUP(Table_Query_from_Actuarial___Production[[#This Row],[Kor1]],$AI$3:$AK$105,3,FALSE)</f>
        <v>Operating Service Fees</v>
      </c>
      <c r="X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"/>
      <c r="Z649" t="s">
        <v>43</v>
      </c>
      <c r="AA649" t="s">
        <v>224</v>
      </c>
      <c r="AB649" t="s">
        <v>441</v>
      </c>
      <c r="AC649" s="21">
        <v>5.8</v>
      </c>
      <c r="AD649" s="21" t="s">
        <v>425</v>
      </c>
      <c r="AE649" t="str">
        <f>VLOOKUP(Table_Query_from_Actuarial___Production3[[#This Row],[Kor1]],$AI$3:$AK$105,3,FALSE)</f>
        <v>Charge-offs</v>
      </c>
      <c r="AF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50" spans="18:32" x14ac:dyDescent="0.2">
      <c r="R650" t="s">
        <v>13</v>
      </c>
      <c r="S650" t="s">
        <v>266</v>
      </c>
      <c r="T650" t="s">
        <v>427</v>
      </c>
      <c r="U650" s="21">
        <v>141352.37</v>
      </c>
      <c r="V650" s="21" t="s">
        <v>368</v>
      </c>
      <c r="W650" t="str">
        <f>VLOOKUP(Table_Query_from_Actuarial___Production[[#This Row],[Kor1]],$AI$3:$AK$105,3,FALSE)</f>
        <v>Operating Service Fees</v>
      </c>
      <c r="X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"/>
      <c r="Z650" t="s">
        <v>11</v>
      </c>
      <c r="AA650" t="s">
        <v>231</v>
      </c>
      <c r="AB650" t="s">
        <v>351</v>
      </c>
      <c r="AC650" s="21">
        <v>7861.42</v>
      </c>
      <c r="AD650" s="21" t="s">
        <v>368</v>
      </c>
      <c r="AE650" t="str">
        <f>VLOOKUP(Table_Query_from_Actuarial___Production3[[#This Row],[Kor1]],$AI$3:$AK$105,3,FALSE)</f>
        <v>Losses Paid</v>
      </c>
      <c r="AF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" spans="18:32" x14ac:dyDescent="0.2">
      <c r="R651" t="s">
        <v>12</v>
      </c>
      <c r="S651" t="s">
        <v>233</v>
      </c>
      <c r="T651" t="s">
        <v>442</v>
      </c>
      <c r="U651" s="21">
        <v>24196.799999999999</v>
      </c>
      <c r="V651" s="21" t="s">
        <v>368</v>
      </c>
      <c r="W651" t="str">
        <f>VLOOKUP(Table_Query_from_Actuarial___Production[[#This Row],[Kor1]],$AI$3:$AK$105,3,FALSE)</f>
        <v>Premium Tax</v>
      </c>
      <c r="X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"/>
      <c r="Z651" t="s">
        <v>17</v>
      </c>
      <c r="AA651" t="s">
        <v>265</v>
      </c>
      <c r="AB651" t="s">
        <v>443</v>
      </c>
      <c r="AC651" s="21">
        <v>15894.07</v>
      </c>
      <c r="AD651" s="21" t="s">
        <v>368</v>
      </c>
      <c r="AE651" t="str">
        <f>VLOOKUP(Table_Query_from_Actuarial___Production3[[#This Row],[Kor1]],$AI$3:$AK$105,3,FALSE)</f>
        <v>IBNR</v>
      </c>
      <c r="AF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" spans="18:32" x14ac:dyDescent="0.2">
      <c r="R652" t="s">
        <v>12</v>
      </c>
      <c r="S652" t="s">
        <v>239</v>
      </c>
      <c r="T652" t="s">
        <v>441</v>
      </c>
      <c r="U652" s="21">
        <v>227604.24</v>
      </c>
      <c r="V652" s="21" t="s">
        <v>368</v>
      </c>
      <c r="W652" t="str">
        <f>VLOOKUP(Table_Query_from_Actuarial___Production[[#This Row],[Kor1]],$AI$3:$AK$105,3,FALSE)</f>
        <v>Premium Tax</v>
      </c>
      <c r="X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"/>
      <c r="Z652" t="s">
        <v>47</v>
      </c>
      <c r="AA652" t="s">
        <v>248</v>
      </c>
      <c r="AB652" t="s">
        <v>433</v>
      </c>
      <c r="AC652" s="21">
        <v>741.02</v>
      </c>
      <c r="AD652" s="21" t="s">
        <v>368</v>
      </c>
      <c r="AE652" t="str">
        <f>VLOOKUP(Table_Query_from_Actuarial___Production3[[#This Row],[Kor1]],$AI$3:$AK$105,3,FALSE)</f>
        <v>Investment Income</v>
      </c>
      <c r="AF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" spans="18:32" x14ac:dyDescent="0.2">
      <c r="R653" t="s">
        <v>13</v>
      </c>
      <c r="S653" t="s">
        <v>233</v>
      </c>
      <c r="T653" t="s">
        <v>7</v>
      </c>
      <c r="U653" s="21">
        <v>89029.34</v>
      </c>
      <c r="V653" s="21" t="s">
        <v>368</v>
      </c>
      <c r="W653" t="str">
        <f>VLOOKUP(Table_Query_from_Actuarial___Production[[#This Row],[Kor1]],$AI$3:$AK$105,3,FALSE)</f>
        <v>Operating Service Fees</v>
      </c>
      <c r="X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"/>
      <c r="Z653" t="s">
        <v>10</v>
      </c>
      <c r="AA653" t="s">
        <v>261</v>
      </c>
      <c r="AB653" t="s">
        <v>441</v>
      </c>
      <c r="AC653" s="21">
        <v>15330.6</v>
      </c>
      <c r="AD653" s="21" t="s">
        <v>368</v>
      </c>
      <c r="AE653" t="str">
        <f>VLOOKUP(Table_Query_from_Actuarial___Production3[[#This Row],[Kor1]],$AI$3:$AK$105,3,FALSE)</f>
        <v>Commissions</v>
      </c>
      <c r="AF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" spans="18:32" x14ac:dyDescent="0.2">
      <c r="R654" t="s">
        <v>11</v>
      </c>
      <c r="S654" t="s">
        <v>242</v>
      </c>
      <c r="T654" t="s">
        <v>433</v>
      </c>
      <c r="U654" s="21">
        <v>1002850.6</v>
      </c>
      <c r="V654" s="21" t="s">
        <v>368</v>
      </c>
      <c r="W654" t="str">
        <f>VLOOKUP(Table_Query_from_Actuarial___Production[[#This Row],[Kor1]],$AI$3:$AK$105,3,FALSE)</f>
        <v>Losses Paid</v>
      </c>
      <c r="X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"/>
      <c r="Z654" t="s">
        <v>12</v>
      </c>
      <c r="AA654" t="s">
        <v>241</v>
      </c>
      <c r="AB654" t="s">
        <v>351</v>
      </c>
      <c r="AC654" s="21">
        <v>25815.599999999999</v>
      </c>
      <c r="AD654" s="21" t="s">
        <v>368</v>
      </c>
      <c r="AE654" t="str">
        <f>VLOOKUP(Table_Query_from_Actuarial___Production3[[#This Row],[Kor1]],$AI$3:$AK$105,3,FALSE)</f>
        <v>Premium Tax</v>
      </c>
      <c r="AF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" spans="18:32" x14ac:dyDescent="0.2">
      <c r="R655" t="s">
        <v>12</v>
      </c>
      <c r="S655" t="s">
        <v>240</v>
      </c>
      <c r="T655" t="s">
        <v>8</v>
      </c>
      <c r="U655" s="21">
        <v>33421.9</v>
      </c>
      <c r="V655" s="21" t="s">
        <v>368</v>
      </c>
      <c r="W655" t="str">
        <f>VLOOKUP(Table_Query_from_Actuarial___Production[[#This Row],[Kor1]],$AI$3:$AK$105,3,FALSE)</f>
        <v>Premium Tax</v>
      </c>
      <c r="X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"/>
      <c r="Z655" t="s">
        <v>12</v>
      </c>
      <c r="AA655" t="s">
        <v>266</v>
      </c>
      <c r="AB655" t="s">
        <v>443</v>
      </c>
      <c r="AC655" s="21">
        <v>45612.74</v>
      </c>
      <c r="AD655" s="21" t="s">
        <v>368</v>
      </c>
      <c r="AE655" t="str">
        <f>VLOOKUP(Table_Query_from_Actuarial___Production3[[#This Row],[Kor1]],$AI$3:$AK$105,3,FALSE)</f>
        <v>Premium Tax</v>
      </c>
      <c r="AF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" spans="18:32" x14ac:dyDescent="0.2">
      <c r="R656" t="s">
        <v>140</v>
      </c>
      <c r="S656" t="s">
        <v>354</v>
      </c>
      <c r="T656" t="s">
        <v>445</v>
      </c>
      <c r="U656" s="21">
        <v>4491.43</v>
      </c>
      <c r="V656" s="21" t="s">
        <v>368</v>
      </c>
      <c r="W656" t="str">
        <f>VLOOKUP(Table_Query_from_Actuarial___Production[[#This Row],[Kor1]],$AI$3:$AK$105,3,FALSE)</f>
        <v>Advance Claims Expense</v>
      </c>
      <c r="X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56"/>
      <c r="Z656" t="s">
        <v>13</v>
      </c>
      <c r="AA656" t="s">
        <v>224</v>
      </c>
      <c r="AB656" t="s">
        <v>441</v>
      </c>
      <c r="AC656" s="21">
        <v>10871.87</v>
      </c>
      <c r="AD656" s="21" t="s">
        <v>369</v>
      </c>
      <c r="AE656" t="str">
        <f>VLOOKUP(Table_Query_from_Actuarial___Production3[[#This Row],[Kor1]],$AI$3:$AK$105,3,FALSE)</f>
        <v>Operating Service Fees</v>
      </c>
      <c r="AF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57" spans="18:32" x14ac:dyDescent="0.2">
      <c r="R657" t="s">
        <v>39</v>
      </c>
      <c r="S657" t="s">
        <v>243</v>
      </c>
      <c r="T657" t="s">
        <v>441</v>
      </c>
      <c r="U657" s="21">
        <v>878.7</v>
      </c>
      <c r="V657" s="21" t="s">
        <v>368</v>
      </c>
      <c r="W657" t="str">
        <f>VLOOKUP(Table_Query_from_Actuarial___Production[[#This Row],[Kor1]],$AI$3:$AK$105,3,FALSE)</f>
        <v>Misc. Income for Insolvent Companies</v>
      </c>
      <c r="X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"/>
      <c r="Z657" t="s">
        <v>10</v>
      </c>
      <c r="AA657" t="s">
        <v>227</v>
      </c>
      <c r="AB657" t="s">
        <v>356</v>
      </c>
      <c r="AC657" s="21">
        <v>2108.9499999999998</v>
      </c>
      <c r="AD657" s="21" t="s">
        <v>368</v>
      </c>
      <c r="AE657" t="str">
        <f>VLOOKUP(Table_Query_from_Actuarial___Production3[[#This Row],[Kor1]],$AI$3:$AK$105,3,FALSE)</f>
        <v>Commissions</v>
      </c>
      <c r="AF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" spans="18:32" x14ac:dyDescent="0.2">
      <c r="R658" t="s">
        <v>39</v>
      </c>
      <c r="S658" t="s">
        <v>228</v>
      </c>
      <c r="T658" t="s">
        <v>8</v>
      </c>
      <c r="U658" s="21">
        <v>760</v>
      </c>
      <c r="V658" s="21" t="s">
        <v>368</v>
      </c>
      <c r="W658" t="str">
        <f>VLOOKUP(Table_Query_from_Actuarial___Production[[#This Row],[Kor1]],$AI$3:$AK$105,3,FALSE)</f>
        <v>Misc. Income for Insolvent Companies</v>
      </c>
      <c r="X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"/>
      <c r="Z658" t="s">
        <v>11</v>
      </c>
      <c r="AA658" t="s">
        <v>252</v>
      </c>
      <c r="AB658" t="s">
        <v>441</v>
      </c>
      <c r="AC658" s="21">
        <v>6894298.3899999997</v>
      </c>
      <c r="AD658" s="21" t="s">
        <v>368</v>
      </c>
      <c r="AE658" t="str">
        <f>VLOOKUP(Table_Query_from_Actuarial___Production3[[#This Row],[Kor1]],$AI$3:$AK$105,3,FALSE)</f>
        <v>Losses Paid</v>
      </c>
      <c r="AF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" spans="18:32" x14ac:dyDescent="0.2">
      <c r="R659" t="s">
        <v>40</v>
      </c>
      <c r="S659" t="s">
        <v>239</v>
      </c>
      <c r="T659" t="s">
        <v>9</v>
      </c>
      <c r="U659" s="21">
        <v>21</v>
      </c>
      <c r="V659" s="21" t="s">
        <v>368</v>
      </c>
      <c r="W659" t="str">
        <f>VLOOKUP(Table_Query_from_Actuarial___Production[[#This Row],[Kor1]],$AI$3:$AK$105,3,FALSE)</f>
        <v>Misc. Income</v>
      </c>
      <c r="X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"/>
      <c r="Z659" t="s">
        <v>14</v>
      </c>
      <c r="AA659" t="s">
        <v>241</v>
      </c>
      <c r="AB659" t="s">
        <v>433</v>
      </c>
      <c r="AC659" s="21">
        <v>38547.32</v>
      </c>
      <c r="AD659" s="21" t="s">
        <v>368</v>
      </c>
      <c r="AE659" t="str">
        <f>VLOOKUP(Table_Query_from_Actuarial___Production3[[#This Row],[Kor1]],$AI$3:$AK$105,3,FALSE)</f>
        <v>Claims Expense</v>
      </c>
      <c r="AF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" spans="18:32" x14ac:dyDescent="0.2">
      <c r="R660" t="s">
        <v>19</v>
      </c>
      <c r="S660" t="s">
        <v>256</v>
      </c>
      <c r="T660" t="s">
        <v>427</v>
      </c>
      <c r="U660" s="21">
        <v>170</v>
      </c>
      <c r="V660" s="21" t="s">
        <v>368</v>
      </c>
      <c r="W660" t="str">
        <f>VLOOKUP(Table_Query_from_Actuarial___Production[[#This Row],[Kor1]],$AI$3:$AK$105,3,FALSE)</f>
        <v>Misc. Expense for Insolvent Companies</v>
      </c>
      <c r="X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"/>
      <c r="Z660" t="s">
        <v>40</v>
      </c>
      <c r="AA660" t="s">
        <v>251</v>
      </c>
      <c r="AB660" t="s">
        <v>6</v>
      </c>
      <c r="AC660" s="21">
        <v>7</v>
      </c>
      <c r="AD660" s="21" t="s">
        <v>368</v>
      </c>
      <c r="AE660" t="str">
        <f>VLOOKUP(Table_Query_from_Actuarial___Production3[[#This Row],[Kor1]],$AI$3:$AK$105,3,FALSE)</f>
        <v>Misc. Income</v>
      </c>
      <c r="AF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" spans="18:32" x14ac:dyDescent="0.2">
      <c r="R661" t="s">
        <v>10</v>
      </c>
      <c r="S661" t="s">
        <v>239</v>
      </c>
      <c r="T661" t="s">
        <v>351</v>
      </c>
      <c r="U661" s="21">
        <v>27274.7</v>
      </c>
      <c r="V661" s="21" t="s">
        <v>368</v>
      </c>
      <c r="W661" t="str">
        <f>VLOOKUP(Table_Query_from_Actuarial___Production[[#This Row],[Kor1]],$AI$3:$AK$105,3,FALSE)</f>
        <v>Commissions</v>
      </c>
      <c r="X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"/>
      <c r="Z661" t="s">
        <v>47</v>
      </c>
      <c r="AA661" t="s">
        <v>261</v>
      </c>
      <c r="AB661" t="s">
        <v>351</v>
      </c>
      <c r="AC661" s="21">
        <v>1778</v>
      </c>
      <c r="AD661" s="21" t="s">
        <v>368</v>
      </c>
      <c r="AE661" t="str">
        <f>VLOOKUP(Table_Query_from_Actuarial___Production3[[#This Row],[Kor1]],$AI$3:$AK$105,3,FALSE)</f>
        <v>Investment Income</v>
      </c>
      <c r="AF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" spans="18:32" x14ac:dyDescent="0.2">
      <c r="R662" t="s">
        <v>33</v>
      </c>
      <c r="S662" t="s">
        <v>256</v>
      </c>
      <c r="T662" t="s">
        <v>427</v>
      </c>
      <c r="U662" s="21">
        <v>6038.51</v>
      </c>
      <c r="V662" s="21" t="s">
        <v>368</v>
      </c>
      <c r="W662" t="str">
        <f>VLOOKUP(Table_Query_from_Actuarial___Production[[#This Row],[Kor1]],$AI$3:$AK$105,3,FALSE)</f>
        <v>Misc. Expense</v>
      </c>
      <c r="X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"/>
      <c r="Z662" t="s">
        <v>40</v>
      </c>
      <c r="AA662" t="s">
        <v>240</v>
      </c>
      <c r="AB662" t="s">
        <v>433</v>
      </c>
      <c r="AC662" s="21">
        <v>1</v>
      </c>
      <c r="AD662" s="21" t="s">
        <v>368</v>
      </c>
      <c r="AE662" t="str">
        <f>VLOOKUP(Table_Query_from_Actuarial___Production3[[#This Row],[Kor1]],$AI$3:$AK$105,3,FALSE)</f>
        <v>Misc. Income</v>
      </c>
      <c r="AF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" spans="18:32" x14ac:dyDescent="0.2">
      <c r="R663" t="s">
        <v>47</v>
      </c>
      <c r="S663" t="s">
        <v>232</v>
      </c>
      <c r="T663" t="s">
        <v>441</v>
      </c>
      <c r="U663" s="21">
        <v>21.15</v>
      </c>
      <c r="V663" s="21" t="s">
        <v>368</v>
      </c>
      <c r="W663" t="str">
        <f>VLOOKUP(Table_Query_from_Actuarial___Production[[#This Row],[Kor1]],$AI$3:$AK$105,3,FALSE)</f>
        <v>Investment Income</v>
      </c>
      <c r="X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"/>
      <c r="Z663" t="s">
        <v>18</v>
      </c>
      <c r="AA663" t="s">
        <v>224</v>
      </c>
      <c r="AB663" t="s">
        <v>8</v>
      </c>
      <c r="AC663" s="21">
        <v>247243.25</v>
      </c>
      <c r="AD663" s="21" t="s">
        <v>368</v>
      </c>
      <c r="AE663" t="str">
        <f>VLOOKUP(Table_Query_from_Actuarial___Production3[[#This Row],[Kor1]],$AI$3:$AK$105,3,FALSE)</f>
        <v>Misc. Expense</v>
      </c>
      <c r="AF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64" spans="18:32" x14ac:dyDescent="0.2">
      <c r="R664" t="s">
        <v>31</v>
      </c>
      <c r="S664" t="s">
        <v>253</v>
      </c>
      <c r="T664" t="s">
        <v>445</v>
      </c>
      <c r="U664" s="21">
        <v>255.8</v>
      </c>
      <c r="V664" s="21" t="s">
        <v>368</v>
      </c>
      <c r="W664" t="str">
        <f>VLOOKUP(Table_Query_from_Actuarial___Production[[#This Row],[Kor1]],$AI$3:$AK$105,3,FALSE)</f>
        <v>Misc. Expense</v>
      </c>
      <c r="X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"/>
      <c r="Z664" t="s">
        <v>10</v>
      </c>
      <c r="AA664" t="s">
        <v>268</v>
      </c>
      <c r="AB664" t="s">
        <v>441</v>
      </c>
      <c r="AC664" s="21">
        <v>12157.25</v>
      </c>
      <c r="AD664" s="21" t="s">
        <v>368</v>
      </c>
      <c r="AE664" t="str">
        <f>VLOOKUP(Table_Query_from_Actuarial___Production3[[#This Row],[Kor1]],$AI$3:$AK$105,3,FALSE)</f>
        <v>Commissions</v>
      </c>
      <c r="AF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" spans="18:32" x14ac:dyDescent="0.2">
      <c r="R665" t="s">
        <v>34</v>
      </c>
      <c r="S665" t="s">
        <v>252</v>
      </c>
      <c r="T665" t="s">
        <v>356</v>
      </c>
      <c r="U665" s="21">
        <v>7343.6</v>
      </c>
      <c r="V665" s="21" t="s">
        <v>368</v>
      </c>
      <c r="W665" t="str">
        <f>VLOOKUP(Table_Query_from_Actuarial___Production[[#This Row],[Kor1]],$AI$3:$AK$105,3,FALSE)</f>
        <v>Misc. Expense</v>
      </c>
      <c r="X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"/>
      <c r="Z665" t="s">
        <v>44</v>
      </c>
      <c r="AA665" t="s">
        <v>225</v>
      </c>
      <c r="AB665" t="s">
        <v>7</v>
      </c>
      <c r="AC665" s="21">
        <v>22520.63</v>
      </c>
      <c r="AD665" s="21" t="s">
        <v>369</v>
      </c>
      <c r="AE665" t="str">
        <f>VLOOKUP(Table_Query_from_Actuarial___Production3[[#This Row],[Kor1]],$AI$3:$AK$105,3,FALSE)</f>
        <v>Charge-offs</v>
      </c>
      <c r="AF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66" spans="18:32" x14ac:dyDescent="0.2">
      <c r="R666" t="s">
        <v>41</v>
      </c>
      <c r="S666" t="s">
        <v>235</v>
      </c>
      <c r="T666" t="s">
        <v>441</v>
      </c>
      <c r="U666" s="21">
        <v>150.01</v>
      </c>
      <c r="V666" s="21" t="s">
        <v>368</v>
      </c>
      <c r="W666" t="str">
        <f>VLOOKUP(Table_Query_from_Actuarial___Production[[#This Row],[Kor1]],$AI$3:$AK$105,3,FALSE)</f>
        <v>Misc. Income</v>
      </c>
      <c r="X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"/>
      <c r="Z666" t="s">
        <v>11</v>
      </c>
      <c r="AA666" t="s">
        <v>234</v>
      </c>
      <c r="AB666" t="s">
        <v>441</v>
      </c>
      <c r="AC666" s="21">
        <v>203387.19</v>
      </c>
      <c r="AD666" s="21" t="s">
        <v>368</v>
      </c>
      <c r="AE666" t="str">
        <f>VLOOKUP(Table_Query_from_Actuarial___Production3[[#This Row],[Kor1]],$AI$3:$AK$105,3,FALSE)</f>
        <v>Losses Paid</v>
      </c>
      <c r="AF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" spans="18:32" x14ac:dyDescent="0.2">
      <c r="R667" t="s">
        <v>44</v>
      </c>
      <c r="S667" t="s">
        <v>230</v>
      </c>
      <c r="T667" t="s">
        <v>445</v>
      </c>
      <c r="U667" s="21">
        <v>19827</v>
      </c>
      <c r="V667" s="21" t="s">
        <v>368</v>
      </c>
      <c r="W667" t="str">
        <f>VLOOKUP(Table_Query_from_Actuarial___Production[[#This Row],[Kor1]],$AI$3:$AK$105,3,FALSE)</f>
        <v>Charge-offs</v>
      </c>
      <c r="X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"/>
      <c r="Z667" t="s">
        <v>34</v>
      </c>
      <c r="AA667" t="s">
        <v>249</v>
      </c>
      <c r="AB667" t="s">
        <v>9</v>
      </c>
      <c r="AC667" s="21">
        <v>32.76</v>
      </c>
      <c r="AD667" s="21" t="s">
        <v>368</v>
      </c>
      <c r="AE667" t="str">
        <f>VLOOKUP(Table_Query_from_Actuarial___Production3[[#This Row],[Kor1]],$AI$3:$AK$105,3,FALSE)</f>
        <v>Misc. Expense</v>
      </c>
      <c r="AF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" spans="18:32" x14ac:dyDescent="0.2">
      <c r="R668" t="s">
        <v>20</v>
      </c>
      <c r="S668" t="s">
        <v>234</v>
      </c>
      <c r="T668" t="s">
        <v>7</v>
      </c>
      <c r="U668" s="21">
        <v>704.54</v>
      </c>
      <c r="V668" s="21" t="s">
        <v>368</v>
      </c>
      <c r="W668" t="str">
        <f>VLOOKUP(Table_Query_from_Actuarial___Production[[#This Row],[Kor1]],$AI$3:$AK$105,3,FALSE)</f>
        <v>Misc. Expense</v>
      </c>
      <c r="X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"/>
      <c r="Z668" t="s">
        <v>19</v>
      </c>
      <c r="AA668" t="s">
        <v>252</v>
      </c>
      <c r="AB668" t="s">
        <v>433</v>
      </c>
      <c r="AC668" s="21">
        <v>453086.16</v>
      </c>
      <c r="AD668" s="21" t="s">
        <v>368</v>
      </c>
      <c r="AE668" t="str">
        <f>VLOOKUP(Table_Query_from_Actuarial___Production3[[#This Row],[Kor1]],$AI$3:$AK$105,3,FALSE)</f>
        <v>Misc. Expense for Insolvent Companies</v>
      </c>
      <c r="AF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" spans="18:32" x14ac:dyDescent="0.2">
      <c r="R669" t="s">
        <v>77</v>
      </c>
      <c r="S669" t="s">
        <v>257</v>
      </c>
      <c r="T669" t="s">
        <v>443</v>
      </c>
      <c r="U669" s="21">
        <v>324772</v>
      </c>
      <c r="V669" s="21" t="s">
        <v>368</v>
      </c>
      <c r="W669" t="str">
        <f>VLOOKUP(Table_Query_from_Actuarial___Production[[#This Row],[Kor1]],$AI$3:$AK$105,3,FALSE)</f>
        <v>PDR</v>
      </c>
      <c r="X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"/>
      <c r="Z669" t="s">
        <v>11</v>
      </c>
      <c r="AA669" t="s">
        <v>238</v>
      </c>
      <c r="AB669" t="s">
        <v>351</v>
      </c>
      <c r="AC669" s="21">
        <v>86088.78</v>
      </c>
      <c r="AD669" s="21" t="s">
        <v>368</v>
      </c>
      <c r="AE669" t="str">
        <f>VLOOKUP(Table_Query_from_Actuarial___Production3[[#This Row],[Kor1]],$AI$3:$AK$105,3,FALSE)</f>
        <v>Losses Paid</v>
      </c>
      <c r="AF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" spans="18:32" x14ac:dyDescent="0.2">
      <c r="R670" t="s">
        <v>47</v>
      </c>
      <c r="S670" t="s">
        <v>249</v>
      </c>
      <c r="T670" t="s">
        <v>6</v>
      </c>
      <c r="U670" s="21">
        <v>0.04</v>
      </c>
      <c r="V670" s="21" t="s">
        <v>368</v>
      </c>
      <c r="W670" t="str">
        <f>VLOOKUP(Table_Query_from_Actuarial___Production[[#This Row],[Kor1]],$AI$3:$AK$105,3,FALSE)</f>
        <v>Investment Income</v>
      </c>
      <c r="X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"/>
      <c r="Z670" t="s">
        <v>12</v>
      </c>
      <c r="AA670" t="s">
        <v>268</v>
      </c>
      <c r="AB670" t="s">
        <v>441</v>
      </c>
      <c r="AC670" s="21">
        <v>5017.72</v>
      </c>
      <c r="AD670" s="21" t="s">
        <v>368</v>
      </c>
      <c r="AE670" t="str">
        <f>VLOOKUP(Table_Query_from_Actuarial___Production3[[#This Row],[Kor1]],$AI$3:$AK$105,3,FALSE)</f>
        <v>Premium Tax</v>
      </c>
      <c r="AF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" spans="18:32" x14ac:dyDescent="0.2">
      <c r="R671" t="s">
        <v>13</v>
      </c>
      <c r="S671" t="s">
        <v>241</v>
      </c>
      <c r="T671" t="s">
        <v>433</v>
      </c>
      <c r="U671" s="21">
        <v>81901.899999999994</v>
      </c>
      <c r="V671" s="21" t="s">
        <v>368</v>
      </c>
      <c r="W671" t="str">
        <f>VLOOKUP(Table_Query_from_Actuarial___Production[[#This Row],[Kor1]],$AI$3:$AK$105,3,FALSE)</f>
        <v>Operating Service Fees</v>
      </c>
      <c r="X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"/>
      <c r="Z671" t="s">
        <v>13</v>
      </c>
      <c r="AA671" t="s">
        <v>239</v>
      </c>
      <c r="AB671" t="s">
        <v>7</v>
      </c>
      <c r="AC671" s="21">
        <v>34452.74</v>
      </c>
      <c r="AD671" s="21" t="s">
        <v>368</v>
      </c>
      <c r="AE671" t="str">
        <f>VLOOKUP(Table_Query_from_Actuarial___Production3[[#This Row],[Kor1]],$AI$3:$AK$105,3,FALSE)</f>
        <v>Operating Service Fees</v>
      </c>
      <c r="AF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" spans="18:32" x14ac:dyDescent="0.2">
      <c r="R672" t="s">
        <v>48</v>
      </c>
      <c r="S672" t="s">
        <v>250</v>
      </c>
      <c r="T672" t="s">
        <v>433</v>
      </c>
      <c r="U672" s="21">
        <v>344.35</v>
      </c>
      <c r="V672" s="21" t="s">
        <v>368</v>
      </c>
      <c r="W672" t="str">
        <f>VLOOKUP(Table_Query_from_Actuarial___Production[[#This Row],[Kor1]],$AI$3:$AK$105,3,FALSE)</f>
        <v>Anticipated Salvage</v>
      </c>
      <c r="X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"/>
      <c r="Z672" t="s">
        <v>41</v>
      </c>
      <c r="AA672" t="s">
        <v>256</v>
      </c>
      <c r="AB672" t="s">
        <v>441</v>
      </c>
      <c r="AC672" s="21">
        <v>1200</v>
      </c>
      <c r="AD672" s="21" t="s">
        <v>368</v>
      </c>
      <c r="AE672" t="str">
        <f>VLOOKUP(Table_Query_from_Actuarial___Production3[[#This Row],[Kor1]],$AI$3:$AK$105,3,FALSE)</f>
        <v>Misc. Income</v>
      </c>
      <c r="AF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" spans="18:32" x14ac:dyDescent="0.2">
      <c r="R673" t="s">
        <v>40</v>
      </c>
      <c r="S673" t="s">
        <v>263</v>
      </c>
      <c r="T673" t="s">
        <v>6</v>
      </c>
      <c r="U673" s="21">
        <v>19.989999999999998</v>
      </c>
      <c r="V673" s="21" t="s">
        <v>368</v>
      </c>
      <c r="W673" t="str">
        <f>VLOOKUP(Table_Query_from_Actuarial___Production[[#This Row],[Kor1]],$AI$3:$AK$105,3,FALSE)</f>
        <v>Misc. Income</v>
      </c>
      <c r="X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"/>
      <c r="Z673" t="s">
        <v>3</v>
      </c>
      <c r="AA673" t="s">
        <v>266</v>
      </c>
      <c r="AB673" t="s">
        <v>427</v>
      </c>
      <c r="AC673" s="21">
        <v>766769</v>
      </c>
      <c r="AD673" s="21" t="s">
        <v>368</v>
      </c>
      <c r="AE673" t="str">
        <f>VLOOKUP(Table_Query_from_Actuarial___Production3[[#This Row],[Kor1]],$AI$3:$AK$105,3,FALSE)</f>
        <v>Premiums Written</v>
      </c>
      <c r="AF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" spans="18:32" x14ac:dyDescent="0.2">
      <c r="R674" t="s">
        <v>13</v>
      </c>
      <c r="S674" t="s">
        <v>261</v>
      </c>
      <c r="T674" t="s">
        <v>442</v>
      </c>
      <c r="U674" s="21">
        <v>52411.62</v>
      </c>
      <c r="V674" s="21" t="s">
        <v>368</v>
      </c>
      <c r="W674" t="str">
        <f>VLOOKUP(Table_Query_from_Actuarial___Production[[#This Row],[Kor1]],$AI$3:$AK$105,3,FALSE)</f>
        <v>Operating Service Fees</v>
      </c>
      <c r="X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"/>
      <c r="Z674" t="s">
        <v>13</v>
      </c>
      <c r="AA674" t="s">
        <v>240</v>
      </c>
      <c r="AB674" t="s">
        <v>8</v>
      </c>
      <c r="AC674" s="21">
        <v>346735.78</v>
      </c>
      <c r="AD674" s="21" t="s">
        <v>368</v>
      </c>
      <c r="AE674" t="str">
        <f>VLOOKUP(Table_Query_from_Actuarial___Production3[[#This Row],[Kor1]],$AI$3:$AK$105,3,FALSE)</f>
        <v>Operating Service Fees</v>
      </c>
      <c r="AF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" spans="18:32" x14ac:dyDescent="0.2">
      <c r="R675" t="s">
        <v>41</v>
      </c>
      <c r="S675" t="s">
        <v>240</v>
      </c>
      <c r="T675" t="s">
        <v>351</v>
      </c>
      <c r="U675" s="21">
        <v>250.02</v>
      </c>
      <c r="V675" s="21" t="s">
        <v>368</v>
      </c>
      <c r="W675" t="str">
        <f>VLOOKUP(Table_Query_from_Actuarial___Production[[#This Row],[Kor1]],$AI$3:$AK$105,3,FALSE)</f>
        <v>Misc. Income</v>
      </c>
      <c r="X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"/>
      <c r="Z675" t="s">
        <v>13</v>
      </c>
      <c r="AA675" t="s">
        <v>266</v>
      </c>
      <c r="AB675" t="s">
        <v>427</v>
      </c>
      <c r="AC675" s="21">
        <v>141352.37</v>
      </c>
      <c r="AD675" s="21" t="s">
        <v>368</v>
      </c>
      <c r="AE675" t="str">
        <f>VLOOKUP(Table_Query_from_Actuarial___Production3[[#This Row],[Kor1]],$AI$3:$AK$105,3,FALSE)</f>
        <v>Operating Service Fees</v>
      </c>
      <c r="AF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" spans="18:32" x14ac:dyDescent="0.2">
      <c r="R676" t="s">
        <v>13</v>
      </c>
      <c r="S676" t="s">
        <v>235</v>
      </c>
      <c r="T676" t="s">
        <v>8</v>
      </c>
      <c r="U676" s="21">
        <v>133188.03</v>
      </c>
      <c r="V676" s="21" t="s">
        <v>368</v>
      </c>
      <c r="W676" t="str">
        <f>VLOOKUP(Table_Query_from_Actuarial___Production[[#This Row],[Kor1]],$AI$3:$AK$105,3,FALSE)</f>
        <v>Operating Service Fees</v>
      </c>
      <c r="X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"/>
      <c r="Z676" t="s">
        <v>32</v>
      </c>
      <c r="AA676" t="s">
        <v>265</v>
      </c>
      <c r="AB676" t="s">
        <v>5</v>
      </c>
      <c r="AC676" s="21">
        <v>-35613.980000000003</v>
      </c>
      <c r="AD676" s="21" t="s">
        <v>368</v>
      </c>
      <c r="AE676" t="str">
        <f>VLOOKUP(Table_Query_from_Actuarial___Production3[[#This Row],[Kor1]],$AI$3:$AK$105,3,FALSE)</f>
        <v>Misc. Expense</v>
      </c>
      <c r="AF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" spans="18:32" x14ac:dyDescent="0.2">
      <c r="R677" t="s">
        <v>47</v>
      </c>
      <c r="S677" t="s">
        <v>250</v>
      </c>
      <c r="T677" t="s">
        <v>427</v>
      </c>
      <c r="U677" s="21">
        <v>4137.8500000000004</v>
      </c>
      <c r="V677" s="21" t="s">
        <v>368</v>
      </c>
      <c r="W677" t="str">
        <f>VLOOKUP(Table_Query_from_Actuarial___Production[[#This Row],[Kor1]],$AI$3:$AK$105,3,FALSE)</f>
        <v>Investment Income</v>
      </c>
      <c r="X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"/>
      <c r="Z677" t="s">
        <v>12</v>
      </c>
      <c r="AA677" t="s">
        <v>233</v>
      </c>
      <c r="AB677" t="s">
        <v>442</v>
      </c>
      <c r="AC677" s="21">
        <v>24919.94</v>
      </c>
      <c r="AD677" s="21" t="s">
        <v>368</v>
      </c>
      <c r="AE677" t="str">
        <f>VLOOKUP(Table_Query_from_Actuarial___Production3[[#This Row],[Kor1]],$AI$3:$AK$105,3,FALSE)</f>
        <v>Premium Tax</v>
      </c>
      <c r="AF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" spans="18:32" x14ac:dyDescent="0.2">
      <c r="R678" t="s">
        <v>11</v>
      </c>
      <c r="S678" t="s">
        <v>258</v>
      </c>
      <c r="T678" t="s">
        <v>445</v>
      </c>
      <c r="U678" s="21">
        <v>5311.86</v>
      </c>
      <c r="V678" s="21" t="s">
        <v>368</v>
      </c>
      <c r="W678" t="str">
        <f>VLOOKUP(Table_Query_from_Actuarial___Production[[#This Row],[Kor1]],$AI$3:$AK$105,3,FALSE)</f>
        <v>Losses Paid</v>
      </c>
      <c r="X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"/>
      <c r="Z678" t="s">
        <v>12</v>
      </c>
      <c r="AA678" t="s">
        <v>239</v>
      </c>
      <c r="AB678" t="s">
        <v>441</v>
      </c>
      <c r="AC678" s="21">
        <v>229214.04</v>
      </c>
      <c r="AD678" s="21" t="s">
        <v>368</v>
      </c>
      <c r="AE678" t="str">
        <f>VLOOKUP(Table_Query_from_Actuarial___Production3[[#This Row],[Kor1]],$AI$3:$AK$105,3,FALSE)</f>
        <v>Premium Tax</v>
      </c>
      <c r="AF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" spans="18:32" x14ac:dyDescent="0.2">
      <c r="R679" t="s">
        <v>43</v>
      </c>
      <c r="S679" t="s">
        <v>261</v>
      </c>
      <c r="T679" t="s">
        <v>356</v>
      </c>
      <c r="U679" s="21">
        <v>-1586.75</v>
      </c>
      <c r="V679" s="21" t="s">
        <v>368</v>
      </c>
      <c r="W679" t="str">
        <f>VLOOKUP(Table_Query_from_Actuarial___Production[[#This Row],[Kor1]],$AI$3:$AK$105,3,FALSE)</f>
        <v>Charge-offs</v>
      </c>
      <c r="X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"/>
      <c r="Z679" t="s">
        <v>13</v>
      </c>
      <c r="AA679" t="s">
        <v>233</v>
      </c>
      <c r="AB679" t="s">
        <v>7</v>
      </c>
      <c r="AC679" s="21">
        <v>89029.34</v>
      </c>
      <c r="AD679" s="21" t="s">
        <v>368</v>
      </c>
      <c r="AE679" t="str">
        <f>VLOOKUP(Table_Query_from_Actuarial___Production3[[#This Row],[Kor1]],$AI$3:$AK$105,3,FALSE)</f>
        <v>Operating Service Fees</v>
      </c>
      <c r="AF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" spans="18:32" x14ac:dyDescent="0.2">
      <c r="R680" t="s">
        <v>3</v>
      </c>
      <c r="S680" t="s">
        <v>266</v>
      </c>
      <c r="T680" t="s">
        <v>443</v>
      </c>
      <c r="U680" s="21">
        <v>1471392</v>
      </c>
      <c r="V680" s="21" t="s">
        <v>368</v>
      </c>
      <c r="W680" t="str">
        <f>VLOOKUP(Table_Query_from_Actuarial___Production[[#This Row],[Kor1]],$AI$3:$AK$105,3,FALSE)</f>
        <v>Premiums Written</v>
      </c>
      <c r="X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"/>
      <c r="Z680" t="s">
        <v>47</v>
      </c>
      <c r="AA680" t="s">
        <v>264</v>
      </c>
      <c r="AB680" t="s">
        <v>5</v>
      </c>
      <c r="AC680" s="21">
        <v>5.29</v>
      </c>
      <c r="AD680" s="21" t="s">
        <v>368</v>
      </c>
      <c r="AE680" t="str">
        <f>VLOOKUP(Table_Query_from_Actuarial___Production3[[#This Row],[Kor1]],$AI$3:$AK$105,3,FALSE)</f>
        <v>Investment Income</v>
      </c>
      <c r="AF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" spans="18:32" x14ac:dyDescent="0.2">
      <c r="R681" t="s">
        <v>3</v>
      </c>
      <c r="S681" t="s">
        <v>232</v>
      </c>
      <c r="T681" t="s">
        <v>445</v>
      </c>
      <c r="U681" s="21">
        <v>1342708</v>
      </c>
      <c r="V681" s="21" t="s">
        <v>368</v>
      </c>
      <c r="W681" t="str">
        <f>VLOOKUP(Table_Query_from_Actuarial___Production[[#This Row],[Kor1]],$AI$3:$AK$105,3,FALSE)</f>
        <v>Premiums Written</v>
      </c>
      <c r="X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"/>
      <c r="Z681" t="s">
        <v>11</v>
      </c>
      <c r="AA681" t="s">
        <v>242</v>
      </c>
      <c r="AB681" t="s">
        <v>433</v>
      </c>
      <c r="AC681" s="21">
        <v>477850.6</v>
      </c>
      <c r="AD681" s="21" t="s">
        <v>368</v>
      </c>
      <c r="AE681" t="str">
        <f>VLOOKUP(Table_Query_from_Actuarial___Production3[[#This Row],[Kor1]],$AI$3:$AK$105,3,FALSE)</f>
        <v>Losses Paid</v>
      </c>
      <c r="AF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" spans="18:32" x14ac:dyDescent="0.2">
      <c r="R682" t="s">
        <v>47</v>
      </c>
      <c r="S682" t="s">
        <v>266</v>
      </c>
      <c r="T682" t="s">
        <v>445</v>
      </c>
      <c r="U682" s="21">
        <v>7765.61</v>
      </c>
      <c r="V682" s="21" t="s">
        <v>368</v>
      </c>
      <c r="W682" t="str">
        <f>VLOOKUP(Table_Query_from_Actuarial___Production[[#This Row],[Kor1]],$AI$3:$AK$105,3,FALSE)</f>
        <v>Investment Income</v>
      </c>
      <c r="X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"/>
      <c r="Z682" t="s">
        <v>12</v>
      </c>
      <c r="AA682" t="s">
        <v>240</v>
      </c>
      <c r="AB682" t="s">
        <v>8</v>
      </c>
      <c r="AC682" s="21">
        <v>33421.9</v>
      </c>
      <c r="AD682" s="21" t="s">
        <v>368</v>
      </c>
      <c r="AE682" t="str">
        <f>VLOOKUP(Table_Query_from_Actuarial___Production3[[#This Row],[Kor1]],$AI$3:$AK$105,3,FALSE)</f>
        <v>Premium Tax</v>
      </c>
      <c r="AF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" spans="18:32" x14ac:dyDescent="0.2">
      <c r="R683" t="s">
        <v>39</v>
      </c>
      <c r="S683" t="s">
        <v>233</v>
      </c>
      <c r="T683" t="s">
        <v>427</v>
      </c>
      <c r="U683" s="21">
        <v>413.97</v>
      </c>
      <c r="V683" s="21" t="s">
        <v>368</v>
      </c>
      <c r="W683" t="str">
        <f>VLOOKUP(Table_Query_from_Actuarial___Production[[#This Row],[Kor1]],$AI$3:$AK$105,3,FALSE)</f>
        <v>Misc. Income for Insolvent Companies</v>
      </c>
      <c r="X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"/>
      <c r="Z683" t="s">
        <v>48</v>
      </c>
      <c r="AA683" t="s">
        <v>352</v>
      </c>
      <c r="AB683" t="s">
        <v>441</v>
      </c>
      <c r="AC683" s="21">
        <v>41.83</v>
      </c>
      <c r="AD683" s="21" t="s">
        <v>369</v>
      </c>
      <c r="AE683" t="str">
        <f>VLOOKUP(Table_Query_from_Actuarial___Production3[[#This Row],[Kor1]],$AI$3:$AK$105,3,FALSE)</f>
        <v>Anticipated Salvage</v>
      </c>
      <c r="AF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84" spans="18:32" x14ac:dyDescent="0.2">
      <c r="R684" t="s">
        <v>11</v>
      </c>
      <c r="S684" t="s">
        <v>250</v>
      </c>
      <c r="T684" t="s">
        <v>7</v>
      </c>
      <c r="U684" s="21">
        <v>531122.82999999996</v>
      </c>
      <c r="V684" s="21" t="s">
        <v>368</v>
      </c>
      <c r="W684" t="str">
        <f>VLOOKUP(Table_Query_from_Actuarial___Production[[#This Row],[Kor1]],$AI$3:$AK$105,3,FALSE)</f>
        <v>Losses Paid</v>
      </c>
      <c r="X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"/>
      <c r="Z684" t="s">
        <v>39</v>
      </c>
      <c r="AA684" t="s">
        <v>243</v>
      </c>
      <c r="AB684" t="s">
        <v>441</v>
      </c>
      <c r="AC684" s="21">
        <v>878.7</v>
      </c>
      <c r="AD684" s="21" t="s">
        <v>368</v>
      </c>
      <c r="AE684" t="str">
        <f>VLOOKUP(Table_Query_from_Actuarial___Production3[[#This Row],[Kor1]],$AI$3:$AK$105,3,FALSE)</f>
        <v>Misc. Income for Insolvent Companies</v>
      </c>
      <c r="AF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" spans="18:32" x14ac:dyDescent="0.2">
      <c r="R685" t="s">
        <v>3</v>
      </c>
      <c r="S685" t="s">
        <v>225</v>
      </c>
      <c r="T685" t="s">
        <v>442</v>
      </c>
      <c r="U685" s="21">
        <v>277616</v>
      </c>
      <c r="V685" s="21" t="s">
        <v>369</v>
      </c>
      <c r="W685" t="str">
        <f>VLOOKUP(Table_Query_from_Actuarial___Production[[#This Row],[Kor1]],$AI$3:$AK$105,3,FALSE)</f>
        <v>Premiums Written</v>
      </c>
      <c r="X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85"/>
      <c r="Z685" t="s">
        <v>39</v>
      </c>
      <c r="AA685" t="s">
        <v>228</v>
      </c>
      <c r="AB685" t="s">
        <v>8</v>
      </c>
      <c r="AC685" s="21">
        <v>760</v>
      </c>
      <c r="AD685" s="21" t="s">
        <v>368</v>
      </c>
      <c r="AE685" t="str">
        <f>VLOOKUP(Table_Query_from_Actuarial___Production3[[#This Row],[Kor1]],$AI$3:$AK$105,3,FALSE)</f>
        <v>Misc. Income for Insolvent Companies</v>
      </c>
      <c r="AF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" spans="18:32" x14ac:dyDescent="0.2">
      <c r="R686" t="s">
        <v>10</v>
      </c>
      <c r="S686" t="s">
        <v>234</v>
      </c>
      <c r="T686" t="s">
        <v>445</v>
      </c>
      <c r="U686" s="21">
        <v>28595.1</v>
      </c>
      <c r="V686" s="21" t="s">
        <v>368</v>
      </c>
      <c r="W686" t="str">
        <f>VLOOKUP(Table_Query_from_Actuarial___Production[[#This Row],[Kor1]],$AI$3:$AK$105,3,FALSE)</f>
        <v>Commissions</v>
      </c>
      <c r="X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"/>
      <c r="Z686" t="s">
        <v>40</v>
      </c>
      <c r="AA686" t="s">
        <v>239</v>
      </c>
      <c r="AB686" t="s">
        <v>9</v>
      </c>
      <c r="AC686" s="21">
        <v>21</v>
      </c>
      <c r="AD686" s="21" t="s">
        <v>368</v>
      </c>
      <c r="AE686" t="str">
        <f>VLOOKUP(Table_Query_from_Actuarial___Production3[[#This Row],[Kor1]],$AI$3:$AK$105,3,FALSE)</f>
        <v>Misc. Income</v>
      </c>
      <c r="AF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" spans="18:32" x14ac:dyDescent="0.2">
      <c r="R687" t="s">
        <v>11</v>
      </c>
      <c r="S687" t="s">
        <v>257</v>
      </c>
      <c r="T687" t="s">
        <v>356</v>
      </c>
      <c r="U687" s="21">
        <v>114149.92</v>
      </c>
      <c r="V687" s="21" t="s">
        <v>368</v>
      </c>
      <c r="W687" t="str">
        <f>VLOOKUP(Table_Query_from_Actuarial___Production[[#This Row],[Kor1]],$AI$3:$AK$105,3,FALSE)</f>
        <v>Losses Paid</v>
      </c>
      <c r="X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"/>
      <c r="Z687" t="s">
        <v>19</v>
      </c>
      <c r="AA687" t="s">
        <v>256</v>
      </c>
      <c r="AB687" t="s">
        <v>427</v>
      </c>
      <c r="AC687" s="21">
        <v>170</v>
      </c>
      <c r="AD687" s="21" t="s">
        <v>368</v>
      </c>
      <c r="AE687" t="str">
        <f>VLOOKUP(Table_Query_from_Actuarial___Production3[[#This Row],[Kor1]],$AI$3:$AK$105,3,FALSE)</f>
        <v>Misc. Expense for Insolvent Companies</v>
      </c>
      <c r="AF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" spans="18:32" x14ac:dyDescent="0.2">
      <c r="R688" t="s">
        <v>39</v>
      </c>
      <c r="S688" t="s">
        <v>237</v>
      </c>
      <c r="T688" t="s">
        <v>356</v>
      </c>
      <c r="U688" s="21">
        <v>785</v>
      </c>
      <c r="V688" s="21" t="s">
        <v>368</v>
      </c>
      <c r="W688" t="str">
        <f>VLOOKUP(Table_Query_from_Actuarial___Production[[#This Row],[Kor1]],$AI$3:$AK$105,3,FALSE)</f>
        <v>Misc. Income for Insolvent Companies</v>
      </c>
      <c r="X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"/>
      <c r="Z688" t="s">
        <v>10</v>
      </c>
      <c r="AA688" t="s">
        <v>239</v>
      </c>
      <c r="AB688" t="s">
        <v>351</v>
      </c>
      <c r="AC688" s="21">
        <v>27274.7</v>
      </c>
      <c r="AD688" s="21" t="s">
        <v>368</v>
      </c>
      <c r="AE688" t="str">
        <f>VLOOKUP(Table_Query_from_Actuarial___Production3[[#This Row],[Kor1]],$AI$3:$AK$105,3,FALSE)</f>
        <v>Commissions</v>
      </c>
      <c r="AF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" spans="18:32" x14ac:dyDescent="0.2">
      <c r="R689" t="s">
        <v>14</v>
      </c>
      <c r="S689" t="s">
        <v>237</v>
      </c>
      <c r="T689" t="s">
        <v>445</v>
      </c>
      <c r="U689" s="21">
        <v>486488.02</v>
      </c>
      <c r="V689" s="21" t="s">
        <v>368</v>
      </c>
      <c r="W689" t="str">
        <f>VLOOKUP(Table_Query_from_Actuarial___Production[[#This Row],[Kor1]],$AI$3:$AK$105,3,FALSE)</f>
        <v>Claims Expense</v>
      </c>
      <c r="X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"/>
      <c r="Z689" t="s">
        <v>3</v>
      </c>
      <c r="AA689" t="s">
        <v>263</v>
      </c>
      <c r="AB689" t="s">
        <v>5</v>
      </c>
      <c r="AC689" s="21">
        <v>339040</v>
      </c>
      <c r="AD689" s="21" t="s">
        <v>368</v>
      </c>
      <c r="AE689" t="str">
        <f>VLOOKUP(Table_Query_from_Actuarial___Production3[[#This Row],[Kor1]],$AI$3:$AK$105,3,FALSE)</f>
        <v>Premiums Written</v>
      </c>
      <c r="AF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" spans="18:32" x14ac:dyDescent="0.2">
      <c r="R690" t="s">
        <v>14</v>
      </c>
      <c r="S690" t="s">
        <v>258</v>
      </c>
      <c r="T690" t="s">
        <v>442</v>
      </c>
      <c r="U690" s="21">
        <v>326025.65000000002</v>
      </c>
      <c r="V690" s="21" t="s">
        <v>368</v>
      </c>
      <c r="W690" t="str">
        <f>VLOOKUP(Table_Query_from_Actuarial___Production[[#This Row],[Kor1]],$AI$3:$AK$105,3,FALSE)</f>
        <v>Claims Expense</v>
      </c>
      <c r="X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"/>
      <c r="Z690" t="s">
        <v>33</v>
      </c>
      <c r="AA690" t="s">
        <v>256</v>
      </c>
      <c r="AB690" t="s">
        <v>427</v>
      </c>
      <c r="AC690" s="21">
        <v>6038.51</v>
      </c>
      <c r="AD690" s="21" t="s">
        <v>368</v>
      </c>
      <c r="AE690" t="str">
        <f>VLOOKUP(Table_Query_from_Actuarial___Production3[[#This Row],[Kor1]],$AI$3:$AK$105,3,FALSE)</f>
        <v>Misc. Expense</v>
      </c>
      <c r="AF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" spans="18:32" x14ac:dyDescent="0.2">
      <c r="R691" t="s">
        <v>21</v>
      </c>
      <c r="S691" t="s">
        <v>256</v>
      </c>
      <c r="T691" t="s">
        <v>433</v>
      </c>
      <c r="U691" s="21">
        <v>260</v>
      </c>
      <c r="V691" s="21" t="s">
        <v>368</v>
      </c>
      <c r="W691" t="str">
        <f>VLOOKUP(Table_Query_from_Actuarial___Production[[#This Row],[Kor1]],$AI$3:$AK$105,3,FALSE)</f>
        <v>Misc. Expense</v>
      </c>
      <c r="X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"/>
      <c r="Z691" t="s">
        <v>14</v>
      </c>
      <c r="AA691" t="s">
        <v>261</v>
      </c>
      <c r="AB691" t="s">
        <v>5</v>
      </c>
      <c r="AC691" s="21">
        <v>50256.25</v>
      </c>
      <c r="AD691" s="21" t="s">
        <v>368</v>
      </c>
      <c r="AE691" t="str">
        <f>VLOOKUP(Table_Query_from_Actuarial___Production3[[#This Row],[Kor1]],$AI$3:$AK$105,3,FALSE)</f>
        <v>Claims Expense</v>
      </c>
      <c r="AF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" spans="18:32" x14ac:dyDescent="0.2">
      <c r="R692" t="s">
        <v>39</v>
      </c>
      <c r="S692" t="s">
        <v>268</v>
      </c>
      <c r="T692" t="s">
        <v>6</v>
      </c>
      <c r="U692" s="21">
        <v>187.87</v>
      </c>
      <c r="V692" s="21" t="s">
        <v>368</v>
      </c>
      <c r="W692" t="str">
        <f>VLOOKUP(Table_Query_from_Actuarial___Production[[#This Row],[Kor1]],$AI$3:$AK$105,3,FALSE)</f>
        <v>Misc. Income for Insolvent Companies</v>
      </c>
      <c r="X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"/>
      <c r="Z692" t="s">
        <v>47</v>
      </c>
      <c r="AA692" t="s">
        <v>232</v>
      </c>
      <c r="AB692" t="s">
        <v>441</v>
      </c>
      <c r="AC692" s="21">
        <v>21.15</v>
      </c>
      <c r="AD692" s="21" t="s">
        <v>368</v>
      </c>
      <c r="AE692" t="str">
        <f>VLOOKUP(Table_Query_from_Actuarial___Production3[[#This Row],[Kor1]],$AI$3:$AK$105,3,FALSE)</f>
        <v>Investment Income</v>
      </c>
      <c r="AF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" spans="18:32" x14ac:dyDescent="0.2">
      <c r="R693" t="s">
        <v>50</v>
      </c>
      <c r="S693" t="s">
        <v>255</v>
      </c>
      <c r="T693" t="s">
        <v>442</v>
      </c>
      <c r="U693" s="21">
        <v>1259.47</v>
      </c>
      <c r="V693" s="21" t="s">
        <v>368</v>
      </c>
      <c r="W693" t="str">
        <f>VLOOKUP(Table_Query_from_Actuarial___Production[[#This Row],[Kor1]],$AI$3:$AK$105,3,FALSE)</f>
        <v>ALAE Reserve</v>
      </c>
      <c r="X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"/>
      <c r="Z693" t="s">
        <v>34</v>
      </c>
      <c r="AA693" t="s">
        <v>252</v>
      </c>
      <c r="AB693" t="s">
        <v>356</v>
      </c>
      <c r="AC693" s="21">
        <v>7343.6</v>
      </c>
      <c r="AD693" s="21" t="s">
        <v>368</v>
      </c>
      <c r="AE693" t="str">
        <f>VLOOKUP(Table_Query_from_Actuarial___Production3[[#This Row],[Kor1]],$AI$3:$AK$105,3,FALSE)</f>
        <v>Misc. Expense</v>
      </c>
      <c r="AF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" spans="18:32" x14ac:dyDescent="0.2">
      <c r="R694" t="s">
        <v>17</v>
      </c>
      <c r="S694" t="s">
        <v>354</v>
      </c>
      <c r="T694" t="s">
        <v>433</v>
      </c>
      <c r="U694" s="21">
        <v>5092293.5</v>
      </c>
      <c r="V694" s="21" t="s">
        <v>368</v>
      </c>
      <c r="W694" t="str">
        <f>VLOOKUP(Table_Query_from_Actuarial___Production[[#This Row],[Kor1]],$AI$3:$AK$105,3,FALSE)</f>
        <v>IBNR</v>
      </c>
      <c r="X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94"/>
      <c r="Z694" t="s">
        <v>41</v>
      </c>
      <c r="AA694" t="s">
        <v>235</v>
      </c>
      <c r="AB694" t="s">
        <v>441</v>
      </c>
      <c r="AC694" s="21">
        <v>150.01</v>
      </c>
      <c r="AD694" s="21" t="s">
        <v>368</v>
      </c>
      <c r="AE694" t="str">
        <f>VLOOKUP(Table_Query_from_Actuarial___Production3[[#This Row],[Kor1]],$AI$3:$AK$105,3,FALSE)</f>
        <v>Misc. Income</v>
      </c>
      <c r="AF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" spans="18:32" x14ac:dyDescent="0.2">
      <c r="R695" t="s">
        <v>10</v>
      </c>
      <c r="S695" t="s">
        <v>252</v>
      </c>
      <c r="T695" t="s">
        <v>445</v>
      </c>
      <c r="U695" s="21">
        <v>1433171.65</v>
      </c>
      <c r="V695" s="21" t="s">
        <v>368</v>
      </c>
      <c r="W695" t="str">
        <f>VLOOKUP(Table_Query_from_Actuarial___Production[[#This Row],[Kor1]],$AI$3:$AK$105,3,FALSE)</f>
        <v>Commissions</v>
      </c>
      <c r="X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"/>
      <c r="Z695" t="s">
        <v>20</v>
      </c>
      <c r="AA695" t="s">
        <v>234</v>
      </c>
      <c r="AB695" t="s">
        <v>7</v>
      </c>
      <c r="AC695" s="21">
        <v>704.54</v>
      </c>
      <c r="AD695" s="21" t="s">
        <v>368</v>
      </c>
      <c r="AE695" t="str">
        <f>VLOOKUP(Table_Query_from_Actuarial___Production3[[#This Row],[Kor1]],$AI$3:$AK$105,3,FALSE)</f>
        <v>Misc. Expense</v>
      </c>
      <c r="AF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" spans="18:32" x14ac:dyDescent="0.2">
      <c r="R696" t="s">
        <v>37</v>
      </c>
      <c r="S696" t="s">
        <v>239</v>
      </c>
      <c r="T696" t="s">
        <v>351</v>
      </c>
      <c r="U696" s="21">
        <v>729.67</v>
      </c>
      <c r="V696" s="21" t="s">
        <v>368</v>
      </c>
      <c r="W696" t="str">
        <f>VLOOKUP(Table_Query_from_Actuarial___Production[[#This Row],[Kor1]],$AI$3:$AK$105,3,FALSE)</f>
        <v>Misc. Expense</v>
      </c>
      <c r="X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"/>
      <c r="Z696" t="s">
        <v>77</v>
      </c>
      <c r="AA696" t="s">
        <v>257</v>
      </c>
      <c r="AB696" t="s">
        <v>443</v>
      </c>
      <c r="AC696" s="21">
        <v>173395</v>
      </c>
      <c r="AD696" s="21" t="s">
        <v>368</v>
      </c>
      <c r="AE696" t="str">
        <f>VLOOKUP(Table_Query_from_Actuarial___Production3[[#This Row],[Kor1]],$AI$3:$AK$105,3,FALSE)</f>
        <v>PDR</v>
      </c>
      <c r="AF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" spans="18:32" x14ac:dyDescent="0.2">
      <c r="R697" t="s">
        <v>49</v>
      </c>
      <c r="S697" t="s">
        <v>226</v>
      </c>
      <c r="T697" t="s">
        <v>433</v>
      </c>
      <c r="U697" s="21">
        <v>152535.53</v>
      </c>
      <c r="V697" s="21" t="s">
        <v>368</v>
      </c>
      <c r="W697" t="str">
        <f>VLOOKUP(Table_Query_from_Actuarial___Production[[#This Row],[Kor1]],$AI$3:$AK$105,3,FALSE)</f>
        <v>ALAE Paid</v>
      </c>
      <c r="X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97"/>
      <c r="Z697" t="s">
        <v>47</v>
      </c>
      <c r="AA697" t="s">
        <v>249</v>
      </c>
      <c r="AB697" t="s">
        <v>6</v>
      </c>
      <c r="AC697" s="21">
        <v>0.04</v>
      </c>
      <c r="AD697" s="21" t="s">
        <v>368</v>
      </c>
      <c r="AE697" t="str">
        <f>VLOOKUP(Table_Query_from_Actuarial___Production3[[#This Row],[Kor1]],$AI$3:$AK$105,3,FALSE)</f>
        <v>Investment Income</v>
      </c>
      <c r="AF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" spans="18:32" x14ac:dyDescent="0.2">
      <c r="R698" t="s">
        <v>48</v>
      </c>
      <c r="S698" t="s">
        <v>237</v>
      </c>
      <c r="T698" t="s">
        <v>441</v>
      </c>
      <c r="U698" s="21">
        <v>242833.94</v>
      </c>
      <c r="V698" s="21" t="s">
        <v>368</v>
      </c>
      <c r="W698" t="str">
        <f>VLOOKUP(Table_Query_from_Actuarial___Production[[#This Row],[Kor1]],$AI$3:$AK$105,3,FALSE)</f>
        <v>Anticipated Salvage</v>
      </c>
      <c r="X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"/>
      <c r="Z698" t="s">
        <v>13</v>
      </c>
      <c r="AA698" t="s">
        <v>241</v>
      </c>
      <c r="AB698" t="s">
        <v>433</v>
      </c>
      <c r="AC698" s="21">
        <v>81901.899999999994</v>
      </c>
      <c r="AD698" s="21" t="s">
        <v>368</v>
      </c>
      <c r="AE698" t="str">
        <f>VLOOKUP(Table_Query_from_Actuarial___Production3[[#This Row],[Kor1]],$AI$3:$AK$105,3,FALSE)</f>
        <v>Operating Service Fees</v>
      </c>
      <c r="AF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" spans="18:32" x14ac:dyDescent="0.2">
      <c r="R699" t="s">
        <v>12</v>
      </c>
      <c r="S699" t="s">
        <v>231</v>
      </c>
      <c r="T699" t="s">
        <v>442</v>
      </c>
      <c r="U699" s="21">
        <v>47417.59</v>
      </c>
      <c r="V699" s="21" t="s">
        <v>368</v>
      </c>
      <c r="W699" t="str">
        <f>VLOOKUP(Table_Query_from_Actuarial___Production[[#This Row],[Kor1]],$AI$3:$AK$105,3,FALSE)</f>
        <v>Premium Tax</v>
      </c>
      <c r="X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"/>
      <c r="Z699" t="s">
        <v>48</v>
      </c>
      <c r="AA699" t="s">
        <v>250</v>
      </c>
      <c r="AB699" t="s">
        <v>433</v>
      </c>
      <c r="AC699" s="21">
        <v>9029.2000000000007</v>
      </c>
      <c r="AD699" s="21" t="s">
        <v>368</v>
      </c>
      <c r="AE699" t="str">
        <f>VLOOKUP(Table_Query_from_Actuarial___Production3[[#This Row],[Kor1]],$AI$3:$AK$105,3,FALSE)</f>
        <v>Anticipated Salvage</v>
      </c>
      <c r="AF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" spans="18:32" x14ac:dyDescent="0.2">
      <c r="R700" t="s">
        <v>14</v>
      </c>
      <c r="S700" t="s">
        <v>234</v>
      </c>
      <c r="T700" t="s">
        <v>441</v>
      </c>
      <c r="U700" s="21">
        <v>52861.85</v>
      </c>
      <c r="V700" s="21" t="s">
        <v>368</v>
      </c>
      <c r="W700" t="str">
        <f>VLOOKUP(Table_Query_from_Actuarial___Production[[#This Row],[Kor1]],$AI$3:$AK$105,3,FALSE)</f>
        <v>Claims Expense</v>
      </c>
      <c r="X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"/>
      <c r="Z700" t="s">
        <v>40</v>
      </c>
      <c r="AA700" t="s">
        <v>263</v>
      </c>
      <c r="AB700" t="s">
        <v>6</v>
      </c>
      <c r="AC700" s="21">
        <v>19.989999999999998</v>
      </c>
      <c r="AD700" s="21" t="s">
        <v>368</v>
      </c>
      <c r="AE700" t="str">
        <f>VLOOKUP(Table_Query_from_Actuarial___Production3[[#This Row],[Kor1]],$AI$3:$AK$105,3,FALSE)</f>
        <v>Misc. Income</v>
      </c>
      <c r="AF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" spans="18:32" x14ac:dyDescent="0.2">
      <c r="R701" t="s">
        <v>17</v>
      </c>
      <c r="S701" t="s">
        <v>232</v>
      </c>
      <c r="T701" t="s">
        <v>433</v>
      </c>
      <c r="U701" s="21">
        <v>93149.55</v>
      </c>
      <c r="V701" s="21" t="s">
        <v>368</v>
      </c>
      <c r="W701" t="str">
        <f>VLOOKUP(Table_Query_from_Actuarial___Production[[#This Row],[Kor1]],$AI$3:$AK$105,3,FALSE)</f>
        <v>IBNR</v>
      </c>
      <c r="X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"/>
      <c r="Z701" t="s">
        <v>13</v>
      </c>
      <c r="AA701" t="s">
        <v>261</v>
      </c>
      <c r="AB701" t="s">
        <v>442</v>
      </c>
      <c r="AC701" s="21">
        <v>52021.56</v>
      </c>
      <c r="AD701" s="21" t="s">
        <v>368</v>
      </c>
      <c r="AE701" t="str">
        <f>VLOOKUP(Table_Query_from_Actuarial___Production3[[#This Row],[Kor1]],$AI$3:$AK$105,3,FALSE)</f>
        <v>Operating Service Fees</v>
      </c>
      <c r="AF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" spans="18:32" x14ac:dyDescent="0.2">
      <c r="R702" t="s">
        <v>41</v>
      </c>
      <c r="S702" t="s">
        <v>236</v>
      </c>
      <c r="T702" t="s">
        <v>7</v>
      </c>
      <c r="U702" s="21">
        <v>200</v>
      </c>
      <c r="V702" s="21" t="s">
        <v>368</v>
      </c>
      <c r="W702" t="str">
        <f>VLOOKUP(Table_Query_from_Actuarial___Production[[#This Row],[Kor1]],$AI$3:$AK$105,3,FALSE)</f>
        <v>Misc. Income</v>
      </c>
      <c r="X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"/>
      <c r="Z702" t="s">
        <v>41</v>
      </c>
      <c r="AA702" t="s">
        <v>240</v>
      </c>
      <c r="AB702" t="s">
        <v>351</v>
      </c>
      <c r="AC702" s="21">
        <v>250.02</v>
      </c>
      <c r="AD702" s="21" t="s">
        <v>368</v>
      </c>
      <c r="AE702" t="str">
        <f>VLOOKUP(Table_Query_from_Actuarial___Production3[[#This Row],[Kor1]],$AI$3:$AK$105,3,FALSE)</f>
        <v>Misc. Income</v>
      </c>
      <c r="AF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" spans="18:32" x14ac:dyDescent="0.2">
      <c r="R703" t="s">
        <v>13</v>
      </c>
      <c r="S703" t="s">
        <v>354</v>
      </c>
      <c r="T703" t="s">
        <v>441</v>
      </c>
      <c r="U703" s="21">
        <v>249876685.81999999</v>
      </c>
      <c r="V703" s="21" t="s">
        <v>369</v>
      </c>
      <c r="W703" t="str">
        <f>VLOOKUP(Table_Query_from_Actuarial___Production[[#This Row],[Kor1]],$AI$3:$AK$105,3,FALSE)</f>
        <v>Operating Service Fees</v>
      </c>
      <c r="X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03"/>
      <c r="Z703" t="s">
        <v>13</v>
      </c>
      <c r="AA703" t="s">
        <v>235</v>
      </c>
      <c r="AB703" t="s">
        <v>8</v>
      </c>
      <c r="AC703" s="21">
        <v>133188.03</v>
      </c>
      <c r="AD703" s="21" t="s">
        <v>368</v>
      </c>
      <c r="AE703" t="str">
        <f>VLOOKUP(Table_Query_from_Actuarial___Production3[[#This Row],[Kor1]],$AI$3:$AK$105,3,FALSE)</f>
        <v>Operating Service Fees</v>
      </c>
      <c r="AF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" spans="18:32" x14ac:dyDescent="0.2">
      <c r="R704" t="s">
        <v>19</v>
      </c>
      <c r="S704" t="s">
        <v>251</v>
      </c>
      <c r="T704" t="s">
        <v>9</v>
      </c>
      <c r="U704" s="21">
        <v>57</v>
      </c>
      <c r="V704" s="21" t="s">
        <v>368</v>
      </c>
      <c r="W704" t="str">
        <f>VLOOKUP(Table_Query_from_Actuarial___Production[[#This Row],[Kor1]],$AI$3:$AK$105,3,FALSE)</f>
        <v>Misc. Expense for Insolvent Companies</v>
      </c>
      <c r="X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"/>
      <c r="Z704" t="s">
        <v>47</v>
      </c>
      <c r="AA704" t="s">
        <v>250</v>
      </c>
      <c r="AB704" t="s">
        <v>427</v>
      </c>
      <c r="AC704" s="21">
        <v>4137.8500000000004</v>
      </c>
      <c r="AD704" s="21" t="s">
        <v>368</v>
      </c>
      <c r="AE704" t="str">
        <f>VLOOKUP(Table_Query_from_Actuarial___Production3[[#This Row],[Kor1]],$AI$3:$AK$105,3,FALSE)</f>
        <v>Investment Income</v>
      </c>
      <c r="AF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" spans="18:32" x14ac:dyDescent="0.2">
      <c r="R705" t="s">
        <v>32</v>
      </c>
      <c r="S705" t="s">
        <v>254</v>
      </c>
      <c r="T705" t="s">
        <v>356</v>
      </c>
      <c r="U705" s="21">
        <v>68002.52</v>
      </c>
      <c r="V705" s="21" t="s">
        <v>368</v>
      </c>
      <c r="W705" t="str">
        <f>VLOOKUP(Table_Query_from_Actuarial___Production[[#This Row],[Kor1]],$AI$3:$AK$105,3,FALSE)</f>
        <v>Misc. Expense</v>
      </c>
      <c r="X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"/>
      <c r="Z705" t="s">
        <v>43</v>
      </c>
      <c r="AA705" t="s">
        <v>261</v>
      </c>
      <c r="AB705" t="s">
        <v>356</v>
      </c>
      <c r="AC705" s="21">
        <v>-1586.75</v>
      </c>
      <c r="AD705" s="21" t="s">
        <v>368</v>
      </c>
      <c r="AE705" t="str">
        <f>VLOOKUP(Table_Query_from_Actuarial___Production3[[#This Row],[Kor1]],$AI$3:$AK$105,3,FALSE)</f>
        <v>Charge-offs</v>
      </c>
      <c r="AF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" spans="18:32" x14ac:dyDescent="0.2">
      <c r="R706" t="s">
        <v>11</v>
      </c>
      <c r="S706" t="s">
        <v>252</v>
      </c>
      <c r="T706" t="s">
        <v>351</v>
      </c>
      <c r="U706" s="21">
        <v>16418023.189999999</v>
      </c>
      <c r="V706" s="21" t="s">
        <v>368</v>
      </c>
      <c r="W706" t="str">
        <f>VLOOKUP(Table_Query_from_Actuarial___Production[[#This Row],[Kor1]],$AI$3:$AK$105,3,FALSE)</f>
        <v>Losses Paid</v>
      </c>
      <c r="X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"/>
      <c r="Z706" t="s">
        <v>47</v>
      </c>
      <c r="AA706" t="s">
        <v>231</v>
      </c>
      <c r="AB706" t="s">
        <v>5</v>
      </c>
      <c r="AC706" s="21">
        <v>0.66</v>
      </c>
      <c r="AD706" s="21" t="s">
        <v>368</v>
      </c>
      <c r="AE706" t="str">
        <f>VLOOKUP(Table_Query_from_Actuarial___Production3[[#This Row],[Kor1]],$AI$3:$AK$105,3,FALSE)</f>
        <v>Investment Income</v>
      </c>
      <c r="AF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" spans="18:32" x14ac:dyDescent="0.2">
      <c r="R707" t="s">
        <v>20</v>
      </c>
      <c r="S707" t="s">
        <v>237</v>
      </c>
      <c r="T707" t="s">
        <v>427</v>
      </c>
      <c r="U707" s="21">
        <v>5602.43</v>
      </c>
      <c r="V707" s="21" t="s">
        <v>368</v>
      </c>
      <c r="W707" t="str">
        <f>VLOOKUP(Table_Query_from_Actuarial___Production[[#This Row],[Kor1]],$AI$3:$AK$105,3,FALSE)</f>
        <v>Misc. Expense</v>
      </c>
      <c r="X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"/>
      <c r="Z707" t="s">
        <v>3</v>
      </c>
      <c r="AA707" t="s">
        <v>266</v>
      </c>
      <c r="AB707" t="s">
        <v>443</v>
      </c>
      <c r="AC707" s="21">
        <v>898030</v>
      </c>
      <c r="AD707" s="21" t="s">
        <v>368</v>
      </c>
      <c r="AE707" t="str">
        <f>VLOOKUP(Table_Query_from_Actuarial___Production3[[#This Row],[Kor1]],$AI$3:$AK$105,3,FALSE)</f>
        <v>Premiums Written</v>
      </c>
      <c r="AF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" spans="18:32" x14ac:dyDescent="0.2">
      <c r="R708" t="s">
        <v>32</v>
      </c>
      <c r="S708" t="s">
        <v>235</v>
      </c>
      <c r="T708" t="s">
        <v>442</v>
      </c>
      <c r="U708" s="21">
        <v>56489.14</v>
      </c>
      <c r="V708" s="21" t="s">
        <v>368</v>
      </c>
      <c r="W708" t="str">
        <f>VLOOKUP(Table_Query_from_Actuarial___Production[[#This Row],[Kor1]],$AI$3:$AK$105,3,FALSE)</f>
        <v>Misc. Expense</v>
      </c>
      <c r="X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"/>
      <c r="Z708" t="s">
        <v>19</v>
      </c>
      <c r="AA708" t="s">
        <v>241</v>
      </c>
      <c r="AB708" t="s">
        <v>5</v>
      </c>
      <c r="AC708" s="21">
        <v>9334</v>
      </c>
      <c r="AD708" s="21" t="s">
        <v>368</v>
      </c>
      <c r="AE708" t="str">
        <f>VLOOKUP(Table_Query_from_Actuarial___Production3[[#This Row],[Kor1]],$AI$3:$AK$105,3,FALSE)</f>
        <v>Misc. Expense for Insolvent Companies</v>
      </c>
      <c r="AF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" spans="18:32" x14ac:dyDescent="0.2">
      <c r="R709" t="s">
        <v>37</v>
      </c>
      <c r="S709" t="s">
        <v>4</v>
      </c>
      <c r="T709" t="s">
        <v>9</v>
      </c>
      <c r="U709" s="21">
        <v>11013.92</v>
      </c>
      <c r="V709" s="21" t="s">
        <v>368</v>
      </c>
      <c r="W709" t="str">
        <f>VLOOKUP(Table_Query_from_Actuarial___Production[[#This Row],[Kor1]],$AI$3:$AK$105,3,FALSE)</f>
        <v>Misc. Expense</v>
      </c>
      <c r="X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"/>
      <c r="Z709" t="s">
        <v>39</v>
      </c>
      <c r="AA709" t="s">
        <v>233</v>
      </c>
      <c r="AB709" t="s">
        <v>427</v>
      </c>
      <c r="AC709" s="21">
        <v>413.97</v>
      </c>
      <c r="AD709" s="21" t="s">
        <v>368</v>
      </c>
      <c r="AE709" t="str">
        <f>VLOOKUP(Table_Query_from_Actuarial___Production3[[#This Row],[Kor1]],$AI$3:$AK$105,3,FALSE)</f>
        <v>Misc. Income for Insolvent Companies</v>
      </c>
      <c r="AF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" spans="18:32" x14ac:dyDescent="0.2">
      <c r="R710" t="s">
        <v>33</v>
      </c>
      <c r="S710" t="s">
        <v>230</v>
      </c>
      <c r="T710" t="s">
        <v>442</v>
      </c>
      <c r="U710" s="21">
        <v>26793.040000000001</v>
      </c>
      <c r="V710" s="21" t="s">
        <v>368</v>
      </c>
      <c r="W710" t="str">
        <f>VLOOKUP(Table_Query_from_Actuarial___Production[[#This Row],[Kor1]],$AI$3:$AK$105,3,FALSE)</f>
        <v>Misc. Expense</v>
      </c>
      <c r="X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"/>
      <c r="Z710" t="s">
        <v>43</v>
      </c>
      <c r="AA710" t="s">
        <v>266</v>
      </c>
      <c r="AB710" t="s">
        <v>5</v>
      </c>
      <c r="AC710" s="21">
        <v>0.08</v>
      </c>
      <c r="AD710" s="21" t="s">
        <v>368</v>
      </c>
      <c r="AE710" t="str">
        <f>VLOOKUP(Table_Query_from_Actuarial___Production3[[#This Row],[Kor1]],$AI$3:$AK$105,3,FALSE)</f>
        <v>Charge-offs</v>
      </c>
      <c r="AF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" spans="18:32" x14ac:dyDescent="0.2">
      <c r="R711" t="s">
        <v>13</v>
      </c>
      <c r="S711" t="s">
        <v>224</v>
      </c>
      <c r="T711" t="s">
        <v>442</v>
      </c>
      <c r="U711" s="21">
        <v>89799.84</v>
      </c>
      <c r="V711" s="21" t="s">
        <v>370</v>
      </c>
      <c r="W711" t="str">
        <f>VLOOKUP(Table_Query_from_Actuarial___Production[[#This Row],[Kor1]],$AI$3:$AK$105,3,FALSE)</f>
        <v>Operating Service Fees</v>
      </c>
      <c r="X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11"/>
      <c r="Z711" t="s">
        <v>11</v>
      </c>
      <c r="AA711" t="s">
        <v>250</v>
      </c>
      <c r="AB711" t="s">
        <v>7</v>
      </c>
      <c r="AC711" s="21">
        <v>531122.82999999996</v>
      </c>
      <c r="AD711" s="21" t="s">
        <v>368</v>
      </c>
      <c r="AE711" t="str">
        <f>VLOOKUP(Table_Query_from_Actuarial___Production3[[#This Row],[Kor1]],$AI$3:$AK$105,3,FALSE)</f>
        <v>Losses Paid</v>
      </c>
      <c r="AF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" spans="18:32" x14ac:dyDescent="0.2">
      <c r="R712" t="s">
        <v>11</v>
      </c>
      <c r="S712" t="s">
        <v>242</v>
      </c>
      <c r="T712" t="s">
        <v>351</v>
      </c>
      <c r="U712" s="21">
        <v>1186167.21</v>
      </c>
      <c r="V712" s="21" t="s">
        <v>368</v>
      </c>
      <c r="W712" t="str">
        <f>VLOOKUP(Table_Query_from_Actuarial___Production[[#This Row],[Kor1]],$AI$3:$AK$105,3,FALSE)</f>
        <v>Losses Paid</v>
      </c>
      <c r="X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"/>
      <c r="Z712" t="s">
        <v>3</v>
      </c>
      <c r="AA712" t="s">
        <v>225</v>
      </c>
      <c r="AB712" t="s">
        <v>442</v>
      </c>
      <c r="AC712" s="21">
        <v>281669</v>
      </c>
      <c r="AD712" s="21" t="s">
        <v>369</v>
      </c>
      <c r="AE712" t="str">
        <f>VLOOKUP(Table_Query_from_Actuarial___Production3[[#This Row],[Kor1]],$AI$3:$AK$105,3,FALSE)</f>
        <v>Premiums Written</v>
      </c>
      <c r="AF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13" spans="18:32" x14ac:dyDescent="0.2">
      <c r="R713" t="s">
        <v>14</v>
      </c>
      <c r="S713" t="s">
        <v>242</v>
      </c>
      <c r="T713" t="s">
        <v>442</v>
      </c>
      <c r="U713" s="21">
        <v>52474.59</v>
      </c>
      <c r="V713" s="21" t="s">
        <v>368</v>
      </c>
      <c r="W713" t="str">
        <f>VLOOKUP(Table_Query_from_Actuarial___Production[[#This Row],[Kor1]],$AI$3:$AK$105,3,FALSE)</f>
        <v>Claims Expense</v>
      </c>
      <c r="X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"/>
      <c r="Z713" t="s">
        <v>11</v>
      </c>
      <c r="AA713" t="s">
        <v>257</v>
      </c>
      <c r="AB713" t="s">
        <v>356</v>
      </c>
      <c r="AC713" s="21">
        <v>114149.92</v>
      </c>
      <c r="AD713" s="21" t="s">
        <v>368</v>
      </c>
      <c r="AE713" t="str">
        <f>VLOOKUP(Table_Query_from_Actuarial___Production3[[#This Row],[Kor1]],$AI$3:$AK$105,3,FALSE)</f>
        <v>Losses Paid</v>
      </c>
      <c r="AF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" spans="18:32" x14ac:dyDescent="0.2">
      <c r="R714" t="s">
        <v>16</v>
      </c>
      <c r="S714" t="s">
        <v>230</v>
      </c>
      <c r="T714" t="s">
        <v>441</v>
      </c>
      <c r="U714" s="21">
        <v>11869517.789999999</v>
      </c>
      <c r="V714" s="21" t="s">
        <v>368</v>
      </c>
      <c r="W714" t="str">
        <f>VLOOKUP(Table_Query_from_Actuarial___Production[[#This Row],[Kor1]],$AI$3:$AK$105,3,FALSE)</f>
        <v>Losses Outstanding</v>
      </c>
      <c r="X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"/>
      <c r="Z714" t="s">
        <v>50</v>
      </c>
      <c r="AA714" t="s">
        <v>246</v>
      </c>
      <c r="AB714" t="s">
        <v>356</v>
      </c>
      <c r="AC714" s="21">
        <v>32380.37</v>
      </c>
      <c r="AD714" s="21" t="s">
        <v>368</v>
      </c>
      <c r="AE714" t="str">
        <f>VLOOKUP(Table_Query_from_Actuarial___Production3[[#This Row],[Kor1]],$AI$3:$AK$105,3,FALSE)</f>
        <v>ALAE Reserve</v>
      </c>
      <c r="AF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" spans="18:32" x14ac:dyDescent="0.2">
      <c r="R715" t="s">
        <v>16</v>
      </c>
      <c r="S715" t="s">
        <v>263</v>
      </c>
      <c r="T715" t="s">
        <v>443</v>
      </c>
      <c r="U715" s="21">
        <v>32752.65</v>
      </c>
      <c r="V715" s="21" t="s">
        <v>368</v>
      </c>
      <c r="W715" t="str">
        <f>VLOOKUP(Table_Query_from_Actuarial___Production[[#This Row],[Kor1]],$AI$3:$AK$105,3,FALSE)</f>
        <v>Losses Outstanding</v>
      </c>
      <c r="X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"/>
      <c r="Z715" t="s">
        <v>14</v>
      </c>
      <c r="AA715" t="s">
        <v>258</v>
      </c>
      <c r="AB715" t="s">
        <v>442</v>
      </c>
      <c r="AC715" s="21">
        <v>280600.02</v>
      </c>
      <c r="AD715" s="21" t="s">
        <v>368</v>
      </c>
      <c r="AE715" t="str">
        <f>VLOOKUP(Table_Query_from_Actuarial___Production3[[#This Row],[Kor1]],$AI$3:$AK$105,3,FALSE)</f>
        <v>Claims Expense</v>
      </c>
      <c r="AF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" spans="18:32" x14ac:dyDescent="0.2">
      <c r="R716" t="s">
        <v>10</v>
      </c>
      <c r="S716" t="s">
        <v>242</v>
      </c>
      <c r="T716" t="s">
        <v>445</v>
      </c>
      <c r="U716" s="21">
        <v>25532.15</v>
      </c>
      <c r="V716" s="21" t="s">
        <v>368</v>
      </c>
      <c r="W716" t="str">
        <f>VLOOKUP(Table_Query_from_Actuarial___Production[[#This Row],[Kor1]],$AI$3:$AK$105,3,FALSE)</f>
        <v>Commissions</v>
      </c>
      <c r="X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"/>
      <c r="Z716" t="s">
        <v>21</v>
      </c>
      <c r="AA716" t="s">
        <v>256</v>
      </c>
      <c r="AB716" t="s">
        <v>433</v>
      </c>
      <c r="AC716" s="21">
        <v>260</v>
      </c>
      <c r="AD716" s="21" t="s">
        <v>368</v>
      </c>
      <c r="AE716" t="str">
        <f>VLOOKUP(Table_Query_from_Actuarial___Production3[[#This Row],[Kor1]],$AI$3:$AK$105,3,FALSE)</f>
        <v>Misc. Expense</v>
      </c>
      <c r="AF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" spans="18:32" x14ac:dyDescent="0.2">
      <c r="R717" t="s">
        <v>17</v>
      </c>
      <c r="S717" t="s">
        <v>256</v>
      </c>
      <c r="T717" t="s">
        <v>445</v>
      </c>
      <c r="U717" s="21">
        <v>3746.24</v>
      </c>
      <c r="V717" s="21" t="s">
        <v>368</v>
      </c>
      <c r="W717" t="str">
        <f>VLOOKUP(Table_Query_from_Actuarial___Production[[#This Row],[Kor1]],$AI$3:$AK$105,3,FALSE)</f>
        <v>IBNR</v>
      </c>
      <c r="X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"/>
      <c r="Z717" t="s">
        <v>39</v>
      </c>
      <c r="AA717" t="s">
        <v>268</v>
      </c>
      <c r="AB717" t="s">
        <v>6</v>
      </c>
      <c r="AC717" s="21">
        <v>187.87</v>
      </c>
      <c r="AD717" s="21" t="s">
        <v>368</v>
      </c>
      <c r="AE717" t="str">
        <f>VLOOKUP(Table_Query_from_Actuarial___Production3[[#This Row],[Kor1]],$AI$3:$AK$105,3,FALSE)</f>
        <v>Misc. Income for Insolvent Companies</v>
      </c>
      <c r="AF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" spans="18:32" x14ac:dyDescent="0.2">
      <c r="R718" t="s">
        <v>33</v>
      </c>
      <c r="S718" t="s">
        <v>260</v>
      </c>
      <c r="T718" t="s">
        <v>7</v>
      </c>
      <c r="U718" s="21">
        <v>9983.74</v>
      </c>
      <c r="V718" s="21" t="s">
        <v>368</v>
      </c>
      <c r="W718" t="str">
        <f>VLOOKUP(Table_Query_from_Actuarial___Production[[#This Row],[Kor1]],$AI$3:$AK$105,3,FALSE)</f>
        <v>Misc. Expense</v>
      </c>
      <c r="X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"/>
      <c r="Z718" t="s">
        <v>50</v>
      </c>
      <c r="AA718" t="s">
        <v>255</v>
      </c>
      <c r="AB718" t="s">
        <v>442</v>
      </c>
      <c r="AC718" s="21">
        <v>14328.95</v>
      </c>
      <c r="AD718" s="21" t="s">
        <v>368</v>
      </c>
      <c r="AE718" t="str">
        <f>VLOOKUP(Table_Query_from_Actuarial___Production3[[#This Row],[Kor1]],$AI$3:$AK$105,3,FALSE)</f>
        <v>ALAE Reserve</v>
      </c>
      <c r="AF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" spans="18:32" x14ac:dyDescent="0.2">
      <c r="R719" t="s">
        <v>39</v>
      </c>
      <c r="S719" t="s">
        <v>247</v>
      </c>
      <c r="T719" t="s">
        <v>9</v>
      </c>
      <c r="U719" s="21">
        <v>27</v>
      </c>
      <c r="V719" s="21" t="s">
        <v>368</v>
      </c>
      <c r="W719" t="str">
        <f>VLOOKUP(Table_Query_from_Actuarial___Production[[#This Row],[Kor1]],$AI$3:$AK$105,3,FALSE)</f>
        <v>Misc. Income for Insolvent Companies</v>
      </c>
      <c r="X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"/>
      <c r="Z719" t="s">
        <v>17</v>
      </c>
      <c r="AA719" t="s">
        <v>354</v>
      </c>
      <c r="AB719" t="s">
        <v>433</v>
      </c>
      <c r="AC719" s="21">
        <v>10754243.6</v>
      </c>
      <c r="AD719" s="21" t="s">
        <v>368</v>
      </c>
      <c r="AE719" t="str">
        <f>VLOOKUP(Table_Query_from_Actuarial___Production3[[#This Row],[Kor1]],$AI$3:$AK$105,3,FALSE)</f>
        <v>IBNR</v>
      </c>
      <c r="AF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20" spans="18:32" x14ac:dyDescent="0.2">
      <c r="R720" t="s">
        <v>21</v>
      </c>
      <c r="S720" t="s">
        <v>243</v>
      </c>
      <c r="T720" t="s">
        <v>442</v>
      </c>
      <c r="U720" s="21">
        <v>363.5</v>
      </c>
      <c r="V720" s="21" t="s">
        <v>368</v>
      </c>
      <c r="W720" t="str">
        <f>VLOOKUP(Table_Query_from_Actuarial___Production[[#This Row],[Kor1]],$AI$3:$AK$105,3,FALSE)</f>
        <v>Misc. Expense</v>
      </c>
      <c r="X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"/>
      <c r="Z720" t="s">
        <v>13</v>
      </c>
      <c r="AA720" t="s">
        <v>4</v>
      </c>
      <c r="AB720" t="s">
        <v>5</v>
      </c>
      <c r="AC720" s="21">
        <v>703223.34</v>
      </c>
      <c r="AD720" s="21" t="s">
        <v>368</v>
      </c>
      <c r="AE720" t="str">
        <f>VLOOKUP(Table_Query_from_Actuarial___Production3[[#This Row],[Kor1]],$AI$3:$AK$105,3,FALSE)</f>
        <v>Operating Service Fees</v>
      </c>
      <c r="AF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" spans="18:32" x14ac:dyDescent="0.2">
      <c r="R721" t="s">
        <v>49</v>
      </c>
      <c r="S721" t="s">
        <v>244</v>
      </c>
      <c r="T721" t="s">
        <v>433</v>
      </c>
      <c r="U721" s="21">
        <v>12231.51</v>
      </c>
      <c r="V721" s="21" t="s">
        <v>368</v>
      </c>
      <c r="W721" t="str">
        <f>VLOOKUP(Table_Query_from_Actuarial___Production[[#This Row],[Kor1]],$AI$3:$AK$105,3,FALSE)</f>
        <v>ALAE Paid</v>
      </c>
      <c r="X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"/>
      <c r="Z721" t="s">
        <v>37</v>
      </c>
      <c r="AA721" t="s">
        <v>239</v>
      </c>
      <c r="AB721" t="s">
        <v>351</v>
      </c>
      <c r="AC721" s="21">
        <v>729.67</v>
      </c>
      <c r="AD721" s="21" t="s">
        <v>368</v>
      </c>
      <c r="AE721" t="str">
        <f>VLOOKUP(Table_Query_from_Actuarial___Production3[[#This Row],[Kor1]],$AI$3:$AK$105,3,FALSE)</f>
        <v>Misc. Expense</v>
      </c>
      <c r="AF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" spans="18:32" x14ac:dyDescent="0.2">
      <c r="R722" t="s">
        <v>47</v>
      </c>
      <c r="S722" t="s">
        <v>255</v>
      </c>
      <c r="T722" t="s">
        <v>351</v>
      </c>
      <c r="U722" s="21">
        <v>556.79999999999995</v>
      </c>
      <c r="V722" s="21" t="s">
        <v>368</v>
      </c>
      <c r="W722" t="str">
        <f>VLOOKUP(Table_Query_from_Actuarial___Production[[#This Row],[Kor1]],$AI$3:$AK$105,3,FALSE)</f>
        <v>Investment Income</v>
      </c>
      <c r="X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"/>
      <c r="Z722" t="s">
        <v>49</v>
      </c>
      <c r="AA722" t="s">
        <v>226</v>
      </c>
      <c r="AB722" t="s">
        <v>433</v>
      </c>
      <c r="AC722" s="21">
        <v>133177.74</v>
      </c>
      <c r="AD722" s="21" t="s">
        <v>368</v>
      </c>
      <c r="AE722" t="str">
        <f>VLOOKUP(Table_Query_from_Actuarial___Production3[[#This Row],[Kor1]],$AI$3:$AK$105,3,FALSE)</f>
        <v>ALAE Paid</v>
      </c>
      <c r="AF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23" spans="18:32" x14ac:dyDescent="0.2">
      <c r="R723" t="s">
        <v>14</v>
      </c>
      <c r="S723" t="s">
        <v>252</v>
      </c>
      <c r="T723" t="s">
        <v>442</v>
      </c>
      <c r="U723" s="21">
        <v>2805323.32</v>
      </c>
      <c r="V723" s="21" t="s">
        <v>368</v>
      </c>
      <c r="W723" t="str">
        <f>VLOOKUP(Table_Query_from_Actuarial___Production[[#This Row],[Kor1]],$AI$3:$AK$105,3,FALSE)</f>
        <v>Claims Expense</v>
      </c>
      <c r="X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"/>
      <c r="Z723" t="s">
        <v>48</v>
      </c>
      <c r="AA723" t="s">
        <v>237</v>
      </c>
      <c r="AB723" t="s">
        <v>441</v>
      </c>
      <c r="AC723" s="21">
        <v>269524.65999999997</v>
      </c>
      <c r="AD723" s="21" t="s">
        <v>368</v>
      </c>
      <c r="AE723" t="str">
        <f>VLOOKUP(Table_Query_from_Actuarial___Production3[[#This Row],[Kor1]],$AI$3:$AK$105,3,FALSE)</f>
        <v>Anticipated Salvage</v>
      </c>
      <c r="AF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" spans="18:32" x14ac:dyDescent="0.2">
      <c r="R724" t="s">
        <v>41</v>
      </c>
      <c r="S724" t="s">
        <v>4</v>
      </c>
      <c r="T724" t="s">
        <v>6</v>
      </c>
      <c r="U724" s="21">
        <v>542.03</v>
      </c>
      <c r="V724" s="21" t="s">
        <v>368</v>
      </c>
      <c r="W724" t="str">
        <f>VLOOKUP(Table_Query_from_Actuarial___Production[[#This Row],[Kor1]],$AI$3:$AK$105,3,FALSE)</f>
        <v>Misc. Income</v>
      </c>
      <c r="X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"/>
      <c r="Z724" t="s">
        <v>12</v>
      </c>
      <c r="AA724" t="s">
        <v>231</v>
      </c>
      <c r="AB724" t="s">
        <v>442</v>
      </c>
      <c r="AC724" s="21">
        <v>47650.41</v>
      </c>
      <c r="AD724" s="21" t="s">
        <v>368</v>
      </c>
      <c r="AE724" t="str">
        <f>VLOOKUP(Table_Query_from_Actuarial___Production3[[#This Row],[Kor1]],$AI$3:$AK$105,3,FALSE)</f>
        <v>Premium Tax</v>
      </c>
      <c r="AF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" spans="18:32" x14ac:dyDescent="0.2">
      <c r="R725" t="s">
        <v>44</v>
      </c>
      <c r="S725" t="s">
        <v>228</v>
      </c>
      <c r="T725" t="s">
        <v>351</v>
      </c>
      <c r="U725" s="21">
        <v>20902</v>
      </c>
      <c r="V725" s="21" t="s">
        <v>368</v>
      </c>
      <c r="W725" t="str">
        <f>VLOOKUP(Table_Query_from_Actuarial___Production[[#This Row],[Kor1]],$AI$3:$AK$105,3,FALSE)</f>
        <v>Charge-offs</v>
      </c>
      <c r="X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"/>
      <c r="Z725" t="s">
        <v>14</v>
      </c>
      <c r="AA725" t="s">
        <v>234</v>
      </c>
      <c r="AB725" t="s">
        <v>441</v>
      </c>
      <c r="AC725" s="21">
        <v>52861.85</v>
      </c>
      <c r="AD725" s="21" t="s">
        <v>368</v>
      </c>
      <c r="AE725" t="str">
        <f>VLOOKUP(Table_Query_from_Actuarial___Production3[[#This Row],[Kor1]],$AI$3:$AK$105,3,FALSE)</f>
        <v>Claims Expense</v>
      </c>
      <c r="AF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" spans="18:32" x14ac:dyDescent="0.2">
      <c r="R726" t="s">
        <v>48</v>
      </c>
      <c r="S726" t="s">
        <v>252</v>
      </c>
      <c r="T726" t="s">
        <v>445</v>
      </c>
      <c r="U726" s="21">
        <v>25464.78</v>
      </c>
      <c r="V726" s="21" t="s">
        <v>368</v>
      </c>
      <c r="W726" t="str">
        <f>VLOOKUP(Table_Query_from_Actuarial___Production[[#This Row],[Kor1]],$AI$3:$AK$105,3,FALSE)</f>
        <v>Anticipated Salvage</v>
      </c>
      <c r="X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"/>
      <c r="Z726" t="s">
        <v>17</v>
      </c>
      <c r="AA726" t="s">
        <v>232</v>
      </c>
      <c r="AB726" t="s">
        <v>433</v>
      </c>
      <c r="AC726" s="21">
        <v>91438.82</v>
      </c>
      <c r="AD726" s="21" t="s">
        <v>368</v>
      </c>
      <c r="AE726" t="str">
        <f>VLOOKUP(Table_Query_from_Actuarial___Production3[[#This Row],[Kor1]],$AI$3:$AK$105,3,FALSE)</f>
        <v>IBNR</v>
      </c>
      <c r="AF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" spans="18:32" x14ac:dyDescent="0.2">
      <c r="R727" t="s">
        <v>12</v>
      </c>
      <c r="S727" t="s">
        <v>261</v>
      </c>
      <c r="T727" t="s">
        <v>6</v>
      </c>
      <c r="U727" s="21">
        <v>15495.24</v>
      </c>
      <c r="V727" s="21" t="s">
        <v>368</v>
      </c>
      <c r="W727" t="str">
        <f>VLOOKUP(Table_Query_from_Actuarial___Production[[#This Row],[Kor1]],$AI$3:$AK$105,3,FALSE)</f>
        <v>Premium Tax</v>
      </c>
      <c r="X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"/>
      <c r="Z727" t="s">
        <v>41</v>
      </c>
      <c r="AA727" t="s">
        <v>236</v>
      </c>
      <c r="AB727" t="s">
        <v>7</v>
      </c>
      <c r="AC727" s="21">
        <v>200</v>
      </c>
      <c r="AD727" s="21" t="s">
        <v>368</v>
      </c>
      <c r="AE727" t="str">
        <f>VLOOKUP(Table_Query_from_Actuarial___Production3[[#This Row],[Kor1]],$AI$3:$AK$105,3,FALSE)</f>
        <v>Misc. Income</v>
      </c>
      <c r="AF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" spans="18:32" x14ac:dyDescent="0.2">
      <c r="R728" t="s">
        <v>12</v>
      </c>
      <c r="S728" t="s">
        <v>259</v>
      </c>
      <c r="T728" t="s">
        <v>6</v>
      </c>
      <c r="U728" s="21">
        <v>1723.65</v>
      </c>
      <c r="V728" s="21" t="s">
        <v>368</v>
      </c>
      <c r="W728" t="str">
        <f>VLOOKUP(Table_Query_from_Actuarial___Production[[#This Row],[Kor1]],$AI$3:$AK$105,3,FALSE)</f>
        <v>Premium Tax</v>
      </c>
      <c r="X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"/>
      <c r="Z728" t="s">
        <v>13</v>
      </c>
      <c r="AA728" t="s">
        <v>354</v>
      </c>
      <c r="AB728" t="s">
        <v>441</v>
      </c>
      <c r="AC728" s="21">
        <v>249550930.94999999</v>
      </c>
      <c r="AD728" s="21" t="s">
        <v>369</v>
      </c>
      <c r="AE728" t="str">
        <f>VLOOKUP(Table_Query_from_Actuarial___Production3[[#This Row],[Kor1]],$AI$3:$AK$105,3,FALSE)</f>
        <v>Operating Service Fees</v>
      </c>
      <c r="AF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29" spans="18:32" x14ac:dyDescent="0.2">
      <c r="R729" t="s">
        <v>11</v>
      </c>
      <c r="S729" t="s">
        <v>241</v>
      </c>
      <c r="T729" t="s">
        <v>8</v>
      </c>
      <c r="U729" s="21">
        <v>444540.88</v>
      </c>
      <c r="V729" s="21" t="s">
        <v>368</v>
      </c>
      <c r="W729" t="str">
        <f>VLOOKUP(Table_Query_from_Actuarial___Production[[#This Row],[Kor1]],$AI$3:$AK$105,3,FALSE)</f>
        <v>Losses Paid</v>
      </c>
      <c r="X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"/>
      <c r="Z729" t="s">
        <v>19</v>
      </c>
      <c r="AA729" t="s">
        <v>251</v>
      </c>
      <c r="AB729" t="s">
        <v>9</v>
      </c>
      <c r="AC729" s="21">
        <v>57</v>
      </c>
      <c r="AD729" s="21" t="s">
        <v>368</v>
      </c>
      <c r="AE729" t="str">
        <f>VLOOKUP(Table_Query_from_Actuarial___Production3[[#This Row],[Kor1]],$AI$3:$AK$105,3,FALSE)</f>
        <v>Misc. Expense for Insolvent Companies</v>
      </c>
      <c r="AF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" spans="18:32" x14ac:dyDescent="0.2">
      <c r="R730" t="s">
        <v>39</v>
      </c>
      <c r="S730" t="s">
        <v>233</v>
      </c>
      <c r="T730" t="s">
        <v>443</v>
      </c>
      <c r="U730" s="21">
        <v>636.46</v>
      </c>
      <c r="V730" s="21" t="s">
        <v>368</v>
      </c>
      <c r="W730" t="str">
        <f>VLOOKUP(Table_Query_from_Actuarial___Production[[#This Row],[Kor1]],$AI$3:$AK$105,3,FALSE)</f>
        <v>Misc. Income for Insolvent Companies</v>
      </c>
      <c r="X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"/>
      <c r="Z730" t="s">
        <v>32</v>
      </c>
      <c r="AA730" t="s">
        <v>254</v>
      </c>
      <c r="AB730" t="s">
        <v>356</v>
      </c>
      <c r="AC730" s="21">
        <v>68002.52</v>
      </c>
      <c r="AD730" s="21" t="s">
        <v>368</v>
      </c>
      <c r="AE730" t="str">
        <f>VLOOKUP(Table_Query_from_Actuarial___Production3[[#This Row],[Kor1]],$AI$3:$AK$105,3,FALSE)</f>
        <v>Misc. Expense</v>
      </c>
      <c r="AF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" spans="18:32" x14ac:dyDescent="0.2">
      <c r="R731" t="s">
        <v>3</v>
      </c>
      <c r="S731" t="s">
        <v>246</v>
      </c>
      <c r="T731" t="s">
        <v>351</v>
      </c>
      <c r="U731" s="21">
        <v>947115</v>
      </c>
      <c r="V731" s="21" t="s">
        <v>368</v>
      </c>
      <c r="W731" t="str">
        <f>VLOOKUP(Table_Query_from_Actuarial___Production[[#This Row],[Kor1]],$AI$3:$AK$105,3,FALSE)</f>
        <v>Premiums Written</v>
      </c>
      <c r="X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"/>
      <c r="Z731" t="s">
        <v>11</v>
      </c>
      <c r="AA731" t="s">
        <v>252</v>
      </c>
      <c r="AB731" t="s">
        <v>351</v>
      </c>
      <c r="AC731" s="21">
        <v>15410119.060000001</v>
      </c>
      <c r="AD731" s="21" t="s">
        <v>368</v>
      </c>
      <c r="AE731" t="str">
        <f>VLOOKUP(Table_Query_from_Actuarial___Production3[[#This Row],[Kor1]],$AI$3:$AK$105,3,FALSE)</f>
        <v>Losses Paid</v>
      </c>
      <c r="AF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" spans="18:32" x14ac:dyDescent="0.2">
      <c r="R732" t="s">
        <v>47</v>
      </c>
      <c r="S732" t="s">
        <v>258</v>
      </c>
      <c r="T732" t="s">
        <v>6</v>
      </c>
      <c r="U732" s="21">
        <v>0.1</v>
      </c>
      <c r="V732" s="21" t="s">
        <v>368</v>
      </c>
      <c r="W732" t="str">
        <f>VLOOKUP(Table_Query_from_Actuarial___Production[[#This Row],[Kor1]],$AI$3:$AK$105,3,FALSE)</f>
        <v>Investment Income</v>
      </c>
      <c r="X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"/>
      <c r="Z732" t="s">
        <v>20</v>
      </c>
      <c r="AA732" t="s">
        <v>237</v>
      </c>
      <c r="AB732" t="s">
        <v>427</v>
      </c>
      <c r="AC732" s="21">
        <v>5602.43</v>
      </c>
      <c r="AD732" s="21" t="s">
        <v>368</v>
      </c>
      <c r="AE732" t="str">
        <f>VLOOKUP(Table_Query_from_Actuarial___Production3[[#This Row],[Kor1]],$AI$3:$AK$105,3,FALSE)</f>
        <v>Misc. Expense</v>
      </c>
      <c r="AF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" spans="18:32" x14ac:dyDescent="0.2">
      <c r="R733" t="s">
        <v>19</v>
      </c>
      <c r="S733" t="s">
        <v>244</v>
      </c>
      <c r="T733" t="s">
        <v>7</v>
      </c>
      <c r="U733" s="21">
        <v>34.01</v>
      </c>
      <c r="V733" s="21" t="s">
        <v>368</v>
      </c>
      <c r="W733" t="str">
        <f>VLOOKUP(Table_Query_from_Actuarial___Production[[#This Row],[Kor1]],$AI$3:$AK$105,3,FALSE)</f>
        <v>Misc. Expense for Insolvent Companies</v>
      </c>
      <c r="X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"/>
      <c r="Z733" t="s">
        <v>32</v>
      </c>
      <c r="AA733" t="s">
        <v>235</v>
      </c>
      <c r="AB733" t="s">
        <v>442</v>
      </c>
      <c r="AC733" s="21">
        <v>56489.14</v>
      </c>
      <c r="AD733" s="21" t="s">
        <v>368</v>
      </c>
      <c r="AE733" t="str">
        <f>VLOOKUP(Table_Query_from_Actuarial___Production3[[#This Row],[Kor1]],$AI$3:$AK$105,3,FALSE)</f>
        <v>Misc. Expense</v>
      </c>
      <c r="AF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" spans="18:32" x14ac:dyDescent="0.2">
      <c r="R734" t="s">
        <v>12</v>
      </c>
      <c r="S734" t="s">
        <v>266</v>
      </c>
      <c r="T734" t="s">
        <v>427</v>
      </c>
      <c r="U734" s="21">
        <v>30713.53</v>
      </c>
      <c r="V734" s="21" t="s">
        <v>368</v>
      </c>
      <c r="W734" t="str">
        <f>VLOOKUP(Table_Query_from_Actuarial___Production[[#This Row],[Kor1]],$AI$3:$AK$105,3,FALSE)</f>
        <v>Premium Tax</v>
      </c>
      <c r="X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"/>
      <c r="Z734" t="s">
        <v>37</v>
      </c>
      <c r="AA734" t="s">
        <v>4</v>
      </c>
      <c r="AB734" t="s">
        <v>9</v>
      </c>
      <c r="AC734" s="21">
        <v>11013.92</v>
      </c>
      <c r="AD734" s="21" t="s">
        <v>368</v>
      </c>
      <c r="AE734" t="str">
        <f>VLOOKUP(Table_Query_from_Actuarial___Production3[[#This Row],[Kor1]],$AI$3:$AK$105,3,FALSE)</f>
        <v>Misc. Expense</v>
      </c>
      <c r="AF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" spans="18:32" x14ac:dyDescent="0.2">
      <c r="R735" t="s">
        <v>44</v>
      </c>
      <c r="S735" t="s">
        <v>230</v>
      </c>
      <c r="T735" t="s">
        <v>6</v>
      </c>
      <c r="U735" s="21">
        <v>776706.52</v>
      </c>
      <c r="V735" s="21" t="s">
        <v>368</v>
      </c>
      <c r="W735" t="str">
        <f>VLOOKUP(Table_Query_from_Actuarial___Production[[#This Row],[Kor1]],$AI$3:$AK$105,3,FALSE)</f>
        <v>Charge-offs</v>
      </c>
      <c r="X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"/>
      <c r="Z735" t="s">
        <v>3</v>
      </c>
      <c r="AA735" t="s">
        <v>243</v>
      </c>
      <c r="AB735" t="s">
        <v>5</v>
      </c>
      <c r="AC735" s="21">
        <v>110094</v>
      </c>
      <c r="AD735" s="21" t="s">
        <v>368</v>
      </c>
      <c r="AE735" t="str">
        <f>VLOOKUP(Table_Query_from_Actuarial___Production3[[#This Row],[Kor1]],$AI$3:$AK$105,3,FALSE)</f>
        <v>Premiums Written</v>
      </c>
      <c r="AF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" spans="18:32" x14ac:dyDescent="0.2">
      <c r="R736" t="s">
        <v>10</v>
      </c>
      <c r="S736" t="s">
        <v>241</v>
      </c>
      <c r="T736" t="s">
        <v>442</v>
      </c>
      <c r="U736" s="21">
        <v>12922.71</v>
      </c>
      <c r="V736" s="21" t="s">
        <v>368</v>
      </c>
      <c r="W736" t="str">
        <f>VLOOKUP(Table_Query_from_Actuarial___Production[[#This Row],[Kor1]],$AI$3:$AK$105,3,FALSE)</f>
        <v>Commissions</v>
      </c>
      <c r="X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"/>
      <c r="Z736" t="s">
        <v>33</v>
      </c>
      <c r="AA736" t="s">
        <v>230</v>
      </c>
      <c r="AB736" t="s">
        <v>442</v>
      </c>
      <c r="AC736" s="21">
        <v>26793.040000000001</v>
      </c>
      <c r="AD736" s="21" t="s">
        <v>368</v>
      </c>
      <c r="AE736" t="str">
        <f>VLOOKUP(Table_Query_from_Actuarial___Production3[[#This Row],[Kor1]],$AI$3:$AK$105,3,FALSE)</f>
        <v>Misc. Expense</v>
      </c>
      <c r="AF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" spans="18:32" x14ac:dyDescent="0.2">
      <c r="R737" t="s">
        <v>11</v>
      </c>
      <c r="S737" t="s">
        <v>238</v>
      </c>
      <c r="T737" t="s">
        <v>7</v>
      </c>
      <c r="U737" s="21">
        <v>14235.38</v>
      </c>
      <c r="V737" s="21" t="s">
        <v>368</v>
      </c>
      <c r="W737" t="str">
        <f>VLOOKUP(Table_Query_from_Actuarial___Production[[#This Row],[Kor1]],$AI$3:$AK$105,3,FALSE)</f>
        <v>Losses Paid</v>
      </c>
      <c r="X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"/>
      <c r="Z737" t="s">
        <v>13</v>
      </c>
      <c r="AA737" t="s">
        <v>224</v>
      </c>
      <c r="AB737" t="s">
        <v>442</v>
      </c>
      <c r="AC737" s="21">
        <v>89813.28</v>
      </c>
      <c r="AD737" s="21" t="s">
        <v>370</v>
      </c>
      <c r="AE737" t="str">
        <f>VLOOKUP(Table_Query_from_Actuarial___Production3[[#This Row],[Kor1]],$AI$3:$AK$105,3,FALSE)</f>
        <v>Operating Service Fees</v>
      </c>
      <c r="AF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38" spans="18:32" x14ac:dyDescent="0.2">
      <c r="R738" t="s">
        <v>13</v>
      </c>
      <c r="S738" t="s">
        <v>260</v>
      </c>
      <c r="T738" t="s">
        <v>6</v>
      </c>
      <c r="U738" s="21">
        <v>884.92</v>
      </c>
      <c r="V738" s="21" t="s">
        <v>368</v>
      </c>
      <c r="W738" t="str">
        <f>VLOOKUP(Table_Query_from_Actuarial___Production[[#This Row],[Kor1]],$AI$3:$AK$105,3,FALSE)</f>
        <v>Operating Service Fees</v>
      </c>
      <c r="X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8"/>
      <c r="Z738" t="s">
        <v>11</v>
      </c>
      <c r="AA738" t="s">
        <v>242</v>
      </c>
      <c r="AB738" t="s">
        <v>351</v>
      </c>
      <c r="AC738" s="21">
        <v>1186167.21</v>
      </c>
      <c r="AD738" s="21" t="s">
        <v>368</v>
      </c>
      <c r="AE738" t="str">
        <f>VLOOKUP(Table_Query_from_Actuarial___Production3[[#This Row],[Kor1]],$AI$3:$AK$105,3,FALSE)</f>
        <v>Losses Paid</v>
      </c>
      <c r="AF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" spans="18:32" x14ac:dyDescent="0.2">
      <c r="R739" t="s">
        <v>48</v>
      </c>
      <c r="S739" t="s">
        <v>234</v>
      </c>
      <c r="T739" t="s">
        <v>427</v>
      </c>
      <c r="U739" s="21">
        <v>458.84</v>
      </c>
      <c r="V739" s="21" t="s">
        <v>368</v>
      </c>
      <c r="W739" t="str">
        <f>VLOOKUP(Table_Query_from_Actuarial___Production[[#This Row],[Kor1]],$AI$3:$AK$105,3,FALSE)</f>
        <v>Anticipated Salvage</v>
      </c>
      <c r="X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"/>
      <c r="Z739" t="s">
        <v>14</v>
      </c>
      <c r="AA739" t="s">
        <v>242</v>
      </c>
      <c r="AB739" t="s">
        <v>442</v>
      </c>
      <c r="AC739" s="21">
        <v>36641.61</v>
      </c>
      <c r="AD739" s="21" t="s">
        <v>368</v>
      </c>
      <c r="AE739" t="str">
        <f>VLOOKUP(Table_Query_from_Actuarial___Production3[[#This Row],[Kor1]],$AI$3:$AK$105,3,FALSE)</f>
        <v>Claims Expense</v>
      </c>
      <c r="AF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" spans="18:32" x14ac:dyDescent="0.2">
      <c r="R740" t="s">
        <v>13</v>
      </c>
      <c r="S740" t="s">
        <v>224</v>
      </c>
      <c r="T740" t="s">
        <v>351</v>
      </c>
      <c r="U740" s="21">
        <v>15407.04</v>
      </c>
      <c r="V740" s="21" t="s">
        <v>369</v>
      </c>
      <c r="W740" t="str">
        <f>VLOOKUP(Table_Query_from_Actuarial___Production[[#This Row],[Kor1]],$AI$3:$AK$105,3,FALSE)</f>
        <v>Operating Service Fees</v>
      </c>
      <c r="X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40"/>
      <c r="Z740" t="s">
        <v>16</v>
      </c>
      <c r="AA740" t="s">
        <v>230</v>
      </c>
      <c r="AB740" t="s">
        <v>441</v>
      </c>
      <c r="AC740" s="21">
        <v>12317709.6</v>
      </c>
      <c r="AD740" s="21" t="s">
        <v>368</v>
      </c>
      <c r="AE740" t="str">
        <f>VLOOKUP(Table_Query_from_Actuarial___Production3[[#This Row],[Kor1]],$AI$3:$AK$105,3,FALSE)</f>
        <v>Losses Outstanding</v>
      </c>
      <c r="AF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" spans="18:32" x14ac:dyDescent="0.2">
      <c r="R741" t="s">
        <v>14</v>
      </c>
      <c r="S741" t="s">
        <v>234</v>
      </c>
      <c r="T741" t="s">
        <v>351</v>
      </c>
      <c r="U741" s="21">
        <v>36048.46</v>
      </c>
      <c r="V741" s="21" t="s">
        <v>368</v>
      </c>
      <c r="W741" t="str">
        <f>VLOOKUP(Table_Query_from_Actuarial___Production[[#This Row],[Kor1]],$AI$3:$AK$105,3,FALSE)</f>
        <v>Claims Expense</v>
      </c>
      <c r="X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"/>
      <c r="Z741" t="s">
        <v>33</v>
      </c>
      <c r="AA741" t="s">
        <v>260</v>
      </c>
      <c r="AB741" t="s">
        <v>7</v>
      </c>
      <c r="AC741" s="21">
        <v>9983.74</v>
      </c>
      <c r="AD741" s="21" t="s">
        <v>368</v>
      </c>
      <c r="AE741" t="str">
        <f>VLOOKUP(Table_Query_from_Actuarial___Production3[[#This Row],[Kor1]],$AI$3:$AK$105,3,FALSE)</f>
        <v>Misc. Expense</v>
      </c>
      <c r="AF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" spans="18:32" x14ac:dyDescent="0.2">
      <c r="R742" t="s">
        <v>20</v>
      </c>
      <c r="S742" t="s">
        <v>249</v>
      </c>
      <c r="T742" t="s">
        <v>427</v>
      </c>
      <c r="U742" s="21">
        <v>344.13</v>
      </c>
      <c r="V742" s="21" t="s">
        <v>368</v>
      </c>
      <c r="W742" t="str">
        <f>VLOOKUP(Table_Query_from_Actuarial___Production[[#This Row],[Kor1]],$AI$3:$AK$105,3,FALSE)</f>
        <v>Misc. Expense</v>
      </c>
      <c r="X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"/>
      <c r="Z742" t="s">
        <v>39</v>
      </c>
      <c r="AA742" t="s">
        <v>247</v>
      </c>
      <c r="AB742" t="s">
        <v>9</v>
      </c>
      <c r="AC742" s="21">
        <v>27</v>
      </c>
      <c r="AD742" s="21" t="s">
        <v>368</v>
      </c>
      <c r="AE742" t="str">
        <f>VLOOKUP(Table_Query_from_Actuarial___Production3[[#This Row],[Kor1]],$AI$3:$AK$105,3,FALSE)</f>
        <v>Misc. Income for Insolvent Companies</v>
      </c>
      <c r="AF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" spans="18:32" x14ac:dyDescent="0.2">
      <c r="R743" t="s">
        <v>34</v>
      </c>
      <c r="S743" t="s">
        <v>240</v>
      </c>
      <c r="T743" t="s">
        <v>356</v>
      </c>
      <c r="U743" s="21">
        <v>1871.49</v>
      </c>
      <c r="V743" s="21" t="s">
        <v>368</v>
      </c>
      <c r="W743" t="str">
        <f>VLOOKUP(Table_Query_from_Actuarial___Production[[#This Row],[Kor1]],$AI$3:$AK$105,3,FALSE)</f>
        <v>Misc. Expense</v>
      </c>
      <c r="X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"/>
      <c r="Z743" t="s">
        <v>21</v>
      </c>
      <c r="AA743" t="s">
        <v>243</v>
      </c>
      <c r="AB743" t="s">
        <v>442</v>
      </c>
      <c r="AC743" s="21">
        <v>363.5</v>
      </c>
      <c r="AD743" s="21" t="s">
        <v>368</v>
      </c>
      <c r="AE743" t="str">
        <f>VLOOKUP(Table_Query_from_Actuarial___Production3[[#This Row],[Kor1]],$AI$3:$AK$105,3,FALSE)</f>
        <v>Misc. Expense</v>
      </c>
      <c r="AF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" spans="18:32" x14ac:dyDescent="0.2">
      <c r="R744" t="s">
        <v>15</v>
      </c>
      <c r="S744" t="s">
        <v>237</v>
      </c>
      <c r="T744" t="s">
        <v>443</v>
      </c>
      <c r="U744" s="21">
        <v>8527546.6799999997</v>
      </c>
      <c r="V744" s="21" t="s">
        <v>368</v>
      </c>
      <c r="W744" t="str">
        <f>VLOOKUP(Table_Query_from_Actuarial___Production[[#This Row],[Kor1]],$AI$3:$AK$105,3,FALSE)</f>
        <v>Unearned Premiums</v>
      </c>
      <c r="X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"/>
      <c r="Z744" t="s">
        <v>49</v>
      </c>
      <c r="AA744" t="s">
        <v>244</v>
      </c>
      <c r="AB744" t="s">
        <v>433</v>
      </c>
      <c r="AC744" s="21">
        <v>2902.51</v>
      </c>
      <c r="AD744" s="21" t="s">
        <v>368</v>
      </c>
      <c r="AE744" t="str">
        <f>VLOOKUP(Table_Query_from_Actuarial___Production3[[#This Row],[Kor1]],$AI$3:$AK$105,3,FALSE)</f>
        <v>ALAE Paid</v>
      </c>
      <c r="AF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" spans="18:32" x14ac:dyDescent="0.2">
      <c r="R745" t="s">
        <v>41</v>
      </c>
      <c r="S745" t="s">
        <v>265</v>
      </c>
      <c r="T745" t="s">
        <v>6</v>
      </c>
      <c r="U745" s="21">
        <v>100</v>
      </c>
      <c r="V745" s="21" t="s">
        <v>368</v>
      </c>
      <c r="W745" t="str">
        <f>VLOOKUP(Table_Query_from_Actuarial___Production[[#This Row],[Kor1]],$AI$3:$AK$105,3,FALSE)</f>
        <v>Misc. Income</v>
      </c>
      <c r="X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"/>
      <c r="Z745" t="s">
        <v>47</v>
      </c>
      <c r="AA745" t="s">
        <v>255</v>
      </c>
      <c r="AB745" t="s">
        <v>351</v>
      </c>
      <c r="AC745" s="21">
        <v>556.79999999999995</v>
      </c>
      <c r="AD745" s="21" t="s">
        <v>368</v>
      </c>
      <c r="AE745" t="str">
        <f>VLOOKUP(Table_Query_from_Actuarial___Production3[[#This Row],[Kor1]],$AI$3:$AK$105,3,FALSE)</f>
        <v>Investment Income</v>
      </c>
      <c r="AF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" spans="18:32" x14ac:dyDescent="0.2">
      <c r="R746" t="s">
        <v>37</v>
      </c>
      <c r="S746" t="s">
        <v>239</v>
      </c>
      <c r="T746" t="s">
        <v>441</v>
      </c>
      <c r="U746" s="21">
        <v>9529.01</v>
      </c>
      <c r="V746" s="21" t="s">
        <v>368</v>
      </c>
      <c r="W746" t="str">
        <f>VLOOKUP(Table_Query_from_Actuarial___Production[[#This Row],[Kor1]],$AI$3:$AK$105,3,FALSE)</f>
        <v>Misc. Expense</v>
      </c>
      <c r="X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"/>
      <c r="Z746" t="s">
        <v>14</v>
      </c>
      <c r="AA746" t="s">
        <v>252</v>
      </c>
      <c r="AB746" t="s">
        <v>442</v>
      </c>
      <c r="AC746" s="21">
        <v>2565960.0499999998</v>
      </c>
      <c r="AD746" s="21" t="s">
        <v>368</v>
      </c>
      <c r="AE746" t="str">
        <f>VLOOKUP(Table_Query_from_Actuarial___Production3[[#This Row],[Kor1]],$AI$3:$AK$105,3,FALSE)</f>
        <v>Claims Expense</v>
      </c>
      <c r="AF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" spans="18:32" x14ac:dyDescent="0.2">
      <c r="R747" t="s">
        <v>47</v>
      </c>
      <c r="S747" t="s">
        <v>256</v>
      </c>
      <c r="T747" t="s">
        <v>443</v>
      </c>
      <c r="U747" s="21">
        <v>4095.01</v>
      </c>
      <c r="V747" s="21" t="s">
        <v>368</v>
      </c>
      <c r="W747" t="str">
        <f>VLOOKUP(Table_Query_from_Actuarial___Production[[#This Row],[Kor1]],$AI$3:$AK$105,3,FALSE)</f>
        <v>Investment Income</v>
      </c>
      <c r="X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"/>
      <c r="Z747" t="s">
        <v>41</v>
      </c>
      <c r="AA747" t="s">
        <v>4</v>
      </c>
      <c r="AB747" t="s">
        <v>6</v>
      </c>
      <c r="AC747" s="21">
        <v>542.03</v>
      </c>
      <c r="AD747" s="21" t="s">
        <v>368</v>
      </c>
      <c r="AE747" t="str">
        <f>VLOOKUP(Table_Query_from_Actuarial___Production3[[#This Row],[Kor1]],$AI$3:$AK$105,3,FALSE)</f>
        <v>Misc. Income</v>
      </c>
      <c r="AF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" spans="18:32" x14ac:dyDescent="0.2">
      <c r="R748" t="s">
        <v>39</v>
      </c>
      <c r="S748" t="s">
        <v>252</v>
      </c>
      <c r="T748" t="s">
        <v>9</v>
      </c>
      <c r="U748" s="21">
        <v>580644.18999999994</v>
      </c>
      <c r="V748" s="21" t="s">
        <v>368</v>
      </c>
      <c r="W748" t="str">
        <f>VLOOKUP(Table_Query_from_Actuarial___Production[[#This Row],[Kor1]],$AI$3:$AK$105,3,FALSE)</f>
        <v>Misc. Income for Insolvent Companies</v>
      </c>
      <c r="X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"/>
      <c r="Z748" t="s">
        <v>44</v>
      </c>
      <c r="AA748" t="s">
        <v>228</v>
      </c>
      <c r="AB748" t="s">
        <v>351</v>
      </c>
      <c r="AC748" s="21">
        <v>20902</v>
      </c>
      <c r="AD748" s="21" t="s">
        <v>368</v>
      </c>
      <c r="AE748" t="str">
        <f>VLOOKUP(Table_Query_from_Actuarial___Production3[[#This Row],[Kor1]],$AI$3:$AK$105,3,FALSE)</f>
        <v>Charge-offs</v>
      </c>
      <c r="AF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" spans="18:32" x14ac:dyDescent="0.2">
      <c r="R749" t="s">
        <v>31</v>
      </c>
      <c r="S749" t="s">
        <v>234</v>
      </c>
      <c r="T749" t="s">
        <v>8</v>
      </c>
      <c r="U749" s="21">
        <v>409.62</v>
      </c>
      <c r="V749" s="21" t="s">
        <v>368</v>
      </c>
      <c r="W749" t="str">
        <f>VLOOKUP(Table_Query_from_Actuarial___Production[[#This Row],[Kor1]],$AI$3:$AK$105,3,FALSE)</f>
        <v>Misc. Expense</v>
      </c>
      <c r="X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"/>
      <c r="Z749" t="s">
        <v>12</v>
      </c>
      <c r="AA749" t="s">
        <v>261</v>
      </c>
      <c r="AB749" t="s">
        <v>6</v>
      </c>
      <c r="AC749" s="21">
        <v>15495.24</v>
      </c>
      <c r="AD749" s="21" t="s">
        <v>368</v>
      </c>
      <c r="AE749" t="str">
        <f>VLOOKUP(Table_Query_from_Actuarial___Production3[[#This Row],[Kor1]],$AI$3:$AK$105,3,FALSE)</f>
        <v>Premium Tax</v>
      </c>
      <c r="AF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" spans="18:32" x14ac:dyDescent="0.2">
      <c r="R750" t="s">
        <v>34</v>
      </c>
      <c r="S750" t="s">
        <v>262</v>
      </c>
      <c r="T750" t="s">
        <v>356</v>
      </c>
      <c r="U750" s="21">
        <v>714.35</v>
      </c>
      <c r="V750" s="21" t="s">
        <v>368</v>
      </c>
      <c r="W750" t="str">
        <f>VLOOKUP(Table_Query_from_Actuarial___Production[[#This Row],[Kor1]],$AI$3:$AK$105,3,FALSE)</f>
        <v>Misc. Expense</v>
      </c>
      <c r="X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"/>
      <c r="Z750" t="s">
        <v>12</v>
      </c>
      <c r="AA750" t="s">
        <v>259</v>
      </c>
      <c r="AB750" t="s">
        <v>6</v>
      </c>
      <c r="AC750" s="21">
        <v>1723.65</v>
      </c>
      <c r="AD750" s="21" t="s">
        <v>368</v>
      </c>
      <c r="AE750" t="str">
        <f>VLOOKUP(Table_Query_from_Actuarial___Production3[[#This Row],[Kor1]],$AI$3:$AK$105,3,FALSE)</f>
        <v>Premium Tax</v>
      </c>
      <c r="AF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" spans="18:32" x14ac:dyDescent="0.2">
      <c r="R751" t="s">
        <v>19</v>
      </c>
      <c r="S751" t="s">
        <v>258</v>
      </c>
      <c r="T751" t="s">
        <v>6</v>
      </c>
      <c r="U751" s="21">
        <v>816</v>
      </c>
      <c r="V751" s="21" t="s">
        <v>368</v>
      </c>
      <c r="W751" t="str">
        <f>VLOOKUP(Table_Query_from_Actuarial___Production[[#This Row],[Kor1]],$AI$3:$AK$105,3,FALSE)</f>
        <v>Misc. Expense for Insolvent Companies</v>
      </c>
      <c r="X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"/>
      <c r="Z751" t="s">
        <v>11</v>
      </c>
      <c r="AA751" t="s">
        <v>241</v>
      </c>
      <c r="AB751" t="s">
        <v>8</v>
      </c>
      <c r="AC751" s="21">
        <v>444540.88</v>
      </c>
      <c r="AD751" s="21" t="s">
        <v>368</v>
      </c>
      <c r="AE751" t="str">
        <f>VLOOKUP(Table_Query_from_Actuarial___Production3[[#This Row],[Kor1]],$AI$3:$AK$105,3,FALSE)</f>
        <v>Losses Paid</v>
      </c>
      <c r="AF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" spans="18:32" x14ac:dyDescent="0.2">
      <c r="R752" t="s">
        <v>47</v>
      </c>
      <c r="S752" t="s">
        <v>255</v>
      </c>
      <c r="T752" t="s">
        <v>441</v>
      </c>
      <c r="U752" s="21">
        <v>9.84</v>
      </c>
      <c r="V752" s="21" t="s">
        <v>368</v>
      </c>
      <c r="W752" t="str">
        <f>VLOOKUP(Table_Query_from_Actuarial___Production[[#This Row],[Kor1]],$AI$3:$AK$105,3,FALSE)</f>
        <v>Investment Income</v>
      </c>
      <c r="X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"/>
      <c r="Z752" t="s">
        <v>39</v>
      </c>
      <c r="AA752" t="s">
        <v>233</v>
      </c>
      <c r="AB752" t="s">
        <v>443</v>
      </c>
      <c r="AC752" s="21">
        <v>636.46</v>
      </c>
      <c r="AD752" s="21" t="s">
        <v>368</v>
      </c>
      <c r="AE752" t="str">
        <f>VLOOKUP(Table_Query_from_Actuarial___Production3[[#This Row],[Kor1]],$AI$3:$AK$105,3,FALSE)</f>
        <v>Misc. Income for Insolvent Companies</v>
      </c>
      <c r="AF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" spans="18:32" x14ac:dyDescent="0.2">
      <c r="R753" t="s">
        <v>12</v>
      </c>
      <c r="S753" t="s">
        <v>263</v>
      </c>
      <c r="T753" t="s">
        <v>351</v>
      </c>
      <c r="U753" s="21">
        <v>5996.62</v>
      </c>
      <c r="V753" s="21" t="s">
        <v>368</v>
      </c>
      <c r="W753" t="str">
        <f>VLOOKUP(Table_Query_from_Actuarial___Production[[#This Row],[Kor1]],$AI$3:$AK$105,3,FALSE)</f>
        <v>Premium Tax</v>
      </c>
      <c r="X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"/>
      <c r="Z753" t="s">
        <v>3</v>
      </c>
      <c r="AA753" t="s">
        <v>246</v>
      </c>
      <c r="AB753" t="s">
        <v>351</v>
      </c>
      <c r="AC753" s="21">
        <v>947115</v>
      </c>
      <c r="AD753" s="21" t="s">
        <v>368</v>
      </c>
      <c r="AE753" t="str">
        <f>VLOOKUP(Table_Query_from_Actuarial___Production3[[#This Row],[Kor1]],$AI$3:$AK$105,3,FALSE)</f>
        <v>Premiums Written</v>
      </c>
      <c r="AF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" spans="18:32" x14ac:dyDescent="0.2">
      <c r="R754" t="s">
        <v>13</v>
      </c>
      <c r="S754" t="s">
        <v>354</v>
      </c>
      <c r="T754" t="s">
        <v>351</v>
      </c>
      <c r="U754" s="21">
        <v>237961764.03</v>
      </c>
      <c r="V754" s="21" t="s">
        <v>369</v>
      </c>
      <c r="W754" t="str">
        <f>VLOOKUP(Table_Query_from_Actuarial___Production[[#This Row],[Kor1]],$AI$3:$AK$105,3,FALSE)</f>
        <v>Operating Service Fees</v>
      </c>
      <c r="X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54"/>
      <c r="Z754" t="s">
        <v>47</v>
      </c>
      <c r="AA754" t="s">
        <v>258</v>
      </c>
      <c r="AB754" t="s">
        <v>6</v>
      </c>
      <c r="AC754" s="21">
        <v>0.1</v>
      </c>
      <c r="AD754" s="21" t="s">
        <v>368</v>
      </c>
      <c r="AE754" t="str">
        <f>VLOOKUP(Table_Query_from_Actuarial___Production3[[#This Row],[Kor1]],$AI$3:$AK$105,3,FALSE)</f>
        <v>Investment Income</v>
      </c>
      <c r="AF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" spans="18:32" x14ac:dyDescent="0.2">
      <c r="R755" t="s">
        <v>39</v>
      </c>
      <c r="S755" t="s">
        <v>258</v>
      </c>
      <c r="T755" t="s">
        <v>9</v>
      </c>
      <c r="U755" s="21">
        <v>67.010000000000005</v>
      </c>
      <c r="V755" s="21" t="s">
        <v>368</v>
      </c>
      <c r="W755" t="str">
        <f>VLOOKUP(Table_Query_from_Actuarial___Production[[#This Row],[Kor1]],$AI$3:$AK$105,3,FALSE)</f>
        <v>Misc. Income for Insolvent Companies</v>
      </c>
      <c r="X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"/>
      <c r="Z755" t="s">
        <v>19</v>
      </c>
      <c r="AA755" t="s">
        <v>244</v>
      </c>
      <c r="AB755" t="s">
        <v>7</v>
      </c>
      <c r="AC755" s="21">
        <v>34.01</v>
      </c>
      <c r="AD755" s="21" t="s">
        <v>368</v>
      </c>
      <c r="AE755" t="str">
        <f>VLOOKUP(Table_Query_from_Actuarial___Production3[[#This Row],[Kor1]],$AI$3:$AK$105,3,FALSE)</f>
        <v>Misc. Expense for Insolvent Companies</v>
      </c>
      <c r="AF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" spans="18:32" x14ac:dyDescent="0.2">
      <c r="R756" t="s">
        <v>41</v>
      </c>
      <c r="S756" t="s">
        <v>256</v>
      </c>
      <c r="T756" t="s">
        <v>351</v>
      </c>
      <c r="U756" s="21">
        <v>200</v>
      </c>
      <c r="V756" s="21" t="s">
        <v>368</v>
      </c>
      <c r="W756" t="str">
        <f>VLOOKUP(Table_Query_from_Actuarial___Production[[#This Row],[Kor1]],$AI$3:$AK$105,3,FALSE)</f>
        <v>Misc. Income</v>
      </c>
      <c r="X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"/>
      <c r="Z756" t="s">
        <v>12</v>
      </c>
      <c r="AA756" t="s">
        <v>266</v>
      </c>
      <c r="AB756" t="s">
        <v>427</v>
      </c>
      <c r="AC756" s="21">
        <v>30713.53</v>
      </c>
      <c r="AD756" s="21" t="s">
        <v>368</v>
      </c>
      <c r="AE756" t="str">
        <f>VLOOKUP(Table_Query_from_Actuarial___Production3[[#This Row],[Kor1]],$AI$3:$AK$105,3,FALSE)</f>
        <v>Premium Tax</v>
      </c>
      <c r="AF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" spans="18:32" x14ac:dyDescent="0.2">
      <c r="R757" t="s">
        <v>3</v>
      </c>
      <c r="S757" t="s">
        <v>262</v>
      </c>
      <c r="T757" t="s">
        <v>442</v>
      </c>
      <c r="U757" s="21">
        <v>115248</v>
      </c>
      <c r="V757" s="21" t="s">
        <v>368</v>
      </c>
      <c r="W757" t="str">
        <f>VLOOKUP(Table_Query_from_Actuarial___Production[[#This Row],[Kor1]],$AI$3:$AK$105,3,FALSE)</f>
        <v>Premiums Written</v>
      </c>
      <c r="X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"/>
      <c r="Z757" t="s">
        <v>44</v>
      </c>
      <c r="AA757" t="s">
        <v>230</v>
      </c>
      <c r="AB757" t="s">
        <v>6</v>
      </c>
      <c r="AC757" s="21">
        <v>776706.52</v>
      </c>
      <c r="AD757" s="21" t="s">
        <v>368</v>
      </c>
      <c r="AE757" t="str">
        <f>VLOOKUP(Table_Query_from_Actuarial___Production3[[#This Row],[Kor1]],$AI$3:$AK$105,3,FALSE)</f>
        <v>Charge-offs</v>
      </c>
      <c r="AF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" spans="18:32" x14ac:dyDescent="0.2">
      <c r="R758" t="s">
        <v>12</v>
      </c>
      <c r="S758" t="s">
        <v>232</v>
      </c>
      <c r="T758" t="s">
        <v>351</v>
      </c>
      <c r="U758" s="21">
        <v>21125.4</v>
      </c>
      <c r="V758" s="21" t="s">
        <v>368</v>
      </c>
      <c r="W758" t="str">
        <f>VLOOKUP(Table_Query_from_Actuarial___Production[[#This Row],[Kor1]],$AI$3:$AK$105,3,FALSE)</f>
        <v>Premium Tax</v>
      </c>
      <c r="X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"/>
      <c r="Z758" t="s">
        <v>10</v>
      </c>
      <c r="AA758" t="s">
        <v>241</v>
      </c>
      <c r="AB758" t="s">
        <v>442</v>
      </c>
      <c r="AC758" s="21">
        <v>12909.21</v>
      </c>
      <c r="AD758" s="21" t="s">
        <v>368</v>
      </c>
      <c r="AE758" t="str">
        <f>VLOOKUP(Table_Query_from_Actuarial___Production3[[#This Row],[Kor1]],$AI$3:$AK$105,3,FALSE)</f>
        <v>Commissions</v>
      </c>
      <c r="AF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" spans="18:32" x14ac:dyDescent="0.2">
      <c r="R759" t="s">
        <v>10</v>
      </c>
      <c r="S759" t="s">
        <v>257</v>
      </c>
      <c r="T759" t="s">
        <v>442</v>
      </c>
      <c r="U759" s="21">
        <v>140367.79999999999</v>
      </c>
      <c r="V759" s="21" t="s">
        <v>368</v>
      </c>
      <c r="W759" t="str">
        <f>VLOOKUP(Table_Query_from_Actuarial___Production[[#This Row],[Kor1]],$AI$3:$AK$105,3,FALSE)</f>
        <v>Commissions</v>
      </c>
      <c r="X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"/>
      <c r="Z759" t="s">
        <v>11</v>
      </c>
      <c r="AA759" t="s">
        <v>238</v>
      </c>
      <c r="AB759" t="s">
        <v>7</v>
      </c>
      <c r="AC759" s="21">
        <v>14235.38</v>
      </c>
      <c r="AD759" s="21" t="s">
        <v>368</v>
      </c>
      <c r="AE759" t="str">
        <f>VLOOKUP(Table_Query_from_Actuarial___Production3[[#This Row],[Kor1]],$AI$3:$AK$105,3,FALSE)</f>
        <v>Losses Paid</v>
      </c>
      <c r="AF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" spans="18:32" x14ac:dyDescent="0.2">
      <c r="R760" t="s">
        <v>48</v>
      </c>
      <c r="S760" t="s">
        <v>233</v>
      </c>
      <c r="T760" t="s">
        <v>443</v>
      </c>
      <c r="U760" s="21">
        <v>12411.39</v>
      </c>
      <c r="V760" s="21" t="s">
        <v>368</v>
      </c>
      <c r="W760" t="str">
        <f>VLOOKUP(Table_Query_from_Actuarial___Production[[#This Row],[Kor1]],$AI$3:$AK$105,3,FALSE)</f>
        <v>Anticipated Salvage</v>
      </c>
      <c r="X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"/>
      <c r="Z760" t="s">
        <v>13</v>
      </c>
      <c r="AA760" t="s">
        <v>260</v>
      </c>
      <c r="AB760" t="s">
        <v>6</v>
      </c>
      <c r="AC760" s="21">
        <v>884.92</v>
      </c>
      <c r="AD760" s="21" t="s">
        <v>368</v>
      </c>
      <c r="AE760" t="str">
        <f>VLOOKUP(Table_Query_from_Actuarial___Production3[[#This Row],[Kor1]],$AI$3:$AK$105,3,FALSE)</f>
        <v>Operating Service Fees</v>
      </c>
      <c r="AF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" spans="18:32" x14ac:dyDescent="0.2">
      <c r="R761" t="s">
        <v>3</v>
      </c>
      <c r="S761" t="s">
        <v>254</v>
      </c>
      <c r="T761" t="s">
        <v>8</v>
      </c>
      <c r="U761" s="21">
        <v>1150763</v>
      </c>
      <c r="V761" s="21" t="s">
        <v>368</v>
      </c>
      <c r="W761" t="str">
        <f>VLOOKUP(Table_Query_from_Actuarial___Production[[#This Row],[Kor1]],$AI$3:$AK$105,3,FALSE)</f>
        <v>Premiums Written</v>
      </c>
      <c r="X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"/>
      <c r="Z761" t="s">
        <v>48</v>
      </c>
      <c r="AA761" t="s">
        <v>234</v>
      </c>
      <c r="AB761" t="s">
        <v>427</v>
      </c>
      <c r="AC761" s="21">
        <v>642.30999999999995</v>
      </c>
      <c r="AD761" s="21" t="s">
        <v>368</v>
      </c>
      <c r="AE761" t="str">
        <f>VLOOKUP(Table_Query_from_Actuarial___Production3[[#This Row],[Kor1]],$AI$3:$AK$105,3,FALSE)</f>
        <v>Anticipated Salvage</v>
      </c>
      <c r="AF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" spans="18:32" x14ac:dyDescent="0.2">
      <c r="R762" t="s">
        <v>32</v>
      </c>
      <c r="S762" t="s">
        <v>232</v>
      </c>
      <c r="T762" t="s">
        <v>9</v>
      </c>
      <c r="U762" s="21">
        <v>53272.800000000003</v>
      </c>
      <c r="V762" s="21" t="s">
        <v>368</v>
      </c>
      <c r="W762" t="str">
        <f>VLOOKUP(Table_Query_from_Actuarial___Production[[#This Row],[Kor1]],$AI$3:$AK$105,3,FALSE)</f>
        <v>Misc. Expense</v>
      </c>
      <c r="X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"/>
      <c r="Z762" t="s">
        <v>13</v>
      </c>
      <c r="AA762" t="s">
        <v>224</v>
      </c>
      <c r="AB762" t="s">
        <v>351</v>
      </c>
      <c r="AC762" s="21">
        <v>15616.3</v>
      </c>
      <c r="AD762" s="21" t="s">
        <v>369</v>
      </c>
      <c r="AE762" t="str">
        <f>VLOOKUP(Table_Query_from_Actuarial___Production3[[#This Row],[Kor1]],$AI$3:$AK$105,3,FALSE)</f>
        <v>Operating Service Fees</v>
      </c>
      <c r="AF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63" spans="18:32" x14ac:dyDescent="0.2">
      <c r="R763" t="s">
        <v>36</v>
      </c>
      <c r="S763" t="s">
        <v>244</v>
      </c>
      <c r="T763" t="s">
        <v>443</v>
      </c>
      <c r="U763" s="21">
        <v>160</v>
      </c>
      <c r="V763" s="21" t="s">
        <v>368</v>
      </c>
      <c r="W763" t="str">
        <f>VLOOKUP(Table_Query_from_Actuarial___Production[[#This Row],[Kor1]],$AI$3:$AK$105,3,FALSE)</f>
        <v>Misc. Expense</v>
      </c>
      <c r="X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"/>
      <c r="Z763" t="s">
        <v>14</v>
      </c>
      <c r="AA763" t="s">
        <v>234</v>
      </c>
      <c r="AB763" t="s">
        <v>351</v>
      </c>
      <c r="AC763" s="21">
        <v>36048.46</v>
      </c>
      <c r="AD763" s="21" t="s">
        <v>368</v>
      </c>
      <c r="AE763" t="str">
        <f>VLOOKUP(Table_Query_from_Actuarial___Production3[[#This Row],[Kor1]],$AI$3:$AK$105,3,FALSE)</f>
        <v>Claims Expense</v>
      </c>
      <c r="AF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" spans="18:32" x14ac:dyDescent="0.2">
      <c r="R764" t="s">
        <v>37</v>
      </c>
      <c r="S764" t="s">
        <v>265</v>
      </c>
      <c r="T764" t="s">
        <v>433</v>
      </c>
      <c r="U764" s="21">
        <v>16742.45</v>
      </c>
      <c r="V764" s="21" t="s">
        <v>368</v>
      </c>
      <c r="W764" t="str">
        <f>VLOOKUP(Table_Query_from_Actuarial___Production[[#This Row],[Kor1]],$AI$3:$AK$105,3,FALSE)</f>
        <v>Misc. Expense</v>
      </c>
      <c r="X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"/>
      <c r="Z764" t="s">
        <v>20</v>
      </c>
      <c r="AA764" t="s">
        <v>249</v>
      </c>
      <c r="AB764" t="s">
        <v>427</v>
      </c>
      <c r="AC764" s="21">
        <v>344.13</v>
      </c>
      <c r="AD764" s="21" t="s">
        <v>368</v>
      </c>
      <c r="AE764" t="str">
        <f>VLOOKUP(Table_Query_from_Actuarial___Production3[[#This Row],[Kor1]],$AI$3:$AK$105,3,FALSE)</f>
        <v>Misc. Expense</v>
      </c>
      <c r="AF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" spans="18:32" x14ac:dyDescent="0.2">
      <c r="R765" t="s">
        <v>13</v>
      </c>
      <c r="S765" t="s">
        <v>253</v>
      </c>
      <c r="T765" t="s">
        <v>442</v>
      </c>
      <c r="U765" s="21">
        <v>1704.49</v>
      </c>
      <c r="V765" s="21" t="s">
        <v>368</v>
      </c>
      <c r="W765" t="str">
        <f>VLOOKUP(Table_Query_from_Actuarial___Production[[#This Row],[Kor1]],$AI$3:$AK$105,3,FALSE)</f>
        <v>Operating Service Fees</v>
      </c>
      <c r="X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"/>
      <c r="Z765" t="s">
        <v>34</v>
      </c>
      <c r="AA765" t="s">
        <v>240</v>
      </c>
      <c r="AB765" t="s">
        <v>356</v>
      </c>
      <c r="AC765" s="21">
        <v>1871.49</v>
      </c>
      <c r="AD765" s="21" t="s">
        <v>368</v>
      </c>
      <c r="AE765" t="str">
        <f>VLOOKUP(Table_Query_from_Actuarial___Production3[[#This Row],[Kor1]],$AI$3:$AK$105,3,FALSE)</f>
        <v>Misc. Expense</v>
      </c>
      <c r="AF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" spans="18:32" x14ac:dyDescent="0.2">
      <c r="R766" t="s">
        <v>14</v>
      </c>
      <c r="S766" t="s">
        <v>237</v>
      </c>
      <c r="T766" t="s">
        <v>6</v>
      </c>
      <c r="U766" s="21">
        <v>341525.44</v>
      </c>
      <c r="V766" s="21" t="s">
        <v>368</v>
      </c>
      <c r="W766" t="str">
        <f>VLOOKUP(Table_Query_from_Actuarial___Production[[#This Row],[Kor1]],$AI$3:$AK$105,3,FALSE)</f>
        <v>Claims Expense</v>
      </c>
      <c r="X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"/>
      <c r="Z766" t="s">
        <v>15</v>
      </c>
      <c r="AA766" t="s">
        <v>237</v>
      </c>
      <c r="AB766" t="s">
        <v>443</v>
      </c>
      <c r="AC766" s="21">
        <v>24061318.039999999</v>
      </c>
      <c r="AD766" s="21" t="s">
        <v>368</v>
      </c>
      <c r="AE766" t="str">
        <f>VLOOKUP(Table_Query_from_Actuarial___Production3[[#This Row],[Kor1]],$AI$3:$AK$105,3,FALSE)</f>
        <v>Unearned Premiums</v>
      </c>
      <c r="AF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" spans="18:32" x14ac:dyDescent="0.2">
      <c r="R767" t="s">
        <v>12</v>
      </c>
      <c r="S767" t="s">
        <v>256</v>
      </c>
      <c r="T767" t="s">
        <v>442</v>
      </c>
      <c r="U767" s="21">
        <v>-383.87</v>
      </c>
      <c r="V767" s="21" t="s">
        <v>368</v>
      </c>
      <c r="W767" t="str">
        <f>VLOOKUP(Table_Query_from_Actuarial___Production[[#This Row],[Kor1]],$AI$3:$AK$105,3,FALSE)</f>
        <v>Premium Tax</v>
      </c>
      <c r="X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"/>
      <c r="Z767" t="s">
        <v>41</v>
      </c>
      <c r="AA767" t="s">
        <v>265</v>
      </c>
      <c r="AB767" t="s">
        <v>6</v>
      </c>
      <c r="AC767" s="21">
        <v>100</v>
      </c>
      <c r="AD767" s="21" t="s">
        <v>368</v>
      </c>
      <c r="AE767" t="str">
        <f>VLOOKUP(Table_Query_from_Actuarial___Production3[[#This Row],[Kor1]],$AI$3:$AK$105,3,FALSE)</f>
        <v>Misc. Income</v>
      </c>
      <c r="AF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" spans="18:32" x14ac:dyDescent="0.2">
      <c r="R768" t="s">
        <v>19</v>
      </c>
      <c r="S768" t="s">
        <v>238</v>
      </c>
      <c r="T768" t="s">
        <v>7</v>
      </c>
      <c r="U768" s="21">
        <v>20</v>
      </c>
      <c r="V768" s="21" t="s">
        <v>368</v>
      </c>
      <c r="W768" t="str">
        <f>VLOOKUP(Table_Query_from_Actuarial___Production[[#This Row],[Kor1]],$AI$3:$AK$105,3,FALSE)</f>
        <v>Misc. Expense for Insolvent Companies</v>
      </c>
      <c r="X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"/>
      <c r="Z768" t="s">
        <v>37</v>
      </c>
      <c r="AA768" t="s">
        <v>239</v>
      </c>
      <c r="AB768" t="s">
        <v>441</v>
      </c>
      <c r="AC768" s="21">
        <v>9579.7099999999991</v>
      </c>
      <c r="AD768" s="21" t="s">
        <v>368</v>
      </c>
      <c r="AE768" t="str">
        <f>VLOOKUP(Table_Query_from_Actuarial___Production3[[#This Row],[Kor1]],$AI$3:$AK$105,3,FALSE)</f>
        <v>Misc. Expense</v>
      </c>
      <c r="AF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" spans="18:32" x14ac:dyDescent="0.2">
      <c r="R769" t="s">
        <v>16</v>
      </c>
      <c r="S769" t="s">
        <v>230</v>
      </c>
      <c r="T769" t="s">
        <v>351</v>
      </c>
      <c r="U769" s="21">
        <v>692789.22</v>
      </c>
      <c r="V769" s="21" t="s">
        <v>368</v>
      </c>
      <c r="W769" t="str">
        <f>VLOOKUP(Table_Query_from_Actuarial___Production[[#This Row],[Kor1]],$AI$3:$AK$105,3,FALSE)</f>
        <v>Losses Outstanding</v>
      </c>
      <c r="X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"/>
      <c r="Z769" t="s">
        <v>47</v>
      </c>
      <c r="AA769" t="s">
        <v>256</v>
      </c>
      <c r="AB769" t="s">
        <v>443</v>
      </c>
      <c r="AC769" s="21">
        <v>839.52</v>
      </c>
      <c r="AD769" s="21" t="s">
        <v>368</v>
      </c>
      <c r="AE769" t="str">
        <f>VLOOKUP(Table_Query_from_Actuarial___Production3[[#This Row],[Kor1]],$AI$3:$AK$105,3,FALSE)</f>
        <v>Investment Income</v>
      </c>
      <c r="AF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" spans="18:32" x14ac:dyDescent="0.2">
      <c r="R770" t="s">
        <v>14</v>
      </c>
      <c r="S770" t="s">
        <v>268</v>
      </c>
      <c r="T770" t="s">
        <v>351</v>
      </c>
      <c r="U770" s="21">
        <v>908.51</v>
      </c>
      <c r="V770" s="21" t="s">
        <v>368</v>
      </c>
      <c r="W770" t="str">
        <f>VLOOKUP(Table_Query_from_Actuarial___Production[[#This Row],[Kor1]],$AI$3:$AK$105,3,FALSE)</f>
        <v>Claims Expense</v>
      </c>
      <c r="X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"/>
      <c r="Z770" t="s">
        <v>39</v>
      </c>
      <c r="AA770" t="s">
        <v>252</v>
      </c>
      <c r="AB770" t="s">
        <v>9</v>
      </c>
      <c r="AC770" s="21">
        <v>580565.18999999994</v>
      </c>
      <c r="AD770" s="21" t="s">
        <v>368</v>
      </c>
      <c r="AE770" t="str">
        <f>VLOOKUP(Table_Query_from_Actuarial___Production3[[#This Row],[Kor1]],$AI$3:$AK$105,3,FALSE)</f>
        <v>Misc. Income for Insolvent Companies</v>
      </c>
      <c r="AF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" spans="18:32" x14ac:dyDescent="0.2">
      <c r="R771" t="s">
        <v>37</v>
      </c>
      <c r="S771" t="s">
        <v>231</v>
      </c>
      <c r="T771" t="s">
        <v>356</v>
      </c>
      <c r="U771" s="21">
        <v>-15055.17</v>
      </c>
      <c r="V771" s="21" t="s">
        <v>368</v>
      </c>
      <c r="W771" t="str">
        <f>VLOOKUP(Table_Query_from_Actuarial___Production[[#This Row],[Kor1]],$AI$3:$AK$105,3,FALSE)</f>
        <v>Misc. Expense</v>
      </c>
      <c r="X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"/>
      <c r="Z771" t="s">
        <v>31</v>
      </c>
      <c r="AA771" t="s">
        <v>234</v>
      </c>
      <c r="AB771" t="s">
        <v>8</v>
      </c>
      <c r="AC771" s="21">
        <v>409.62</v>
      </c>
      <c r="AD771" s="21" t="s">
        <v>368</v>
      </c>
      <c r="AE771" t="str">
        <f>VLOOKUP(Table_Query_from_Actuarial___Production3[[#This Row],[Kor1]],$AI$3:$AK$105,3,FALSE)</f>
        <v>Misc. Expense</v>
      </c>
      <c r="AF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" spans="18:32" x14ac:dyDescent="0.2">
      <c r="R772" t="s">
        <v>132</v>
      </c>
      <c r="S772" t="s">
        <v>354</v>
      </c>
      <c r="T772" t="s">
        <v>427</v>
      </c>
      <c r="U772" s="21">
        <v>250667634.97999999</v>
      </c>
      <c r="V772" s="21" t="s">
        <v>369</v>
      </c>
      <c r="W772" t="str">
        <f>VLOOKUP(Table_Query_from_Actuarial___Production[[#This Row],[Kor1]],$AI$3:$AK$105,3,FALSE)</f>
        <v>Clean Risk Subsidy</v>
      </c>
      <c r="X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72"/>
      <c r="Z772" t="s">
        <v>34</v>
      </c>
      <c r="AA772" t="s">
        <v>262</v>
      </c>
      <c r="AB772" t="s">
        <v>356</v>
      </c>
      <c r="AC772" s="21">
        <v>714.35</v>
      </c>
      <c r="AD772" s="21" t="s">
        <v>368</v>
      </c>
      <c r="AE772" t="str">
        <f>VLOOKUP(Table_Query_from_Actuarial___Production3[[#This Row],[Kor1]],$AI$3:$AK$105,3,FALSE)</f>
        <v>Misc. Expense</v>
      </c>
      <c r="AF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" spans="18:32" x14ac:dyDescent="0.2">
      <c r="R773" t="s">
        <v>17</v>
      </c>
      <c r="S773" t="s">
        <v>267</v>
      </c>
      <c r="T773" t="s">
        <v>445</v>
      </c>
      <c r="U773" s="21">
        <v>47171.21</v>
      </c>
      <c r="V773" s="21" t="s">
        <v>368</v>
      </c>
      <c r="W773" t="str">
        <f>VLOOKUP(Table_Query_from_Actuarial___Production[[#This Row],[Kor1]],$AI$3:$AK$105,3,FALSE)</f>
        <v>IBNR</v>
      </c>
      <c r="X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"/>
      <c r="Z773" t="s">
        <v>19</v>
      </c>
      <c r="AA773" t="s">
        <v>258</v>
      </c>
      <c r="AB773" t="s">
        <v>6</v>
      </c>
      <c r="AC773" s="21">
        <v>816</v>
      </c>
      <c r="AD773" s="21" t="s">
        <v>368</v>
      </c>
      <c r="AE773" t="str">
        <f>VLOOKUP(Table_Query_from_Actuarial___Production3[[#This Row],[Kor1]],$AI$3:$AK$105,3,FALSE)</f>
        <v>Misc. Expense for Insolvent Companies</v>
      </c>
      <c r="AF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" spans="18:32" x14ac:dyDescent="0.2">
      <c r="R774" t="s">
        <v>11</v>
      </c>
      <c r="S774" t="s">
        <v>234</v>
      </c>
      <c r="T774" t="s">
        <v>7</v>
      </c>
      <c r="U774" s="21">
        <v>1228329.8400000001</v>
      </c>
      <c r="V774" s="21" t="s">
        <v>368</v>
      </c>
      <c r="W774" t="str">
        <f>VLOOKUP(Table_Query_from_Actuarial___Production[[#This Row],[Kor1]],$AI$3:$AK$105,3,FALSE)</f>
        <v>Losses Paid</v>
      </c>
      <c r="X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4"/>
      <c r="Z774" t="s">
        <v>47</v>
      </c>
      <c r="AA774" t="s">
        <v>255</v>
      </c>
      <c r="AB774" t="s">
        <v>441</v>
      </c>
      <c r="AC774" s="21">
        <v>9.84</v>
      </c>
      <c r="AD774" s="21" t="s">
        <v>368</v>
      </c>
      <c r="AE774" t="str">
        <f>VLOOKUP(Table_Query_from_Actuarial___Production3[[#This Row],[Kor1]],$AI$3:$AK$105,3,FALSE)</f>
        <v>Investment Income</v>
      </c>
      <c r="AF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" spans="18:32" x14ac:dyDescent="0.2">
      <c r="R775" t="s">
        <v>43</v>
      </c>
      <c r="S775" t="s">
        <v>266</v>
      </c>
      <c r="T775" t="s">
        <v>441</v>
      </c>
      <c r="U775" s="21">
        <v>6181.63</v>
      </c>
      <c r="V775" s="21" t="s">
        <v>368</v>
      </c>
      <c r="W775" t="str">
        <f>VLOOKUP(Table_Query_from_Actuarial___Production[[#This Row],[Kor1]],$AI$3:$AK$105,3,FALSE)</f>
        <v>Charge-offs</v>
      </c>
      <c r="X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"/>
      <c r="Z775" t="s">
        <v>12</v>
      </c>
      <c r="AA775" t="s">
        <v>263</v>
      </c>
      <c r="AB775" t="s">
        <v>351</v>
      </c>
      <c r="AC775" s="21">
        <v>5996.62</v>
      </c>
      <c r="AD775" s="21" t="s">
        <v>368</v>
      </c>
      <c r="AE775" t="str">
        <f>VLOOKUP(Table_Query_from_Actuarial___Production3[[#This Row],[Kor1]],$AI$3:$AK$105,3,FALSE)</f>
        <v>Premium Tax</v>
      </c>
      <c r="AF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" spans="18:32" x14ac:dyDescent="0.2">
      <c r="R776" t="s">
        <v>48</v>
      </c>
      <c r="S776" t="s">
        <v>242</v>
      </c>
      <c r="T776" t="s">
        <v>443</v>
      </c>
      <c r="U776" s="21">
        <v>2626.68</v>
      </c>
      <c r="V776" s="21" t="s">
        <v>368</v>
      </c>
      <c r="W776" t="str">
        <f>VLOOKUP(Table_Query_from_Actuarial___Production[[#This Row],[Kor1]],$AI$3:$AK$105,3,FALSE)</f>
        <v>Anticipated Salvage</v>
      </c>
      <c r="X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"/>
      <c r="Z776" t="s">
        <v>13</v>
      </c>
      <c r="AA776" t="s">
        <v>354</v>
      </c>
      <c r="AB776" t="s">
        <v>351</v>
      </c>
      <c r="AC776" s="21">
        <v>237960369.41</v>
      </c>
      <c r="AD776" s="21" t="s">
        <v>369</v>
      </c>
      <c r="AE776" t="str">
        <f>VLOOKUP(Table_Query_from_Actuarial___Production3[[#This Row],[Kor1]],$AI$3:$AK$105,3,FALSE)</f>
        <v>Operating Service Fees</v>
      </c>
      <c r="AF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77" spans="18:32" x14ac:dyDescent="0.2">
      <c r="R777" t="s">
        <v>39</v>
      </c>
      <c r="S777" t="s">
        <v>252</v>
      </c>
      <c r="T777" t="s">
        <v>443</v>
      </c>
      <c r="U777" s="21">
        <v>886.91</v>
      </c>
      <c r="V777" s="21" t="s">
        <v>368</v>
      </c>
      <c r="W777" t="str">
        <f>VLOOKUP(Table_Query_from_Actuarial___Production[[#This Row],[Kor1]],$AI$3:$AK$105,3,FALSE)</f>
        <v>Misc. Income for Insolvent Companies</v>
      </c>
      <c r="X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"/>
      <c r="Z777" t="s">
        <v>39</v>
      </c>
      <c r="AA777" t="s">
        <v>258</v>
      </c>
      <c r="AB777" t="s">
        <v>9</v>
      </c>
      <c r="AC777" s="21">
        <v>67.010000000000005</v>
      </c>
      <c r="AD777" s="21" t="s">
        <v>368</v>
      </c>
      <c r="AE777" t="str">
        <f>VLOOKUP(Table_Query_from_Actuarial___Production3[[#This Row],[Kor1]],$AI$3:$AK$105,3,FALSE)</f>
        <v>Misc. Income for Insolvent Companies</v>
      </c>
      <c r="AF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" spans="18:32" x14ac:dyDescent="0.2">
      <c r="R778" t="s">
        <v>43</v>
      </c>
      <c r="S778" t="s">
        <v>255</v>
      </c>
      <c r="T778" t="s">
        <v>443</v>
      </c>
      <c r="U778" s="21">
        <v>12.85</v>
      </c>
      <c r="V778" s="21" t="s">
        <v>368</v>
      </c>
      <c r="W778" t="str">
        <f>VLOOKUP(Table_Query_from_Actuarial___Production[[#This Row],[Kor1]],$AI$3:$AK$105,3,FALSE)</f>
        <v>Charge-offs</v>
      </c>
      <c r="X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"/>
      <c r="Z778" t="s">
        <v>41</v>
      </c>
      <c r="AA778" t="s">
        <v>256</v>
      </c>
      <c r="AB778" t="s">
        <v>351</v>
      </c>
      <c r="AC778" s="21">
        <v>200</v>
      </c>
      <c r="AD778" s="21" t="s">
        <v>368</v>
      </c>
      <c r="AE778" t="str">
        <f>VLOOKUP(Table_Query_from_Actuarial___Production3[[#This Row],[Kor1]],$AI$3:$AK$105,3,FALSE)</f>
        <v>Misc. Income</v>
      </c>
      <c r="AF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" spans="18:32" x14ac:dyDescent="0.2">
      <c r="R779" t="s">
        <v>33</v>
      </c>
      <c r="S779" t="s">
        <v>248</v>
      </c>
      <c r="T779" t="s">
        <v>6</v>
      </c>
      <c r="U779" s="21">
        <v>15739.58</v>
      </c>
      <c r="V779" s="21" t="s">
        <v>368</v>
      </c>
      <c r="W779" t="str">
        <f>VLOOKUP(Table_Query_from_Actuarial___Production[[#This Row],[Kor1]],$AI$3:$AK$105,3,FALSE)</f>
        <v>Misc. Expense</v>
      </c>
      <c r="X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"/>
      <c r="Z779" t="s">
        <v>3</v>
      </c>
      <c r="AA779" t="s">
        <v>262</v>
      </c>
      <c r="AB779" t="s">
        <v>442</v>
      </c>
      <c r="AC779" s="21">
        <v>115248</v>
      </c>
      <c r="AD779" s="21" t="s">
        <v>368</v>
      </c>
      <c r="AE779" t="str">
        <f>VLOOKUP(Table_Query_from_Actuarial___Production3[[#This Row],[Kor1]],$AI$3:$AK$105,3,FALSE)</f>
        <v>Premiums Written</v>
      </c>
      <c r="AF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" spans="18:32" x14ac:dyDescent="0.2">
      <c r="R780" t="s">
        <v>36</v>
      </c>
      <c r="S780" t="s">
        <v>241</v>
      </c>
      <c r="T780" t="s">
        <v>427</v>
      </c>
      <c r="U780" s="21">
        <v>1374.55</v>
      </c>
      <c r="V780" s="21" t="s">
        <v>368</v>
      </c>
      <c r="W780" t="str">
        <f>VLOOKUP(Table_Query_from_Actuarial___Production[[#This Row],[Kor1]],$AI$3:$AK$105,3,FALSE)</f>
        <v>Misc. Expense</v>
      </c>
      <c r="X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"/>
      <c r="Z780" t="s">
        <v>12</v>
      </c>
      <c r="AA780" t="s">
        <v>232</v>
      </c>
      <c r="AB780" t="s">
        <v>351</v>
      </c>
      <c r="AC780" s="21">
        <v>21125.4</v>
      </c>
      <c r="AD780" s="21" t="s">
        <v>368</v>
      </c>
      <c r="AE780" t="str">
        <f>VLOOKUP(Table_Query_from_Actuarial___Production3[[#This Row],[Kor1]],$AI$3:$AK$105,3,FALSE)</f>
        <v>Premium Tax</v>
      </c>
      <c r="AF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" spans="18:32" x14ac:dyDescent="0.2">
      <c r="R781" t="s">
        <v>47</v>
      </c>
      <c r="S781" t="s">
        <v>254</v>
      </c>
      <c r="T781" t="s">
        <v>445</v>
      </c>
      <c r="U781" s="21">
        <v>104377.8</v>
      </c>
      <c r="V781" s="21" t="s">
        <v>368</v>
      </c>
      <c r="W781" t="str">
        <f>VLOOKUP(Table_Query_from_Actuarial___Production[[#This Row],[Kor1]],$AI$3:$AK$105,3,FALSE)</f>
        <v>Investment Income</v>
      </c>
      <c r="X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"/>
      <c r="Z781" t="s">
        <v>10</v>
      </c>
      <c r="AA781" t="s">
        <v>257</v>
      </c>
      <c r="AB781" t="s">
        <v>442</v>
      </c>
      <c r="AC781" s="21">
        <v>149686.15</v>
      </c>
      <c r="AD781" s="21" t="s">
        <v>368</v>
      </c>
      <c r="AE781" t="str">
        <f>VLOOKUP(Table_Query_from_Actuarial___Production3[[#This Row],[Kor1]],$AI$3:$AK$105,3,FALSE)</f>
        <v>Commissions</v>
      </c>
      <c r="AF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" spans="18:32" x14ac:dyDescent="0.2">
      <c r="R782" t="s">
        <v>13</v>
      </c>
      <c r="S782" t="s">
        <v>230</v>
      </c>
      <c r="T782" t="s">
        <v>443</v>
      </c>
      <c r="U782" s="21">
        <v>2228922.15</v>
      </c>
      <c r="V782" s="21" t="s">
        <v>368</v>
      </c>
      <c r="W782" t="str">
        <f>VLOOKUP(Table_Query_from_Actuarial___Production[[#This Row],[Kor1]],$AI$3:$AK$105,3,FALSE)</f>
        <v>Operating Service Fees</v>
      </c>
      <c r="X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"/>
      <c r="Z782" t="s">
        <v>48</v>
      </c>
      <c r="AA782" t="s">
        <v>233</v>
      </c>
      <c r="AB782" t="s">
        <v>443</v>
      </c>
      <c r="AC782" s="21">
        <v>2662.32</v>
      </c>
      <c r="AD782" s="21" t="s">
        <v>368</v>
      </c>
      <c r="AE782" t="str">
        <f>VLOOKUP(Table_Query_from_Actuarial___Production3[[#This Row],[Kor1]],$AI$3:$AK$105,3,FALSE)</f>
        <v>Anticipated Salvage</v>
      </c>
      <c r="AF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" spans="18:32" x14ac:dyDescent="0.2">
      <c r="R783" t="s">
        <v>16</v>
      </c>
      <c r="S783" t="s">
        <v>263</v>
      </c>
      <c r="T783" t="s">
        <v>7</v>
      </c>
      <c r="U783" s="21">
        <v>32287</v>
      </c>
      <c r="V783" s="21" t="s">
        <v>368</v>
      </c>
      <c r="W783" t="str">
        <f>VLOOKUP(Table_Query_from_Actuarial___Production[[#This Row],[Kor1]],$AI$3:$AK$105,3,FALSE)</f>
        <v>Losses Outstanding</v>
      </c>
      <c r="X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"/>
      <c r="Z783" t="s">
        <v>3</v>
      </c>
      <c r="AA783" t="s">
        <v>254</v>
      </c>
      <c r="AB783" t="s">
        <v>8</v>
      </c>
      <c r="AC783" s="21">
        <v>1150763</v>
      </c>
      <c r="AD783" s="21" t="s">
        <v>368</v>
      </c>
      <c r="AE783" t="str">
        <f>VLOOKUP(Table_Query_from_Actuarial___Production3[[#This Row],[Kor1]],$AI$3:$AK$105,3,FALSE)</f>
        <v>Premiums Written</v>
      </c>
      <c r="AF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" spans="18:32" x14ac:dyDescent="0.2">
      <c r="R784" t="s">
        <v>19</v>
      </c>
      <c r="S784" t="s">
        <v>241</v>
      </c>
      <c r="T784" t="s">
        <v>8</v>
      </c>
      <c r="U784" s="21">
        <v>342</v>
      </c>
      <c r="V784" s="21" t="s">
        <v>368</v>
      </c>
      <c r="W784" t="str">
        <f>VLOOKUP(Table_Query_from_Actuarial___Production[[#This Row],[Kor1]],$AI$3:$AK$105,3,FALSE)</f>
        <v>Misc. Expense for Insolvent Companies</v>
      </c>
      <c r="X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"/>
      <c r="Z784" t="s">
        <v>32</v>
      </c>
      <c r="AA784" t="s">
        <v>232</v>
      </c>
      <c r="AB784" t="s">
        <v>9</v>
      </c>
      <c r="AC784" s="21">
        <v>53272.800000000003</v>
      </c>
      <c r="AD784" s="21" t="s">
        <v>368</v>
      </c>
      <c r="AE784" t="str">
        <f>VLOOKUP(Table_Query_from_Actuarial___Production3[[#This Row],[Kor1]],$AI$3:$AK$105,3,FALSE)</f>
        <v>Misc. Expense</v>
      </c>
      <c r="AF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" spans="18:32" x14ac:dyDescent="0.2">
      <c r="R785" t="s">
        <v>41</v>
      </c>
      <c r="S785" t="s">
        <v>265</v>
      </c>
      <c r="T785" t="s">
        <v>445</v>
      </c>
      <c r="U785" s="21">
        <v>250.02</v>
      </c>
      <c r="V785" s="21" t="s">
        <v>368</v>
      </c>
      <c r="W785" t="str">
        <f>VLOOKUP(Table_Query_from_Actuarial___Production[[#This Row],[Kor1]],$AI$3:$AK$105,3,FALSE)</f>
        <v>Misc. Income</v>
      </c>
      <c r="X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"/>
      <c r="Z785" t="s">
        <v>37</v>
      </c>
      <c r="AA785" t="s">
        <v>265</v>
      </c>
      <c r="AB785" t="s">
        <v>433</v>
      </c>
      <c r="AC785" s="21">
        <v>16742.45</v>
      </c>
      <c r="AD785" s="21" t="s">
        <v>368</v>
      </c>
      <c r="AE785" t="str">
        <f>VLOOKUP(Table_Query_from_Actuarial___Production3[[#This Row],[Kor1]],$AI$3:$AK$105,3,FALSE)</f>
        <v>Misc. Expense</v>
      </c>
      <c r="AF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" spans="18:32" x14ac:dyDescent="0.2">
      <c r="R786" t="s">
        <v>47</v>
      </c>
      <c r="S786" t="s">
        <v>256</v>
      </c>
      <c r="T786" t="s">
        <v>427</v>
      </c>
      <c r="U786" s="21">
        <v>813.28</v>
      </c>
      <c r="V786" s="21" t="s">
        <v>368</v>
      </c>
      <c r="W786" t="str">
        <f>VLOOKUP(Table_Query_from_Actuarial___Production[[#This Row],[Kor1]],$AI$3:$AK$105,3,FALSE)</f>
        <v>Investment Income</v>
      </c>
      <c r="X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"/>
      <c r="Z786" t="s">
        <v>13</v>
      </c>
      <c r="AA786" t="s">
        <v>253</v>
      </c>
      <c r="AB786" t="s">
        <v>442</v>
      </c>
      <c r="AC786" s="21">
        <v>1704.49</v>
      </c>
      <c r="AD786" s="21" t="s">
        <v>368</v>
      </c>
      <c r="AE786" t="str">
        <f>VLOOKUP(Table_Query_from_Actuarial___Production3[[#This Row],[Kor1]],$AI$3:$AK$105,3,FALSE)</f>
        <v>Operating Service Fees</v>
      </c>
      <c r="AF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" spans="18:32" x14ac:dyDescent="0.2">
      <c r="R787" t="s">
        <v>19</v>
      </c>
      <c r="S787" t="s">
        <v>261</v>
      </c>
      <c r="T787" t="s">
        <v>9</v>
      </c>
      <c r="U787" s="21">
        <v>891.01</v>
      </c>
      <c r="V787" s="21" t="s">
        <v>368</v>
      </c>
      <c r="W787" t="str">
        <f>VLOOKUP(Table_Query_from_Actuarial___Production[[#This Row],[Kor1]],$AI$3:$AK$105,3,FALSE)</f>
        <v>Misc. Expense for Insolvent Companies</v>
      </c>
      <c r="X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"/>
      <c r="Z787" t="s">
        <v>14</v>
      </c>
      <c r="AA787" t="s">
        <v>237</v>
      </c>
      <c r="AB787" t="s">
        <v>6</v>
      </c>
      <c r="AC787" s="21">
        <v>341525.44</v>
      </c>
      <c r="AD787" s="21" t="s">
        <v>368</v>
      </c>
      <c r="AE787" t="str">
        <f>VLOOKUP(Table_Query_from_Actuarial___Production3[[#This Row],[Kor1]],$AI$3:$AK$105,3,FALSE)</f>
        <v>Claims Expense</v>
      </c>
      <c r="AF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" spans="18:32" x14ac:dyDescent="0.2">
      <c r="R788" t="s">
        <v>49</v>
      </c>
      <c r="S788" t="s">
        <v>225</v>
      </c>
      <c r="T788" t="s">
        <v>427</v>
      </c>
      <c r="U788" s="21">
        <v>34162.53</v>
      </c>
      <c r="V788" s="21" t="s">
        <v>369</v>
      </c>
      <c r="W788" t="str">
        <f>VLOOKUP(Table_Query_from_Actuarial___Production[[#This Row],[Kor1]],$AI$3:$AK$105,3,FALSE)</f>
        <v>ALAE Paid</v>
      </c>
      <c r="X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88"/>
      <c r="Z788" t="s">
        <v>17</v>
      </c>
      <c r="AA788" t="s">
        <v>224</v>
      </c>
      <c r="AB788" t="s">
        <v>441</v>
      </c>
      <c r="AC788" s="21">
        <v>683.92</v>
      </c>
      <c r="AD788" s="21" t="s">
        <v>369</v>
      </c>
      <c r="AE788" t="str">
        <f>VLOOKUP(Table_Query_from_Actuarial___Production3[[#This Row],[Kor1]],$AI$3:$AK$105,3,FALSE)</f>
        <v>IBNR</v>
      </c>
      <c r="AF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89" spans="18:32" x14ac:dyDescent="0.2">
      <c r="R789" t="s">
        <v>50</v>
      </c>
      <c r="S789" t="s">
        <v>235</v>
      </c>
      <c r="T789" t="s">
        <v>433</v>
      </c>
      <c r="U789" s="21">
        <v>244.94</v>
      </c>
      <c r="V789" s="21" t="s">
        <v>368</v>
      </c>
      <c r="W789" t="str">
        <f>VLOOKUP(Table_Query_from_Actuarial___Production[[#This Row],[Kor1]],$AI$3:$AK$105,3,FALSE)</f>
        <v>ALAE Reserve</v>
      </c>
      <c r="X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"/>
      <c r="Z789" t="s">
        <v>12</v>
      </c>
      <c r="AA789" t="s">
        <v>256</v>
      </c>
      <c r="AB789" t="s">
        <v>442</v>
      </c>
      <c r="AC789" s="21">
        <v>-383.87</v>
      </c>
      <c r="AD789" s="21" t="s">
        <v>368</v>
      </c>
      <c r="AE789" t="str">
        <f>VLOOKUP(Table_Query_from_Actuarial___Production3[[#This Row],[Kor1]],$AI$3:$AK$105,3,FALSE)</f>
        <v>Premium Tax</v>
      </c>
      <c r="AF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" spans="18:32" x14ac:dyDescent="0.2">
      <c r="R790" t="s">
        <v>13</v>
      </c>
      <c r="S790" t="s">
        <v>224</v>
      </c>
      <c r="T790" t="s">
        <v>433</v>
      </c>
      <c r="U790" s="21">
        <v>11318.98</v>
      </c>
      <c r="V790" s="21" t="s">
        <v>369</v>
      </c>
      <c r="W790" t="str">
        <f>VLOOKUP(Table_Query_from_Actuarial___Production[[#This Row],[Kor1]],$AI$3:$AK$105,3,FALSE)</f>
        <v>Operating Service Fees</v>
      </c>
      <c r="X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90"/>
      <c r="Z790" t="s">
        <v>19</v>
      </c>
      <c r="AA790" t="s">
        <v>238</v>
      </c>
      <c r="AB790" t="s">
        <v>7</v>
      </c>
      <c r="AC790" s="21">
        <v>20</v>
      </c>
      <c r="AD790" s="21" t="s">
        <v>368</v>
      </c>
      <c r="AE790" t="str">
        <f>VLOOKUP(Table_Query_from_Actuarial___Production3[[#This Row],[Kor1]],$AI$3:$AK$105,3,FALSE)</f>
        <v>Misc. Expense for Insolvent Companies</v>
      </c>
      <c r="AF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" spans="18:32" x14ac:dyDescent="0.2">
      <c r="R791" t="s">
        <v>33</v>
      </c>
      <c r="S791" t="s">
        <v>267</v>
      </c>
      <c r="T791" t="s">
        <v>433</v>
      </c>
      <c r="U791" s="21">
        <v>14178.75</v>
      </c>
      <c r="V791" s="21" t="s">
        <v>368</v>
      </c>
      <c r="W791" t="str">
        <f>VLOOKUP(Table_Query_from_Actuarial___Production[[#This Row],[Kor1]],$AI$3:$AK$105,3,FALSE)</f>
        <v>Misc. Expense</v>
      </c>
      <c r="X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"/>
      <c r="Z791" t="s">
        <v>16</v>
      </c>
      <c r="AA791" t="s">
        <v>230</v>
      </c>
      <c r="AB791" t="s">
        <v>351</v>
      </c>
      <c r="AC791" s="21">
        <v>755393.95</v>
      </c>
      <c r="AD791" s="21" t="s">
        <v>368</v>
      </c>
      <c r="AE791" t="str">
        <f>VLOOKUP(Table_Query_from_Actuarial___Production3[[#This Row],[Kor1]],$AI$3:$AK$105,3,FALSE)</f>
        <v>Losses Outstanding</v>
      </c>
      <c r="AF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" spans="18:32" x14ac:dyDescent="0.2">
      <c r="R792" t="s">
        <v>20</v>
      </c>
      <c r="S792" t="s">
        <v>242</v>
      </c>
      <c r="T792" t="s">
        <v>356</v>
      </c>
      <c r="U792" s="21">
        <v>104.54</v>
      </c>
      <c r="V792" s="21" t="s">
        <v>368</v>
      </c>
      <c r="W792" t="str">
        <f>VLOOKUP(Table_Query_from_Actuarial___Production[[#This Row],[Kor1]],$AI$3:$AK$105,3,FALSE)</f>
        <v>Misc. Expense</v>
      </c>
      <c r="X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"/>
      <c r="Z792" t="s">
        <v>14</v>
      </c>
      <c r="AA792" t="s">
        <v>268</v>
      </c>
      <c r="AB792" t="s">
        <v>351</v>
      </c>
      <c r="AC792" s="21">
        <v>908.51</v>
      </c>
      <c r="AD792" s="21" t="s">
        <v>368</v>
      </c>
      <c r="AE792" t="str">
        <f>VLOOKUP(Table_Query_from_Actuarial___Production3[[#This Row],[Kor1]],$AI$3:$AK$105,3,FALSE)</f>
        <v>Claims Expense</v>
      </c>
      <c r="AF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" spans="18:32" x14ac:dyDescent="0.2">
      <c r="R793" t="s">
        <v>41</v>
      </c>
      <c r="S793" t="s">
        <v>245</v>
      </c>
      <c r="T793" t="s">
        <v>8</v>
      </c>
      <c r="U793" s="21">
        <v>515.79999999999995</v>
      </c>
      <c r="V793" s="21" t="s">
        <v>368</v>
      </c>
      <c r="W793" t="str">
        <f>VLOOKUP(Table_Query_from_Actuarial___Production[[#This Row],[Kor1]],$AI$3:$AK$105,3,FALSE)</f>
        <v>Misc. Income</v>
      </c>
      <c r="X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"/>
      <c r="Z793" t="s">
        <v>37</v>
      </c>
      <c r="AA793" t="s">
        <v>231</v>
      </c>
      <c r="AB793" t="s">
        <v>356</v>
      </c>
      <c r="AC793" s="21">
        <v>-15055.17</v>
      </c>
      <c r="AD793" s="21" t="s">
        <v>368</v>
      </c>
      <c r="AE793" t="str">
        <f>VLOOKUP(Table_Query_from_Actuarial___Production3[[#This Row],[Kor1]],$AI$3:$AK$105,3,FALSE)</f>
        <v>Misc. Expense</v>
      </c>
      <c r="AF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" spans="18:32" x14ac:dyDescent="0.2">
      <c r="R794" t="s">
        <v>3</v>
      </c>
      <c r="S794" t="s">
        <v>235</v>
      </c>
      <c r="T794" t="s">
        <v>443</v>
      </c>
      <c r="U794" s="21">
        <v>29098</v>
      </c>
      <c r="V794" s="21" t="s">
        <v>368</v>
      </c>
      <c r="W794" t="str">
        <f>VLOOKUP(Table_Query_from_Actuarial___Production[[#This Row],[Kor1]],$AI$3:$AK$105,3,FALSE)</f>
        <v>Premiums Written</v>
      </c>
      <c r="X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"/>
      <c r="Z794" t="s">
        <v>132</v>
      </c>
      <c r="AA794" t="s">
        <v>354</v>
      </c>
      <c r="AB794" t="s">
        <v>427</v>
      </c>
      <c r="AC794" s="21">
        <v>250542926</v>
      </c>
      <c r="AD794" s="21" t="s">
        <v>369</v>
      </c>
      <c r="AE794" t="str">
        <f>VLOOKUP(Table_Query_from_Actuarial___Production3[[#This Row],[Kor1]],$AI$3:$AK$105,3,FALSE)</f>
        <v>Clean Risk Subsidy</v>
      </c>
      <c r="AF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95" spans="18:32" x14ac:dyDescent="0.2">
      <c r="R795" t="s">
        <v>31</v>
      </c>
      <c r="S795" t="s">
        <v>251</v>
      </c>
      <c r="T795" t="s">
        <v>7</v>
      </c>
      <c r="U795" s="21">
        <v>1040.8499999999999</v>
      </c>
      <c r="V795" s="21" t="s">
        <v>368</v>
      </c>
      <c r="W795" t="str">
        <f>VLOOKUP(Table_Query_from_Actuarial___Production[[#This Row],[Kor1]],$AI$3:$AK$105,3,FALSE)</f>
        <v>Misc. Expense</v>
      </c>
      <c r="X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"/>
      <c r="Z795" t="s">
        <v>11</v>
      </c>
      <c r="AA795" t="s">
        <v>234</v>
      </c>
      <c r="AB795" t="s">
        <v>7</v>
      </c>
      <c r="AC795" s="21">
        <v>1228329.8400000001</v>
      </c>
      <c r="AD795" s="21" t="s">
        <v>368</v>
      </c>
      <c r="AE795" t="str">
        <f>VLOOKUP(Table_Query_from_Actuarial___Production3[[#This Row],[Kor1]],$AI$3:$AK$105,3,FALSE)</f>
        <v>Losses Paid</v>
      </c>
      <c r="AF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" spans="18:32" x14ac:dyDescent="0.2">
      <c r="R796" t="s">
        <v>33</v>
      </c>
      <c r="S796" t="s">
        <v>265</v>
      </c>
      <c r="T796" t="s">
        <v>9</v>
      </c>
      <c r="U796" s="21">
        <v>16038.39</v>
      </c>
      <c r="V796" s="21" t="s">
        <v>368</v>
      </c>
      <c r="W796" t="str">
        <f>VLOOKUP(Table_Query_from_Actuarial___Production[[#This Row],[Kor1]],$AI$3:$AK$105,3,FALSE)</f>
        <v>Misc. Expense</v>
      </c>
      <c r="X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"/>
      <c r="Z796" t="s">
        <v>43</v>
      </c>
      <c r="AA796" t="s">
        <v>266</v>
      </c>
      <c r="AB796" t="s">
        <v>441</v>
      </c>
      <c r="AC796" s="21">
        <v>6181.63</v>
      </c>
      <c r="AD796" s="21" t="s">
        <v>368</v>
      </c>
      <c r="AE796" t="str">
        <f>VLOOKUP(Table_Query_from_Actuarial___Production3[[#This Row],[Kor1]],$AI$3:$AK$105,3,FALSE)</f>
        <v>Charge-offs</v>
      </c>
      <c r="AF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" spans="18:32" x14ac:dyDescent="0.2">
      <c r="R797" t="s">
        <v>3</v>
      </c>
      <c r="S797" t="s">
        <v>251</v>
      </c>
      <c r="T797" t="s">
        <v>441</v>
      </c>
      <c r="U797" s="21">
        <v>736266</v>
      </c>
      <c r="V797" s="21" t="s">
        <v>368</v>
      </c>
      <c r="W797" t="str">
        <f>VLOOKUP(Table_Query_from_Actuarial___Production[[#This Row],[Kor1]],$AI$3:$AK$105,3,FALSE)</f>
        <v>Premiums Written</v>
      </c>
      <c r="X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"/>
      <c r="Z797" t="s">
        <v>48</v>
      </c>
      <c r="AA797" t="s">
        <v>242</v>
      </c>
      <c r="AB797" t="s">
        <v>443</v>
      </c>
      <c r="AC797" s="21">
        <v>86.48</v>
      </c>
      <c r="AD797" s="21" t="s">
        <v>368</v>
      </c>
      <c r="AE797" t="str">
        <f>VLOOKUP(Table_Query_from_Actuarial___Production3[[#This Row],[Kor1]],$AI$3:$AK$105,3,FALSE)</f>
        <v>Anticipated Salvage</v>
      </c>
      <c r="AF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" spans="18:32" x14ac:dyDescent="0.2">
      <c r="R798" t="s">
        <v>444</v>
      </c>
      <c r="S798" t="s">
        <v>267</v>
      </c>
      <c r="T798" t="s">
        <v>443</v>
      </c>
      <c r="U798" s="21">
        <v>10167.75</v>
      </c>
      <c r="V798" s="21" t="s">
        <v>368</v>
      </c>
      <c r="W798" t="str">
        <f>VLOOKUP(Table_Query_from_Actuarial___Production[[#This Row],[Kor1]],$AI$3:$AK$105,3,FALSE)</f>
        <v>Misc. Expense</v>
      </c>
      <c r="X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"/>
      <c r="Z798" t="s">
        <v>39</v>
      </c>
      <c r="AA798" t="s">
        <v>252</v>
      </c>
      <c r="AB798" t="s">
        <v>443</v>
      </c>
      <c r="AC798" s="21">
        <v>886.91</v>
      </c>
      <c r="AD798" s="21" t="s">
        <v>368</v>
      </c>
      <c r="AE798" t="str">
        <f>VLOOKUP(Table_Query_from_Actuarial___Production3[[#This Row],[Kor1]],$AI$3:$AK$105,3,FALSE)</f>
        <v>Misc. Income for Insolvent Companies</v>
      </c>
      <c r="AF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" spans="18:32" x14ac:dyDescent="0.2">
      <c r="R799" t="s">
        <v>17</v>
      </c>
      <c r="S799" t="s">
        <v>226</v>
      </c>
      <c r="T799" t="s">
        <v>443</v>
      </c>
      <c r="U799" s="21">
        <v>5414531.3099999996</v>
      </c>
      <c r="V799" s="21" t="s">
        <v>368</v>
      </c>
      <c r="W799" t="str">
        <f>VLOOKUP(Table_Query_from_Actuarial___Production[[#This Row],[Kor1]],$AI$3:$AK$105,3,FALSE)</f>
        <v>IBNR</v>
      </c>
      <c r="X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99"/>
      <c r="Z799" t="s">
        <v>33</v>
      </c>
      <c r="AA799" t="s">
        <v>248</v>
      </c>
      <c r="AB799" t="s">
        <v>6</v>
      </c>
      <c r="AC799" s="21">
        <v>15739.58</v>
      </c>
      <c r="AD799" s="21" t="s">
        <v>368</v>
      </c>
      <c r="AE799" t="str">
        <f>VLOOKUP(Table_Query_from_Actuarial___Production3[[#This Row],[Kor1]],$AI$3:$AK$105,3,FALSE)</f>
        <v>Misc. Expense</v>
      </c>
      <c r="AF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" spans="18:32" x14ac:dyDescent="0.2">
      <c r="R800" t="s">
        <v>38</v>
      </c>
      <c r="S800" t="s">
        <v>224</v>
      </c>
      <c r="T800" t="s">
        <v>433</v>
      </c>
      <c r="U800" s="21">
        <v>204691.94</v>
      </c>
      <c r="V800" s="21" t="s">
        <v>370</v>
      </c>
      <c r="W800" t="str">
        <f>VLOOKUP(Table_Query_from_Actuarial___Production[[#This Row],[Kor1]],$AI$3:$AK$105,3,FALSE)</f>
        <v>Misc. Income</v>
      </c>
      <c r="X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00"/>
      <c r="Z800" t="s">
        <v>36</v>
      </c>
      <c r="AA800" t="s">
        <v>241</v>
      </c>
      <c r="AB800" t="s">
        <v>427</v>
      </c>
      <c r="AC800" s="21">
        <v>1374.55</v>
      </c>
      <c r="AD800" s="21" t="s">
        <v>368</v>
      </c>
      <c r="AE800" t="str">
        <f>VLOOKUP(Table_Query_from_Actuarial___Production3[[#This Row],[Kor1]],$AI$3:$AK$105,3,FALSE)</f>
        <v>Misc. Expense</v>
      </c>
      <c r="AF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" spans="18:32" x14ac:dyDescent="0.2">
      <c r="R801" t="s">
        <v>41</v>
      </c>
      <c r="S801" t="s">
        <v>236</v>
      </c>
      <c r="T801" t="s">
        <v>443</v>
      </c>
      <c r="U801" s="21">
        <v>250</v>
      </c>
      <c r="V801" s="21" t="s">
        <v>368</v>
      </c>
      <c r="W801" t="str">
        <f>VLOOKUP(Table_Query_from_Actuarial___Production[[#This Row],[Kor1]],$AI$3:$AK$105,3,FALSE)</f>
        <v>Misc. Income</v>
      </c>
      <c r="X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"/>
      <c r="Z801" t="s">
        <v>10</v>
      </c>
      <c r="AA801" t="s">
        <v>251</v>
      </c>
      <c r="AB801" t="s">
        <v>5</v>
      </c>
      <c r="AC801" s="21">
        <v>2340.75</v>
      </c>
      <c r="AD801" s="21" t="s">
        <v>368</v>
      </c>
      <c r="AE801" t="str">
        <f>VLOOKUP(Table_Query_from_Actuarial___Production3[[#This Row],[Kor1]],$AI$3:$AK$105,3,FALSE)</f>
        <v>Commissions</v>
      </c>
      <c r="AF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" spans="18:32" x14ac:dyDescent="0.2">
      <c r="R802" t="s">
        <v>43</v>
      </c>
      <c r="S802" t="s">
        <v>243</v>
      </c>
      <c r="T802" t="s">
        <v>427</v>
      </c>
      <c r="U802" s="21">
        <v>7.56</v>
      </c>
      <c r="V802" s="21" t="s">
        <v>368</v>
      </c>
      <c r="W802" t="str">
        <f>VLOOKUP(Table_Query_from_Actuarial___Production[[#This Row],[Kor1]],$AI$3:$AK$105,3,FALSE)</f>
        <v>Charge-offs</v>
      </c>
      <c r="X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"/>
      <c r="Z802" t="s">
        <v>13</v>
      </c>
      <c r="AA802" t="s">
        <v>230</v>
      </c>
      <c r="AB802" t="s">
        <v>443</v>
      </c>
      <c r="AC802" s="21">
        <v>974397.47</v>
      </c>
      <c r="AD802" s="21" t="s">
        <v>368</v>
      </c>
      <c r="AE802" t="str">
        <f>VLOOKUP(Table_Query_from_Actuarial___Production3[[#This Row],[Kor1]],$AI$3:$AK$105,3,FALSE)</f>
        <v>Operating Service Fees</v>
      </c>
      <c r="AF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" spans="18:32" x14ac:dyDescent="0.2">
      <c r="R803" t="s">
        <v>10</v>
      </c>
      <c r="S803" t="s">
        <v>242</v>
      </c>
      <c r="T803" t="s">
        <v>6</v>
      </c>
      <c r="U803" s="21">
        <v>23356.2</v>
      </c>
      <c r="V803" s="21" t="s">
        <v>368</v>
      </c>
      <c r="W803" t="str">
        <f>VLOOKUP(Table_Query_from_Actuarial___Production[[#This Row],[Kor1]],$AI$3:$AK$105,3,FALSE)</f>
        <v>Commissions</v>
      </c>
      <c r="X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"/>
      <c r="Z803" t="s">
        <v>19</v>
      </c>
      <c r="AA803" t="s">
        <v>241</v>
      </c>
      <c r="AB803" t="s">
        <v>8</v>
      </c>
      <c r="AC803" s="21">
        <v>342</v>
      </c>
      <c r="AD803" s="21" t="s">
        <v>368</v>
      </c>
      <c r="AE803" t="str">
        <f>VLOOKUP(Table_Query_from_Actuarial___Production3[[#This Row],[Kor1]],$AI$3:$AK$105,3,FALSE)</f>
        <v>Misc. Expense for Insolvent Companies</v>
      </c>
      <c r="AF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" spans="18:32" x14ac:dyDescent="0.2">
      <c r="R804" t="s">
        <v>14</v>
      </c>
      <c r="S804" t="s">
        <v>257</v>
      </c>
      <c r="T804" t="s">
        <v>356</v>
      </c>
      <c r="U804" s="21">
        <v>71362.19</v>
      </c>
      <c r="V804" s="21" t="s">
        <v>368</v>
      </c>
      <c r="W804" t="str">
        <f>VLOOKUP(Table_Query_from_Actuarial___Production[[#This Row],[Kor1]],$AI$3:$AK$105,3,FALSE)</f>
        <v>Claims Expense</v>
      </c>
      <c r="X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"/>
      <c r="Z804" t="s">
        <v>15</v>
      </c>
      <c r="AA804" t="s">
        <v>251</v>
      </c>
      <c r="AB804" t="s">
        <v>442</v>
      </c>
      <c r="AC804" s="21">
        <v>62169.35</v>
      </c>
      <c r="AD804" s="21" t="s">
        <v>368</v>
      </c>
      <c r="AE804" t="str">
        <f>VLOOKUP(Table_Query_from_Actuarial___Production3[[#This Row],[Kor1]],$AI$3:$AK$105,3,FALSE)</f>
        <v>Unearned Premiums</v>
      </c>
      <c r="AF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" spans="18:32" x14ac:dyDescent="0.2">
      <c r="R805" t="s">
        <v>12</v>
      </c>
      <c r="S805" t="s">
        <v>254</v>
      </c>
      <c r="T805" t="s">
        <v>443</v>
      </c>
      <c r="U805" s="21">
        <v>525049.25</v>
      </c>
      <c r="V805" s="21" t="s">
        <v>368</v>
      </c>
      <c r="W805" t="str">
        <f>VLOOKUP(Table_Query_from_Actuarial___Production[[#This Row],[Kor1]],$AI$3:$AK$105,3,FALSE)</f>
        <v>Premium Tax</v>
      </c>
      <c r="X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"/>
      <c r="Z805" t="s">
        <v>15</v>
      </c>
      <c r="AA805" t="s">
        <v>238</v>
      </c>
      <c r="AB805" t="s">
        <v>442</v>
      </c>
      <c r="AC805" s="21">
        <v>367598.8</v>
      </c>
      <c r="AD805" s="21" t="s">
        <v>368</v>
      </c>
      <c r="AE805" t="str">
        <f>VLOOKUP(Table_Query_from_Actuarial___Production3[[#This Row],[Kor1]],$AI$3:$AK$105,3,FALSE)</f>
        <v>Unearned Premiums</v>
      </c>
      <c r="AF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" spans="18:32" x14ac:dyDescent="0.2">
      <c r="R806" t="s">
        <v>41</v>
      </c>
      <c r="S806" t="s">
        <v>256</v>
      </c>
      <c r="T806" t="s">
        <v>433</v>
      </c>
      <c r="U806" s="21">
        <v>400</v>
      </c>
      <c r="V806" s="21" t="s">
        <v>368</v>
      </c>
      <c r="W806" t="str">
        <f>VLOOKUP(Table_Query_from_Actuarial___Production[[#This Row],[Kor1]],$AI$3:$AK$105,3,FALSE)</f>
        <v>Misc. Income</v>
      </c>
      <c r="X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"/>
      <c r="Z806" t="s">
        <v>47</v>
      </c>
      <c r="AA806" t="s">
        <v>256</v>
      </c>
      <c r="AB806" t="s">
        <v>427</v>
      </c>
      <c r="AC806" s="21">
        <v>813.28</v>
      </c>
      <c r="AD806" s="21" t="s">
        <v>368</v>
      </c>
      <c r="AE806" t="str">
        <f>VLOOKUP(Table_Query_from_Actuarial___Production3[[#This Row],[Kor1]],$AI$3:$AK$105,3,FALSE)</f>
        <v>Investment Income</v>
      </c>
      <c r="AF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" spans="18:32" x14ac:dyDescent="0.2">
      <c r="R807" t="s">
        <v>19</v>
      </c>
      <c r="S807" t="s">
        <v>235</v>
      </c>
      <c r="T807" t="s">
        <v>7</v>
      </c>
      <c r="U807" s="21">
        <v>815.99</v>
      </c>
      <c r="V807" s="21" t="s">
        <v>368</v>
      </c>
      <c r="W807" t="str">
        <f>VLOOKUP(Table_Query_from_Actuarial___Production[[#This Row],[Kor1]],$AI$3:$AK$105,3,FALSE)</f>
        <v>Misc. Expense for Insolvent Companies</v>
      </c>
      <c r="X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"/>
      <c r="Z807" t="s">
        <v>19</v>
      </c>
      <c r="AA807" t="s">
        <v>261</v>
      </c>
      <c r="AB807" t="s">
        <v>9</v>
      </c>
      <c r="AC807" s="21">
        <v>891.01</v>
      </c>
      <c r="AD807" s="21" t="s">
        <v>368</v>
      </c>
      <c r="AE807" t="str">
        <f>VLOOKUP(Table_Query_from_Actuarial___Production3[[#This Row],[Kor1]],$AI$3:$AK$105,3,FALSE)</f>
        <v>Misc. Expense for Insolvent Companies</v>
      </c>
      <c r="AF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" spans="18:32" x14ac:dyDescent="0.2">
      <c r="R808" t="s">
        <v>49</v>
      </c>
      <c r="S808" t="s">
        <v>246</v>
      </c>
      <c r="T808" t="s">
        <v>427</v>
      </c>
      <c r="U808" s="21">
        <v>67220.990000000005</v>
      </c>
      <c r="V808" s="21" t="s">
        <v>368</v>
      </c>
      <c r="W808" t="str">
        <f>VLOOKUP(Table_Query_from_Actuarial___Production[[#This Row],[Kor1]],$AI$3:$AK$105,3,FALSE)</f>
        <v>ALAE Paid</v>
      </c>
      <c r="X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"/>
      <c r="Z808" t="s">
        <v>49</v>
      </c>
      <c r="AA808" t="s">
        <v>225</v>
      </c>
      <c r="AB808" t="s">
        <v>427</v>
      </c>
      <c r="AC808" s="21">
        <v>22741.279999999999</v>
      </c>
      <c r="AD808" s="21" t="s">
        <v>369</v>
      </c>
      <c r="AE808" t="str">
        <f>VLOOKUP(Table_Query_from_Actuarial___Production3[[#This Row],[Kor1]],$AI$3:$AK$105,3,FALSE)</f>
        <v>ALAE Paid</v>
      </c>
      <c r="AF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09" spans="18:32" x14ac:dyDescent="0.2">
      <c r="R809" t="s">
        <v>49</v>
      </c>
      <c r="S809" t="s">
        <v>265</v>
      </c>
      <c r="T809" t="s">
        <v>351</v>
      </c>
      <c r="U809" s="21">
        <v>1993.71</v>
      </c>
      <c r="V809" s="21" t="s">
        <v>368</v>
      </c>
      <c r="W809" t="str">
        <f>VLOOKUP(Table_Query_from_Actuarial___Production[[#This Row],[Kor1]],$AI$3:$AK$105,3,FALSE)</f>
        <v>ALAE Paid</v>
      </c>
      <c r="X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"/>
      <c r="Z809" t="s">
        <v>50</v>
      </c>
      <c r="AA809" t="s">
        <v>235</v>
      </c>
      <c r="AB809" t="s">
        <v>433</v>
      </c>
      <c r="AC809" s="21">
        <v>2174.38</v>
      </c>
      <c r="AD809" s="21" t="s">
        <v>368</v>
      </c>
      <c r="AE809" t="str">
        <f>VLOOKUP(Table_Query_from_Actuarial___Production3[[#This Row],[Kor1]],$AI$3:$AK$105,3,FALSE)</f>
        <v>ALAE Reserve</v>
      </c>
      <c r="AF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" spans="18:32" x14ac:dyDescent="0.2">
      <c r="R810" t="s">
        <v>49</v>
      </c>
      <c r="S810" t="s">
        <v>240</v>
      </c>
      <c r="T810" t="s">
        <v>6</v>
      </c>
      <c r="U810" s="21">
        <v>78799</v>
      </c>
      <c r="V810" s="21" t="s">
        <v>368</v>
      </c>
      <c r="W810" t="str">
        <f>VLOOKUP(Table_Query_from_Actuarial___Production[[#This Row],[Kor1]],$AI$3:$AK$105,3,FALSE)</f>
        <v>ALAE Paid</v>
      </c>
      <c r="X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"/>
      <c r="Z810" t="s">
        <v>13</v>
      </c>
      <c r="AA810" t="s">
        <v>224</v>
      </c>
      <c r="AB810" t="s">
        <v>433</v>
      </c>
      <c r="AC810" s="21">
        <v>11318.98</v>
      </c>
      <c r="AD810" s="21" t="s">
        <v>369</v>
      </c>
      <c r="AE810" t="str">
        <f>VLOOKUP(Table_Query_from_Actuarial___Production3[[#This Row],[Kor1]],$AI$3:$AK$105,3,FALSE)</f>
        <v>Operating Service Fees</v>
      </c>
      <c r="AF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11" spans="18:32" x14ac:dyDescent="0.2">
      <c r="R811" t="s">
        <v>12</v>
      </c>
      <c r="S811" t="s">
        <v>255</v>
      </c>
      <c r="T811" t="s">
        <v>356</v>
      </c>
      <c r="U811" s="21">
        <v>8325.84</v>
      </c>
      <c r="V811" s="21" t="s">
        <v>368</v>
      </c>
      <c r="W811" t="str">
        <f>VLOOKUP(Table_Query_from_Actuarial___Production[[#This Row],[Kor1]],$AI$3:$AK$105,3,FALSE)</f>
        <v>Premium Tax</v>
      </c>
      <c r="X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"/>
      <c r="Z811" t="s">
        <v>33</v>
      </c>
      <c r="AA811" t="s">
        <v>267</v>
      </c>
      <c r="AB811" t="s">
        <v>433</v>
      </c>
      <c r="AC811" s="21">
        <v>14178.75</v>
      </c>
      <c r="AD811" s="21" t="s">
        <v>368</v>
      </c>
      <c r="AE811" t="str">
        <f>VLOOKUP(Table_Query_from_Actuarial___Production3[[#This Row],[Kor1]],$AI$3:$AK$105,3,FALSE)</f>
        <v>Misc. Expense</v>
      </c>
      <c r="AF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" spans="18:32" x14ac:dyDescent="0.2">
      <c r="R812" t="s">
        <v>13</v>
      </c>
      <c r="S812" t="s">
        <v>230</v>
      </c>
      <c r="T812" t="s">
        <v>7</v>
      </c>
      <c r="U812" s="21">
        <v>3777586.13</v>
      </c>
      <c r="V812" s="21" t="s">
        <v>368</v>
      </c>
      <c r="W812" t="str">
        <f>VLOOKUP(Table_Query_from_Actuarial___Production[[#This Row],[Kor1]],$AI$3:$AK$105,3,FALSE)</f>
        <v>Operating Service Fees</v>
      </c>
      <c r="X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"/>
      <c r="Z812" t="s">
        <v>20</v>
      </c>
      <c r="AA812" t="s">
        <v>242</v>
      </c>
      <c r="AB812" t="s">
        <v>356</v>
      </c>
      <c r="AC812" s="21">
        <v>104.54</v>
      </c>
      <c r="AD812" s="21" t="s">
        <v>368</v>
      </c>
      <c r="AE812" t="str">
        <f>VLOOKUP(Table_Query_from_Actuarial___Production3[[#This Row],[Kor1]],$AI$3:$AK$105,3,FALSE)</f>
        <v>Misc. Expense</v>
      </c>
      <c r="AF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" spans="18:32" x14ac:dyDescent="0.2">
      <c r="R813" t="s">
        <v>21</v>
      </c>
      <c r="S813" t="s">
        <v>263</v>
      </c>
      <c r="T813" t="s">
        <v>7</v>
      </c>
      <c r="U813" s="21">
        <v>176.01</v>
      </c>
      <c r="V813" s="21" t="s">
        <v>368</v>
      </c>
      <c r="W813" t="str">
        <f>VLOOKUP(Table_Query_from_Actuarial___Production[[#This Row],[Kor1]],$AI$3:$AK$105,3,FALSE)</f>
        <v>Misc. Expense</v>
      </c>
      <c r="X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"/>
      <c r="Z813" t="s">
        <v>41</v>
      </c>
      <c r="AA813" t="s">
        <v>245</v>
      </c>
      <c r="AB813" t="s">
        <v>8</v>
      </c>
      <c r="AC813" s="21">
        <v>515.79999999999995</v>
      </c>
      <c r="AD813" s="21" t="s">
        <v>368</v>
      </c>
      <c r="AE813" t="str">
        <f>VLOOKUP(Table_Query_from_Actuarial___Production3[[#This Row],[Kor1]],$AI$3:$AK$105,3,FALSE)</f>
        <v>Misc. Income</v>
      </c>
      <c r="AF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" spans="18:32" x14ac:dyDescent="0.2">
      <c r="R814" t="s">
        <v>13</v>
      </c>
      <c r="S814" t="s">
        <v>354</v>
      </c>
      <c r="T814" t="s">
        <v>433</v>
      </c>
      <c r="U814" s="21">
        <v>240393406.03999999</v>
      </c>
      <c r="V814" s="21" t="s">
        <v>369</v>
      </c>
      <c r="W814" t="str">
        <f>VLOOKUP(Table_Query_from_Actuarial___Production[[#This Row],[Kor1]],$AI$3:$AK$105,3,FALSE)</f>
        <v>Operating Service Fees</v>
      </c>
      <c r="X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14"/>
      <c r="Z814" t="s">
        <v>3</v>
      </c>
      <c r="AA814" t="s">
        <v>235</v>
      </c>
      <c r="AB814" t="s">
        <v>443</v>
      </c>
      <c r="AC814" s="21">
        <v>6535</v>
      </c>
      <c r="AD814" s="21" t="s">
        <v>368</v>
      </c>
      <c r="AE814" t="str">
        <f>VLOOKUP(Table_Query_from_Actuarial___Production3[[#This Row],[Kor1]],$AI$3:$AK$105,3,FALSE)</f>
        <v>Premiums Written</v>
      </c>
      <c r="AF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" spans="18:32" x14ac:dyDescent="0.2">
      <c r="R815" t="s">
        <v>43</v>
      </c>
      <c r="S815" t="s">
        <v>224</v>
      </c>
      <c r="T815" t="s">
        <v>9</v>
      </c>
      <c r="U815" s="21">
        <v>200.28</v>
      </c>
      <c r="V815" s="21" t="s">
        <v>368</v>
      </c>
      <c r="W815" t="str">
        <f>VLOOKUP(Table_Query_from_Actuarial___Production[[#This Row],[Kor1]],$AI$3:$AK$105,3,FALSE)</f>
        <v>Charge-offs</v>
      </c>
      <c r="X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15"/>
      <c r="Z815" t="s">
        <v>31</v>
      </c>
      <c r="AA815" t="s">
        <v>251</v>
      </c>
      <c r="AB815" t="s">
        <v>7</v>
      </c>
      <c r="AC815" s="21">
        <v>1040.8499999999999</v>
      </c>
      <c r="AD815" s="21" t="s">
        <v>368</v>
      </c>
      <c r="AE815" t="str">
        <f>VLOOKUP(Table_Query_from_Actuarial___Production3[[#This Row],[Kor1]],$AI$3:$AK$105,3,FALSE)</f>
        <v>Misc. Expense</v>
      </c>
      <c r="AF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" spans="18:32" x14ac:dyDescent="0.2">
      <c r="R816" t="s">
        <v>12</v>
      </c>
      <c r="S816" t="s">
        <v>232</v>
      </c>
      <c r="T816" t="s">
        <v>433</v>
      </c>
      <c r="U816" s="21">
        <v>26545.279999999999</v>
      </c>
      <c r="V816" s="21" t="s">
        <v>368</v>
      </c>
      <c r="W816" t="str">
        <f>VLOOKUP(Table_Query_from_Actuarial___Production[[#This Row],[Kor1]],$AI$3:$AK$105,3,FALSE)</f>
        <v>Premium Tax</v>
      </c>
      <c r="X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"/>
      <c r="Z816" t="s">
        <v>33</v>
      </c>
      <c r="AA816" t="s">
        <v>265</v>
      </c>
      <c r="AB816" t="s">
        <v>9</v>
      </c>
      <c r="AC816" s="21">
        <v>16038.39</v>
      </c>
      <c r="AD816" s="21" t="s">
        <v>368</v>
      </c>
      <c r="AE816" t="str">
        <f>VLOOKUP(Table_Query_from_Actuarial___Production3[[#This Row],[Kor1]],$AI$3:$AK$105,3,FALSE)</f>
        <v>Misc. Expense</v>
      </c>
      <c r="AF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" spans="18:32" x14ac:dyDescent="0.2">
      <c r="R817" t="s">
        <v>39</v>
      </c>
      <c r="S817" t="s">
        <v>267</v>
      </c>
      <c r="T817" t="s">
        <v>6</v>
      </c>
      <c r="U817" s="21">
        <v>4581.99</v>
      </c>
      <c r="V817" s="21" t="s">
        <v>368</v>
      </c>
      <c r="W817" t="str">
        <f>VLOOKUP(Table_Query_from_Actuarial___Production[[#This Row],[Kor1]],$AI$3:$AK$105,3,FALSE)</f>
        <v>Misc. Income for Insolvent Companies</v>
      </c>
      <c r="X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"/>
      <c r="Z817" t="s">
        <v>3</v>
      </c>
      <c r="AA817" t="s">
        <v>251</v>
      </c>
      <c r="AB817" t="s">
        <v>441</v>
      </c>
      <c r="AC817" s="21">
        <v>736266</v>
      </c>
      <c r="AD817" s="21" t="s">
        <v>368</v>
      </c>
      <c r="AE817" t="str">
        <f>VLOOKUP(Table_Query_from_Actuarial___Production3[[#This Row],[Kor1]],$AI$3:$AK$105,3,FALSE)</f>
        <v>Premiums Written</v>
      </c>
      <c r="AF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" spans="18:32" x14ac:dyDescent="0.2">
      <c r="R818" t="s">
        <v>44</v>
      </c>
      <c r="S818" t="s">
        <v>264</v>
      </c>
      <c r="T818" t="s">
        <v>356</v>
      </c>
      <c r="U818" s="21">
        <v>2871.1</v>
      </c>
      <c r="V818" s="21" t="s">
        <v>368</v>
      </c>
      <c r="W818" t="str">
        <f>VLOOKUP(Table_Query_from_Actuarial___Production[[#This Row],[Kor1]],$AI$3:$AK$105,3,FALSE)</f>
        <v>Charge-offs</v>
      </c>
      <c r="X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"/>
      <c r="Z818" t="s">
        <v>17</v>
      </c>
      <c r="AA818" t="s">
        <v>226</v>
      </c>
      <c r="AB818" t="s">
        <v>443</v>
      </c>
      <c r="AC818" s="21">
        <v>1299639.03</v>
      </c>
      <c r="AD818" s="21" t="s">
        <v>368</v>
      </c>
      <c r="AE818" t="str">
        <f>VLOOKUP(Table_Query_from_Actuarial___Production3[[#This Row],[Kor1]],$AI$3:$AK$105,3,FALSE)</f>
        <v>IBNR</v>
      </c>
      <c r="AF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19" spans="18:32" x14ac:dyDescent="0.2">
      <c r="R819" t="s">
        <v>16</v>
      </c>
      <c r="S819" t="s">
        <v>267</v>
      </c>
      <c r="T819" t="s">
        <v>433</v>
      </c>
      <c r="U819" s="21">
        <v>14331.83</v>
      </c>
      <c r="V819" s="21" t="s">
        <v>368</v>
      </c>
      <c r="W819" t="str">
        <f>VLOOKUP(Table_Query_from_Actuarial___Production[[#This Row],[Kor1]],$AI$3:$AK$105,3,FALSE)</f>
        <v>Losses Outstanding</v>
      </c>
      <c r="X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"/>
      <c r="Z819" t="s">
        <v>38</v>
      </c>
      <c r="AA819" t="s">
        <v>224</v>
      </c>
      <c r="AB819" t="s">
        <v>433</v>
      </c>
      <c r="AC819" s="21">
        <v>204691.94</v>
      </c>
      <c r="AD819" s="21" t="s">
        <v>370</v>
      </c>
      <c r="AE819" t="str">
        <f>VLOOKUP(Table_Query_from_Actuarial___Production3[[#This Row],[Kor1]],$AI$3:$AK$105,3,FALSE)</f>
        <v>Misc. Income</v>
      </c>
      <c r="AF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20" spans="18:32" x14ac:dyDescent="0.2">
      <c r="R820" t="s">
        <v>3</v>
      </c>
      <c r="S820" t="s">
        <v>246</v>
      </c>
      <c r="T820" t="s">
        <v>433</v>
      </c>
      <c r="U820" s="21">
        <v>3799046</v>
      </c>
      <c r="V820" s="21" t="s">
        <v>368</v>
      </c>
      <c r="W820" t="str">
        <f>VLOOKUP(Table_Query_from_Actuarial___Production[[#This Row],[Kor1]],$AI$3:$AK$105,3,FALSE)</f>
        <v>Premiums Written</v>
      </c>
      <c r="X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"/>
      <c r="Z820" t="s">
        <v>3</v>
      </c>
      <c r="AA820" t="s">
        <v>261</v>
      </c>
      <c r="AB820" t="s">
        <v>5</v>
      </c>
      <c r="AC820" s="21">
        <v>290852</v>
      </c>
      <c r="AD820" s="21" t="s">
        <v>368</v>
      </c>
      <c r="AE820" t="str">
        <f>VLOOKUP(Table_Query_from_Actuarial___Production3[[#This Row],[Kor1]],$AI$3:$AK$105,3,FALSE)</f>
        <v>Premiums Written</v>
      </c>
      <c r="AF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" spans="18:32" x14ac:dyDescent="0.2">
      <c r="R821" t="s">
        <v>17</v>
      </c>
      <c r="S821" t="s">
        <v>226</v>
      </c>
      <c r="T821" t="s">
        <v>427</v>
      </c>
      <c r="U821" s="21">
        <v>2536751.83</v>
      </c>
      <c r="V821" s="21" t="s">
        <v>368</v>
      </c>
      <c r="W821" t="str">
        <f>VLOOKUP(Table_Query_from_Actuarial___Production[[#This Row],[Kor1]],$AI$3:$AK$105,3,FALSE)</f>
        <v>IBNR</v>
      </c>
      <c r="X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21"/>
      <c r="Z821" t="s">
        <v>43</v>
      </c>
      <c r="AA821" t="s">
        <v>243</v>
      </c>
      <c r="AB821" t="s">
        <v>427</v>
      </c>
      <c r="AC821" s="21">
        <v>7.56</v>
      </c>
      <c r="AD821" s="21" t="s">
        <v>368</v>
      </c>
      <c r="AE821" t="str">
        <f>VLOOKUP(Table_Query_from_Actuarial___Production3[[#This Row],[Kor1]],$AI$3:$AK$105,3,FALSE)</f>
        <v>Charge-offs</v>
      </c>
      <c r="AF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" spans="18:32" x14ac:dyDescent="0.2">
      <c r="R822" t="s">
        <v>37</v>
      </c>
      <c r="S822" t="s">
        <v>264</v>
      </c>
      <c r="T822" t="s">
        <v>9</v>
      </c>
      <c r="U822" s="21">
        <v>12098.34</v>
      </c>
      <c r="V822" s="21" t="s">
        <v>368</v>
      </c>
      <c r="W822" t="str">
        <f>VLOOKUP(Table_Query_from_Actuarial___Production[[#This Row],[Kor1]],$AI$3:$AK$105,3,FALSE)</f>
        <v>Misc. Expense</v>
      </c>
      <c r="X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"/>
      <c r="Z822" t="s">
        <v>10</v>
      </c>
      <c r="AA822" t="s">
        <v>242</v>
      </c>
      <c r="AB822" t="s">
        <v>6</v>
      </c>
      <c r="AC822" s="21">
        <v>23356.2</v>
      </c>
      <c r="AD822" s="21" t="s">
        <v>368</v>
      </c>
      <c r="AE822" t="str">
        <f>VLOOKUP(Table_Query_from_Actuarial___Production3[[#This Row],[Kor1]],$AI$3:$AK$105,3,FALSE)</f>
        <v>Commissions</v>
      </c>
      <c r="AF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" spans="18:32" x14ac:dyDescent="0.2">
      <c r="R823" t="s">
        <v>3</v>
      </c>
      <c r="S823" t="s">
        <v>251</v>
      </c>
      <c r="T823" t="s">
        <v>351</v>
      </c>
      <c r="U823" s="21">
        <v>164094</v>
      </c>
      <c r="V823" s="21" t="s">
        <v>368</v>
      </c>
      <c r="W823" t="str">
        <f>VLOOKUP(Table_Query_from_Actuarial___Production[[#This Row],[Kor1]],$AI$3:$AK$105,3,FALSE)</f>
        <v>Premiums Written</v>
      </c>
      <c r="X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"/>
      <c r="Z823" t="s">
        <v>15</v>
      </c>
      <c r="AA823" t="s">
        <v>264</v>
      </c>
      <c r="AB823" t="s">
        <v>442</v>
      </c>
      <c r="AC823" s="21">
        <v>603993.93999999994</v>
      </c>
      <c r="AD823" s="21" t="s">
        <v>368</v>
      </c>
      <c r="AE823" t="str">
        <f>VLOOKUP(Table_Query_from_Actuarial___Production3[[#This Row],[Kor1]],$AI$3:$AK$105,3,FALSE)</f>
        <v>Unearned Premiums</v>
      </c>
      <c r="AF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" spans="18:32" x14ac:dyDescent="0.2">
      <c r="R824" t="s">
        <v>33</v>
      </c>
      <c r="S824" t="s">
        <v>253</v>
      </c>
      <c r="T824" t="s">
        <v>356</v>
      </c>
      <c r="U824" s="21">
        <v>21100.32</v>
      </c>
      <c r="V824" s="21" t="s">
        <v>368</v>
      </c>
      <c r="W824" t="str">
        <f>VLOOKUP(Table_Query_from_Actuarial___Production[[#This Row],[Kor1]],$AI$3:$AK$105,3,FALSE)</f>
        <v>Misc. Expense</v>
      </c>
      <c r="X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"/>
      <c r="Z824" t="s">
        <v>14</v>
      </c>
      <c r="AA824" t="s">
        <v>257</v>
      </c>
      <c r="AB824" t="s">
        <v>356</v>
      </c>
      <c r="AC824" s="21">
        <v>71362.19</v>
      </c>
      <c r="AD824" s="21" t="s">
        <v>368</v>
      </c>
      <c r="AE824" t="str">
        <f>VLOOKUP(Table_Query_from_Actuarial___Production3[[#This Row],[Kor1]],$AI$3:$AK$105,3,FALSE)</f>
        <v>Claims Expense</v>
      </c>
      <c r="AF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" spans="18:32" x14ac:dyDescent="0.2">
      <c r="R825" t="s">
        <v>439</v>
      </c>
      <c r="S825" t="s">
        <v>241</v>
      </c>
      <c r="T825" t="s">
        <v>433</v>
      </c>
      <c r="U825" s="21">
        <v>25984</v>
      </c>
      <c r="V825" s="21" t="s">
        <v>368</v>
      </c>
      <c r="W825" t="str">
        <f>VLOOKUP(Table_Query_from_Actuarial___Production[[#This Row],[Kor1]],$AI$3:$AK$105,3,FALSE)</f>
        <v>Operating Service Fees</v>
      </c>
      <c r="X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"/>
      <c r="Z825" t="s">
        <v>12</v>
      </c>
      <c r="AA825" t="s">
        <v>254</v>
      </c>
      <c r="AB825" t="s">
        <v>443</v>
      </c>
      <c r="AC825" s="21">
        <v>149970.18</v>
      </c>
      <c r="AD825" s="21" t="s">
        <v>368</v>
      </c>
      <c r="AE825" t="str">
        <f>VLOOKUP(Table_Query_from_Actuarial___Production3[[#This Row],[Kor1]],$AI$3:$AK$105,3,FALSE)</f>
        <v>Premium Tax</v>
      </c>
      <c r="AF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" spans="18:32" x14ac:dyDescent="0.2">
      <c r="R826" t="s">
        <v>12</v>
      </c>
      <c r="S826" t="s">
        <v>267</v>
      </c>
      <c r="T826" t="s">
        <v>7</v>
      </c>
      <c r="U826" s="21">
        <v>8993.2199999999993</v>
      </c>
      <c r="V826" s="21" t="s">
        <v>368</v>
      </c>
      <c r="W826" t="str">
        <f>VLOOKUP(Table_Query_from_Actuarial___Production[[#This Row],[Kor1]],$AI$3:$AK$105,3,FALSE)</f>
        <v>Premium Tax</v>
      </c>
      <c r="X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"/>
      <c r="Z826" t="s">
        <v>41</v>
      </c>
      <c r="AA826" t="s">
        <v>256</v>
      </c>
      <c r="AB826" t="s">
        <v>433</v>
      </c>
      <c r="AC826" s="21">
        <v>400</v>
      </c>
      <c r="AD826" s="21" t="s">
        <v>368</v>
      </c>
      <c r="AE826" t="str">
        <f>VLOOKUP(Table_Query_from_Actuarial___Production3[[#This Row],[Kor1]],$AI$3:$AK$105,3,FALSE)</f>
        <v>Misc. Income</v>
      </c>
      <c r="AF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" spans="18:32" x14ac:dyDescent="0.2">
      <c r="R827" t="s">
        <v>16</v>
      </c>
      <c r="S827" t="s">
        <v>236</v>
      </c>
      <c r="T827" t="s">
        <v>443</v>
      </c>
      <c r="U827" s="21">
        <v>29775.59</v>
      </c>
      <c r="V827" s="21" t="s">
        <v>368</v>
      </c>
      <c r="W827" t="str">
        <f>VLOOKUP(Table_Query_from_Actuarial___Production[[#This Row],[Kor1]],$AI$3:$AK$105,3,FALSE)</f>
        <v>Losses Outstanding</v>
      </c>
      <c r="X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"/>
      <c r="Z827" t="s">
        <v>19</v>
      </c>
      <c r="AA827" t="s">
        <v>235</v>
      </c>
      <c r="AB827" t="s">
        <v>7</v>
      </c>
      <c r="AC827" s="21">
        <v>815.99</v>
      </c>
      <c r="AD827" s="21" t="s">
        <v>368</v>
      </c>
      <c r="AE827" t="str">
        <f>VLOOKUP(Table_Query_from_Actuarial___Production3[[#This Row],[Kor1]],$AI$3:$AK$105,3,FALSE)</f>
        <v>Misc. Expense for Insolvent Companies</v>
      </c>
      <c r="AF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" spans="18:32" x14ac:dyDescent="0.2">
      <c r="R828" t="s">
        <v>11</v>
      </c>
      <c r="S828" t="s">
        <v>242</v>
      </c>
      <c r="T828" t="s">
        <v>441</v>
      </c>
      <c r="U828" s="21">
        <v>842750.25</v>
      </c>
      <c r="V828" s="21" t="s">
        <v>368</v>
      </c>
      <c r="W828" t="str">
        <f>VLOOKUP(Table_Query_from_Actuarial___Production[[#This Row],[Kor1]],$AI$3:$AK$105,3,FALSE)</f>
        <v>Losses Paid</v>
      </c>
      <c r="X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"/>
      <c r="Z828" t="s">
        <v>49</v>
      </c>
      <c r="AA828" t="s">
        <v>246</v>
      </c>
      <c r="AB828" t="s">
        <v>427</v>
      </c>
      <c r="AC828" s="21">
        <v>44337.45</v>
      </c>
      <c r="AD828" s="21" t="s">
        <v>368</v>
      </c>
      <c r="AE828" t="str">
        <f>VLOOKUP(Table_Query_from_Actuarial___Production3[[#This Row],[Kor1]],$AI$3:$AK$105,3,FALSE)</f>
        <v>ALAE Paid</v>
      </c>
      <c r="AF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" spans="18:32" x14ac:dyDescent="0.2">
      <c r="R829" t="s">
        <v>19</v>
      </c>
      <c r="S829" t="s">
        <v>234</v>
      </c>
      <c r="T829" t="s">
        <v>351</v>
      </c>
      <c r="U829" s="21">
        <v>337</v>
      </c>
      <c r="V829" s="21" t="s">
        <v>368</v>
      </c>
      <c r="W829" t="str">
        <f>VLOOKUP(Table_Query_from_Actuarial___Production[[#This Row],[Kor1]],$AI$3:$AK$105,3,FALSE)</f>
        <v>Misc. Expense for Insolvent Companies</v>
      </c>
      <c r="X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"/>
      <c r="Z829" t="s">
        <v>49</v>
      </c>
      <c r="AA829" t="s">
        <v>265</v>
      </c>
      <c r="AB829" t="s">
        <v>351</v>
      </c>
      <c r="AC829" s="21">
        <v>1993.71</v>
      </c>
      <c r="AD829" s="21" t="s">
        <v>368</v>
      </c>
      <c r="AE829" t="str">
        <f>VLOOKUP(Table_Query_from_Actuarial___Production3[[#This Row],[Kor1]],$AI$3:$AK$105,3,FALSE)</f>
        <v>ALAE Paid</v>
      </c>
      <c r="AF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" spans="18:32" x14ac:dyDescent="0.2">
      <c r="R830" t="s">
        <v>39</v>
      </c>
      <c r="S830" t="s">
        <v>257</v>
      </c>
      <c r="T830" t="s">
        <v>7</v>
      </c>
      <c r="U830" s="21">
        <v>725.02</v>
      </c>
      <c r="V830" s="21" t="s">
        <v>368</v>
      </c>
      <c r="W830" t="str">
        <f>VLOOKUP(Table_Query_from_Actuarial___Production[[#This Row],[Kor1]],$AI$3:$AK$105,3,FALSE)</f>
        <v>Misc. Income for Insolvent Companies</v>
      </c>
      <c r="X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"/>
      <c r="Z830" t="s">
        <v>49</v>
      </c>
      <c r="AA830" t="s">
        <v>240</v>
      </c>
      <c r="AB830" t="s">
        <v>6</v>
      </c>
      <c r="AC830" s="21">
        <v>78799</v>
      </c>
      <c r="AD830" s="21" t="s">
        <v>368</v>
      </c>
      <c r="AE830" t="str">
        <f>VLOOKUP(Table_Query_from_Actuarial___Production3[[#This Row],[Kor1]],$AI$3:$AK$105,3,FALSE)</f>
        <v>ALAE Paid</v>
      </c>
      <c r="AF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" spans="18:32" x14ac:dyDescent="0.2">
      <c r="R831" t="s">
        <v>3</v>
      </c>
      <c r="S831" t="s">
        <v>235</v>
      </c>
      <c r="T831" t="s">
        <v>427</v>
      </c>
      <c r="U831" s="21">
        <v>663951</v>
      </c>
      <c r="V831" s="21" t="s">
        <v>368</v>
      </c>
      <c r="W831" t="str">
        <f>VLOOKUP(Table_Query_from_Actuarial___Production[[#This Row],[Kor1]],$AI$3:$AK$105,3,FALSE)</f>
        <v>Premiums Written</v>
      </c>
      <c r="X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"/>
      <c r="Z831" t="s">
        <v>12</v>
      </c>
      <c r="AA831" t="s">
        <v>255</v>
      </c>
      <c r="AB831" t="s">
        <v>356</v>
      </c>
      <c r="AC831" s="21">
        <v>8325.84</v>
      </c>
      <c r="AD831" s="21" t="s">
        <v>368</v>
      </c>
      <c r="AE831" t="str">
        <f>VLOOKUP(Table_Query_from_Actuarial___Production3[[#This Row],[Kor1]],$AI$3:$AK$105,3,FALSE)</f>
        <v>Premium Tax</v>
      </c>
      <c r="AF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" spans="18:32" x14ac:dyDescent="0.2">
      <c r="R832" t="s">
        <v>32</v>
      </c>
      <c r="S832" t="s">
        <v>240</v>
      </c>
      <c r="T832" t="s">
        <v>427</v>
      </c>
      <c r="U832" s="21">
        <v>-94357.63</v>
      </c>
      <c r="V832" s="21" t="s">
        <v>368</v>
      </c>
      <c r="W832" t="str">
        <f>VLOOKUP(Table_Query_from_Actuarial___Production[[#This Row],[Kor1]],$AI$3:$AK$105,3,FALSE)</f>
        <v>Misc. Expense</v>
      </c>
      <c r="X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"/>
      <c r="Z832" t="s">
        <v>13</v>
      </c>
      <c r="AA832" t="s">
        <v>230</v>
      </c>
      <c r="AB832" t="s">
        <v>7</v>
      </c>
      <c r="AC832" s="21">
        <v>3777586.13</v>
      </c>
      <c r="AD832" s="21" t="s">
        <v>368</v>
      </c>
      <c r="AE832" t="str">
        <f>VLOOKUP(Table_Query_from_Actuarial___Production3[[#This Row],[Kor1]],$AI$3:$AK$105,3,FALSE)</f>
        <v>Operating Service Fees</v>
      </c>
      <c r="AF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" spans="18:32" x14ac:dyDescent="0.2">
      <c r="R833" t="s">
        <v>33</v>
      </c>
      <c r="S833" t="s">
        <v>239</v>
      </c>
      <c r="T833" t="s">
        <v>356</v>
      </c>
      <c r="U833" s="21">
        <v>15123.64</v>
      </c>
      <c r="V833" s="21" t="s">
        <v>368</v>
      </c>
      <c r="W833" t="str">
        <f>VLOOKUP(Table_Query_from_Actuarial___Production[[#This Row],[Kor1]],$AI$3:$AK$105,3,FALSE)</f>
        <v>Misc. Expense</v>
      </c>
      <c r="X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"/>
      <c r="Z833" t="s">
        <v>21</v>
      </c>
      <c r="AA833" t="s">
        <v>263</v>
      </c>
      <c r="AB833" t="s">
        <v>7</v>
      </c>
      <c r="AC833" s="21">
        <v>176.01</v>
      </c>
      <c r="AD833" s="21" t="s">
        <v>368</v>
      </c>
      <c r="AE833" t="str">
        <f>VLOOKUP(Table_Query_from_Actuarial___Production3[[#This Row],[Kor1]],$AI$3:$AK$105,3,FALSE)</f>
        <v>Misc. Expense</v>
      </c>
      <c r="AF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" spans="18:32" x14ac:dyDescent="0.2">
      <c r="R834" t="s">
        <v>13</v>
      </c>
      <c r="S834" t="s">
        <v>231</v>
      </c>
      <c r="T834" t="s">
        <v>9</v>
      </c>
      <c r="U834" s="21">
        <v>67471.95</v>
      </c>
      <c r="V834" s="21" t="s">
        <v>368</v>
      </c>
      <c r="W834" t="str">
        <f>VLOOKUP(Table_Query_from_Actuarial___Production[[#This Row],[Kor1]],$AI$3:$AK$105,3,FALSE)</f>
        <v>Operating Service Fees</v>
      </c>
      <c r="X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"/>
      <c r="Z834" t="s">
        <v>13</v>
      </c>
      <c r="AA834" t="s">
        <v>354</v>
      </c>
      <c r="AB834" t="s">
        <v>433</v>
      </c>
      <c r="AC834" s="21">
        <v>240143191.69999999</v>
      </c>
      <c r="AD834" s="21" t="s">
        <v>369</v>
      </c>
      <c r="AE834" t="str">
        <f>VLOOKUP(Table_Query_from_Actuarial___Production3[[#This Row],[Kor1]],$AI$3:$AK$105,3,FALSE)</f>
        <v>Operating Service Fees</v>
      </c>
      <c r="AF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35" spans="18:32" x14ac:dyDescent="0.2">
      <c r="R835" t="s">
        <v>37</v>
      </c>
      <c r="S835" t="s">
        <v>228</v>
      </c>
      <c r="T835" t="s">
        <v>9</v>
      </c>
      <c r="U835" s="21">
        <v>-532.64</v>
      </c>
      <c r="V835" s="21" t="s">
        <v>368</v>
      </c>
      <c r="W835" t="str">
        <f>VLOOKUP(Table_Query_from_Actuarial___Production[[#This Row],[Kor1]],$AI$3:$AK$105,3,FALSE)</f>
        <v>Misc. Expense</v>
      </c>
      <c r="X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"/>
      <c r="Z835" t="s">
        <v>43</v>
      </c>
      <c r="AA835" t="s">
        <v>224</v>
      </c>
      <c r="AB835" t="s">
        <v>9</v>
      </c>
      <c r="AC835" s="21">
        <v>200.28</v>
      </c>
      <c r="AD835" s="21" t="s">
        <v>368</v>
      </c>
      <c r="AE835" t="str">
        <f>VLOOKUP(Table_Query_from_Actuarial___Production3[[#This Row],[Kor1]],$AI$3:$AK$105,3,FALSE)</f>
        <v>Charge-offs</v>
      </c>
      <c r="AF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36" spans="18:32" x14ac:dyDescent="0.2">
      <c r="R836" t="s">
        <v>21</v>
      </c>
      <c r="S836" t="s">
        <v>246</v>
      </c>
      <c r="T836" t="s">
        <v>442</v>
      </c>
      <c r="U836" s="21">
        <v>689.47</v>
      </c>
      <c r="V836" s="21" t="s">
        <v>368</v>
      </c>
      <c r="W836" t="str">
        <f>VLOOKUP(Table_Query_from_Actuarial___Production[[#This Row],[Kor1]],$AI$3:$AK$105,3,FALSE)</f>
        <v>Misc. Expense</v>
      </c>
      <c r="X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"/>
      <c r="Z836" t="s">
        <v>12</v>
      </c>
      <c r="AA836" t="s">
        <v>232</v>
      </c>
      <c r="AB836" t="s">
        <v>433</v>
      </c>
      <c r="AC836" s="21">
        <v>26545.279999999999</v>
      </c>
      <c r="AD836" s="21" t="s">
        <v>368</v>
      </c>
      <c r="AE836" t="str">
        <f>VLOOKUP(Table_Query_from_Actuarial___Production3[[#This Row],[Kor1]],$AI$3:$AK$105,3,FALSE)</f>
        <v>Premium Tax</v>
      </c>
      <c r="AF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" spans="18:32" x14ac:dyDescent="0.2">
      <c r="R837" t="s">
        <v>10</v>
      </c>
      <c r="S837" t="s">
        <v>225</v>
      </c>
      <c r="T837" t="s">
        <v>427</v>
      </c>
      <c r="U837" s="21">
        <v>104244.35</v>
      </c>
      <c r="V837" s="21" t="s">
        <v>368</v>
      </c>
      <c r="W837" t="str">
        <f>VLOOKUP(Table_Query_from_Actuarial___Production[[#This Row],[Kor1]],$AI$3:$AK$105,3,FALSE)</f>
        <v>Commissions</v>
      </c>
      <c r="X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37"/>
      <c r="Z837" t="s">
        <v>39</v>
      </c>
      <c r="AA837" t="s">
        <v>267</v>
      </c>
      <c r="AB837" t="s">
        <v>6</v>
      </c>
      <c r="AC837" s="21">
        <v>3559.99</v>
      </c>
      <c r="AD837" s="21" t="s">
        <v>368</v>
      </c>
      <c r="AE837" t="str">
        <f>VLOOKUP(Table_Query_from_Actuarial___Production3[[#This Row],[Kor1]],$AI$3:$AK$105,3,FALSE)</f>
        <v>Misc. Income for Insolvent Companies</v>
      </c>
      <c r="AF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" spans="18:32" x14ac:dyDescent="0.2">
      <c r="R838" t="s">
        <v>31</v>
      </c>
      <c r="S838" t="s">
        <v>228</v>
      </c>
      <c r="T838" t="s">
        <v>442</v>
      </c>
      <c r="U838" s="21">
        <v>1504.13</v>
      </c>
      <c r="V838" s="21" t="s">
        <v>368</v>
      </c>
      <c r="W838" t="str">
        <f>VLOOKUP(Table_Query_from_Actuarial___Production[[#This Row],[Kor1]],$AI$3:$AK$105,3,FALSE)</f>
        <v>Misc. Expense</v>
      </c>
      <c r="X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"/>
      <c r="Z838" t="s">
        <v>44</v>
      </c>
      <c r="AA838" t="s">
        <v>264</v>
      </c>
      <c r="AB838" t="s">
        <v>356</v>
      </c>
      <c r="AC838" s="21">
        <v>2871.1</v>
      </c>
      <c r="AD838" s="21" t="s">
        <v>368</v>
      </c>
      <c r="AE838" t="str">
        <f>VLOOKUP(Table_Query_from_Actuarial___Production3[[#This Row],[Kor1]],$AI$3:$AK$105,3,FALSE)</f>
        <v>Charge-offs</v>
      </c>
      <c r="AF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" spans="18:32" x14ac:dyDescent="0.2">
      <c r="R839" t="s">
        <v>33</v>
      </c>
      <c r="S839" t="s">
        <v>248</v>
      </c>
      <c r="T839" t="s">
        <v>445</v>
      </c>
      <c r="U839" s="21">
        <v>8631.2800000000007</v>
      </c>
      <c r="V839" s="21" t="s">
        <v>368</v>
      </c>
      <c r="W839" t="str">
        <f>VLOOKUP(Table_Query_from_Actuarial___Production[[#This Row],[Kor1]],$AI$3:$AK$105,3,FALSE)</f>
        <v>Misc. Expense</v>
      </c>
      <c r="X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"/>
      <c r="Z839" t="s">
        <v>16</v>
      </c>
      <c r="AA839" t="s">
        <v>267</v>
      </c>
      <c r="AB839" t="s">
        <v>433</v>
      </c>
      <c r="AC839" s="21">
        <v>166587.32999999999</v>
      </c>
      <c r="AD839" s="21" t="s">
        <v>368</v>
      </c>
      <c r="AE839" t="str">
        <f>VLOOKUP(Table_Query_from_Actuarial___Production3[[#This Row],[Kor1]],$AI$3:$AK$105,3,FALSE)</f>
        <v>Losses Outstanding</v>
      </c>
      <c r="AF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" spans="18:32" x14ac:dyDescent="0.2">
      <c r="R840" t="s">
        <v>12</v>
      </c>
      <c r="S840" t="s">
        <v>243</v>
      </c>
      <c r="T840" t="s">
        <v>445</v>
      </c>
      <c r="U840" s="21">
        <v>2987.86</v>
      </c>
      <c r="V840" s="21" t="s">
        <v>368</v>
      </c>
      <c r="W840" t="str">
        <f>VLOOKUP(Table_Query_from_Actuarial___Production[[#This Row],[Kor1]],$AI$3:$AK$105,3,FALSE)</f>
        <v>Premium Tax</v>
      </c>
      <c r="X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"/>
      <c r="Z840" t="s">
        <v>75</v>
      </c>
      <c r="AA840" t="s">
        <v>231</v>
      </c>
      <c r="AB840" t="s">
        <v>441</v>
      </c>
      <c r="AC840" s="21">
        <v>1575</v>
      </c>
      <c r="AD840" s="21" t="s">
        <v>368</v>
      </c>
      <c r="AE840" t="str">
        <f>VLOOKUP(Table_Query_from_Actuarial___Production3[[#This Row],[Kor1]],$AI$3:$AK$105,3,FALSE)</f>
        <v>EBUB</v>
      </c>
      <c r="AF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" spans="18:32" x14ac:dyDescent="0.2">
      <c r="R841" t="s">
        <v>13</v>
      </c>
      <c r="S841" t="s">
        <v>229</v>
      </c>
      <c r="T841" t="s">
        <v>7</v>
      </c>
      <c r="U841" s="21">
        <v>8564.3700000000008</v>
      </c>
      <c r="V841" s="21" t="s">
        <v>368</v>
      </c>
      <c r="W841" t="str">
        <f>VLOOKUP(Table_Query_from_Actuarial___Production[[#This Row],[Kor1]],$AI$3:$AK$105,3,FALSE)</f>
        <v>Operating Service Fees</v>
      </c>
      <c r="X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"/>
      <c r="Z841" t="s">
        <v>3</v>
      </c>
      <c r="AA841" t="s">
        <v>246</v>
      </c>
      <c r="AB841" t="s">
        <v>433</v>
      </c>
      <c r="AC841" s="21">
        <v>3799046</v>
      </c>
      <c r="AD841" s="21" t="s">
        <v>368</v>
      </c>
      <c r="AE841" t="str">
        <f>VLOOKUP(Table_Query_from_Actuarial___Production3[[#This Row],[Kor1]],$AI$3:$AK$105,3,FALSE)</f>
        <v>Premiums Written</v>
      </c>
      <c r="AF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" spans="18:32" x14ac:dyDescent="0.2">
      <c r="R842" t="s">
        <v>20</v>
      </c>
      <c r="S842" t="s">
        <v>250</v>
      </c>
      <c r="T842" t="s">
        <v>443</v>
      </c>
      <c r="U842" s="21">
        <v>592.25</v>
      </c>
      <c r="V842" s="21" t="s">
        <v>368</v>
      </c>
      <c r="W842" t="str">
        <f>VLOOKUP(Table_Query_from_Actuarial___Production[[#This Row],[Kor1]],$AI$3:$AK$105,3,FALSE)</f>
        <v>Misc. Expense</v>
      </c>
      <c r="X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"/>
      <c r="Z842" t="s">
        <v>17</v>
      </c>
      <c r="AA842" t="s">
        <v>226</v>
      </c>
      <c r="AB842" t="s">
        <v>427</v>
      </c>
      <c r="AC842" s="21">
        <v>2363236.0699999998</v>
      </c>
      <c r="AD842" s="21" t="s">
        <v>368</v>
      </c>
      <c r="AE842" t="str">
        <f>VLOOKUP(Table_Query_from_Actuarial___Production3[[#This Row],[Kor1]],$AI$3:$AK$105,3,FALSE)</f>
        <v>IBNR</v>
      </c>
      <c r="AF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3" spans="18:32" x14ac:dyDescent="0.2">
      <c r="R843" t="s">
        <v>21</v>
      </c>
      <c r="S843" t="s">
        <v>256</v>
      </c>
      <c r="T843" t="s">
        <v>441</v>
      </c>
      <c r="U843" s="21">
        <v>163.5</v>
      </c>
      <c r="V843" s="21" t="s">
        <v>368</v>
      </c>
      <c r="W843" t="str">
        <f>VLOOKUP(Table_Query_from_Actuarial___Production[[#This Row],[Kor1]],$AI$3:$AK$105,3,FALSE)</f>
        <v>Misc. Expense</v>
      </c>
      <c r="X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"/>
      <c r="Z843" t="s">
        <v>37</v>
      </c>
      <c r="AA843" t="s">
        <v>264</v>
      </c>
      <c r="AB843" t="s">
        <v>9</v>
      </c>
      <c r="AC843" s="21">
        <v>12098.34</v>
      </c>
      <c r="AD843" s="21" t="s">
        <v>368</v>
      </c>
      <c r="AE843" t="str">
        <f>VLOOKUP(Table_Query_from_Actuarial___Production3[[#This Row],[Kor1]],$AI$3:$AK$105,3,FALSE)</f>
        <v>Misc. Expense</v>
      </c>
      <c r="AF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" spans="18:32" x14ac:dyDescent="0.2">
      <c r="R844" t="s">
        <v>37</v>
      </c>
      <c r="S844" t="s">
        <v>229</v>
      </c>
      <c r="T844" t="s">
        <v>433</v>
      </c>
      <c r="U844" s="21">
        <v>-787.59</v>
      </c>
      <c r="V844" s="21" t="s">
        <v>368</v>
      </c>
      <c r="W844" t="str">
        <f>VLOOKUP(Table_Query_from_Actuarial___Production[[#This Row],[Kor1]],$AI$3:$AK$105,3,FALSE)</f>
        <v>Misc. Expense</v>
      </c>
      <c r="X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"/>
      <c r="Z844" t="s">
        <v>48</v>
      </c>
      <c r="AA844" t="s">
        <v>242</v>
      </c>
      <c r="AB844" t="s">
        <v>427</v>
      </c>
      <c r="AC844" s="21">
        <v>2100.37</v>
      </c>
      <c r="AD844" s="21" t="s">
        <v>368</v>
      </c>
      <c r="AE844" t="str">
        <f>VLOOKUP(Table_Query_from_Actuarial___Production3[[#This Row],[Kor1]],$AI$3:$AK$105,3,FALSE)</f>
        <v>Anticipated Salvage</v>
      </c>
      <c r="AF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" spans="18:32" x14ac:dyDescent="0.2">
      <c r="R845" t="s">
        <v>31</v>
      </c>
      <c r="S845" t="s">
        <v>252</v>
      </c>
      <c r="T845" t="s">
        <v>7</v>
      </c>
      <c r="U845" s="21">
        <v>389.22</v>
      </c>
      <c r="V845" s="21" t="s">
        <v>368</v>
      </c>
      <c r="W845" t="str">
        <f>VLOOKUP(Table_Query_from_Actuarial___Production[[#This Row],[Kor1]],$AI$3:$AK$105,3,FALSE)</f>
        <v>Misc. Expense</v>
      </c>
      <c r="X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"/>
      <c r="Z845" t="s">
        <v>3</v>
      </c>
      <c r="AA845" t="s">
        <v>251</v>
      </c>
      <c r="AB845" t="s">
        <v>351</v>
      </c>
      <c r="AC845" s="21">
        <v>164094</v>
      </c>
      <c r="AD845" s="21" t="s">
        <v>368</v>
      </c>
      <c r="AE845" t="str">
        <f>VLOOKUP(Table_Query_from_Actuarial___Production3[[#This Row],[Kor1]],$AI$3:$AK$105,3,FALSE)</f>
        <v>Premiums Written</v>
      </c>
      <c r="AF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" spans="18:32" x14ac:dyDescent="0.2">
      <c r="R846" t="s">
        <v>3</v>
      </c>
      <c r="S846" t="s">
        <v>250</v>
      </c>
      <c r="T846" t="s">
        <v>9</v>
      </c>
      <c r="U846" s="21">
        <v>1040287</v>
      </c>
      <c r="V846" s="21" t="s">
        <v>368</v>
      </c>
      <c r="W846" t="str">
        <f>VLOOKUP(Table_Query_from_Actuarial___Production[[#This Row],[Kor1]],$AI$3:$AK$105,3,FALSE)</f>
        <v>Premiums Written</v>
      </c>
      <c r="X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"/>
      <c r="Z846" t="s">
        <v>33</v>
      </c>
      <c r="AA846" t="s">
        <v>253</v>
      </c>
      <c r="AB846" t="s">
        <v>356</v>
      </c>
      <c r="AC846" s="21">
        <v>21100.32</v>
      </c>
      <c r="AD846" s="21" t="s">
        <v>368</v>
      </c>
      <c r="AE846" t="str">
        <f>VLOOKUP(Table_Query_from_Actuarial___Production3[[#This Row],[Kor1]],$AI$3:$AK$105,3,FALSE)</f>
        <v>Misc. Expense</v>
      </c>
      <c r="AF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" spans="18:32" x14ac:dyDescent="0.2">
      <c r="R847" t="s">
        <v>37</v>
      </c>
      <c r="S847" t="s">
        <v>265</v>
      </c>
      <c r="T847" t="s">
        <v>351</v>
      </c>
      <c r="U847" s="21">
        <v>615.09</v>
      </c>
      <c r="V847" s="21" t="s">
        <v>368</v>
      </c>
      <c r="W847" t="str">
        <f>VLOOKUP(Table_Query_from_Actuarial___Production[[#This Row],[Kor1]],$AI$3:$AK$105,3,FALSE)</f>
        <v>Misc. Expense</v>
      </c>
      <c r="X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"/>
      <c r="Z847" t="s">
        <v>439</v>
      </c>
      <c r="AA847" t="s">
        <v>241</v>
      </c>
      <c r="AB847" t="s">
        <v>433</v>
      </c>
      <c r="AC847" s="21">
        <v>25984</v>
      </c>
      <c r="AD847" s="21" t="s">
        <v>368</v>
      </c>
      <c r="AE847" t="str">
        <f>VLOOKUP(Table_Query_from_Actuarial___Production3[[#This Row],[Kor1]],$AI$3:$AK$105,3,FALSE)</f>
        <v>Operating Service Fees</v>
      </c>
      <c r="AF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" spans="18:32" x14ac:dyDescent="0.2">
      <c r="R848" t="s">
        <v>39</v>
      </c>
      <c r="S848" t="s">
        <v>234</v>
      </c>
      <c r="T848" t="s">
        <v>351</v>
      </c>
      <c r="U848" s="21">
        <v>237</v>
      </c>
      <c r="V848" s="21" t="s">
        <v>368</v>
      </c>
      <c r="W848" t="str">
        <f>VLOOKUP(Table_Query_from_Actuarial___Production[[#This Row],[Kor1]],$AI$3:$AK$105,3,FALSE)</f>
        <v>Misc. Income for Insolvent Companies</v>
      </c>
      <c r="X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"/>
      <c r="Z848" t="s">
        <v>12</v>
      </c>
      <c r="AA848" t="s">
        <v>267</v>
      </c>
      <c r="AB848" t="s">
        <v>7</v>
      </c>
      <c r="AC848" s="21">
        <v>8993.2199999999993</v>
      </c>
      <c r="AD848" s="21" t="s">
        <v>368</v>
      </c>
      <c r="AE848" t="str">
        <f>VLOOKUP(Table_Query_from_Actuarial___Production3[[#This Row],[Kor1]],$AI$3:$AK$105,3,FALSE)</f>
        <v>Premium Tax</v>
      </c>
      <c r="AF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" spans="18:32" x14ac:dyDescent="0.2">
      <c r="R849" t="s">
        <v>36</v>
      </c>
      <c r="S849" t="s">
        <v>235</v>
      </c>
      <c r="T849" t="s">
        <v>443</v>
      </c>
      <c r="U849" s="21">
        <v>30</v>
      </c>
      <c r="V849" s="21" t="s">
        <v>368</v>
      </c>
      <c r="W849" t="str">
        <f>VLOOKUP(Table_Query_from_Actuarial___Production[[#This Row],[Kor1]],$AI$3:$AK$105,3,FALSE)</f>
        <v>Misc. Expense</v>
      </c>
      <c r="X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"/>
      <c r="Z849" t="s">
        <v>11</v>
      </c>
      <c r="AA849" t="s">
        <v>242</v>
      </c>
      <c r="AB849" t="s">
        <v>441</v>
      </c>
      <c r="AC849" s="21">
        <v>842750.25</v>
      </c>
      <c r="AD849" s="21" t="s">
        <v>368</v>
      </c>
      <c r="AE849" t="str">
        <f>VLOOKUP(Table_Query_from_Actuarial___Production3[[#This Row],[Kor1]],$AI$3:$AK$105,3,FALSE)</f>
        <v>Losses Paid</v>
      </c>
      <c r="AF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" spans="18:32" x14ac:dyDescent="0.2">
      <c r="R850" t="s">
        <v>19</v>
      </c>
      <c r="S850" t="s">
        <v>244</v>
      </c>
      <c r="T850" t="s">
        <v>427</v>
      </c>
      <c r="U850" s="21">
        <v>16497</v>
      </c>
      <c r="V850" s="21" t="s">
        <v>368</v>
      </c>
      <c r="W850" t="str">
        <f>VLOOKUP(Table_Query_from_Actuarial___Production[[#This Row],[Kor1]],$AI$3:$AK$105,3,FALSE)</f>
        <v>Misc. Expense for Insolvent Companies</v>
      </c>
      <c r="X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"/>
      <c r="Z850" t="s">
        <v>19</v>
      </c>
      <c r="AA850" t="s">
        <v>234</v>
      </c>
      <c r="AB850" t="s">
        <v>351</v>
      </c>
      <c r="AC850" s="21">
        <v>337</v>
      </c>
      <c r="AD850" s="21" t="s">
        <v>368</v>
      </c>
      <c r="AE850" t="str">
        <f>VLOOKUP(Table_Query_from_Actuarial___Production3[[#This Row],[Kor1]],$AI$3:$AK$105,3,FALSE)</f>
        <v>Misc. Expense for Insolvent Companies</v>
      </c>
      <c r="AF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" spans="18:32" x14ac:dyDescent="0.2">
      <c r="R851" t="s">
        <v>13</v>
      </c>
      <c r="S851" t="s">
        <v>236</v>
      </c>
      <c r="T851" t="s">
        <v>356</v>
      </c>
      <c r="U851" s="21">
        <v>6801.71</v>
      </c>
      <c r="V851" s="21" t="s">
        <v>368</v>
      </c>
      <c r="W851" t="str">
        <f>VLOOKUP(Table_Query_from_Actuarial___Production[[#This Row],[Kor1]],$AI$3:$AK$105,3,FALSE)</f>
        <v>Operating Service Fees</v>
      </c>
      <c r="X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"/>
      <c r="Z851" t="s">
        <v>39</v>
      </c>
      <c r="AA851" t="s">
        <v>257</v>
      </c>
      <c r="AB851" t="s">
        <v>7</v>
      </c>
      <c r="AC851" s="21">
        <v>725.02</v>
      </c>
      <c r="AD851" s="21" t="s">
        <v>368</v>
      </c>
      <c r="AE851" t="str">
        <f>VLOOKUP(Table_Query_from_Actuarial___Production3[[#This Row],[Kor1]],$AI$3:$AK$105,3,FALSE)</f>
        <v>Misc. Income for Insolvent Companies</v>
      </c>
      <c r="AF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" spans="18:32" x14ac:dyDescent="0.2">
      <c r="R852" t="s">
        <v>49</v>
      </c>
      <c r="S852" t="s">
        <v>266</v>
      </c>
      <c r="T852" t="s">
        <v>441</v>
      </c>
      <c r="U852" s="21">
        <v>3330.95</v>
      </c>
      <c r="V852" s="21" t="s">
        <v>368</v>
      </c>
      <c r="W852" t="str">
        <f>VLOOKUP(Table_Query_from_Actuarial___Production[[#This Row],[Kor1]],$AI$3:$AK$105,3,FALSE)</f>
        <v>ALAE Paid</v>
      </c>
      <c r="X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"/>
      <c r="Z852" t="s">
        <v>3</v>
      </c>
      <c r="AA852" t="s">
        <v>235</v>
      </c>
      <c r="AB852" t="s">
        <v>427</v>
      </c>
      <c r="AC852" s="21">
        <v>663951</v>
      </c>
      <c r="AD852" s="21" t="s">
        <v>368</v>
      </c>
      <c r="AE852" t="str">
        <f>VLOOKUP(Table_Query_from_Actuarial___Production3[[#This Row],[Kor1]],$AI$3:$AK$105,3,FALSE)</f>
        <v>Premiums Written</v>
      </c>
      <c r="AF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" spans="18:32" x14ac:dyDescent="0.2">
      <c r="R853" t="s">
        <v>12</v>
      </c>
      <c r="S853" t="s">
        <v>229</v>
      </c>
      <c r="T853" t="s">
        <v>427</v>
      </c>
      <c r="U853" s="21">
        <v>3605.42</v>
      </c>
      <c r="V853" s="21" t="s">
        <v>368</v>
      </c>
      <c r="W853" t="str">
        <f>VLOOKUP(Table_Query_from_Actuarial___Production[[#This Row],[Kor1]],$AI$3:$AK$105,3,FALSE)</f>
        <v>Premium Tax</v>
      </c>
      <c r="X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"/>
      <c r="Z853" t="s">
        <v>32</v>
      </c>
      <c r="AA853" t="s">
        <v>240</v>
      </c>
      <c r="AB853" t="s">
        <v>427</v>
      </c>
      <c r="AC853" s="21">
        <v>-94357.63</v>
      </c>
      <c r="AD853" s="21" t="s">
        <v>368</v>
      </c>
      <c r="AE853" t="str">
        <f>VLOOKUP(Table_Query_from_Actuarial___Production3[[#This Row],[Kor1]],$AI$3:$AK$105,3,FALSE)</f>
        <v>Misc. Expense</v>
      </c>
      <c r="AF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" spans="18:32" x14ac:dyDescent="0.2">
      <c r="R854" t="s">
        <v>19</v>
      </c>
      <c r="S854" t="s">
        <v>232</v>
      </c>
      <c r="T854" t="s">
        <v>6</v>
      </c>
      <c r="U854" s="21">
        <v>480.02</v>
      </c>
      <c r="V854" s="21" t="s">
        <v>368</v>
      </c>
      <c r="W854" t="str">
        <f>VLOOKUP(Table_Query_from_Actuarial___Production[[#This Row],[Kor1]],$AI$3:$AK$105,3,FALSE)</f>
        <v>Misc. Expense for Insolvent Companies</v>
      </c>
      <c r="X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"/>
      <c r="Z854" t="s">
        <v>33</v>
      </c>
      <c r="AA854" t="s">
        <v>239</v>
      </c>
      <c r="AB854" t="s">
        <v>356</v>
      </c>
      <c r="AC854" s="21">
        <v>15123.64</v>
      </c>
      <c r="AD854" s="21" t="s">
        <v>368</v>
      </c>
      <c r="AE854" t="str">
        <f>VLOOKUP(Table_Query_from_Actuarial___Production3[[#This Row],[Kor1]],$AI$3:$AK$105,3,FALSE)</f>
        <v>Misc. Expense</v>
      </c>
      <c r="AF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" spans="18:32" x14ac:dyDescent="0.2">
      <c r="R855" t="s">
        <v>19</v>
      </c>
      <c r="S855" t="s">
        <v>238</v>
      </c>
      <c r="T855" t="s">
        <v>351</v>
      </c>
      <c r="U855" s="21">
        <v>629</v>
      </c>
      <c r="V855" s="21" t="s">
        <v>368</v>
      </c>
      <c r="W855" t="str">
        <f>VLOOKUP(Table_Query_from_Actuarial___Production[[#This Row],[Kor1]],$AI$3:$AK$105,3,FALSE)</f>
        <v>Misc. Expense for Insolvent Companies</v>
      </c>
      <c r="X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"/>
      <c r="Z855" t="s">
        <v>13</v>
      </c>
      <c r="AA855" t="s">
        <v>231</v>
      </c>
      <c r="AB855" t="s">
        <v>9</v>
      </c>
      <c r="AC855" s="21">
        <v>67471.95</v>
      </c>
      <c r="AD855" s="21" t="s">
        <v>368</v>
      </c>
      <c r="AE855" t="str">
        <f>VLOOKUP(Table_Query_from_Actuarial___Production3[[#This Row],[Kor1]],$AI$3:$AK$105,3,FALSE)</f>
        <v>Operating Service Fees</v>
      </c>
      <c r="AF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" spans="18:32" x14ac:dyDescent="0.2">
      <c r="R856" t="s">
        <v>47</v>
      </c>
      <c r="S856" t="s">
        <v>259</v>
      </c>
      <c r="T856" t="s">
        <v>9</v>
      </c>
      <c r="U856" s="21">
        <v>128.34</v>
      </c>
      <c r="V856" s="21" t="s">
        <v>368</v>
      </c>
      <c r="W856" t="str">
        <f>VLOOKUP(Table_Query_from_Actuarial___Production[[#This Row],[Kor1]],$AI$3:$AK$105,3,FALSE)</f>
        <v>Investment Income</v>
      </c>
      <c r="X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"/>
      <c r="Z856" t="s">
        <v>37</v>
      </c>
      <c r="AA856" t="s">
        <v>228</v>
      </c>
      <c r="AB856" t="s">
        <v>9</v>
      </c>
      <c r="AC856" s="21">
        <v>-532.64</v>
      </c>
      <c r="AD856" s="21" t="s">
        <v>368</v>
      </c>
      <c r="AE856" t="str">
        <f>VLOOKUP(Table_Query_from_Actuarial___Production3[[#This Row],[Kor1]],$AI$3:$AK$105,3,FALSE)</f>
        <v>Misc. Expense</v>
      </c>
      <c r="AF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" spans="18:32" x14ac:dyDescent="0.2">
      <c r="R857" t="s">
        <v>31</v>
      </c>
      <c r="S857" t="s">
        <v>251</v>
      </c>
      <c r="T857" t="s">
        <v>443</v>
      </c>
      <c r="U857" s="21">
        <v>1256.33</v>
      </c>
      <c r="V857" s="21" t="s">
        <v>368</v>
      </c>
      <c r="W857" t="str">
        <f>VLOOKUP(Table_Query_from_Actuarial___Production[[#This Row],[Kor1]],$AI$3:$AK$105,3,FALSE)</f>
        <v>Misc. Expense</v>
      </c>
      <c r="X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"/>
      <c r="Z857" t="s">
        <v>3</v>
      </c>
      <c r="AA857" t="s">
        <v>246</v>
      </c>
      <c r="AB857" t="s">
        <v>5</v>
      </c>
      <c r="AC857" s="21">
        <v>77815</v>
      </c>
      <c r="AD857" s="21" t="s">
        <v>368</v>
      </c>
      <c r="AE857" t="str">
        <f>VLOOKUP(Table_Query_from_Actuarial___Production3[[#This Row],[Kor1]],$AI$3:$AK$105,3,FALSE)</f>
        <v>Premiums Written</v>
      </c>
      <c r="AF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" spans="18:32" x14ac:dyDescent="0.2">
      <c r="R858" t="s">
        <v>17</v>
      </c>
      <c r="S858" t="s">
        <v>354</v>
      </c>
      <c r="T858" t="s">
        <v>441</v>
      </c>
      <c r="U858" s="21">
        <v>14912300.93</v>
      </c>
      <c r="V858" s="21" t="s">
        <v>368</v>
      </c>
      <c r="W858" t="str">
        <f>VLOOKUP(Table_Query_from_Actuarial___Production[[#This Row],[Kor1]],$AI$3:$AK$105,3,FALSE)</f>
        <v>IBNR</v>
      </c>
      <c r="X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58"/>
      <c r="Z858" t="s">
        <v>21</v>
      </c>
      <c r="AA858" t="s">
        <v>246</v>
      </c>
      <c r="AB858" t="s">
        <v>442</v>
      </c>
      <c r="AC858" s="21">
        <v>689.47</v>
      </c>
      <c r="AD858" s="21" t="s">
        <v>368</v>
      </c>
      <c r="AE858" t="str">
        <f>VLOOKUP(Table_Query_from_Actuarial___Production3[[#This Row],[Kor1]],$AI$3:$AK$105,3,FALSE)</f>
        <v>Misc. Expense</v>
      </c>
      <c r="AF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" spans="18:32" x14ac:dyDescent="0.2">
      <c r="R859" t="s">
        <v>49</v>
      </c>
      <c r="S859" t="s">
        <v>232</v>
      </c>
      <c r="T859" t="s">
        <v>356</v>
      </c>
      <c r="U859" s="21">
        <v>20515.96</v>
      </c>
      <c r="V859" s="21" t="s">
        <v>368</v>
      </c>
      <c r="W859" t="str">
        <f>VLOOKUP(Table_Query_from_Actuarial___Production[[#This Row],[Kor1]],$AI$3:$AK$105,3,FALSE)</f>
        <v>ALAE Paid</v>
      </c>
      <c r="X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"/>
      <c r="Z859" t="s">
        <v>10</v>
      </c>
      <c r="AA859" t="s">
        <v>225</v>
      </c>
      <c r="AB859" t="s">
        <v>427</v>
      </c>
      <c r="AC859" s="21">
        <v>104244.35</v>
      </c>
      <c r="AD859" s="21" t="s">
        <v>368</v>
      </c>
      <c r="AE859" t="str">
        <f>VLOOKUP(Table_Query_from_Actuarial___Production3[[#This Row],[Kor1]],$AI$3:$AK$105,3,FALSE)</f>
        <v>Commissions</v>
      </c>
      <c r="AF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60" spans="18:32" x14ac:dyDescent="0.2">
      <c r="R860" t="s">
        <v>21</v>
      </c>
      <c r="S860" t="s">
        <v>232</v>
      </c>
      <c r="T860" t="s">
        <v>356</v>
      </c>
      <c r="U860" s="21">
        <v>822.02</v>
      </c>
      <c r="V860" s="21" t="s">
        <v>368</v>
      </c>
      <c r="W860" t="str">
        <f>VLOOKUP(Table_Query_from_Actuarial___Production[[#This Row],[Kor1]],$AI$3:$AK$105,3,FALSE)</f>
        <v>Misc. Expense</v>
      </c>
      <c r="X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"/>
      <c r="Z860" t="s">
        <v>31</v>
      </c>
      <c r="AA860" t="s">
        <v>228</v>
      </c>
      <c r="AB860" t="s">
        <v>442</v>
      </c>
      <c r="AC860" s="21">
        <v>1504.13</v>
      </c>
      <c r="AD860" s="21" t="s">
        <v>368</v>
      </c>
      <c r="AE860" t="str">
        <f>VLOOKUP(Table_Query_from_Actuarial___Production3[[#This Row],[Kor1]],$AI$3:$AK$105,3,FALSE)</f>
        <v>Misc. Expense</v>
      </c>
      <c r="AF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" spans="18:32" x14ac:dyDescent="0.2">
      <c r="R861" t="s">
        <v>12</v>
      </c>
      <c r="S861" t="s">
        <v>267</v>
      </c>
      <c r="T861" t="s">
        <v>427</v>
      </c>
      <c r="U861" s="21">
        <v>13864.9</v>
      </c>
      <c r="V861" s="21" t="s">
        <v>368</v>
      </c>
      <c r="W861" t="str">
        <f>VLOOKUP(Table_Query_from_Actuarial___Production[[#This Row],[Kor1]],$AI$3:$AK$105,3,FALSE)</f>
        <v>Premium Tax</v>
      </c>
      <c r="X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"/>
      <c r="Z861" t="s">
        <v>44</v>
      </c>
      <c r="AA861" t="s">
        <v>228</v>
      </c>
      <c r="AB861" t="s">
        <v>5</v>
      </c>
      <c r="AC861" s="21">
        <v>62</v>
      </c>
      <c r="AD861" s="21" t="s">
        <v>368</v>
      </c>
      <c r="AE861" t="str">
        <f>VLOOKUP(Table_Query_from_Actuarial___Production3[[#This Row],[Kor1]],$AI$3:$AK$105,3,FALSE)</f>
        <v>Charge-offs</v>
      </c>
      <c r="AF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" spans="18:32" x14ac:dyDescent="0.2">
      <c r="R862" t="s">
        <v>10</v>
      </c>
      <c r="S862" t="s">
        <v>251</v>
      </c>
      <c r="T862" t="s">
        <v>441</v>
      </c>
      <c r="U862" s="21">
        <v>43237.05</v>
      </c>
      <c r="V862" s="21" t="s">
        <v>368</v>
      </c>
      <c r="W862" t="str">
        <f>VLOOKUP(Table_Query_from_Actuarial___Production[[#This Row],[Kor1]],$AI$3:$AK$105,3,FALSE)</f>
        <v>Commissions</v>
      </c>
      <c r="X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"/>
      <c r="Z862" t="s">
        <v>13</v>
      </c>
      <c r="AA862" t="s">
        <v>229</v>
      </c>
      <c r="AB862" t="s">
        <v>7</v>
      </c>
      <c r="AC862" s="21">
        <v>8564.3700000000008</v>
      </c>
      <c r="AD862" s="21" t="s">
        <v>368</v>
      </c>
      <c r="AE862" t="str">
        <f>VLOOKUP(Table_Query_from_Actuarial___Production3[[#This Row],[Kor1]],$AI$3:$AK$105,3,FALSE)</f>
        <v>Operating Service Fees</v>
      </c>
      <c r="AF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" spans="18:32" x14ac:dyDescent="0.2">
      <c r="R863" t="s">
        <v>33</v>
      </c>
      <c r="S863" t="s">
        <v>4</v>
      </c>
      <c r="T863" t="s">
        <v>8</v>
      </c>
      <c r="U863" s="21">
        <v>133008.25</v>
      </c>
      <c r="V863" s="21" t="s">
        <v>368</v>
      </c>
      <c r="W863" t="str">
        <f>VLOOKUP(Table_Query_from_Actuarial___Production[[#This Row],[Kor1]],$AI$3:$AK$105,3,FALSE)</f>
        <v>Misc. Expense</v>
      </c>
      <c r="X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"/>
      <c r="Z863" t="s">
        <v>21</v>
      </c>
      <c r="AA863" t="s">
        <v>256</v>
      </c>
      <c r="AB863" t="s">
        <v>441</v>
      </c>
      <c r="AC863" s="21">
        <v>163.5</v>
      </c>
      <c r="AD863" s="21" t="s">
        <v>368</v>
      </c>
      <c r="AE863" t="str">
        <f>VLOOKUP(Table_Query_from_Actuarial___Production3[[#This Row],[Kor1]],$AI$3:$AK$105,3,FALSE)</f>
        <v>Misc. Expense</v>
      </c>
      <c r="AF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" spans="18:32" x14ac:dyDescent="0.2">
      <c r="R864" t="s">
        <v>47</v>
      </c>
      <c r="S864" t="s">
        <v>267</v>
      </c>
      <c r="T864" t="s">
        <v>443</v>
      </c>
      <c r="U864" s="21">
        <v>30377.87</v>
      </c>
      <c r="V864" s="21" t="s">
        <v>368</v>
      </c>
      <c r="W864" t="str">
        <f>VLOOKUP(Table_Query_from_Actuarial___Production[[#This Row],[Kor1]],$AI$3:$AK$105,3,FALSE)</f>
        <v>Investment Income</v>
      </c>
      <c r="X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"/>
      <c r="Z864" t="s">
        <v>37</v>
      </c>
      <c r="AA864" t="s">
        <v>229</v>
      </c>
      <c r="AB864" t="s">
        <v>433</v>
      </c>
      <c r="AC864" s="21">
        <v>-787.59</v>
      </c>
      <c r="AD864" s="21" t="s">
        <v>368</v>
      </c>
      <c r="AE864" t="str">
        <f>VLOOKUP(Table_Query_from_Actuarial___Production3[[#This Row],[Kor1]],$AI$3:$AK$105,3,FALSE)</f>
        <v>Misc. Expense</v>
      </c>
      <c r="AF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" spans="18:32" x14ac:dyDescent="0.2">
      <c r="R865" t="s">
        <v>11</v>
      </c>
      <c r="S865" t="s">
        <v>254</v>
      </c>
      <c r="T865" t="s">
        <v>6</v>
      </c>
      <c r="U865" s="21">
        <v>86053.16</v>
      </c>
      <c r="V865" s="21" t="s">
        <v>368</v>
      </c>
      <c r="W865" t="str">
        <f>VLOOKUP(Table_Query_from_Actuarial___Production[[#This Row],[Kor1]],$AI$3:$AK$105,3,FALSE)</f>
        <v>Losses Paid</v>
      </c>
      <c r="X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"/>
      <c r="Z865" t="s">
        <v>15</v>
      </c>
      <c r="AA865" t="s">
        <v>252</v>
      </c>
      <c r="AB865" t="s">
        <v>442</v>
      </c>
      <c r="AC865" s="21">
        <v>2942964.99</v>
      </c>
      <c r="AD865" s="21" t="s">
        <v>368</v>
      </c>
      <c r="AE865" t="str">
        <f>VLOOKUP(Table_Query_from_Actuarial___Production3[[#This Row],[Kor1]],$AI$3:$AK$105,3,FALSE)</f>
        <v>Unearned Premiums</v>
      </c>
      <c r="AF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" spans="18:32" x14ac:dyDescent="0.2">
      <c r="R866" t="s">
        <v>44</v>
      </c>
      <c r="S866" t="s">
        <v>267</v>
      </c>
      <c r="T866" t="s">
        <v>433</v>
      </c>
      <c r="U866" s="21">
        <v>1302.1199999999999</v>
      </c>
      <c r="V866" s="21" t="s">
        <v>368</v>
      </c>
      <c r="W866" t="str">
        <f>VLOOKUP(Table_Query_from_Actuarial___Production[[#This Row],[Kor1]],$AI$3:$AK$105,3,FALSE)</f>
        <v>Charge-offs</v>
      </c>
      <c r="X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"/>
      <c r="Z866" t="s">
        <v>31</v>
      </c>
      <c r="AA866" t="s">
        <v>252</v>
      </c>
      <c r="AB866" t="s">
        <v>7</v>
      </c>
      <c r="AC866" s="21">
        <v>389.22</v>
      </c>
      <c r="AD866" s="21" t="s">
        <v>368</v>
      </c>
      <c r="AE866" t="str">
        <f>VLOOKUP(Table_Query_from_Actuarial___Production3[[#This Row],[Kor1]],$AI$3:$AK$105,3,FALSE)</f>
        <v>Misc. Expense</v>
      </c>
      <c r="AF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" spans="18:32" x14ac:dyDescent="0.2">
      <c r="R867" t="s">
        <v>3</v>
      </c>
      <c r="S867" t="s">
        <v>224</v>
      </c>
      <c r="T867" t="s">
        <v>445</v>
      </c>
      <c r="U867" s="21">
        <v>13209</v>
      </c>
      <c r="V867" s="21" t="s">
        <v>425</v>
      </c>
      <c r="W867" t="str">
        <f>VLOOKUP(Table_Query_from_Actuarial___Production[[#This Row],[Kor1]],$AI$3:$AK$105,3,FALSE)</f>
        <v>Premiums Written</v>
      </c>
      <c r="X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67"/>
      <c r="Z867" t="s">
        <v>3</v>
      </c>
      <c r="AA867" t="s">
        <v>250</v>
      </c>
      <c r="AB867" t="s">
        <v>9</v>
      </c>
      <c r="AC867" s="21">
        <v>1040287</v>
      </c>
      <c r="AD867" s="21" t="s">
        <v>368</v>
      </c>
      <c r="AE867" t="str">
        <f>VLOOKUP(Table_Query_from_Actuarial___Production3[[#This Row],[Kor1]],$AI$3:$AK$105,3,FALSE)</f>
        <v>Premiums Written</v>
      </c>
      <c r="AF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" spans="18:32" x14ac:dyDescent="0.2">
      <c r="R868" t="s">
        <v>14</v>
      </c>
      <c r="S868" t="s">
        <v>225</v>
      </c>
      <c r="T868" t="s">
        <v>356</v>
      </c>
      <c r="U868" s="21">
        <v>25831</v>
      </c>
      <c r="V868" s="21" t="s">
        <v>368</v>
      </c>
      <c r="W868" t="str">
        <f>VLOOKUP(Table_Query_from_Actuarial___Production[[#This Row],[Kor1]],$AI$3:$AK$105,3,FALSE)</f>
        <v>Claims Expense</v>
      </c>
      <c r="X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68"/>
      <c r="Z868" t="s">
        <v>37</v>
      </c>
      <c r="AA868" t="s">
        <v>265</v>
      </c>
      <c r="AB868" t="s">
        <v>351</v>
      </c>
      <c r="AC868" s="21">
        <v>615.09</v>
      </c>
      <c r="AD868" s="21" t="s">
        <v>368</v>
      </c>
      <c r="AE868" t="str">
        <f>VLOOKUP(Table_Query_from_Actuarial___Production3[[#This Row],[Kor1]],$AI$3:$AK$105,3,FALSE)</f>
        <v>Misc. Expense</v>
      </c>
      <c r="AF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" spans="18:32" x14ac:dyDescent="0.2">
      <c r="R869" t="s">
        <v>10</v>
      </c>
      <c r="S869" t="s">
        <v>246</v>
      </c>
      <c r="T869" t="s">
        <v>351</v>
      </c>
      <c r="U869" s="21">
        <v>49045.85</v>
      </c>
      <c r="V869" s="21" t="s">
        <v>368</v>
      </c>
      <c r="W869" t="str">
        <f>VLOOKUP(Table_Query_from_Actuarial___Production[[#This Row],[Kor1]],$AI$3:$AK$105,3,FALSE)</f>
        <v>Commissions</v>
      </c>
      <c r="X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"/>
      <c r="Z869" t="s">
        <v>39</v>
      </c>
      <c r="AA869" t="s">
        <v>234</v>
      </c>
      <c r="AB869" t="s">
        <v>351</v>
      </c>
      <c r="AC869" s="21">
        <v>237</v>
      </c>
      <c r="AD869" s="21" t="s">
        <v>368</v>
      </c>
      <c r="AE869" t="str">
        <f>VLOOKUP(Table_Query_from_Actuarial___Production3[[#This Row],[Kor1]],$AI$3:$AK$105,3,FALSE)</f>
        <v>Misc. Income for Insolvent Companies</v>
      </c>
      <c r="AF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" spans="18:32" x14ac:dyDescent="0.2">
      <c r="R870" t="s">
        <v>37</v>
      </c>
      <c r="S870" t="s">
        <v>264</v>
      </c>
      <c r="T870" t="s">
        <v>442</v>
      </c>
      <c r="U870" s="21">
        <v>6904.53</v>
      </c>
      <c r="V870" s="21" t="s">
        <v>368</v>
      </c>
      <c r="W870" t="str">
        <f>VLOOKUP(Table_Query_from_Actuarial___Production[[#This Row],[Kor1]],$AI$3:$AK$105,3,FALSE)</f>
        <v>Misc. Expense</v>
      </c>
      <c r="X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"/>
      <c r="Z870" t="s">
        <v>36</v>
      </c>
      <c r="AA870" t="s">
        <v>235</v>
      </c>
      <c r="AB870" t="s">
        <v>443</v>
      </c>
      <c r="AC870" s="21">
        <v>30</v>
      </c>
      <c r="AD870" s="21" t="s">
        <v>368</v>
      </c>
      <c r="AE870" t="str">
        <f>VLOOKUP(Table_Query_from_Actuarial___Production3[[#This Row],[Kor1]],$AI$3:$AK$105,3,FALSE)</f>
        <v>Misc. Expense</v>
      </c>
      <c r="AF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" spans="18:32" x14ac:dyDescent="0.2">
      <c r="R871" t="s">
        <v>44</v>
      </c>
      <c r="S871" t="s">
        <v>267</v>
      </c>
      <c r="T871" t="s">
        <v>7</v>
      </c>
      <c r="U871" s="21">
        <v>4.66</v>
      </c>
      <c r="V871" s="21" t="s">
        <v>368</v>
      </c>
      <c r="W871" t="str">
        <f>VLOOKUP(Table_Query_from_Actuarial___Production[[#This Row],[Kor1]],$AI$3:$AK$105,3,FALSE)</f>
        <v>Charge-offs</v>
      </c>
      <c r="X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"/>
      <c r="Z871" t="s">
        <v>19</v>
      </c>
      <c r="AA871" t="s">
        <v>244</v>
      </c>
      <c r="AB871" t="s">
        <v>427</v>
      </c>
      <c r="AC871" s="21">
        <v>16497</v>
      </c>
      <c r="AD871" s="21" t="s">
        <v>368</v>
      </c>
      <c r="AE871" t="str">
        <f>VLOOKUP(Table_Query_from_Actuarial___Production3[[#This Row],[Kor1]],$AI$3:$AK$105,3,FALSE)</f>
        <v>Misc. Expense for Insolvent Companies</v>
      </c>
      <c r="AF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" spans="18:32" x14ac:dyDescent="0.2">
      <c r="R872" t="s">
        <v>41</v>
      </c>
      <c r="S872" t="s">
        <v>263</v>
      </c>
      <c r="T872" t="s">
        <v>8</v>
      </c>
      <c r="U872" s="21">
        <v>550</v>
      </c>
      <c r="V872" s="21" t="s">
        <v>368</v>
      </c>
      <c r="W872" t="str">
        <f>VLOOKUP(Table_Query_from_Actuarial___Production[[#This Row],[Kor1]],$AI$3:$AK$105,3,FALSE)</f>
        <v>Misc. Income</v>
      </c>
      <c r="X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"/>
      <c r="Z872" t="s">
        <v>13</v>
      </c>
      <c r="AA872" t="s">
        <v>236</v>
      </c>
      <c r="AB872" t="s">
        <v>356</v>
      </c>
      <c r="AC872" s="21">
        <v>6801.71</v>
      </c>
      <c r="AD872" s="21" t="s">
        <v>368</v>
      </c>
      <c r="AE872" t="str">
        <f>VLOOKUP(Table_Query_from_Actuarial___Production3[[#This Row],[Kor1]],$AI$3:$AK$105,3,FALSE)</f>
        <v>Operating Service Fees</v>
      </c>
      <c r="AF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" spans="18:32" x14ac:dyDescent="0.2">
      <c r="R873" t="s">
        <v>40</v>
      </c>
      <c r="S873" t="s">
        <v>4</v>
      </c>
      <c r="T873" t="s">
        <v>6</v>
      </c>
      <c r="U873" s="21">
        <v>947.23</v>
      </c>
      <c r="V873" s="21" t="s">
        <v>368</v>
      </c>
      <c r="W873" t="str">
        <f>VLOOKUP(Table_Query_from_Actuarial___Production[[#This Row],[Kor1]],$AI$3:$AK$105,3,FALSE)</f>
        <v>Misc. Income</v>
      </c>
      <c r="X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"/>
      <c r="Z873" t="s">
        <v>49</v>
      </c>
      <c r="AA873" t="s">
        <v>266</v>
      </c>
      <c r="AB873" t="s">
        <v>441</v>
      </c>
      <c r="AC873" s="21">
        <v>2550</v>
      </c>
      <c r="AD873" s="21" t="s">
        <v>368</v>
      </c>
      <c r="AE873" t="str">
        <f>VLOOKUP(Table_Query_from_Actuarial___Production3[[#This Row],[Kor1]],$AI$3:$AK$105,3,FALSE)</f>
        <v>ALAE Paid</v>
      </c>
      <c r="AF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" spans="18:32" x14ac:dyDescent="0.2">
      <c r="R874" t="s">
        <v>46</v>
      </c>
      <c r="S874" t="s">
        <v>224</v>
      </c>
      <c r="T874" t="s">
        <v>7</v>
      </c>
      <c r="U874" s="21">
        <v>32.24</v>
      </c>
      <c r="V874" s="21" t="s">
        <v>425</v>
      </c>
      <c r="W874" t="str">
        <f>VLOOKUP(Table_Query_from_Actuarial___Production[[#This Row],[Kor1]],$AI$3:$AK$105,3,FALSE)</f>
        <v>Investment Income</v>
      </c>
      <c r="X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74"/>
      <c r="Z874" t="s">
        <v>12</v>
      </c>
      <c r="AA874" t="s">
        <v>229</v>
      </c>
      <c r="AB874" t="s">
        <v>427</v>
      </c>
      <c r="AC874" s="21">
        <v>3605.42</v>
      </c>
      <c r="AD874" s="21" t="s">
        <v>368</v>
      </c>
      <c r="AE874" t="str">
        <f>VLOOKUP(Table_Query_from_Actuarial___Production3[[#This Row],[Kor1]],$AI$3:$AK$105,3,FALSE)</f>
        <v>Premium Tax</v>
      </c>
      <c r="AF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" spans="18:32" x14ac:dyDescent="0.2">
      <c r="R875" t="s">
        <v>13</v>
      </c>
      <c r="S875" t="s">
        <v>4</v>
      </c>
      <c r="T875" t="s">
        <v>351</v>
      </c>
      <c r="U875" s="21">
        <v>5196633.3600000003</v>
      </c>
      <c r="V875" s="21" t="s">
        <v>368</v>
      </c>
      <c r="W875" t="str">
        <f>VLOOKUP(Table_Query_from_Actuarial___Production[[#This Row],[Kor1]],$AI$3:$AK$105,3,FALSE)</f>
        <v>Operating Service Fees</v>
      </c>
      <c r="X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"/>
      <c r="Z875" t="s">
        <v>47</v>
      </c>
      <c r="AA875" t="s">
        <v>262</v>
      </c>
      <c r="AB875" t="s">
        <v>5</v>
      </c>
      <c r="AC875" s="21">
        <v>0.78</v>
      </c>
      <c r="AD875" s="21" t="s">
        <v>368</v>
      </c>
      <c r="AE875" t="str">
        <f>VLOOKUP(Table_Query_from_Actuarial___Production3[[#This Row],[Kor1]],$AI$3:$AK$105,3,FALSE)</f>
        <v>Investment Income</v>
      </c>
      <c r="AF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" spans="18:32" x14ac:dyDescent="0.2">
      <c r="R876" t="s">
        <v>19</v>
      </c>
      <c r="S876" t="s">
        <v>237</v>
      </c>
      <c r="T876" t="s">
        <v>427</v>
      </c>
      <c r="U876" s="21">
        <v>292379</v>
      </c>
      <c r="V876" s="21" t="s">
        <v>368</v>
      </c>
      <c r="W876" t="str">
        <f>VLOOKUP(Table_Query_from_Actuarial___Production[[#This Row],[Kor1]],$AI$3:$AK$105,3,FALSE)</f>
        <v>Misc. Expense for Insolvent Companies</v>
      </c>
      <c r="X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"/>
      <c r="Z876" t="s">
        <v>19</v>
      </c>
      <c r="AA876" t="s">
        <v>232</v>
      </c>
      <c r="AB876" t="s">
        <v>6</v>
      </c>
      <c r="AC876" s="21">
        <v>480.02</v>
      </c>
      <c r="AD876" s="21" t="s">
        <v>368</v>
      </c>
      <c r="AE876" t="str">
        <f>VLOOKUP(Table_Query_from_Actuarial___Production3[[#This Row],[Kor1]],$AI$3:$AK$105,3,FALSE)</f>
        <v>Misc. Expense for Insolvent Companies</v>
      </c>
      <c r="AF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" spans="18:32" x14ac:dyDescent="0.2">
      <c r="R877" t="s">
        <v>41</v>
      </c>
      <c r="S877" t="s">
        <v>250</v>
      </c>
      <c r="T877" t="s">
        <v>351</v>
      </c>
      <c r="U877" s="21">
        <v>966.05</v>
      </c>
      <c r="V877" s="21" t="s">
        <v>368</v>
      </c>
      <c r="W877" t="str">
        <f>VLOOKUP(Table_Query_from_Actuarial___Production[[#This Row],[Kor1]],$AI$3:$AK$105,3,FALSE)</f>
        <v>Misc. Income</v>
      </c>
      <c r="X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"/>
      <c r="Z877" t="s">
        <v>19</v>
      </c>
      <c r="AA877" t="s">
        <v>238</v>
      </c>
      <c r="AB877" t="s">
        <v>351</v>
      </c>
      <c r="AC877" s="21">
        <v>629</v>
      </c>
      <c r="AD877" s="21" t="s">
        <v>368</v>
      </c>
      <c r="AE877" t="str">
        <f>VLOOKUP(Table_Query_from_Actuarial___Production3[[#This Row],[Kor1]],$AI$3:$AK$105,3,FALSE)</f>
        <v>Misc. Expense for Insolvent Companies</v>
      </c>
      <c r="AF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" spans="18:32" x14ac:dyDescent="0.2">
      <c r="R878" t="s">
        <v>49</v>
      </c>
      <c r="S878" t="s">
        <v>266</v>
      </c>
      <c r="T878" t="s">
        <v>351</v>
      </c>
      <c r="U878" s="21">
        <v>3569.48</v>
      </c>
      <c r="V878" s="21" t="s">
        <v>368</v>
      </c>
      <c r="W878" t="str">
        <f>VLOOKUP(Table_Query_from_Actuarial___Production[[#This Row],[Kor1]],$AI$3:$AK$105,3,FALSE)</f>
        <v>ALAE Paid</v>
      </c>
      <c r="X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"/>
      <c r="Z878" t="s">
        <v>47</v>
      </c>
      <c r="AA878" t="s">
        <v>259</v>
      </c>
      <c r="AB878" t="s">
        <v>9</v>
      </c>
      <c r="AC878" s="21">
        <v>128.34</v>
      </c>
      <c r="AD878" s="21" t="s">
        <v>368</v>
      </c>
      <c r="AE878" t="str">
        <f>VLOOKUP(Table_Query_from_Actuarial___Production3[[#This Row],[Kor1]],$AI$3:$AK$105,3,FALSE)</f>
        <v>Investment Income</v>
      </c>
      <c r="AF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" spans="18:32" x14ac:dyDescent="0.2">
      <c r="R879" t="s">
        <v>50</v>
      </c>
      <c r="S879" t="s">
        <v>226</v>
      </c>
      <c r="T879" t="s">
        <v>356</v>
      </c>
      <c r="U879" s="21">
        <v>45825</v>
      </c>
      <c r="V879" s="21" t="s">
        <v>368</v>
      </c>
      <c r="W879" t="str">
        <f>VLOOKUP(Table_Query_from_Actuarial___Production[[#This Row],[Kor1]],$AI$3:$AK$105,3,FALSE)</f>
        <v>ALAE Reserve</v>
      </c>
      <c r="X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79"/>
      <c r="Z879" t="s">
        <v>31</v>
      </c>
      <c r="AA879" t="s">
        <v>251</v>
      </c>
      <c r="AB879" t="s">
        <v>443</v>
      </c>
      <c r="AC879" s="21">
        <v>869.45</v>
      </c>
      <c r="AD879" s="21" t="s">
        <v>368</v>
      </c>
      <c r="AE879" t="str">
        <f>VLOOKUP(Table_Query_from_Actuarial___Production3[[#This Row],[Kor1]],$AI$3:$AK$105,3,FALSE)</f>
        <v>Misc. Expense</v>
      </c>
      <c r="AF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" spans="18:32" x14ac:dyDescent="0.2">
      <c r="R880" t="s">
        <v>13</v>
      </c>
      <c r="S880" t="s">
        <v>248</v>
      </c>
      <c r="T880" t="s">
        <v>9</v>
      </c>
      <c r="U880" s="21">
        <v>11210.31</v>
      </c>
      <c r="V880" s="21" t="s">
        <v>368</v>
      </c>
      <c r="W880" t="str">
        <f>VLOOKUP(Table_Query_from_Actuarial___Production[[#This Row],[Kor1]],$AI$3:$AK$105,3,FALSE)</f>
        <v>Operating Service Fees</v>
      </c>
      <c r="X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"/>
      <c r="Z880" t="s">
        <v>17</v>
      </c>
      <c r="AA880" t="s">
        <v>354</v>
      </c>
      <c r="AB880" t="s">
        <v>441</v>
      </c>
      <c r="AC880" s="21">
        <v>27174989.77</v>
      </c>
      <c r="AD880" s="21" t="s">
        <v>368</v>
      </c>
      <c r="AE880" t="str">
        <f>VLOOKUP(Table_Query_from_Actuarial___Production3[[#This Row],[Kor1]],$AI$3:$AK$105,3,FALSE)</f>
        <v>IBNR</v>
      </c>
      <c r="AF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81" spans="18:32" x14ac:dyDescent="0.2">
      <c r="R881" t="s">
        <v>11</v>
      </c>
      <c r="S881" t="s">
        <v>234</v>
      </c>
      <c r="T881" t="s">
        <v>427</v>
      </c>
      <c r="U881" s="21">
        <v>336908.16</v>
      </c>
      <c r="V881" s="21" t="s">
        <v>368</v>
      </c>
      <c r="W881" t="str">
        <f>VLOOKUP(Table_Query_from_Actuarial___Production[[#This Row],[Kor1]],$AI$3:$AK$105,3,FALSE)</f>
        <v>Losses Paid</v>
      </c>
      <c r="X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"/>
      <c r="Z881" t="s">
        <v>49</v>
      </c>
      <c r="AA881" t="s">
        <v>232</v>
      </c>
      <c r="AB881" t="s">
        <v>356</v>
      </c>
      <c r="AC881" s="21">
        <v>17551.96</v>
      </c>
      <c r="AD881" s="21" t="s">
        <v>368</v>
      </c>
      <c r="AE881" t="str">
        <f>VLOOKUP(Table_Query_from_Actuarial___Production3[[#This Row],[Kor1]],$AI$3:$AK$105,3,FALSE)</f>
        <v>ALAE Paid</v>
      </c>
      <c r="AF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" spans="18:32" x14ac:dyDescent="0.2">
      <c r="R882" t="s">
        <v>31</v>
      </c>
      <c r="S882" t="s">
        <v>254</v>
      </c>
      <c r="T882" t="s">
        <v>442</v>
      </c>
      <c r="U882" s="21">
        <v>1373.42</v>
      </c>
      <c r="V882" s="21" t="s">
        <v>368</v>
      </c>
      <c r="W882" t="str">
        <f>VLOOKUP(Table_Query_from_Actuarial___Production[[#This Row],[Kor1]],$AI$3:$AK$105,3,FALSE)</f>
        <v>Misc. Expense</v>
      </c>
      <c r="X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"/>
      <c r="Z882" t="s">
        <v>21</v>
      </c>
      <c r="AA882" t="s">
        <v>232</v>
      </c>
      <c r="AB882" t="s">
        <v>356</v>
      </c>
      <c r="AC882" s="21">
        <v>822.02</v>
      </c>
      <c r="AD882" s="21" t="s">
        <v>368</v>
      </c>
      <c r="AE882" t="str">
        <f>VLOOKUP(Table_Query_from_Actuarial___Production3[[#This Row],[Kor1]],$AI$3:$AK$105,3,FALSE)</f>
        <v>Misc. Expense</v>
      </c>
      <c r="AF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" spans="18:32" x14ac:dyDescent="0.2">
      <c r="R883" t="s">
        <v>19</v>
      </c>
      <c r="S883" t="s">
        <v>234</v>
      </c>
      <c r="T883" t="s">
        <v>441</v>
      </c>
      <c r="U883" s="21">
        <v>226.01</v>
      </c>
      <c r="V883" s="21" t="s">
        <v>368</v>
      </c>
      <c r="W883" t="str">
        <f>VLOOKUP(Table_Query_from_Actuarial___Production[[#This Row],[Kor1]],$AI$3:$AK$105,3,FALSE)</f>
        <v>Misc. Expense for Insolvent Companies</v>
      </c>
      <c r="X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"/>
      <c r="Z883" t="s">
        <v>12</v>
      </c>
      <c r="AA883" t="s">
        <v>267</v>
      </c>
      <c r="AB883" t="s">
        <v>427</v>
      </c>
      <c r="AC883" s="21">
        <v>13864.9</v>
      </c>
      <c r="AD883" s="21" t="s">
        <v>368</v>
      </c>
      <c r="AE883" t="str">
        <f>VLOOKUP(Table_Query_from_Actuarial___Production3[[#This Row],[Kor1]],$AI$3:$AK$105,3,FALSE)</f>
        <v>Premium Tax</v>
      </c>
      <c r="AF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" spans="18:32" x14ac:dyDescent="0.2">
      <c r="R884" t="s">
        <v>19</v>
      </c>
      <c r="S884" t="s">
        <v>242</v>
      </c>
      <c r="T884" t="s">
        <v>356</v>
      </c>
      <c r="U884" s="21">
        <v>2127</v>
      </c>
      <c r="V884" s="21" t="s">
        <v>368</v>
      </c>
      <c r="W884" t="str">
        <f>VLOOKUP(Table_Query_from_Actuarial___Production[[#This Row],[Kor1]],$AI$3:$AK$105,3,FALSE)</f>
        <v>Misc. Expense for Insolvent Companies</v>
      </c>
      <c r="X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"/>
      <c r="Z884" t="s">
        <v>10</v>
      </c>
      <c r="AA884" t="s">
        <v>251</v>
      </c>
      <c r="AB884" t="s">
        <v>441</v>
      </c>
      <c r="AC884" s="21">
        <v>43237.05</v>
      </c>
      <c r="AD884" s="21" t="s">
        <v>368</v>
      </c>
      <c r="AE884" t="str">
        <f>VLOOKUP(Table_Query_from_Actuarial___Production3[[#This Row],[Kor1]],$AI$3:$AK$105,3,FALSE)</f>
        <v>Commissions</v>
      </c>
      <c r="AF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" spans="18:32" x14ac:dyDescent="0.2">
      <c r="R885" t="s">
        <v>33</v>
      </c>
      <c r="S885" t="s">
        <v>229</v>
      </c>
      <c r="T885" t="s">
        <v>7</v>
      </c>
      <c r="U885" s="21">
        <v>17819.939999999999</v>
      </c>
      <c r="V885" s="21" t="s">
        <v>368</v>
      </c>
      <c r="W885" t="str">
        <f>VLOOKUP(Table_Query_from_Actuarial___Production[[#This Row],[Kor1]],$AI$3:$AK$105,3,FALSE)</f>
        <v>Misc. Expense</v>
      </c>
      <c r="X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"/>
      <c r="Z885" t="s">
        <v>33</v>
      </c>
      <c r="AA885" t="s">
        <v>4</v>
      </c>
      <c r="AB885" t="s">
        <v>8</v>
      </c>
      <c r="AC885" s="21">
        <v>133008.25</v>
      </c>
      <c r="AD885" s="21" t="s">
        <v>368</v>
      </c>
      <c r="AE885" t="str">
        <f>VLOOKUP(Table_Query_from_Actuarial___Production3[[#This Row],[Kor1]],$AI$3:$AK$105,3,FALSE)</f>
        <v>Misc. Expense</v>
      </c>
      <c r="AF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" spans="18:32" x14ac:dyDescent="0.2">
      <c r="R886" t="s">
        <v>3</v>
      </c>
      <c r="S886" t="s">
        <v>225</v>
      </c>
      <c r="T886" t="s">
        <v>7</v>
      </c>
      <c r="U886" s="21">
        <v>1297287.57</v>
      </c>
      <c r="V886" s="21" t="s">
        <v>368</v>
      </c>
      <c r="W886" t="str">
        <f>VLOOKUP(Table_Query_from_Actuarial___Production[[#This Row],[Kor1]],$AI$3:$AK$105,3,FALSE)</f>
        <v>Premiums Written</v>
      </c>
      <c r="X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86"/>
      <c r="Z886" t="s">
        <v>47</v>
      </c>
      <c r="AA886" t="s">
        <v>267</v>
      </c>
      <c r="AB886" t="s">
        <v>443</v>
      </c>
      <c r="AC886" s="21">
        <v>2298.2600000000002</v>
      </c>
      <c r="AD886" s="21" t="s">
        <v>368</v>
      </c>
      <c r="AE886" t="str">
        <f>VLOOKUP(Table_Query_from_Actuarial___Production3[[#This Row],[Kor1]],$AI$3:$AK$105,3,FALSE)</f>
        <v>Investment Income</v>
      </c>
      <c r="AF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" spans="18:32" x14ac:dyDescent="0.2">
      <c r="R887" t="s">
        <v>43</v>
      </c>
      <c r="S887" t="s">
        <v>266</v>
      </c>
      <c r="T887" t="s">
        <v>351</v>
      </c>
      <c r="U887" s="21">
        <v>-336.09</v>
      </c>
      <c r="V887" s="21" t="s">
        <v>368</v>
      </c>
      <c r="W887" t="str">
        <f>VLOOKUP(Table_Query_from_Actuarial___Production[[#This Row],[Kor1]],$AI$3:$AK$105,3,FALSE)</f>
        <v>Charge-offs</v>
      </c>
      <c r="X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"/>
      <c r="Z887" t="s">
        <v>11</v>
      </c>
      <c r="AA887" t="s">
        <v>254</v>
      </c>
      <c r="AB887" t="s">
        <v>6</v>
      </c>
      <c r="AC887" s="21">
        <v>86053.16</v>
      </c>
      <c r="AD887" s="21" t="s">
        <v>368</v>
      </c>
      <c r="AE887" t="str">
        <f>VLOOKUP(Table_Query_from_Actuarial___Production3[[#This Row],[Kor1]],$AI$3:$AK$105,3,FALSE)</f>
        <v>Losses Paid</v>
      </c>
      <c r="AF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" spans="18:32" x14ac:dyDescent="0.2">
      <c r="R888" t="s">
        <v>47</v>
      </c>
      <c r="S888" t="s">
        <v>241</v>
      </c>
      <c r="T888" t="s">
        <v>8</v>
      </c>
      <c r="U888" s="21">
        <v>0.12</v>
      </c>
      <c r="V888" s="21" t="s">
        <v>368</v>
      </c>
      <c r="W888" t="str">
        <f>VLOOKUP(Table_Query_from_Actuarial___Production[[#This Row],[Kor1]],$AI$3:$AK$105,3,FALSE)</f>
        <v>Investment Income</v>
      </c>
      <c r="X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"/>
      <c r="Z888" t="s">
        <v>16</v>
      </c>
      <c r="AA888" t="s">
        <v>228</v>
      </c>
      <c r="AB888" t="s">
        <v>442</v>
      </c>
      <c r="AC888" s="21">
        <v>9940.01</v>
      </c>
      <c r="AD888" s="21" t="s">
        <v>368</v>
      </c>
      <c r="AE888" t="str">
        <f>VLOOKUP(Table_Query_from_Actuarial___Production3[[#This Row],[Kor1]],$AI$3:$AK$105,3,FALSE)</f>
        <v>Losses Outstanding</v>
      </c>
      <c r="AF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" spans="18:32" x14ac:dyDescent="0.2">
      <c r="R889" t="s">
        <v>21</v>
      </c>
      <c r="S889" t="s">
        <v>261</v>
      </c>
      <c r="T889" t="s">
        <v>351</v>
      </c>
      <c r="U889" s="21">
        <v>5049.99</v>
      </c>
      <c r="V889" s="21" t="s">
        <v>368</v>
      </c>
      <c r="W889" t="str">
        <f>VLOOKUP(Table_Query_from_Actuarial___Production[[#This Row],[Kor1]],$AI$3:$AK$105,3,FALSE)</f>
        <v>Misc. Expense</v>
      </c>
      <c r="X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"/>
      <c r="Z889" t="s">
        <v>44</v>
      </c>
      <c r="AA889" t="s">
        <v>267</v>
      </c>
      <c r="AB889" t="s">
        <v>433</v>
      </c>
      <c r="AC889" s="21">
        <v>1302.1199999999999</v>
      </c>
      <c r="AD889" s="21" t="s">
        <v>368</v>
      </c>
      <c r="AE889" t="str">
        <f>VLOOKUP(Table_Query_from_Actuarial___Production3[[#This Row],[Kor1]],$AI$3:$AK$105,3,FALSE)</f>
        <v>Charge-offs</v>
      </c>
      <c r="AF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" spans="18:32" x14ac:dyDescent="0.2">
      <c r="R890" t="s">
        <v>444</v>
      </c>
      <c r="S890" t="s">
        <v>230</v>
      </c>
      <c r="T890" t="s">
        <v>443</v>
      </c>
      <c r="U890" s="21">
        <v>39106.910000000003</v>
      </c>
      <c r="V890" s="21" t="s">
        <v>368</v>
      </c>
      <c r="W890" t="str">
        <f>VLOOKUP(Table_Query_from_Actuarial___Production[[#This Row],[Kor1]],$AI$3:$AK$105,3,FALSE)</f>
        <v>Misc. Expense</v>
      </c>
      <c r="X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"/>
      <c r="Z890" t="s">
        <v>14</v>
      </c>
      <c r="AA890" t="s">
        <v>225</v>
      </c>
      <c r="AB890" t="s">
        <v>356</v>
      </c>
      <c r="AC890" s="21">
        <v>25984</v>
      </c>
      <c r="AD890" s="21" t="s">
        <v>368</v>
      </c>
      <c r="AE890" t="str">
        <f>VLOOKUP(Table_Query_from_Actuarial___Production3[[#This Row],[Kor1]],$AI$3:$AK$105,3,FALSE)</f>
        <v>Claims Expense</v>
      </c>
      <c r="AF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91" spans="18:32" x14ac:dyDescent="0.2">
      <c r="R891" t="s">
        <v>12</v>
      </c>
      <c r="S891" t="s">
        <v>267</v>
      </c>
      <c r="T891" t="s">
        <v>443</v>
      </c>
      <c r="U891" s="21">
        <v>19696.8</v>
      </c>
      <c r="V891" s="21" t="s">
        <v>368</v>
      </c>
      <c r="W891" t="str">
        <f>VLOOKUP(Table_Query_from_Actuarial___Production[[#This Row],[Kor1]],$AI$3:$AK$105,3,FALSE)</f>
        <v>Premium Tax</v>
      </c>
      <c r="X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"/>
      <c r="Z891" t="s">
        <v>10</v>
      </c>
      <c r="AA891" t="s">
        <v>246</v>
      </c>
      <c r="AB891" t="s">
        <v>351</v>
      </c>
      <c r="AC891" s="21">
        <v>49045.85</v>
      </c>
      <c r="AD891" s="21" t="s">
        <v>368</v>
      </c>
      <c r="AE891" t="str">
        <f>VLOOKUP(Table_Query_from_Actuarial___Production3[[#This Row],[Kor1]],$AI$3:$AK$105,3,FALSE)</f>
        <v>Commissions</v>
      </c>
      <c r="AF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" spans="18:32" x14ac:dyDescent="0.2">
      <c r="R892" t="s">
        <v>50</v>
      </c>
      <c r="S892" t="s">
        <v>256</v>
      </c>
      <c r="T892" t="s">
        <v>441</v>
      </c>
      <c r="U892" s="21">
        <v>431.42</v>
      </c>
      <c r="V892" s="21" t="s">
        <v>368</v>
      </c>
      <c r="W892" t="str">
        <f>VLOOKUP(Table_Query_from_Actuarial___Production[[#This Row],[Kor1]],$AI$3:$AK$105,3,FALSE)</f>
        <v>ALAE Reserve</v>
      </c>
      <c r="X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"/>
      <c r="Z892" t="s">
        <v>37</v>
      </c>
      <c r="AA892" t="s">
        <v>264</v>
      </c>
      <c r="AB892" t="s">
        <v>442</v>
      </c>
      <c r="AC892" s="21">
        <v>7000.36</v>
      </c>
      <c r="AD892" s="21" t="s">
        <v>368</v>
      </c>
      <c r="AE892" t="str">
        <f>VLOOKUP(Table_Query_from_Actuarial___Production3[[#This Row],[Kor1]],$AI$3:$AK$105,3,FALSE)</f>
        <v>Misc. Expense</v>
      </c>
      <c r="AF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" spans="18:32" x14ac:dyDescent="0.2">
      <c r="R893" t="s">
        <v>50</v>
      </c>
      <c r="S893" t="s">
        <v>225</v>
      </c>
      <c r="T893" t="s">
        <v>445</v>
      </c>
      <c r="U893" s="21">
        <v>1850.95</v>
      </c>
      <c r="V893" s="21" t="s">
        <v>369</v>
      </c>
      <c r="W893" t="str">
        <f>VLOOKUP(Table_Query_from_Actuarial___Production[[#This Row],[Kor1]],$AI$3:$AK$105,3,FALSE)</f>
        <v>ALAE Reserve</v>
      </c>
      <c r="X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93"/>
      <c r="Z893" t="s">
        <v>44</v>
      </c>
      <c r="AA893" t="s">
        <v>267</v>
      </c>
      <c r="AB893" t="s">
        <v>7</v>
      </c>
      <c r="AC893" s="21">
        <v>4.66</v>
      </c>
      <c r="AD893" s="21" t="s">
        <v>368</v>
      </c>
      <c r="AE893" t="str">
        <f>VLOOKUP(Table_Query_from_Actuarial___Production3[[#This Row],[Kor1]],$AI$3:$AK$105,3,FALSE)</f>
        <v>Charge-offs</v>
      </c>
      <c r="AF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" spans="18:32" x14ac:dyDescent="0.2">
      <c r="R894" t="s">
        <v>10</v>
      </c>
      <c r="S894" t="s">
        <v>251</v>
      </c>
      <c r="T894" t="s">
        <v>351</v>
      </c>
      <c r="U894" s="21">
        <v>12305.2</v>
      </c>
      <c r="V894" s="21" t="s">
        <v>368</v>
      </c>
      <c r="W894" t="str">
        <f>VLOOKUP(Table_Query_from_Actuarial___Production[[#This Row],[Kor1]],$AI$3:$AK$105,3,FALSE)</f>
        <v>Commissions</v>
      </c>
      <c r="X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"/>
      <c r="Z894" t="s">
        <v>41</v>
      </c>
      <c r="AA894" t="s">
        <v>263</v>
      </c>
      <c r="AB894" t="s">
        <v>8</v>
      </c>
      <c r="AC894" s="21">
        <v>550</v>
      </c>
      <c r="AD894" s="21" t="s">
        <v>368</v>
      </c>
      <c r="AE894" t="str">
        <f>VLOOKUP(Table_Query_from_Actuarial___Production3[[#This Row],[Kor1]],$AI$3:$AK$105,3,FALSE)</f>
        <v>Misc. Income</v>
      </c>
      <c r="AF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" spans="18:32" x14ac:dyDescent="0.2">
      <c r="R895" t="s">
        <v>43</v>
      </c>
      <c r="S895" t="s">
        <v>232</v>
      </c>
      <c r="T895" t="s">
        <v>8</v>
      </c>
      <c r="U895" s="21">
        <v>2171.6</v>
      </c>
      <c r="V895" s="21" t="s">
        <v>368</v>
      </c>
      <c r="W895" t="str">
        <f>VLOOKUP(Table_Query_from_Actuarial___Production[[#This Row],[Kor1]],$AI$3:$AK$105,3,FALSE)</f>
        <v>Charge-offs</v>
      </c>
      <c r="X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"/>
      <c r="Z895" t="s">
        <v>3</v>
      </c>
      <c r="AA895" t="s">
        <v>244</v>
      </c>
      <c r="AB895" t="s">
        <v>5</v>
      </c>
      <c r="AC895" s="21">
        <v>582538</v>
      </c>
      <c r="AD895" s="21" t="s">
        <v>368</v>
      </c>
      <c r="AE895" t="str">
        <f>VLOOKUP(Table_Query_from_Actuarial___Production3[[#This Row],[Kor1]],$AI$3:$AK$105,3,FALSE)</f>
        <v>Premiums Written</v>
      </c>
      <c r="AF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" spans="18:32" x14ac:dyDescent="0.2">
      <c r="R896" t="s">
        <v>11</v>
      </c>
      <c r="S896" t="s">
        <v>225</v>
      </c>
      <c r="T896" t="s">
        <v>356</v>
      </c>
      <c r="U896" s="21">
        <v>2758335.84</v>
      </c>
      <c r="V896" s="21" t="s">
        <v>368</v>
      </c>
      <c r="W896" t="str">
        <f>VLOOKUP(Table_Query_from_Actuarial___Production[[#This Row],[Kor1]],$AI$3:$AK$105,3,FALSE)</f>
        <v>Losses Paid</v>
      </c>
      <c r="X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96"/>
      <c r="Z896" t="s">
        <v>40</v>
      </c>
      <c r="AA896" t="s">
        <v>4</v>
      </c>
      <c r="AB896" t="s">
        <v>6</v>
      </c>
      <c r="AC896" s="21">
        <v>947.23</v>
      </c>
      <c r="AD896" s="21" t="s">
        <v>368</v>
      </c>
      <c r="AE896" t="str">
        <f>VLOOKUP(Table_Query_from_Actuarial___Production3[[#This Row],[Kor1]],$AI$3:$AK$105,3,FALSE)</f>
        <v>Misc. Income</v>
      </c>
      <c r="AF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" spans="18:32" x14ac:dyDescent="0.2">
      <c r="R897" t="s">
        <v>11</v>
      </c>
      <c r="S897" t="s">
        <v>237</v>
      </c>
      <c r="T897" t="s">
        <v>7</v>
      </c>
      <c r="U897" s="21">
        <v>3291503.57</v>
      </c>
      <c r="V897" s="21" t="s">
        <v>368</v>
      </c>
      <c r="W897" t="str">
        <f>VLOOKUP(Table_Query_from_Actuarial___Production[[#This Row],[Kor1]],$AI$3:$AK$105,3,FALSE)</f>
        <v>Losses Paid</v>
      </c>
      <c r="X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"/>
      <c r="Z897" t="s">
        <v>46</v>
      </c>
      <c r="AA897" t="s">
        <v>224</v>
      </c>
      <c r="AB897" t="s">
        <v>7</v>
      </c>
      <c r="AC897" s="21">
        <v>32.24</v>
      </c>
      <c r="AD897" s="21" t="s">
        <v>425</v>
      </c>
      <c r="AE897" t="str">
        <f>VLOOKUP(Table_Query_from_Actuarial___Production3[[#This Row],[Kor1]],$AI$3:$AK$105,3,FALSE)</f>
        <v>Investment Income</v>
      </c>
      <c r="AF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98" spans="18:32" x14ac:dyDescent="0.2">
      <c r="R898" t="s">
        <v>37</v>
      </c>
      <c r="S898" t="s">
        <v>265</v>
      </c>
      <c r="T898" t="s">
        <v>441</v>
      </c>
      <c r="U898" s="21">
        <v>5857.08</v>
      </c>
      <c r="V898" s="21" t="s">
        <v>368</v>
      </c>
      <c r="W898" t="str">
        <f>VLOOKUP(Table_Query_from_Actuarial___Production[[#This Row],[Kor1]],$AI$3:$AK$105,3,FALSE)</f>
        <v>Misc. Expense</v>
      </c>
      <c r="X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"/>
      <c r="Z898" t="s">
        <v>13</v>
      </c>
      <c r="AA898" t="s">
        <v>4</v>
      </c>
      <c r="AB898" t="s">
        <v>351</v>
      </c>
      <c r="AC898" s="21">
        <v>5196633.3600000003</v>
      </c>
      <c r="AD898" s="21" t="s">
        <v>368</v>
      </c>
      <c r="AE898" t="str">
        <f>VLOOKUP(Table_Query_from_Actuarial___Production3[[#This Row],[Kor1]],$AI$3:$AK$105,3,FALSE)</f>
        <v>Operating Service Fees</v>
      </c>
      <c r="AF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" spans="18:32" x14ac:dyDescent="0.2">
      <c r="R899" t="s">
        <v>19</v>
      </c>
      <c r="S899" t="s">
        <v>257</v>
      </c>
      <c r="T899" t="s">
        <v>356</v>
      </c>
      <c r="U899" s="21">
        <v>554</v>
      </c>
      <c r="V899" s="21" t="s">
        <v>368</v>
      </c>
      <c r="W899" t="str">
        <f>VLOOKUP(Table_Query_from_Actuarial___Production[[#This Row],[Kor1]],$AI$3:$AK$105,3,FALSE)</f>
        <v>Misc. Expense for Insolvent Companies</v>
      </c>
      <c r="X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"/>
      <c r="Z899" t="s">
        <v>19</v>
      </c>
      <c r="AA899" t="s">
        <v>237</v>
      </c>
      <c r="AB899" t="s">
        <v>427</v>
      </c>
      <c r="AC899" s="21">
        <v>292379</v>
      </c>
      <c r="AD899" s="21" t="s">
        <v>368</v>
      </c>
      <c r="AE899" t="str">
        <f>VLOOKUP(Table_Query_from_Actuarial___Production3[[#This Row],[Kor1]],$AI$3:$AK$105,3,FALSE)</f>
        <v>Misc. Expense for Insolvent Companies</v>
      </c>
      <c r="AF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" spans="18:32" x14ac:dyDescent="0.2">
      <c r="R900" t="s">
        <v>44</v>
      </c>
      <c r="S900" t="s">
        <v>231</v>
      </c>
      <c r="T900" t="s">
        <v>443</v>
      </c>
      <c r="U900" s="21">
        <v>20156.84</v>
      </c>
      <c r="V900" s="21" t="s">
        <v>368</v>
      </c>
      <c r="W900" t="str">
        <f>VLOOKUP(Table_Query_from_Actuarial___Production[[#This Row],[Kor1]],$AI$3:$AK$105,3,FALSE)</f>
        <v>Charge-offs</v>
      </c>
      <c r="X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"/>
      <c r="Z900" t="s">
        <v>41</v>
      </c>
      <c r="AA900" t="s">
        <v>250</v>
      </c>
      <c r="AB900" t="s">
        <v>351</v>
      </c>
      <c r="AC900" s="21">
        <v>966.05</v>
      </c>
      <c r="AD900" s="21" t="s">
        <v>368</v>
      </c>
      <c r="AE900" t="str">
        <f>VLOOKUP(Table_Query_from_Actuarial___Production3[[#This Row],[Kor1]],$AI$3:$AK$105,3,FALSE)</f>
        <v>Misc. Income</v>
      </c>
      <c r="AF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" spans="18:32" x14ac:dyDescent="0.2">
      <c r="R901" t="s">
        <v>10</v>
      </c>
      <c r="S901" t="s">
        <v>225</v>
      </c>
      <c r="T901" t="s">
        <v>443</v>
      </c>
      <c r="U901" s="21">
        <v>43972.2</v>
      </c>
      <c r="V901" s="21" t="s">
        <v>368</v>
      </c>
      <c r="W901" t="str">
        <f>VLOOKUP(Table_Query_from_Actuarial___Production[[#This Row],[Kor1]],$AI$3:$AK$105,3,FALSE)</f>
        <v>Commissions</v>
      </c>
      <c r="X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01"/>
      <c r="Z901" t="s">
        <v>49</v>
      </c>
      <c r="AA901" t="s">
        <v>266</v>
      </c>
      <c r="AB901" t="s">
        <v>351</v>
      </c>
      <c r="AC901" s="21">
        <v>3569.48</v>
      </c>
      <c r="AD901" s="21" t="s">
        <v>368</v>
      </c>
      <c r="AE901" t="str">
        <f>VLOOKUP(Table_Query_from_Actuarial___Production3[[#This Row],[Kor1]],$AI$3:$AK$105,3,FALSE)</f>
        <v>ALAE Paid</v>
      </c>
      <c r="AF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" spans="18:32" x14ac:dyDescent="0.2">
      <c r="R902" t="s">
        <v>13</v>
      </c>
      <c r="S902" t="s">
        <v>229</v>
      </c>
      <c r="T902" t="s">
        <v>443</v>
      </c>
      <c r="U902" s="21">
        <v>11661.3</v>
      </c>
      <c r="V902" s="21" t="s">
        <v>368</v>
      </c>
      <c r="W902" t="str">
        <f>VLOOKUP(Table_Query_from_Actuarial___Production[[#This Row],[Kor1]],$AI$3:$AK$105,3,FALSE)</f>
        <v>Operating Service Fees</v>
      </c>
      <c r="X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"/>
      <c r="Z902" t="s">
        <v>50</v>
      </c>
      <c r="AA902" t="s">
        <v>226</v>
      </c>
      <c r="AB902" t="s">
        <v>356</v>
      </c>
      <c r="AC902" s="21">
        <v>56085</v>
      </c>
      <c r="AD902" s="21" t="s">
        <v>368</v>
      </c>
      <c r="AE902" t="str">
        <f>VLOOKUP(Table_Query_from_Actuarial___Production3[[#This Row],[Kor1]],$AI$3:$AK$105,3,FALSE)</f>
        <v>ALAE Reserve</v>
      </c>
      <c r="AF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03" spans="18:32" x14ac:dyDescent="0.2">
      <c r="R903" t="s">
        <v>40</v>
      </c>
      <c r="S903" t="s">
        <v>230</v>
      </c>
      <c r="T903" t="s">
        <v>6</v>
      </c>
      <c r="U903" s="21">
        <v>230.62</v>
      </c>
      <c r="V903" s="21" t="s">
        <v>368</v>
      </c>
      <c r="W903" t="str">
        <f>VLOOKUP(Table_Query_from_Actuarial___Production[[#This Row],[Kor1]],$AI$3:$AK$105,3,FALSE)</f>
        <v>Misc. Income</v>
      </c>
      <c r="X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"/>
      <c r="Z903" t="s">
        <v>13</v>
      </c>
      <c r="AA903" t="s">
        <v>248</v>
      </c>
      <c r="AB903" t="s">
        <v>9</v>
      </c>
      <c r="AC903" s="21">
        <v>11210.31</v>
      </c>
      <c r="AD903" s="21" t="s">
        <v>368</v>
      </c>
      <c r="AE903" t="str">
        <f>VLOOKUP(Table_Query_from_Actuarial___Production3[[#This Row],[Kor1]],$AI$3:$AK$105,3,FALSE)</f>
        <v>Operating Service Fees</v>
      </c>
      <c r="AF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" spans="18:32" x14ac:dyDescent="0.2">
      <c r="R904" t="s">
        <v>49</v>
      </c>
      <c r="S904" t="s">
        <v>261</v>
      </c>
      <c r="T904" t="s">
        <v>356</v>
      </c>
      <c r="U904" s="21">
        <v>6645.25</v>
      </c>
      <c r="V904" s="21" t="s">
        <v>368</v>
      </c>
      <c r="W904" t="str">
        <f>VLOOKUP(Table_Query_from_Actuarial___Production[[#This Row],[Kor1]],$AI$3:$AK$105,3,FALSE)</f>
        <v>ALAE Paid</v>
      </c>
      <c r="X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"/>
      <c r="Z904" t="s">
        <v>11</v>
      </c>
      <c r="AA904" t="s">
        <v>234</v>
      </c>
      <c r="AB904" t="s">
        <v>427</v>
      </c>
      <c r="AC904" s="21">
        <v>236908.16</v>
      </c>
      <c r="AD904" s="21" t="s">
        <v>368</v>
      </c>
      <c r="AE904" t="str">
        <f>VLOOKUP(Table_Query_from_Actuarial___Production3[[#This Row],[Kor1]],$AI$3:$AK$105,3,FALSE)</f>
        <v>Losses Paid</v>
      </c>
      <c r="AF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" spans="18:32" x14ac:dyDescent="0.2">
      <c r="R905" t="s">
        <v>3</v>
      </c>
      <c r="S905" t="s">
        <v>224</v>
      </c>
      <c r="T905" t="s">
        <v>351</v>
      </c>
      <c r="U905" s="21">
        <v>3584045.23</v>
      </c>
      <c r="V905" s="21" t="s">
        <v>368</v>
      </c>
      <c r="W905" t="str">
        <f>VLOOKUP(Table_Query_from_Actuarial___Production[[#This Row],[Kor1]],$AI$3:$AK$105,3,FALSE)</f>
        <v>Premiums Written</v>
      </c>
      <c r="X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05"/>
      <c r="Z905" t="s">
        <v>31</v>
      </c>
      <c r="AA905" t="s">
        <v>254</v>
      </c>
      <c r="AB905" t="s">
        <v>442</v>
      </c>
      <c r="AC905" s="21">
        <v>1373.42</v>
      </c>
      <c r="AD905" s="21" t="s">
        <v>368</v>
      </c>
      <c r="AE905" t="str">
        <f>VLOOKUP(Table_Query_from_Actuarial___Production3[[#This Row],[Kor1]],$AI$3:$AK$105,3,FALSE)</f>
        <v>Misc. Expense</v>
      </c>
      <c r="AF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" spans="18:32" x14ac:dyDescent="0.2">
      <c r="R906" t="s">
        <v>14</v>
      </c>
      <c r="S906" t="s">
        <v>224</v>
      </c>
      <c r="T906" t="s">
        <v>433</v>
      </c>
      <c r="U906" s="21">
        <v>143175.38</v>
      </c>
      <c r="V906" s="21" t="s">
        <v>370</v>
      </c>
      <c r="W906" t="str">
        <f>VLOOKUP(Table_Query_from_Actuarial___Production[[#This Row],[Kor1]],$AI$3:$AK$105,3,FALSE)</f>
        <v>Claims Expense</v>
      </c>
      <c r="X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06"/>
      <c r="Z906" t="s">
        <v>19</v>
      </c>
      <c r="AA906" t="s">
        <v>234</v>
      </c>
      <c r="AB906" t="s">
        <v>441</v>
      </c>
      <c r="AC906" s="21">
        <v>226.01</v>
      </c>
      <c r="AD906" s="21" t="s">
        <v>368</v>
      </c>
      <c r="AE906" t="str">
        <f>VLOOKUP(Table_Query_from_Actuarial___Production3[[#This Row],[Kor1]],$AI$3:$AK$105,3,FALSE)</f>
        <v>Misc. Expense for Insolvent Companies</v>
      </c>
      <c r="AF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" spans="18:32" x14ac:dyDescent="0.2">
      <c r="R907" t="s">
        <v>3</v>
      </c>
      <c r="S907" t="s">
        <v>258</v>
      </c>
      <c r="T907" t="s">
        <v>445</v>
      </c>
      <c r="U907" s="21">
        <v>1473445</v>
      </c>
      <c r="V907" s="21" t="s">
        <v>368</v>
      </c>
      <c r="W907" t="str">
        <f>VLOOKUP(Table_Query_from_Actuarial___Production[[#This Row],[Kor1]],$AI$3:$AK$105,3,FALSE)</f>
        <v>Premiums Written</v>
      </c>
      <c r="X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"/>
      <c r="Z907" t="s">
        <v>19</v>
      </c>
      <c r="AA907" t="s">
        <v>242</v>
      </c>
      <c r="AB907" t="s">
        <v>356</v>
      </c>
      <c r="AC907" s="21">
        <v>2127</v>
      </c>
      <c r="AD907" s="21" t="s">
        <v>368</v>
      </c>
      <c r="AE907" t="str">
        <f>VLOOKUP(Table_Query_from_Actuarial___Production3[[#This Row],[Kor1]],$AI$3:$AK$105,3,FALSE)</f>
        <v>Misc. Expense for Insolvent Companies</v>
      </c>
      <c r="AF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" spans="18:32" x14ac:dyDescent="0.2">
      <c r="R908" t="s">
        <v>31</v>
      </c>
      <c r="S908" t="s">
        <v>237</v>
      </c>
      <c r="T908" t="s">
        <v>9</v>
      </c>
      <c r="U908" s="21">
        <v>-380.49</v>
      </c>
      <c r="V908" s="21" t="s">
        <v>368</v>
      </c>
      <c r="W908" t="str">
        <f>VLOOKUP(Table_Query_from_Actuarial___Production[[#This Row],[Kor1]],$AI$3:$AK$105,3,FALSE)</f>
        <v>Misc. Expense</v>
      </c>
      <c r="X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"/>
      <c r="Z908" t="s">
        <v>33</v>
      </c>
      <c r="AA908" t="s">
        <v>229</v>
      </c>
      <c r="AB908" t="s">
        <v>7</v>
      </c>
      <c r="AC908" s="21">
        <v>17819.939999999999</v>
      </c>
      <c r="AD908" s="21" t="s">
        <v>368</v>
      </c>
      <c r="AE908" t="str">
        <f>VLOOKUP(Table_Query_from_Actuarial___Production3[[#This Row],[Kor1]],$AI$3:$AK$105,3,FALSE)</f>
        <v>Misc. Expense</v>
      </c>
      <c r="AF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" spans="18:32" x14ac:dyDescent="0.2">
      <c r="R909" t="s">
        <v>43</v>
      </c>
      <c r="S909" t="s">
        <v>256</v>
      </c>
      <c r="T909" t="s">
        <v>9</v>
      </c>
      <c r="U909" s="21">
        <v>2447.2800000000002</v>
      </c>
      <c r="V909" s="21" t="s">
        <v>368</v>
      </c>
      <c r="W909" t="str">
        <f>VLOOKUP(Table_Query_from_Actuarial___Production[[#This Row],[Kor1]],$AI$3:$AK$105,3,FALSE)</f>
        <v>Charge-offs</v>
      </c>
      <c r="X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"/>
      <c r="Z909" t="s">
        <v>3</v>
      </c>
      <c r="AA909" t="s">
        <v>225</v>
      </c>
      <c r="AB909" t="s">
        <v>7</v>
      </c>
      <c r="AC909" s="21">
        <v>1297287.57</v>
      </c>
      <c r="AD909" s="21" t="s">
        <v>368</v>
      </c>
      <c r="AE909" t="str">
        <f>VLOOKUP(Table_Query_from_Actuarial___Production3[[#This Row],[Kor1]],$AI$3:$AK$105,3,FALSE)</f>
        <v>Premiums Written</v>
      </c>
      <c r="AF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10" spans="18:32" x14ac:dyDescent="0.2">
      <c r="R910" t="s">
        <v>21</v>
      </c>
      <c r="S910" t="s">
        <v>241</v>
      </c>
      <c r="T910" t="s">
        <v>427</v>
      </c>
      <c r="U910" s="21">
        <v>3080.81</v>
      </c>
      <c r="V910" s="21" t="s">
        <v>368</v>
      </c>
      <c r="W910" t="str">
        <f>VLOOKUP(Table_Query_from_Actuarial___Production[[#This Row],[Kor1]],$AI$3:$AK$105,3,FALSE)</f>
        <v>Misc. Expense</v>
      </c>
      <c r="X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"/>
      <c r="Z910" t="s">
        <v>43</v>
      </c>
      <c r="AA910" t="s">
        <v>266</v>
      </c>
      <c r="AB910" t="s">
        <v>351</v>
      </c>
      <c r="AC910" s="21">
        <v>-336.09</v>
      </c>
      <c r="AD910" s="21" t="s">
        <v>368</v>
      </c>
      <c r="AE910" t="str">
        <f>VLOOKUP(Table_Query_from_Actuarial___Production3[[#This Row],[Kor1]],$AI$3:$AK$105,3,FALSE)</f>
        <v>Charge-offs</v>
      </c>
      <c r="AF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" spans="18:32" x14ac:dyDescent="0.2">
      <c r="R911" t="s">
        <v>444</v>
      </c>
      <c r="S911" t="s">
        <v>266</v>
      </c>
      <c r="T911" t="s">
        <v>443</v>
      </c>
      <c r="U911" s="21">
        <v>10167.81</v>
      </c>
      <c r="V911" s="21" t="s">
        <v>368</v>
      </c>
      <c r="W911" t="str">
        <f>VLOOKUP(Table_Query_from_Actuarial___Production[[#This Row],[Kor1]],$AI$3:$AK$105,3,FALSE)</f>
        <v>Misc. Expense</v>
      </c>
      <c r="X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"/>
      <c r="Z911" t="s">
        <v>47</v>
      </c>
      <c r="AA911" t="s">
        <v>241</v>
      </c>
      <c r="AB911" t="s">
        <v>8</v>
      </c>
      <c r="AC911" s="21">
        <v>0.12</v>
      </c>
      <c r="AD911" s="21" t="s">
        <v>368</v>
      </c>
      <c r="AE911" t="str">
        <f>VLOOKUP(Table_Query_from_Actuarial___Production3[[#This Row],[Kor1]],$AI$3:$AK$105,3,FALSE)</f>
        <v>Investment Income</v>
      </c>
      <c r="AF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" spans="18:32" x14ac:dyDescent="0.2">
      <c r="R912" t="s">
        <v>33</v>
      </c>
      <c r="S912" t="s">
        <v>235</v>
      </c>
      <c r="T912" t="s">
        <v>433</v>
      </c>
      <c r="U912" s="21">
        <v>15173.12</v>
      </c>
      <c r="V912" s="21" t="s">
        <v>368</v>
      </c>
      <c r="W912" t="str">
        <f>VLOOKUP(Table_Query_from_Actuarial___Production[[#This Row],[Kor1]],$AI$3:$AK$105,3,FALSE)</f>
        <v>Misc. Expense</v>
      </c>
      <c r="X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"/>
      <c r="Z912" t="s">
        <v>21</v>
      </c>
      <c r="AA912" t="s">
        <v>261</v>
      </c>
      <c r="AB912" t="s">
        <v>351</v>
      </c>
      <c r="AC912" s="21">
        <v>5049.99</v>
      </c>
      <c r="AD912" s="21" t="s">
        <v>368</v>
      </c>
      <c r="AE912" t="str">
        <f>VLOOKUP(Table_Query_from_Actuarial___Production3[[#This Row],[Kor1]],$AI$3:$AK$105,3,FALSE)</f>
        <v>Misc. Expense</v>
      </c>
      <c r="AF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" spans="18:32" x14ac:dyDescent="0.2">
      <c r="R913" t="s">
        <v>33</v>
      </c>
      <c r="S913" t="s">
        <v>238</v>
      </c>
      <c r="T913" t="s">
        <v>442</v>
      </c>
      <c r="U913" s="21">
        <v>12734.48</v>
      </c>
      <c r="V913" s="21" t="s">
        <v>368</v>
      </c>
      <c r="W913" t="str">
        <f>VLOOKUP(Table_Query_from_Actuarial___Production[[#This Row],[Kor1]],$AI$3:$AK$105,3,FALSE)</f>
        <v>Misc. Expense</v>
      </c>
      <c r="X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"/>
      <c r="Z913" t="s">
        <v>12</v>
      </c>
      <c r="AA913" t="s">
        <v>267</v>
      </c>
      <c r="AB913" t="s">
        <v>443</v>
      </c>
      <c r="AC913" s="21">
        <v>34088.910000000003</v>
      </c>
      <c r="AD913" s="21" t="s">
        <v>368</v>
      </c>
      <c r="AE913" t="str">
        <f>VLOOKUP(Table_Query_from_Actuarial___Production3[[#This Row],[Kor1]],$AI$3:$AK$105,3,FALSE)</f>
        <v>Premium Tax</v>
      </c>
      <c r="AF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" spans="18:32" x14ac:dyDescent="0.2">
      <c r="R914" t="s">
        <v>439</v>
      </c>
      <c r="S914" t="s">
        <v>244</v>
      </c>
      <c r="T914" t="s">
        <v>443</v>
      </c>
      <c r="U914" s="21">
        <v>-62657.83</v>
      </c>
      <c r="V914" s="21" t="s">
        <v>368</v>
      </c>
      <c r="W914" t="str">
        <f>VLOOKUP(Table_Query_from_Actuarial___Production[[#This Row],[Kor1]],$AI$3:$AK$105,3,FALSE)</f>
        <v>Operating Service Fees</v>
      </c>
      <c r="X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"/>
      <c r="Z914" t="s">
        <v>50</v>
      </c>
      <c r="AA914" t="s">
        <v>256</v>
      </c>
      <c r="AB914" t="s">
        <v>441</v>
      </c>
      <c r="AC914" s="21">
        <v>411.48</v>
      </c>
      <c r="AD914" s="21" t="s">
        <v>368</v>
      </c>
      <c r="AE914" t="str">
        <f>VLOOKUP(Table_Query_from_Actuarial___Production3[[#This Row],[Kor1]],$AI$3:$AK$105,3,FALSE)</f>
        <v>ALAE Reserve</v>
      </c>
      <c r="AF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" spans="18:32" x14ac:dyDescent="0.2">
      <c r="R915" t="s">
        <v>33</v>
      </c>
      <c r="S915" t="s">
        <v>260</v>
      </c>
      <c r="T915" t="s">
        <v>427</v>
      </c>
      <c r="U915" s="21">
        <v>12253.69</v>
      </c>
      <c r="V915" s="21" t="s">
        <v>368</v>
      </c>
      <c r="W915" t="str">
        <f>VLOOKUP(Table_Query_from_Actuarial___Production[[#This Row],[Kor1]],$AI$3:$AK$105,3,FALSE)</f>
        <v>Misc. Expense</v>
      </c>
      <c r="X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"/>
      <c r="Z915" t="s">
        <v>10</v>
      </c>
      <c r="AA915" t="s">
        <v>251</v>
      </c>
      <c r="AB915" t="s">
        <v>351</v>
      </c>
      <c r="AC915" s="21">
        <v>12305.2</v>
      </c>
      <c r="AD915" s="21" t="s">
        <v>368</v>
      </c>
      <c r="AE915" t="str">
        <f>VLOOKUP(Table_Query_from_Actuarial___Production3[[#This Row],[Kor1]],$AI$3:$AK$105,3,FALSE)</f>
        <v>Commissions</v>
      </c>
      <c r="AF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" spans="18:32" x14ac:dyDescent="0.2">
      <c r="R916" t="s">
        <v>439</v>
      </c>
      <c r="S916" t="s">
        <v>235</v>
      </c>
      <c r="T916" t="s">
        <v>443</v>
      </c>
      <c r="U916" s="21">
        <v>-10102.629999999999</v>
      </c>
      <c r="V916" s="21" t="s">
        <v>368</v>
      </c>
      <c r="W916" t="str">
        <f>VLOOKUP(Table_Query_from_Actuarial___Production[[#This Row],[Kor1]],$AI$3:$AK$105,3,FALSE)</f>
        <v>Operating Service Fees</v>
      </c>
      <c r="X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"/>
      <c r="Z916" t="s">
        <v>11</v>
      </c>
      <c r="AA916" t="s">
        <v>242</v>
      </c>
      <c r="AB916" t="s">
        <v>5</v>
      </c>
      <c r="AC916" s="21">
        <v>113941.13</v>
      </c>
      <c r="AD916" s="21" t="s">
        <v>368</v>
      </c>
      <c r="AE916" t="str">
        <f>VLOOKUP(Table_Query_from_Actuarial___Production3[[#This Row],[Kor1]],$AI$3:$AK$105,3,FALSE)</f>
        <v>Losses Paid</v>
      </c>
      <c r="AF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" spans="18:32" x14ac:dyDescent="0.2">
      <c r="R917" t="s">
        <v>12</v>
      </c>
      <c r="S917" t="s">
        <v>252</v>
      </c>
      <c r="T917" t="s">
        <v>351</v>
      </c>
      <c r="U917" s="21">
        <v>491468.64</v>
      </c>
      <c r="V917" s="21" t="s">
        <v>368</v>
      </c>
      <c r="W917" t="str">
        <f>VLOOKUP(Table_Query_from_Actuarial___Production[[#This Row],[Kor1]],$AI$3:$AK$105,3,FALSE)</f>
        <v>Premium Tax</v>
      </c>
      <c r="X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"/>
      <c r="Z917" t="s">
        <v>43</v>
      </c>
      <c r="AA917" t="s">
        <v>232</v>
      </c>
      <c r="AB917" t="s">
        <v>8</v>
      </c>
      <c r="AC917" s="21">
        <v>2171.6</v>
      </c>
      <c r="AD917" s="21" t="s">
        <v>368</v>
      </c>
      <c r="AE917" t="str">
        <f>VLOOKUP(Table_Query_from_Actuarial___Production3[[#This Row],[Kor1]],$AI$3:$AK$105,3,FALSE)</f>
        <v>Charge-offs</v>
      </c>
      <c r="AF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" spans="18:32" x14ac:dyDescent="0.2">
      <c r="R918" t="s">
        <v>40</v>
      </c>
      <c r="S918" t="s">
        <v>237</v>
      </c>
      <c r="T918" t="s">
        <v>443</v>
      </c>
      <c r="U918" s="21">
        <v>559.37</v>
      </c>
      <c r="V918" s="21" t="s">
        <v>368</v>
      </c>
      <c r="W918" t="str">
        <f>VLOOKUP(Table_Query_from_Actuarial___Production[[#This Row],[Kor1]],$AI$3:$AK$105,3,FALSE)</f>
        <v>Misc. Income</v>
      </c>
      <c r="X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"/>
      <c r="Z918" t="s">
        <v>11</v>
      </c>
      <c r="AA918" t="s">
        <v>225</v>
      </c>
      <c r="AB918" t="s">
        <v>356</v>
      </c>
      <c r="AC918" s="21">
        <v>2578335.84</v>
      </c>
      <c r="AD918" s="21" t="s">
        <v>368</v>
      </c>
      <c r="AE918" t="str">
        <f>VLOOKUP(Table_Query_from_Actuarial___Production3[[#This Row],[Kor1]],$AI$3:$AK$105,3,FALSE)</f>
        <v>Losses Paid</v>
      </c>
      <c r="AF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19" spans="18:32" x14ac:dyDescent="0.2">
      <c r="R919" t="s">
        <v>38</v>
      </c>
      <c r="S919" t="s">
        <v>354</v>
      </c>
      <c r="T919" t="s">
        <v>6</v>
      </c>
      <c r="U919" s="21">
        <v>256765.31</v>
      </c>
      <c r="V919" s="21" t="s">
        <v>369</v>
      </c>
      <c r="W919" t="str">
        <f>VLOOKUP(Table_Query_from_Actuarial___Production[[#This Row],[Kor1]],$AI$3:$AK$105,3,FALSE)</f>
        <v>Misc. Income</v>
      </c>
      <c r="X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19"/>
      <c r="Z919" t="s">
        <v>11</v>
      </c>
      <c r="AA919" t="s">
        <v>237</v>
      </c>
      <c r="AB919" t="s">
        <v>7</v>
      </c>
      <c r="AC919" s="21">
        <v>3301880.36</v>
      </c>
      <c r="AD919" s="21" t="s">
        <v>368</v>
      </c>
      <c r="AE919" t="str">
        <f>VLOOKUP(Table_Query_from_Actuarial___Production3[[#This Row],[Kor1]],$AI$3:$AK$105,3,FALSE)</f>
        <v>Losses Paid</v>
      </c>
      <c r="AF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" spans="18:32" x14ac:dyDescent="0.2">
      <c r="R920" t="s">
        <v>49</v>
      </c>
      <c r="S920" t="s">
        <v>267</v>
      </c>
      <c r="T920" t="s">
        <v>351</v>
      </c>
      <c r="U920" s="21">
        <v>7425</v>
      </c>
      <c r="V920" s="21" t="s">
        <v>368</v>
      </c>
      <c r="W920" t="str">
        <f>VLOOKUP(Table_Query_from_Actuarial___Production[[#This Row],[Kor1]],$AI$3:$AK$105,3,FALSE)</f>
        <v>ALAE Paid</v>
      </c>
      <c r="X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"/>
      <c r="Z920" t="s">
        <v>37</v>
      </c>
      <c r="AA920" t="s">
        <v>265</v>
      </c>
      <c r="AB920" t="s">
        <v>441</v>
      </c>
      <c r="AC920" s="21">
        <v>5857.08</v>
      </c>
      <c r="AD920" s="21" t="s">
        <v>368</v>
      </c>
      <c r="AE920" t="str">
        <f>VLOOKUP(Table_Query_from_Actuarial___Production3[[#This Row],[Kor1]],$AI$3:$AK$105,3,FALSE)</f>
        <v>Misc. Expense</v>
      </c>
      <c r="AF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" spans="18:32" x14ac:dyDescent="0.2">
      <c r="R921" t="s">
        <v>11</v>
      </c>
      <c r="S921" t="s">
        <v>244</v>
      </c>
      <c r="T921" t="s">
        <v>442</v>
      </c>
      <c r="U921" s="21">
        <v>837111.37</v>
      </c>
      <c r="V921" s="21" t="s">
        <v>368</v>
      </c>
      <c r="W921" t="str">
        <f>VLOOKUP(Table_Query_from_Actuarial___Production[[#This Row],[Kor1]],$AI$3:$AK$105,3,FALSE)</f>
        <v>Losses Paid</v>
      </c>
      <c r="X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"/>
      <c r="Z921" t="s">
        <v>19</v>
      </c>
      <c r="AA921" t="s">
        <v>257</v>
      </c>
      <c r="AB921" t="s">
        <v>356</v>
      </c>
      <c r="AC921" s="21">
        <v>554</v>
      </c>
      <c r="AD921" s="21" t="s">
        <v>368</v>
      </c>
      <c r="AE921" t="str">
        <f>VLOOKUP(Table_Query_from_Actuarial___Production3[[#This Row],[Kor1]],$AI$3:$AK$105,3,FALSE)</f>
        <v>Misc. Expense for Insolvent Companies</v>
      </c>
      <c r="AF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" spans="18:32" x14ac:dyDescent="0.2">
      <c r="R922" t="s">
        <v>12</v>
      </c>
      <c r="S922" t="s">
        <v>238</v>
      </c>
      <c r="T922" t="s">
        <v>433</v>
      </c>
      <c r="U922" s="21">
        <v>14809</v>
      </c>
      <c r="V922" s="21" t="s">
        <v>368</v>
      </c>
      <c r="W922" t="str">
        <f>VLOOKUP(Table_Query_from_Actuarial___Production[[#This Row],[Kor1]],$AI$3:$AK$105,3,FALSE)</f>
        <v>Premium Tax</v>
      </c>
      <c r="X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"/>
      <c r="Z922" t="s">
        <v>10</v>
      </c>
      <c r="AA922" t="s">
        <v>225</v>
      </c>
      <c r="AB922" t="s">
        <v>443</v>
      </c>
      <c r="AC922" s="21">
        <v>42459.8</v>
      </c>
      <c r="AD922" s="21" t="s">
        <v>368</v>
      </c>
      <c r="AE922" t="str">
        <f>VLOOKUP(Table_Query_from_Actuarial___Production3[[#This Row],[Kor1]],$AI$3:$AK$105,3,FALSE)</f>
        <v>Commissions</v>
      </c>
      <c r="AF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23" spans="18:32" x14ac:dyDescent="0.2">
      <c r="R923" t="s">
        <v>12</v>
      </c>
      <c r="S923" t="s">
        <v>243</v>
      </c>
      <c r="T923" t="s">
        <v>6</v>
      </c>
      <c r="U923" s="21">
        <v>4157.72</v>
      </c>
      <c r="V923" s="21" t="s">
        <v>368</v>
      </c>
      <c r="W923" t="str">
        <f>VLOOKUP(Table_Query_from_Actuarial___Production[[#This Row],[Kor1]],$AI$3:$AK$105,3,FALSE)</f>
        <v>Premium Tax</v>
      </c>
      <c r="X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"/>
      <c r="Z923" t="s">
        <v>13</v>
      </c>
      <c r="AA923" t="s">
        <v>229</v>
      </c>
      <c r="AB923" t="s">
        <v>443</v>
      </c>
      <c r="AC923" s="21">
        <v>3728.34</v>
      </c>
      <c r="AD923" s="21" t="s">
        <v>368</v>
      </c>
      <c r="AE923" t="str">
        <f>VLOOKUP(Table_Query_from_Actuarial___Production3[[#This Row],[Kor1]],$AI$3:$AK$105,3,FALSE)</f>
        <v>Operating Service Fees</v>
      </c>
      <c r="AF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" spans="18:32" x14ac:dyDescent="0.2">
      <c r="R924" t="s">
        <v>32</v>
      </c>
      <c r="S924" t="s">
        <v>227</v>
      </c>
      <c r="T924" t="s">
        <v>6</v>
      </c>
      <c r="U924" s="21">
        <v>48983.33</v>
      </c>
      <c r="V924" s="21" t="s">
        <v>368</v>
      </c>
      <c r="W924" t="str">
        <f>VLOOKUP(Table_Query_from_Actuarial___Production[[#This Row],[Kor1]],$AI$3:$AK$105,3,FALSE)</f>
        <v>Misc. Expense</v>
      </c>
      <c r="X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"/>
      <c r="Z924" t="s">
        <v>40</v>
      </c>
      <c r="AA924" t="s">
        <v>230</v>
      </c>
      <c r="AB924" t="s">
        <v>6</v>
      </c>
      <c r="AC924" s="21">
        <v>230.62</v>
      </c>
      <c r="AD924" s="21" t="s">
        <v>368</v>
      </c>
      <c r="AE924" t="str">
        <f>VLOOKUP(Table_Query_from_Actuarial___Production3[[#This Row],[Kor1]],$AI$3:$AK$105,3,FALSE)</f>
        <v>Misc. Income</v>
      </c>
      <c r="AF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" spans="18:32" x14ac:dyDescent="0.2">
      <c r="R925" t="s">
        <v>39</v>
      </c>
      <c r="S925" t="s">
        <v>235</v>
      </c>
      <c r="T925" t="s">
        <v>442</v>
      </c>
      <c r="U925" s="21">
        <v>11</v>
      </c>
      <c r="V925" s="21" t="s">
        <v>368</v>
      </c>
      <c r="W925" t="str">
        <f>VLOOKUP(Table_Query_from_Actuarial___Production[[#This Row],[Kor1]],$AI$3:$AK$105,3,FALSE)</f>
        <v>Misc. Income for Insolvent Companies</v>
      </c>
      <c r="X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"/>
      <c r="Z925" t="s">
        <v>49</v>
      </c>
      <c r="AA925" t="s">
        <v>261</v>
      </c>
      <c r="AB925" t="s">
        <v>356</v>
      </c>
      <c r="AC925" s="21">
        <v>6645.25</v>
      </c>
      <c r="AD925" s="21" t="s">
        <v>368</v>
      </c>
      <c r="AE925" t="str">
        <f>VLOOKUP(Table_Query_from_Actuarial___Production3[[#This Row],[Kor1]],$AI$3:$AK$105,3,FALSE)</f>
        <v>ALAE Paid</v>
      </c>
      <c r="AF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" spans="18:32" x14ac:dyDescent="0.2">
      <c r="R926" t="s">
        <v>50</v>
      </c>
      <c r="S926" t="s">
        <v>235</v>
      </c>
      <c r="T926" t="s">
        <v>441</v>
      </c>
      <c r="U926" s="21">
        <v>731.18</v>
      </c>
      <c r="V926" s="21" t="s">
        <v>368</v>
      </c>
      <c r="W926" t="str">
        <f>VLOOKUP(Table_Query_from_Actuarial___Production[[#This Row],[Kor1]],$AI$3:$AK$105,3,FALSE)</f>
        <v>ALAE Reserve</v>
      </c>
      <c r="X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"/>
      <c r="Z926" t="s">
        <v>3</v>
      </c>
      <c r="AA926" t="s">
        <v>224</v>
      </c>
      <c r="AB926" t="s">
        <v>351</v>
      </c>
      <c r="AC926" s="21">
        <v>3584045.23</v>
      </c>
      <c r="AD926" s="21" t="s">
        <v>368</v>
      </c>
      <c r="AE926" t="str">
        <f>VLOOKUP(Table_Query_from_Actuarial___Production3[[#This Row],[Kor1]],$AI$3:$AK$105,3,FALSE)</f>
        <v>Premiums Written</v>
      </c>
      <c r="AF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27" spans="18:32" x14ac:dyDescent="0.2">
      <c r="R927" t="s">
        <v>14</v>
      </c>
      <c r="S927" t="s">
        <v>241</v>
      </c>
      <c r="T927" t="s">
        <v>8</v>
      </c>
      <c r="U927" s="21">
        <v>55644.46</v>
      </c>
      <c r="V927" s="21" t="s">
        <v>368</v>
      </c>
      <c r="W927" t="str">
        <f>VLOOKUP(Table_Query_from_Actuarial___Production[[#This Row],[Kor1]],$AI$3:$AK$105,3,FALSE)</f>
        <v>Claims Expense</v>
      </c>
      <c r="X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"/>
      <c r="Z927" t="s">
        <v>14</v>
      </c>
      <c r="AA927" t="s">
        <v>224</v>
      </c>
      <c r="AB927" t="s">
        <v>433</v>
      </c>
      <c r="AC927" s="21">
        <v>168700.07</v>
      </c>
      <c r="AD927" s="21" t="s">
        <v>370</v>
      </c>
      <c r="AE927" t="str">
        <f>VLOOKUP(Table_Query_from_Actuarial___Production3[[#This Row],[Kor1]],$AI$3:$AK$105,3,FALSE)</f>
        <v>Claims Expense</v>
      </c>
      <c r="AF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28" spans="18:32" x14ac:dyDescent="0.2">
      <c r="R928" t="s">
        <v>47</v>
      </c>
      <c r="S928" t="s">
        <v>235</v>
      </c>
      <c r="T928" t="s">
        <v>443</v>
      </c>
      <c r="U928" s="21">
        <v>15255.86</v>
      </c>
      <c r="V928" s="21" t="s">
        <v>368</v>
      </c>
      <c r="W928" t="str">
        <f>VLOOKUP(Table_Query_from_Actuarial___Production[[#This Row],[Kor1]],$AI$3:$AK$105,3,FALSE)</f>
        <v>Investment Income</v>
      </c>
      <c r="X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"/>
      <c r="Z928" t="s">
        <v>31</v>
      </c>
      <c r="AA928" t="s">
        <v>237</v>
      </c>
      <c r="AB928" t="s">
        <v>9</v>
      </c>
      <c r="AC928" s="21">
        <v>-380.49</v>
      </c>
      <c r="AD928" s="21" t="s">
        <v>368</v>
      </c>
      <c r="AE928" t="str">
        <f>VLOOKUP(Table_Query_from_Actuarial___Production3[[#This Row],[Kor1]],$AI$3:$AK$105,3,FALSE)</f>
        <v>Misc. Expense</v>
      </c>
      <c r="AF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" spans="18:32" x14ac:dyDescent="0.2">
      <c r="R929" t="s">
        <v>33</v>
      </c>
      <c r="S929" t="s">
        <v>234</v>
      </c>
      <c r="T929" t="s">
        <v>351</v>
      </c>
      <c r="U929" s="21">
        <v>16512.689999999999</v>
      </c>
      <c r="V929" s="21" t="s">
        <v>368</v>
      </c>
      <c r="W929" t="str">
        <f>VLOOKUP(Table_Query_from_Actuarial___Production[[#This Row],[Kor1]],$AI$3:$AK$105,3,FALSE)</f>
        <v>Misc. Expense</v>
      </c>
      <c r="X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"/>
      <c r="Z929" t="s">
        <v>43</v>
      </c>
      <c r="AA929" t="s">
        <v>256</v>
      </c>
      <c r="AB929" t="s">
        <v>9</v>
      </c>
      <c r="AC929" s="21">
        <v>2447.2800000000002</v>
      </c>
      <c r="AD929" s="21" t="s">
        <v>368</v>
      </c>
      <c r="AE929" t="str">
        <f>VLOOKUP(Table_Query_from_Actuarial___Production3[[#This Row],[Kor1]],$AI$3:$AK$105,3,FALSE)</f>
        <v>Charge-offs</v>
      </c>
      <c r="AF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" spans="18:32" x14ac:dyDescent="0.2">
      <c r="R930" t="s">
        <v>47</v>
      </c>
      <c r="S930" t="s">
        <v>267</v>
      </c>
      <c r="T930" t="s">
        <v>7</v>
      </c>
      <c r="U930" s="21">
        <v>0.04</v>
      </c>
      <c r="V930" s="21" t="s">
        <v>368</v>
      </c>
      <c r="W930" t="str">
        <f>VLOOKUP(Table_Query_from_Actuarial___Production[[#This Row],[Kor1]],$AI$3:$AK$105,3,FALSE)</f>
        <v>Investment Income</v>
      </c>
      <c r="X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"/>
      <c r="Z930" t="s">
        <v>50</v>
      </c>
      <c r="AA930" t="s">
        <v>225</v>
      </c>
      <c r="AB930" t="s">
        <v>356</v>
      </c>
      <c r="AC930" s="21">
        <v>19017.099999999999</v>
      </c>
      <c r="AD930" s="21" t="s">
        <v>368</v>
      </c>
      <c r="AE930" t="str">
        <f>VLOOKUP(Table_Query_from_Actuarial___Production3[[#This Row],[Kor1]],$AI$3:$AK$105,3,FALSE)</f>
        <v>ALAE Reserve</v>
      </c>
      <c r="AF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31" spans="18:32" x14ac:dyDescent="0.2">
      <c r="R931" t="s">
        <v>12</v>
      </c>
      <c r="S931" t="s">
        <v>262</v>
      </c>
      <c r="T931" t="s">
        <v>9</v>
      </c>
      <c r="U931" s="21">
        <v>5473.9</v>
      </c>
      <c r="V931" s="21" t="s">
        <v>368</v>
      </c>
      <c r="W931" t="str">
        <f>VLOOKUP(Table_Query_from_Actuarial___Production[[#This Row],[Kor1]],$AI$3:$AK$105,3,FALSE)</f>
        <v>Premium Tax</v>
      </c>
      <c r="X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"/>
      <c r="Z931" t="s">
        <v>21</v>
      </c>
      <c r="AA931" t="s">
        <v>241</v>
      </c>
      <c r="AB931" t="s">
        <v>427</v>
      </c>
      <c r="AC931" s="21">
        <v>3080.81</v>
      </c>
      <c r="AD931" s="21" t="s">
        <v>368</v>
      </c>
      <c r="AE931" t="str">
        <f>VLOOKUP(Table_Query_from_Actuarial___Production3[[#This Row],[Kor1]],$AI$3:$AK$105,3,FALSE)</f>
        <v>Misc. Expense</v>
      </c>
      <c r="AF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" spans="18:32" x14ac:dyDescent="0.2">
      <c r="R932" t="s">
        <v>44</v>
      </c>
      <c r="S932" t="s">
        <v>238</v>
      </c>
      <c r="T932" t="s">
        <v>7</v>
      </c>
      <c r="U932" s="21">
        <v>22542.400000000001</v>
      </c>
      <c r="V932" s="21" t="s">
        <v>368</v>
      </c>
      <c r="W932" t="str">
        <f>VLOOKUP(Table_Query_from_Actuarial___Production[[#This Row],[Kor1]],$AI$3:$AK$105,3,FALSE)</f>
        <v>Charge-offs</v>
      </c>
      <c r="X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"/>
      <c r="Z932" t="s">
        <v>19</v>
      </c>
      <c r="AA932" t="s">
        <v>255</v>
      </c>
      <c r="AB932" t="s">
        <v>5</v>
      </c>
      <c r="AC932" s="21">
        <v>1662</v>
      </c>
      <c r="AD932" s="21" t="s">
        <v>368</v>
      </c>
      <c r="AE932" t="str">
        <f>VLOOKUP(Table_Query_from_Actuarial___Production3[[#This Row],[Kor1]],$AI$3:$AK$105,3,FALSE)</f>
        <v>Misc. Expense for Insolvent Companies</v>
      </c>
      <c r="AF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" spans="18:32" x14ac:dyDescent="0.2">
      <c r="R933" t="s">
        <v>13</v>
      </c>
      <c r="S933" t="s">
        <v>352</v>
      </c>
      <c r="T933" t="s">
        <v>433</v>
      </c>
      <c r="U933" s="21">
        <v>31.2</v>
      </c>
      <c r="V933" s="21" t="s">
        <v>368</v>
      </c>
      <c r="W933" t="str">
        <f>VLOOKUP(Table_Query_from_Actuarial___Production[[#This Row],[Kor1]],$AI$3:$AK$105,3,FALSE)</f>
        <v>Operating Service Fees</v>
      </c>
      <c r="X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933"/>
      <c r="Z933" t="s">
        <v>33</v>
      </c>
      <c r="AA933" t="s">
        <v>235</v>
      </c>
      <c r="AB933" t="s">
        <v>433</v>
      </c>
      <c r="AC933" s="21">
        <v>15173.12</v>
      </c>
      <c r="AD933" s="21" t="s">
        <v>368</v>
      </c>
      <c r="AE933" t="str">
        <f>VLOOKUP(Table_Query_from_Actuarial___Production3[[#This Row],[Kor1]],$AI$3:$AK$105,3,FALSE)</f>
        <v>Misc. Expense</v>
      </c>
      <c r="AF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" spans="18:32" x14ac:dyDescent="0.2">
      <c r="R934" t="s">
        <v>43</v>
      </c>
      <c r="S934" t="s">
        <v>266</v>
      </c>
      <c r="T934" t="s">
        <v>433</v>
      </c>
      <c r="U934" s="21">
        <v>14.67</v>
      </c>
      <c r="V934" s="21" t="s">
        <v>368</v>
      </c>
      <c r="W934" t="str">
        <f>VLOOKUP(Table_Query_from_Actuarial___Production[[#This Row],[Kor1]],$AI$3:$AK$105,3,FALSE)</f>
        <v>Charge-offs</v>
      </c>
      <c r="X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"/>
      <c r="Z934" t="s">
        <v>33</v>
      </c>
      <c r="AA934" t="s">
        <v>238</v>
      </c>
      <c r="AB934" t="s">
        <v>442</v>
      </c>
      <c r="AC934" s="21">
        <v>12734.48</v>
      </c>
      <c r="AD934" s="21" t="s">
        <v>368</v>
      </c>
      <c r="AE934" t="str">
        <f>VLOOKUP(Table_Query_from_Actuarial___Production3[[#This Row],[Kor1]],$AI$3:$AK$105,3,FALSE)</f>
        <v>Misc. Expense</v>
      </c>
      <c r="AF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" spans="18:32" x14ac:dyDescent="0.2">
      <c r="R935" t="s">
        <v>47</v>
      </c>
      <c r="S935" t="s">
        <v>243</v>
      </c>
      <c r="T935" t="s">
        <v>8</v>
      </c>
      <c r="U935" s="21">
        <v>0.04</v>
      </c>
      <c r="V935" s="21" t="s">
        <v>368</v>
      </c>
      <c r="W935" t="str">
        <f>VLOOKUP(Table_Query_from_Actuarial___Production[[#This Row],[Kor1]],$AI$3:$AK$105,3,FALSE)</f>
        <v>Investment Income</v>
      </c>
      <c r="X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"/>
      <c r="Z935" t="s">
        <v>439</v>
      </c>
      <c r="AA935" t="s">
        <v>244</v>
      </c>
      <c r="AB935" t="s">
        <v>443</v>
      </c>
      <c r="AC935" s="21">
        <v>-62657.83</v>
      </c>
      <c r="AD935" s="21" t="s">
        <v>368</v>
      </c>
      <c r="AE935" t="str">
        <f>VLOOKUP(Table_Query_from_Actuarial___Production3[[#This Row],[Kor1]],$AI$3:$AK$105,3,FALSE)</f>
        <v>Operating Service Fees</v>
      </c>
      <c r="AF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" spans="18:32" x14ac:dyDescent="0.2">
      <c r="R936" t="s">
        <v>3</v>
      </c>
      <c r="S936" t="s">
        <v>251</v>
      </c>
      <c r="T936" t="s">
        <v>433</v>
      </c>
      <c r="U936" s="21">
        <v>723878</v>
      </c>
      <c r="V936" s="21" t="s">
        <v>368</v>
      </c>
      <c r="W936" t="str">
        <f>VLOOKUP(Table_Query_from_Actuarial___Production[[#This Row],[Kor1]],$AI$3:$AK$105,3,FALSE)</f>
        <v>Premiums Written</v>
      </c>
      <c r="X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"/>
      <c r="Z936" t="s">
        <v>33</v>
      </c>
      <c r="AA936" t="s">
        <v>260</v>
      </c>
      <c r="AB936" t="s">
        <v>427</v>
      </c>
      <c r="AC936" s="21">
        <v>12253.69</v>
      </c>
      <c r="AD936" s="21" t="s">
        <v>368</v>
      </c>
      <c r="AE936" t="str">
        <f>VLOOKUP(Table_Query_from_Actuarial___Production3[[#This Row],[Kor1]],$AI$3:$AK$105,3,FALSE)</f>
        <v>Misc. Expense</v>
      </c>
      <c r="AF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" spans="18:32" x14ac:dyDescent="0.2">
      <c r="R937" t="s">
        <v>10</v>
      </c>
      <c r="S937" t="s">
        <v>250</v>
      </c>
      <c r="T937" t="s">
        <v>8</v>
      </c>
      <c r="U937" s="21">
        <v>98356.3</v>
      </c>
      <c r="V937" s="21" t="s">
        <v>368</v>
      </c>
      <c r="W937" t="str">
        <f>VLOOKUP(Table_Query_from_Actuarial___Production[[#This Row],[Kor1]],$AI$3:$AK$105,3,FALSE)</f>
        <v>Commissions</v>
      </c>
      <c r="X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"/>
      <c r="Z937" t="s">
        <v>439</v>
      </c>
      <c r="AA937" t="s">
        <v>235</v>
      </c>
      <c r="AB937" t="s">
        <v>443</v>
      </c>
      <c r="AC937" s="21">
        <v>-10102.629999999999</v>
      </c>
      <c r="AD937" s="21" t="s">
        <v>368</v>
      </c>
      <c r="AE937" t="str">
        <f>VLOOKUP(Table_Query_from_Actuarial___Production3[[#This Row],[Kor1]],$AI$3:$AK$105,3,FALSE)</f>
        <v>Operating Service Fees</v>
      </c>
      <c r="AF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" spans="18:32" x14ac:dyDescent="0.2">
      <c r="R938" t="s">
        <v>13</v>
      </c>
      <c r="S938" t="s">
        <v>231</v>
      </c>
      <c r="T938" t="s">
        <v>442</v>
      </c>
      <c r="U938" s="21">
        <v>429311.76</v>
      </c>
      <c r="V938" s="21" t="s">
        <v>368</v>
      </c>
      <c r="W938" t="str">
        <f>VLOOKUP(Table_Query_from_Actuarial___Production[[#This Row],[Kor1]],$AI$3:$AK$105,3,FALSE)</f>
        <v>Operating Service Fees</v>
      </c>
      <c r="X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"/>
      <c r="Z938" t="s">
        <v>12</v>
      </c>
      <c r="AA938" t="s">
        <v>252</v>
      </c>
      <c r="AB938" t="s">
        <v>351</v>
      </c>
      <c r="AC938" s="21">
        <v>491468.64</v>
      </c>
      <c r="AD938" s="21" t="s">
        <v>368</v>
      </c>
      <c r="AE938" t="str">
        <f>VLOOKUP(Table_Query_from_Actuarial___Production3[[#This Row],[Kor1]],$AI$3:$AK$105,3,FALSE)</f>
        <v>Premium Tax</v>
      </c>
      <c r="AF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" spans="18:32" x14ac:dyDescent="0.2">
      <c r="R939" t="s">
        <v>31</v>
      </c>
      <c r="S939" t="s">
        <v>244</v>
      </c>
      <c r="T939" t="s">
        <v>442</v>
      </c>
      <c r="U939" s="21">
        <v>1056.81</v>
      </c>
      <c r="V939" s="21" t="s">
        <v>368</v>
      </c>
      <c r="W939" t="str">
        <f>VLOOKUP(Table_Query_from_Actuarial___Production[[#This Row],[Kor1]],$AI$3:$AK$105,3,FALSE)</f>
        <v>Misc. Expense</v>
      </c>
      <c r="X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"/>
      <c r="Z939" t="s">
        <v>38</v>
      </c>
      <c r="AA939" t="s">
        <v>354</v>
      </c>
      <c r="AB939" t="s">
        <v>6</v>
      </c>
      <c r="AC939" s="21">
        <v>256765.31</v>
      </c>
      <c r="AD939" s="21" t="s">
        <v>369</v>
      </c>
      <c r="AE939" t="str">
        <f>VLOOKUP(Table_Query_from_Actuarial___Production3[[#This Row],[Kor1]],$AI$3:$AK$105,3,FALSE)</f>
        <v>Misc. Income</v>
      </c>
      <c r="AF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40" spans="18:32" x14ac:dyDescent="0.2">
      <c r="R940" t="s">
        <v>20</v>
      </c>
      <c r="S940" t="s">
        <v>228</v>
      </c>
      <c r="T940" t="s">
        <v>6</v>
      </c>
      <c r="U940" s="21">
        <v>113.37</v>
      </c>
      <c r="V940" s="21" t="s">
        <v>368</v>
      </c>
      <c r="W940" t="str">
        <f>VLOOKUP(Table_Query_from_Actuarial___Production[[#This Row],[Kor1]],$AI$3:$AK$105,3,FALSE)</f>
        <v>Misc. Expense</v>
      </c>
      <c r="X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"/>
      <c r="Z940" t="s">
        <v>14</v>
      </c>
      <c r="AA940" t="s">
        <v>234</v>
      </c>
      <c r="AB940" t="s">
        <v>5</v>
      </c>
      <c r="AC940" s="21">
        <v>27464.86</v>
      </c>
      <c r="AD940" s="21" t="s">
        <v>368</v>
      </c>
      <c r="AE940" t="str">
        <f>VLOOKUP(Table_Query_from_Actuarial___Production3[[#This Row],[Kor1]],$AI$3:$AK$105,3,FALSE)</f>
        <v>Claims Expense</v>
      </c>
      <c r="AF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" spans="18:32" x14ac:dyDescent="0.2">
      <c r="R941" t="s">
        <v>3</v>
      </c>
      <c r="S941" t="s">
        <v>232</v>
      </c>
      <c r="T941" t="s">
        <v>6</v>
      </c>
      <c r="U941" s="21">
        <v>1258413</v>
      </c>
      <c r="V941" s="21" t="s">
        <v>368</v>
      </c>
      <c r="W941" t="str">
        <f>VLOOKUP(Table_Query_from_Actuarial___Production[[#This Row],[Kor1]],$AI$3:$AK$105,3,FALSE)</f>
        <v>Premiums Written</v>
      </c>
      <c r="X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"/>
      <c r="Z941" t="s">
        <v>49</v>
      </c>
      <c r="AA941" t="s">
        <v>267</v>
      </c>
      <c r="AB941" t="s">
        <v>351</v>
      </c>
      <c r="AC941" s="21">
        <v>7425</v>
      </c>
      <c r="AD941" s="21" t="s">
        <v>368</v>
      </c>
      <c r="AE941" t="str">
        <f>VLOOKUP(Table_Query_from_Actuarial___Production3[[#This Row],[Kor1]],$AI$3:$AK$105,3,FALSE)</f>
        <v>ALAE Paid</v>
      </c>
      <c r="AF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" spans="18:32" x14ac:dyDescent="0.2">
      <c r="R942" t="s">
        <v>48</v>
      </c>
      <c r="S942" t="s">
        <v>258</v>
      </c>
      <c r="T942" t="s">
        <v>445</v>
      </c>
      <c r="U942" s="21">
        <v>1853.9</v>
      </c>
      <c r="V942" s="21" t="s">
        <v>368</v>
      </c>
      <c r="W942" t="str">
        <f>VLOOKUP(Table_Query_from_Actuarial___Production[[#This Row],[Kor1]],$AI$3:$AK$105,3,FALSE)</f>
        <v>Anticipated Salvage</v>
      </c>
      <c r="X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"/>
      <c r="Z942" t="s">
        <v>11</v>
      </c>
      <c r="AA942" t="s">
        <v>244</v>
      </c>
      <c r="AB942" t="s">
        <v>442</v>
      </c>
      <c r="AC942" s="21">
        <v>239949.46</v>
      </c>
      <c r="AD942" s="21" t="s">
        <v>368</v>
      </c>
      <c r="AE942" t="str">
        <f>VLOOKUP(Table_Query_from_Actuarial___Production3[[#This Row],[Kor1]],$AI$3:$AK$105,3,FALSE)</f>
        <v>Losses Paid</v>
      </c>
      <c r="AF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" spans="18:32" x14ac:dyDescent="0.2">
      <c r="R943" t="s">
        <v>11</v>
      </c>
      <c r="S943" t="s">
        <v>237</v>
      </c>
      <c r="T943" t="s">
        <v>427</v>
      </c>
      <c r="U943" s="21">
        <v>37318889.469999999</v>
      </c>
      <c r="V943" s="21" t="s">
        <v>368</v>
      </c>
      <c r="W943" t="str">
        <f>VLOOKUP(Table_Query_from_Actuarial___Production[[#This Row],[Kor1]],$AI$3:$AK$105,3,FALSE)</f>
        <v>Losses Paid</v>
      </c>
      <c r="X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"/>
      <c r="Z943" t="s">
        <v>41</v>
      </c>
      <c r="AA943" t="s">
        <v>229</v>
      </c>
      <c r="AB943" t="s">
        <v>5</v>
      </c>
      <c r="AC943" s="21">
        <v>50</v>
      </c>
      <c r="AD943" s="21" t="s">
        <v>368</v>
      </c>
      <c r="AE943" t="str">
        <f>VLOOKUP(Table_Query_from_Actuarial___Production3[[#This Row],[Kor1]],$AI$3:$AK$105,3,FALSE)</f>
        <v>Misc. Income</v>
      </c>
      <c r="AF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" spans="18:32" x14ac:dyDescent="0.2">
      <c r="R944" t="s">
        <v>11</v>
      </c>
      <c r="S944" t="s">
        <v>250</v>
      </c>
      <c r="T944" t="s">
        <v>427</v>
      </c>
      <c r="U944" s="21">
        <v>294609.53999999998</v>
      </c>
      <c r="V944" s="21" t="s">
        <v>368</v>
      </c>
      <c r="W944" t="str">
        <f>VLOOKUP(Table_Query_from_Actuarial___Production[[#This Row],[Kor1]],$AI$3:$AK$105,3,FALSE)</f>
        <v>Losses Paid</v>
      </c>
      <c r="X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"/>
      <c r="Z944" t="s">
        <v>12</v>
      </c>
      <c r="AA944" t="s">
        <v>238</v>
      </c>
      <c r="AB944" t="s">
        <v>433</v>
      </c>
      <c r="AC944" s="21">
        <v>14809</v>
      </c>
      <c r="AD944" s="21" t="s">
        <v>368</v>
      </c>
      <c r="AE944" t="str">
        <f>VLOOKUP(Table_Query_from_Actuarial___Production3[[#This Row],[Kor1]],$AI$3:$AK$105,3,FALSE)</f>
        <v>Premium Tax</v>
      </c>
      <c r="AF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" spans="18:32" x14ac:dyDescent="0.2">
      <c r="R945" t="s">
        <v>16</v>
      </c>
      <c r="S945" t="s">
        <v>260</v>
      </c>
      <c r="T945" t="s">
        <v>443</v>
      </c>
      <c r="U945" s="21">
        <v>9962.16</v>
      </c>
      <c r="V945" s="21" t="s">
        <v>368</v>
      </c>
      <c r="W945" t="str">
        <f>VLOOKUP(Table_Query_from_Actuarial___Production[[#This Row],[Kor1]],$AI$3:$AK$105,3,FALSE)</f>
        <v>Losses Outstanding</v>
      </c>
      <c r="X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"/>
      <c r="Z945" t="s">
        <v>12</v>
      </c>
      <c r="AA945" t="s">
        <v>243</v>
      </c>
      <c r="AB945" t="s">
        <v>6</v>
      </c>
      <c r="AC945" s="21">
        <v>4157.72</v>
      </c>
      <c r="AD945" s="21" t="s">
        <v>368</v>
      </c>
      <c r="AE945" t="str">
        <f>VLOOKUP(Table_Query_from_Actuarial___Production3[[#This Row],[Kor1]],$AI$3:$AK$105,3,FALSE)</f>
        <v>Premium Tax</v>
      </c>
      <c r="AF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" spans="18:32" x14ac:dyDescent="0.2">
      <c r="R946" t="s">
        <v>21</v>
      </c>
      <c r="S946" t="s">
        <v>241</v>
      </c>
      <c r="T946" t="s">
        <v>443</v>
      </c>
      <c r="U946" s="21">
        <v>1601.52</v>
      </c>
      <c r="V946" s="21" t="s">
        <v>368</v>
      </c>
      <c r="W946" t="str">
        <f>VLOOKUP(Table_Query_from_Actuarial___Production[[#This Row],[Kor1]],$AI$3:$AK$105,3,FALSE)</f>
        <v>Misc. Expense</v>
      </c>
      <c r="X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"/>
      <c r="Z946" t="s">
        <v>32</v>
      </c>
      <c r="AA946" t="s">
        <v>227</v>
      </c>
      <c r="AB946" t="s">
        <v>6</v>
      </c>
      <c r="AC946" s="21">
        <v>48983.33</v>
      </c>
      <c r="AD946" s="21" t="s">
        <v>368</v>
      </c>
      <c r="AE946" t="str">
        <f>VLOOKUP(Table_Query_from_Actuarial___Production3[[#This Row],[Kor1]],$AI$3:$AK$105,3,FALSE)</f>
        <v>Misc. Expense</v>
      </c>
      <c r="AF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" spans="18:32" x14ac:dyDescent="0.2">
      <c r="R947" t="s">
        <v>3</v>
      </c>
      <c r="S947" t="s">
        <v>224</v>
      </c>
      <c r="T947" t="s">
        <v>6</v>
      </c>
      <c r="U947" s="21">
        <v>185138.61</v>
      </c>
      <c r="V947" s="21" t="s">
        <v>425</v>
      </c>
      <c r="W947" t="str">
        <f>VLOOKUP(Table_Query_from_Actuarial___Production[[#This Row],[Kor1]],$AI$3:$AK$105,3,FALSE)</f>
        <v>Premiums Written</v>
      </c>
      <c r="X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47"/>
      <c r="Z947" t="s">
        <v>39</v>
      </c>
      <c r="AA947" t="s">
        <v>235</v>
      </c>
      <c r="AB947" t="s">
        <v>442</v>
      </c>
      <c r="AC947" s="21">
        <v>11</v>
      </c>
      <c r="AD947" s="21" t="s">
        <v>368</v>
      </c>
      <c r="AE947" t="str">
        <f>VLOOKUP(Table_Query_from_Actuarial___Production3[[#This Row],[Kor1]],$AI$3:$AK$105,3,FALSE)</f>
        <v>Misc. Income for Insolvent Companies</v>
      </c>
      <c r="AF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" spans="18:32" x14ac:dyDescent="0.2">
      <c r="R948" t="s">
        <v>44</v>
      </c>
      <c r="S948" t="s">
        <v>4</v>
      </c>
      <c r="T948" t="s">
        <v>356</v>
      </c>
      <c r="U948" s="21">
        <v>682212.39</v>
      </c>
      <c r="V948" s="21" t="s">
        <v>368</v>
      </c>
      <c r="W948" t="str">
        <f>VLOOKUP(Table_Query_from_Actuarial___Production[[#This Row],[Kor1]],$AI$3:$AK$105,3,FALSE)</f>
        <v>Charge-offs</v>
      </c>
      <c r="X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"/>
      <c r="Z948" t="s">
        <v>50</v>
      </c>
      <c r="AA948" t="s">
        <v>235</v>
      </c>
      <c r="AB948" t="s">
        <v>441</v>
      </c>
      <c r="AC948" s="21">
        <v>895.14</v>
      </c>
      <c r="AD948" s="21" t="s">
        <v>368</v>
      </c>
      <c r="AE948" t="str">
        <f>VLOOKUP(Table_Query_from_Actuarial___Production3[[#This Row],[Kor1]],$AI$3:$AK$105,3,FALSE)</f>
        <v>ALAE Reserve</v>
      </c>
      <c r="AF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" spans="18:32" x14ac:dyDescent="0.2">
      <c r="R949" t="s">
        <v>44</v>
      </c>
      <c r="S949" t="s">
        <v>228</v>
      </c>
      <c r="T949" t="s">
        <v>441</v>
      </c>
      <c r="U949" s="21">
        <v>27</v>
      </c>
      <c r="V949" s="21" t="s">
        <v>368</v>
      </c>
      <c r="W949" t="str">
        <f>VLOOKUP(Table_Query_from_Actuarial___Production[[#This Row],[Kor1]],$AI$3:$AK$105,3,FALSE)</f>
        <v>Charge-offs</v>
      </c>
      <c r="X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"/>
      <c r="Z949" t="s">
        <v>14</v>
      </c>
      <c r="AA949" t="s">
        <v>241</v>
      </c>
      <c r="AB949" t="s">
        <v>8</v>
      </c>
      <c r="AC949" s="21">
        <v>55644.46</v>
      </c>
      <c r="AD949" s="21" t="s">
        <v>368</v>
      </c>
      <c r="AE949" t="str">
        <f>VLOOKUP(Table_Query_from_Actuarial___Production3[[#This Row],[Kor1]],$AI$3:$AK$105,3,FALSE)</f>
        <v>Claims Expense</v>
      </c>
      <c r="AF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" spans="18:32" x14ac:dyDescent="0.2">
      <c r="R950" t="s">
        <v>21</v>
      </c>
      <c r="S950" t="s">
        <v>261</v>
      </c>
      <c r="T950" t="s">
        <v>7</v>
      </c>
      <c r="U950" s="21">
        <v>876.82</v>
      </c>
      <c r="V950" s="21" t="s">
        <v>368</v>
      </c>
      <c r="W950" t="str">
        <f>VLOOKUP(Table_Query_from_Actuarial___Production[[#This Row],[Kor1]],$AI$3:$AK$105,3,FALSE)</f>
        <v>Misc. Expense</v>
      </c>
      <c r="X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"/>
      <c r="Z950" t="s">
        <v>47</v>
      </c>
      <c r="AA950" t="s">
        <v>235</v>
      </c>
      <c r="AB950" t="s">
        <v>443</v>
      </c>
      <c r="AC950" s="21">
        <v>4852.0200000000004</v>
      </c>
      <c r="AD950" s="21" t="s">
        <v>368</v>
      </c>
      <c r="AE950" t="str">
        <f>VLOOKUP(Table_Query_from_Actuarial___Production3[[#This Row],[Kor1]],$AI$3:$AK$105,3,FALSE)</f>
        <v>Investment Income</v>
      </c>
      <c r="AF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" spans="18:32" x14ac:dyDescent="0.2">
      <c r="R951" t="s">
        <v>10</v>
      </c>
      <c r="S951" t="s">
        <v>268</v>
      </c>
      <c r="T951" t="s">
        <v>427</v>
      </c>
      <c r="U951" s="21">
        <v>72</v>
      </c>
      <c r="V951" s="21" t="s">
        <v>368</v>
      </c>
      <c r="W951" t="str">
        <f>VLOOKUP(Table_Query_from_Actuarial___Production[[#This Row],[Kor1]],$AI$3:$AK$105,3,FALSE)</f>
        <v>Commissions</v>
      </c>
      <c r="X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"/>
      <c r="Z951" t="s">
        <v>33</v>
      </c>
      <c r="AA951" t="s">
        <v>234</v>
      </c>
      <c r="AB951" t="s">
        <v>351</v>
      </c>
      <c r="AC951" s="21">
        <v>16512.689999999999</v>
      </c>
      <c r="AD951" s="21" t="s">
        <v>368</v>
      </c>
      <c r="AE951" t="str">
        <f>VLOOKUP(Table_Query_from_Actuarial___Production3[[#This Row],[Kor1]],$AI$3:$AK$105,3,FALSE)</f>
        <v>Misc. Expense</v>
      </c>
      <c r="AF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" spans="18:32" x14ac:dyDescent="0.2">
      <c r="R952" t="s">
        <v>33</v>
      </c>
      <c r="S952" t="s">
        <v>260</v>
      </c>
      <c r="T952" t="s">
        <v>443</v>
      </c>
      <c r="U952" s="21">
        <v>12102.76</v>
      </c>
      <c r="V952" s="21" t="s">
        <v>368</v>
      </c>
      <c r="W952" t="str">
        <f>VLOOKUP(Table_Query_from_Actuarial___Production[[#This Row],[Kor1]],$AI$3:$AK$105,3,FALSE)</f>
        <v>Misc. Expense</v>
      </c>
      <c r="X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"/>
      <c r="Z952" t="s">
        <v>47</v>
      </c>
      <c r="AA952" t="s">
        <v>267</v>
      </c>
      <c r="AB952" t="s">
        <v>7</v>
      </c>
      <c r="AC952" s="21">
        <v>0.04</v>
      </c>
      <c r="AD952" s="21" t="s">
        <v>368</v>
      </c>
      <c r="AE952" t="str">
        <f>VLOOKUP(Table_Query_from_Actuarial___Production3[[#This Row],[Kor1]],$AI$3:$AK$105,3,FALSE)</f>
        <v>Investment Income</v>
      </c>
      <c r="AF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" spans="18:32" x14ac:dyDescent="0.2">
      <c r="R953" t="s">
        <v>11</v>
      </c>
      <c r="S953" t="s">
        <v>233</v>
      </c>
      <c r="T953" t="s">
        <v>433</v>
      </c>
      <c r="U953" s="21">
        <v>320617.64</v>
      </c>
      <c r="V953" s="21" t="s">
        <v>368</v>
      </c>
      <c r="W953" t="str">
        <f>VLOOKUP(Table_Query_from_Actuarial___Production[[#This Row],[Kor1]],$AI$3:$AK$105,3,FALSE)</f>
        <v>Losses Paid</v>
      </c>
      <c r="X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"/>
      <c r="Z953" t="s">
        <v>12</v>
      </c>
      <c r="AA953" t="s">
        <v>262</v>
      </c>
      <c r="AB953" t="s">
        <v>9</v>
      </c>
      <c r="AC953" s="21">
        <v>5473.9</v>
      </c>
      <c r="AD953" s="21" t="s">
        <v>368</v>
      </c>
      <c r="AE953" t="str">
        <f>VLOOKUP(Table_Query_from_Actuarial___Production3[[#This Row],[Kor1]],$AI$3:$AK$105,3,FALSE)</f>
        <v>Premium Tax</v>
      </c>
      <c r="AF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" spans="18:32" x14ac:dyDescent="0.2">
      <c r="R954" t="s">
        <v>12</v>
      </c>
      <c r="S954" t="s">
        <v>240</v>
      </c>
      <c r="T954" t="s">
        <v>433</v>
      </c>
      <c r="U954" s="21">
        <v>130324</v>
      </c>
      <c r="V954" s="21" t="s">
        <v>368</v>
      </c>
      <c r="W954" t="str">
        <f>VLOOKUP(Table_Query_from_Actuarial___Production[[#This Row],[Kor1]],$AI$3:$AK$105,3,FALSE)</f>
        <v>Premium Tax</v>
      </c>
      <c r="X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"/>
      <c r="Z954" t="s">
        <v>44</v>
      </c>
      <c r="AA954" t="s">
        <v>238</v>
      </c>
      <c r="AB954" t="s">
        <v>7</v>
      </c>
      <c r="AC954" s="21">
        <v>22542.400000000001</v>
      </c>
      <c r="AD954" s="21" t="s">
        <v>368</v>
      </c>
      <c r="AE954" t="str">
        <f>VLOOKUP(Table_Query_from_Actuarial___Production3[[#This Row],[Kor1]],$AI$3:$AK$105,3,FALSE)</f>
        <v>Charge-offs</v>
      </c>
      <c r="AF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" spans="18:32" x14ac:dyDescent="0.2">
      <c r="R955" t="s">
        <v>10</v>
      </c>
      <c r="S955" t="s">
        <v>237</v>
      </c>
      <c r="T955" t="s">
        <v>8</v>
      </c>
      <c r="U955" s="21">
        <v>456237.88</v>
      </c>
      <c r="V955" s="21" t="s">
        <v>368</v>
      </c>
      <c r="W955" t="str">
        <f>VLOOKUP(Table_Query_from_Actuarial___Production[[#This Row],[Kor1]],$AI$3:$AK$105,3,FALSE)</f>
        <v>Commissions</v>
      </c>
      <c r="X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"/>
      <c r="Z955" t="s">
        <v>13</v>
      </c>
      <c r="AA955" t="s">
        <v>352</v>
      </c>
      <c r="AB955" t="s">
        <v>433</v>
      </c>
      <c r="AC955" s="21">
        <v>31.2</v>
      </c>
      <c r="AD955" s="21" t="s">
        <v>368</v>
      </c>
      <c r="AE955" t="str">
        <f>VLOOKUP(Table_Query_from_Actuarial___Production3[[#This Row],[Kor1]],$AI$3:$AK$105,3,FALSE)</f>
        <v>Operating Service Fees</v>
      </c>
      <c r="AF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956" spans="18:32" x14ac:dyDescent="0.2">
      <c r="R956" t="s">
        <v>12</v>
      </c>
      <c r="S956" t="s">
        <v>263</v>
      </c>
      <c r="T956" t="s">
        <v>7</v>
      </c>
      <c r="U956" s="21">
        <v>8211.9</v>
      </c>
      <c r="V956" s="21" t="s">
        <v>368</v>
      </c>
      <c r="W956" t="str">
        <f>VLOOKUP(Table_Query_from_Actuarial___Production[[#This Row],[Kor1]],$AI$3:$AK$105,3,FALSE)</f>
        <v>Premium Tax</v>
      </c>
      <c r="X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"/>
      <c r="Z956" t="s">
        <v>43</v>
      </c>
      <c r="AA956" t="s">
        <v>266</v>
      </c>
      <c r="AB956" t="s">
        <v>433</v>
      </c>
      <c r="AC956" s="21">
        <v>14.67</v>
      </c>
      <c r="AD956" s="21" t="s">
        <v>368</v>
      </c>
      <c r="AE956" t="str">
        <f>VLOOKUP(Table_Query_from_Actuarial___Production3[[#This Row],[Kor1]],$AI$3:$AK$105,3,FALSE)</f>
        <v>Charge-offs</v>
      </c>
      <c r="AF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" spans="18:32" x14ac:dyDescent="0.2">
      <c r="R957" t="s">
        <v>13</v>
      </c>
      <c r="S957" t="s">
        <v>245</v>
      </c>
      <c r="T957" t="s">
        <v>442</v>
      </c>
      <c r="U957" s="21">
        <v>3228.32</v>
      </c>
      <c r="V957" s="21" t="s">
        <v>368</v>
      </c>
      <c r="W957" t="str">
        <f>VLOOKUP(Table_Query_from_Actuarial___Production[[#This Row],[Kor1]],$AI$3:$AK$105,3,FALSE)</f>
        <v>Operating Service Fees</v>
      </c>
      <c r="X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"/>
      <c r="Z957" t="s">
        <v>47</v>
      </c>
      <c r="AA957" t="s">
        <v>243</v>
      </c>
      <c r="AB957" t="s">
        <v>8</v>
      </c>
      <c r="AC957" s="21">
        <v>0.04</v>
      </c>
      <c r="AD957" s="21" t="s">
        <v>368</v>
      </c>
      <c r="AE957" t="str">
        <f>VLOOKUP(Table_Query_from_Actuarial___Production3[[#This Row],[Kor1]],$AI$3:$AK$105,3,FALSE)</f>
        <v>Investment Income</v>
      </c>
      <c r="AF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" spans="18:32" x14ac:dyDescent="0.2">
      <c r="R958" t="s">
        <v>41</v>
      </c>
      <c r="S958" t="s">
        <v>255</v>
      </c>
      <c r="T958" t="s">
        <v>9</v>
      </c>
      <c r="U958" s="21">
        <v>100</v>
      </c>
      <c r="V958" s="21" t="s">
        <v>368</v>
      </c>
      <c r="W958" t="str">
        <f>VLOOKUP(Table_Query_from_Actuarial___Production[[#This Row],[Kor1]],$AI$3:$AK$105,3,FALSE)</f>
        <v>Misc. Income</v>
      </c>
      <c r="X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"/>
      <c r="Z958" t="s">
        <v>3</v>
      </c>
      <c r="AA958" t="s">
        <v>251</v>
      </c>
      <c r="AB958" t="s">
        <v>433</v>
      </c>
      <c r="AC958" s="21">
        <v>723878</v>
      </c>
      <c r="AD958" s="21" t="s">
        <v>368</v>
      </c>
      <c r="AE958" t="str">
        <f>VLOOKUP(Table_Query_from_Actuarial___Production3[[#This Row],[Kor1]],$AI$3:$AK$105,3,FALSE)</f>
        <v>Premiums Written</v>
      </c>
      <c r="AF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" spans="18:32" x14ac:dyDescent="0.2">
      <c r="R959" t="s">
        <v>13</v>
      </c>
      <c r="S959" t="s">
        <v>229</v>
      </c>
      <c r="T959" t="s">
        <v>427</v>
      </c>
      <c r="U959" s="21">
        <v>26570.48</v>
      </c>
      <c r="V959" s="21" t="s">
        <v>368</v>
      </c>
      <c r="W959" t="str">
        <f>VLOOKUP(Table_Query_from_Actuarial___Production[[#This Row],[Kor1]],$AI$3:$AK$105,3,FALSE)</f>
        <v>Operating Service Fees</v>
      </c>
      <c r="X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"/>
      <c r="Z959" t="s">
        <v>10</v>
      </c>
      <c r="AA959" t="s">
        <v>250</v>
      </c>
      <c r="AB959" t="s">
        <v>8</v>
      </c>
      <c r="AC959" s="21">
        <v>98356.3</v>
      </c>
      <c r="AD959" s="21" t="s">
        <v>368</v>
      </c>
      <c r="AE959" t="str">
        <f>VLOOKUP(Table_Query_from_Actuarial___Production3[[#This Row],[Kor1]],$AI$3:$AK$105,3,FALSE)</f>
        <v>Commissions</v>
      </c>
      <c r="AF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" spans="18:32" x14ac:dyDescent="0.2">
      <c r="R960" t="s">
        <v>21</v>
      </c>
      <c r="S960" t="s">
        <v>248</v>
      </c>
      <c r="T960" t="s">
        <v>7</v>
      </c>
      <c r="U960" s="21">
        <v>23.75</v>
      </c>
      <c r="V960" s="21" t="s">
        <v>368</v>
      </c>
      <c r="W960" t="str">
        <f>VLOOKUP(Table_Query_from_Actuarial___Production[[#This Row],[Kor1]],$AI$3:$AK$105,3,FALSE)</f>
        <v>Misc. Expense</v>
      </c>
      <c r="X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"/>
      <c r="Z960" t="s">
        <v>15</v>
      </c>
      <c r="AA960" t="s">
        <v>228</v>
      </c>
      <c r="AB960" t="s">
        <v>442</v>
      </c>
      <c r="AC960" s="21">
        <v>6443.29</v>
      </c>
      <c r="AD960" s="21" t="s">
        <v>368</v>
      </c>
      <c r="AE960" t="str">
        <f>VLOOKUP(Table_Query_from_Actuarial___Production3[[#This Row],[Kor1]],$AI$3:$AK$105,3,FALSE)</f>
        <v>Unearned Premiums</v>
      </c>
      <c r="AF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" spans="18:32" x14ac:dyDescent="0.2">
      <c r="R961" t="s">
        <v>40</v>
      </c>
      <c r="S961" t="s">
        <v>265</v>
      </c>
      <c r="T961" t="s">
        <v>6</v>
      </c>
      <c r="U961" s="21">
        <v>52</v>
      </c>
      <c r="V961" s="21" t="s">
        <v>368</v>
      </c>
      <c r="W961" t="str">
        <f>VLOOKUP(Table_Query_from_Actuarial___Production[[#This Row],[Kor1]],$AI$3:$AK$105,3,FALSE)</f>
        <v>Misc. Income</v>
      </c>
      <c r="X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"/>
      <c r="Z961" t="s">
        <v>13</v>
      </c>
      <c r="AA961" t="s">
        <v>231</v>
      </c>
      <c r="AB961" t="s">
        <v>442</v>
      </c>
      <c r="AC961" s="21">
        <v>431407.14</v>
      </c>
      <c r="AD961" s="21" t="s">
        <v>368</v>
      </c>
      <c r="AE961" t="str">
        <f>VLOOKUP(Table_Query_from_Actuarial___Production3[[#This Row],[Kor1]],$AI$3:$AK$105,3,FALSE)</f>
        <v>Operating Service Fees</v>
      </c>
      <c r="AF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" spans="18:32" x14ac:dyDescent="0.2">
      <c r="R962" t="s">
        <v>3</v>
      </c>
      <c r="S962" t="s">
        <v>225</v>
      </c>
      <c r="T962" t="s">
        <v>443</v>
      </c>
      <c r="U962" s="21">
        <v>910805</v>
      </c>
      <c r="V962" s="21" t="s">
        <v>368</v>
      </c>
      <c r="W962" t="str">
        <f>VLOOKUP(Table_Query_from_Actuarial___Production[[#This Row],[Kor1]],$AI$3:$AK$105,3,FALSE)</f>
        <v>Premiums Written</v>
      </c>
      <c r="X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62"/>
      <c r="Z962" t="s">
        <v>31</v>
      </c>
      <c r="AA962" t="s">
        <v>244</v>
      </c>
      <c r="AB962" t="s">
        <v>442</v>
      </c>
      <c r="AC962" s="21">
        <v>1056.81</v>
      </c>
      <c r="AD962" s="21" t="s">
        <v>368</v>
      </c>
      <c r="AE962" t="str">
        <f>VLOOKUP(Table_Query_from_Actuarial___Production3[[#This Row],[Kor1]],$AI$3:$AK$105,3,FALSE)</f>
        <v>Misc. Expense</v>
      </c>
      <c r="AF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" spans="18:32" x14ac:dyDescent="0.2">
      <c r="R963" t="s">
        <v>10</v>
      </c>
      <c r="S963" t="s">
        <v>225</v>
      </c>
      <c r="T963" t="s">
        <v>7</v>
      </c>
      <c r="U963" s="21">
        <v>82732.490000000005</v>
      </c>
      <c r="V963" s="21" t="s">
        <v>368</v>
      </c>
      <c r="W963" t="str">
        <f>VLOOKUP(Table_Query_from_Actuarial___Production[[#This Row],[Kor1]],$AI$3:$AK$105,3,FALSE)</f>
        <v>Commissions</v>
      </c>
      <c r="X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63"/>
      <c r="Z963" t="s">
        <v>20</v>
      </c>
      <c r="AA963" t="s">
        <v>228</v>
      </c>
      <c r="AB963" t="s">
        <v>6</v>
      </c>
      <c r="AC963" s="21">
        <v>113.37</v>
      </c>
      <c r="AD963" s="21" t="s">
        <v>368</v>
      </c>
      <c r="AE963" t="str">
        <f>VLOOKUP(Table_Query_from_Actuarial___Production3[[#This Row],[Kor1]],$AI$3:$AK$105,3,FALSE)</f>
        <v>Misc. Expense</v>
      </c>
      <c r="AF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" spans="18:32" x14ac:dyDescent="0.2">
      <c r="R964" t="s">
        <v>3</v>
      </c>
      <c r="S964" t="s">
        <v>227</v>
      </c>
      <c r="T964" t="s">
        <v>9</v>
      </c>
      <c r="U964" s="21">
        <v>180628</v>
      </c>
      <c r="V964" s="21" t="s">
        <v>368</v>
      </c>
      <c r="W964" t="str">
        <f>VLOOKUP(Table_Query_from_Actuarial___Production[[#This Row],[Kor1]],$AI$3:$AK$105,3,FALSE)</f>
        <v>Premiums Written</v>
      </c>
      <c r="X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"/>
      <c r="Z964" t="s">
        <v>13</v>
      </c>
      <c r="AA964" t="s">
        <v>354</v>
      </c>
      <c r="AB964" t="s">
        <v>5</v>
      </c>
      <c r="AC964" s="21">
        <v>184874670.69999999</v>
      </c>
      <c r="AD964" s="21" t="s">
        <v>369</v>
      </c>
      <c r="AE964" t="str">
        <f>VLOOKUP(Table_Query_from_Actuarial___Production3[[#This Row],[Kor1]],$AI$3:$AK$105,3,FALSE)</f>
        <v>Operating Service Fees</v>
      </c>
      <c r="AF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65" spans="18:32" x14ac:dyDescent="0.2">
      <c r="R965" t="s">
        <v>3</v>
      </c>
      <c r="S965" t="s">
        <v>257</v>
      </c>
      <c r="T965" t="s">
        <v>442</v>
      </c>
      <c r="U965" s="21">
        <v>2515006</v>
      </c>
      <c r="V965" s="21" t="s">
        <v>368</v>
      </c>
      <c r="W965" t="str">
        <f>VLOOKUP(Table_Query_from_Actuarial___Production[[#This Row],[Kor1]],$AI$3:$AK$105,3,FALSE)</f>
        <v>Premiums Written</v>
      </c>
      <c r="X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"/>
      <c r="Z965" t="s">
        <v>3</v>
      </c>
      <c r="AA965" t="s">
        <v>232</v>
      </c>
      <c r="AB965" t="s">
        <v>6</v>
      </c>
      <c r="AC965" s="21">
        <v>1258413</v>
      </c>
      <c r="AD965" s="21" t="s">
        <v>368</v>
      </c>
      <c r="AE965" t="str">
        <f>VLOOKUP(Table_Query_from_Actuarial___Production3[[#This Row],[Kor1]],$AI$3:$AK$105,3,FALSE)</f>
        <v>Premiums Written</v>
      </c>
      <c r="AF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" spans="18:32" x14ac:dyDescent="0.2">
      <c r="R966" t="s">
        <v>13</v>
      </c>
      <c r="S966" t="s">
        <v>264</v>
      </c>
      <c r="T966" t="s">
        <v>427</v>
      </c>
      <c r="U966" s="21">
        <v>1139404.98</v>
      </c>
      <c r="V966" s="21" t="s">
        <v>368</v>
      </c>
      <c r="W966" t="str">
        <f>VLOOKUP(Table_Query_from_Actuarial___Production[[#This Row],[Kor1]],$AI$3:$AK$105,3,FALSE)</f>
        <v>Operating Service Fees</v>
      </c>
      <c r="X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"/>
      <c r="Z966" t="s">
        <v>11</v>
      </c>
      <c r="AA966" t="s">
        <v>237</v>
      </c>
      <c r="AB966" t="s">
        <v>427</v>
      </c>
      <c r="AC966" s="21">
        <v>30004480.710000001</v>
      </c>
      <c r="AD966" s="21" t="s">
        <v>368</v>
      </c>
      <c r="AE966" t="str">
        <f>VLOOKUP(Table_Query_from_Actuarial___Production3[[#This Row],[Kor1]],$AI$3:$AK$105,3,FALSE)</f>
        <v>Losses Paid</v>
      </c>
      <c r="AF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" spans="18:32" x14ac:dyDescent="0.2">
      <c r="R967" t="s">
        <v>36</v>
      </c>
      <c r="S967" t="s">
        <v>241</v>
      </c>
      <c r="T967" t="s">
        <v>7</v>
      </c>
      <c r="U967" s="21">
        <v>13.41</v>
      </c>
      <c r="V967" s="21" t="s">
        <v>368</v>
      </c>
      <c r="W967" t="str">
        <f>VLOOKUP(Table_Query_from_Actuarial___Production[[#This Row],[Kor1]],$AI$3:$AK$105,3,FALSE)</f>
        <v>Misc. Expense</v>
      </c>
      <c r="X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"/>
      <c r="Z967" t="s">
        <v>11</v>
      </c>
      <c r="AA967" t="s">
        <v>250</v>
      </c>
      <c r="AB967" t="s">
        <v>427</v>
      </c>
      <c r="AC967" s="21">
        <v>294609.53999999998</v>
      </c>
      <c r="AD967" s="21" t="s">
        <v>368</v>
      </c>
      <c r="AE967" t="str">
        <f>VLOOKUP(Table_Query_from_Actuarial___Production3[[#This Row],[Kor1]],$AI$3:$AK$105,3,FALSE)</f>
        <v>Losses Paid</v>
      </c>
      <c r="AF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" spans="18:32" x14ac:dyDescent="0.2">
      <c r="R968" t="s">
        <v>33</v>
      </c>
      <c r="S968" t="s">
        <v>245</v>
      </c>
      <c r="T968" t="s">
        <v>356</v>
      </c>
      <c r="U968" s="21">
        <v>18104.13</v>
      </c>
      <c r="V968" s="21" t="s">
        <v>368</v>
      </c>
      <c r="W968" t="str">
        <f>VLOOKUP(Table_Query_from_Actuarial___Production[[#This Row],[Kor1]],$AI$3:$AK$105,3,FALSE)</f>
        <v>Misc. Expense</v>
      </c>
      <c r="X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"/>
      <c r="Z968" t="s">
        <v>21</v>
      </c>
      <c r="AA968" t="s">
        <v>241</v>
      </c>
      <c r="AB968" t="s">
        <v>443</v>
      </c>
      <c r="AC968" s="21">
        <v>1601.52</v>
      </c>
      <c r="AD968" s="21" t="s">
        <v>368</v>
      </c>
      <c r="AE968" t="str">
        <f>VLOOKUP(Table_Query_from_Actuarial___Production3[[#This Row],[Kor1]],$AI$3:$AK$105,3,FALSE)</f>
        <v>Misc. Expense</v>
      </c>
      <c r="AF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" spans="18:32" x14ac:dyDescent="0.2">
      <c r="R969" t="s">
        <v>31</v>
      </c>
      <c r="S969" t="s">
        <v>257</v>
      </c>
      <c r="T969" t="s">
        <v>9</v>
      </c>
      <c r="U969" s="21">
        <v>297.98</v>
      </c>
      <c r="V969" s="21" t="s">
        <v>368</v>
      </c>
      <c r="W969" t="str">
        <f>VLOOKUP(Table_Query_from_Actuarial___Production[[#This Row],[Kor1]],$AI$3:$AK$105,3,FALSE)</f>
        <v>Misc. Expense</v>
      </c>
      <c r="X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"/>
      <c r="Z969" t="s">
        <v>3</v>
      </c>
      <c r="AA969" t="s">
        <v>224</v>
      </c>
      <c r="AB969" t="s">
        <v>6</v>
      </c>
      <c r="AC969" s="21">
        <v>185138.61</v>
      </c>
      <c r="AD969" s="21" t="s">
        <v>425</v>
      </c>
      <c r="AE969" t="str">
        <f>VLOOKUP(Table_Query_from_Actuarial___Production3[[#This Row],[Kor1]],$AI$3:$AK$105,3,FALSE)</f>
        <v>Premiums Written</v>
      </c>
      <c r="AF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70" spans="18:32" x14ac:dyDescent="0.2">
      <c r="R970" t="s">
        <v>439</v>
      </c>
      <c r="S970" t="s">
        <v>267</v>
      </c>
      <c r="T970" t="s">
        <v>443</v>
      </c>
      <c r="U970" s="21">
        <v>-8812.94</v>
      </c>
      <c r="V970" s="21" t="s">
        <v>368</v>
      </c>
      <c r="W970" t="str">
        <f>VLOOKUP(Table_Query_from_Actuarial___Production[[#This Row],[Kor1]],$AI$3:$AK$105,3,FALSE)</f>
        <v>Operating Service Fees</v>
      </c>
      <c r="X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"/>
      <c r="Z970" t="s">
        <v>12</v>
      </c>
      <c r="AA970" t="s">
        <v>265</v>
      </c>
      <c r="AB970" t="s">
        <v>5</v>
      </c>
      <c r="AC970" s="21">
        <v>2911.2</v>
      </c>
      <c r="AD970" s="21" t="s">
        <v>368</v>
      </c>
      <c r="AE970" t="str">
        <f>VLOOKUP(Table_Query_from_Actuarial___Production3[[#This Row],[Kor1]],$AI$3:$AK$105,3,FALSE)</f>
        <v>Premium Tax</v>
      </c>
      <c r="AF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" spans="18:32" x14ac:dyDescent="0.2">
      <c r="R971" t="s">
        <v>37</v>
      </c>
      <c r="S971" t="s">
        <v>240</v>
      </c>
      <c r="T971" t="s">
        <v>442</v>
      </c>
      <c r="U971" s="21">
        <v>4165.37</v>
      </c>
      <c r="V971" s="21" t="s">
        <v>368</v>
      </c>
      <c r="W971" t="str">
        <f>VLOOKUP(Table_Query_from_Actuarial___Production[[#This Row],[Kor1]],$AI$3:$AK$105,3,FALSE)</f>
        <v>Misc. Expense</v>
      </c>
      <c r="X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"/>
      <c r="Z971" t="s">
        <v>44</v>
      </c>
      <c r="AA971" t="s">
        <v>4</v>
      </c>
      <c r="AB971" t="s">
        <v>356</v>
      </c>
      <c r="AC971" s="21">
        <v>692120.11</v>
      </c>
      <c r="AD971" s="21" t="s">
        <v>368</v>
      </c>
      <c r="AE971" t="str">
        <f>VLOOKUP(Table_Query_from_Actuarial___Production3[[#This Row],[Kor1]],$AI$3:$AK$105,3,FALSE)</f>
        <v>Charge-offs</v>
      </c>
      <c r="AF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" spans="18:32" x14ac:dyDescent="0.2">
      <c r="R972" t="s">
        <v>49</v>
      </c>
      <c r="S972" t="s">
        <v>266</v>
      </c>
      <c r="T972" t="s">
        <v>433</v>
      </c>
      <c r="U972" s="21">
        <v>18868.39</v>
      </c>
      <c r="V972" s="21" t="s">
        <v>368</v>
      </c>
      <c r="W972" t="str">
        <f>VLOOKUP(Table_Query_from_Actuarial___Production[[#This Row],[Kor1]],$AI$3:$AK$105,3,FALSE)</f>
        <v>ALAE Paid</v>
      </c>
      <c r="X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"/>
      <c r="Z972" t="s">
        <v>44</v>
      </c>
      <c r="AA972" t="s">
        <v>228</v>
      </c>
      <c r="AB972" t="s">
        <v>441</v>
      </c>
      <c r="AC972" s="21">
        <v>27</v>
      </c>
      <c r="AD972" s="21" t="s">
        <v>368</v>
      </c>
      <c r="AE972" t="str">
        <f>VLOOKUP(Table_Query_from_Actuarial___Production3[[#This Row],[Kor1]],$AI$3:$AK$105,3,FALSE)</f>
        <v>Charge-offs</v>
      </c>
      <c r="AF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" spans="18:32" x14ac:dyDescent="0.2">
      <c r="R973" t="s">
        <v>16</v>
      </c>
      <c r="S973" t="s">
        <v>354</v>
      </c>
      <c r="T973" t="s">
        <v>356</v>
      </c>
      <c r="U973" s="21">
        <v>1325869.81</v>
      </c>
      <c r="V973" s="21" t="s">
        <v>369</v>
      </c>
      <c r="W973" t="str">
        <f>VLOOKUP(Table_Query_from_Actuarial___Production[[#This Row],[Kor1]],$AI$3:$AK$105,3,FALSE)</f>
        <v>Losses Outstanding</v>
      </c>
      <c r="X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73"/>
      <c r="Z973" t="s">
        <v>21</v>
      </c>
      <c r="AA973" t="s">
        <v>261</v>
      </c>
      <c r="AB973" t="s">
        <v>7</v>
      </c>
      <c r="AC973" s="21">
        <v>876.82</v>
      </c>
      <c r="AD973" s="21" t="s">
        <v>368</v>
      </c>
      <c r="AE973" t="str">
        <f>VLOOKUP(Table_Query_from_Actuarial___Production3[[#This Row],[Kor1]],$AI$3:$AK$105,3,FALSE)</f>
        <v>Misc. Expense</v>
      </c>
      <c r="AF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" spans="18:32" x14ac:dyDescent="0.2">
      <c r="R974" t="s">
        <v>13</v>
      </c>
      <c r="S974" t="s">
        <v>247</v>
      </c>
      <c r="T974" t="s">
        <v>356</v>
      </c>
      <c r="U974" s="21">
        <v>1882.83</v>
      </c>
      <c r="V974" s="21" t="s">
        <v>368</v>
      </c>
      <c r="W974" t="str">
        <f>VLOOKUP(Table_Query_from_Actuarial___Production[[#This Row],[Kor1]],$AI$3:$AK$105,3,FALSE)</f>
        <v>Operating Service Fees</v>
      </c>
      <c r="X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"/>
      <c r="Z974" t="s">
        <v>10</v>
      </c>
      <c r="AA974" t="s">
        <v>268</v>
      </c>
      <c r="AB974" t="s">
        <v>427</v>
      </c>
      <c r="AC974" s="21">
        <v>72</v>
      </c>
      <c r="AD974" s="21" t="s">
        <v>368</v>
      </c>
      <c r="AE974" t="str">
        <f>VLOOKUP(Table_Query_from_Actuarial___Production3[[#This Row],[Kor1]],$AI$3:$AK$105,3,FALSE)</f>
        <v>Commissions</v>
      </c>
      <c r="AF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" spans="18:32" x14ac:dyDescent="0.2">
      <c r="R975" t="s">
        <v>21</v>
      </c>
      <c r="S975" t="s">
        <v>262</v>
      </c>
      <c r="T975" t="s">
        <v>6</v>
      </c>
      <c r="U975" s="21">
        <v>2812.9</v>
      </c>
      <c r="V975" s="21" t="s">
        <v>368</v>
      </c>
      <c r="W975" t="str">
        <f>VLOOKUP(Table_Query_from_Actuarial___Production[[#This Row],[Kor1]],$AI$3:$AK$105,3,FALSE)</f>
        <v>Misc. Expense</v>
      </c>
      <c r="X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"/>
      <c r="Z975" t="s">
        <v>33</v>
      </c>
      <c r="AA975" t="s">
        <v>260</v>
      </c>
      <c r="AB975" t="s">
        <v>443</v>
      </c>
      <c r="AC975" s="21">
        <v>4172.66</v>
      </c>
      <c r="AD975" s="21" t="s">
        <v>368</v>
      </c>
      <c r="AE975" t="str">
        <f>VLOOKUP(Table_Query_from_Actuarial___Production3[[#This Row],[Kor1]],$AI$3:$AK$105,3,FALSE)</f>
        <v>Misc. Expense</v>
      </c>
      <c r="AF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" spans="18:32" x14ac:dyDescent="0.2">
      <c r="R976" t="s">
        <v>47</v>
      </c>
      <c r="S976" t="s">
        <v>252</v>
      </c>
      <c r="T976" t="s">
        <v>442</v>
      </c>
      <c r="U976" s="21">
        <v>47159.37</v>
      </c>
      <c r="V976" s="21" t="s">
        <v>368</v>
      </c>
      <c r="W976" t="str">
        <f>VLOOKUP(Table_Query_from_Actuarial___Production[[#This Row],[Kor1]],$AI$3:$AK$105,3,FALSE)</f>
        <v>Investment Income</v>
      </c>
      <c r="X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"/>
      <c r="Z976" t="s">
        <v>11</v>
      </c>
      <c r="AA976" t="s">
        <v>233</v>
      </c>
      <c r="AB976" t="s">
        <v>433</v>
      </c>
      <c r="AC976" s="21">
        <v>273837.02</v>
      </c>
      <c r="AD976" s="21" t="s">
        <v>368</v>
      </c>
      <c r="AE976" t="str">
        <f>VLOOKUP(Table_Query_from_Actuarial___Production3[[#This Row],[Kor1]],$AI$3:$AK$105,3,FALSE)</f>
        <v>Losses Paid</v>
      </c>
      <c r="AF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" spans="18:32" x14ac:dyDescent="0.2">
      <c r="R977" t="s">
        <v>12</v>
      </c>
      <c r="S977" t="s">
        <v>229</v>
      </c>
      <c r="T977" t="s">
        <v>443</v>
      </c>
      <c r="U977" s="21">
        <v>1943.55</v>
      </c>
      <c r="V977" s="21" t="s">
        <v>368</v>
      </c>
      <c r="W977" t="str">
        <f>VLOOKUP(Table_Query_from_Actuarial___Production[[#This Row],[Kor1]],$AI$3:$AK$105,3,FALSE)</f>
        <v>Premium Tax</v>
      </c>
      <c r="X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"/>
      <c r="Z977" t="s">
        <v>12</v>
      </c>
      <c r="AA977" t="s">
        <v>240</v>
      </c>
      <c r="AB977" t="s">
        <v>433</v>
      </c>
      <c r="AC977" s="21">
        <v>130324</v>
      </c>
      <c r="AD977" s="21" t="s">
        <v>368</v>
      </c>
      <c r="AE977" t="str">
        <f>VLOOKUP(Table_Query_from_Actuarial___Production3[[#This Row],[Kor1]],$AI$3:$AK$105,3,FALSE)</f>
        <v>Premium Tax</v>
      </c>
      <c r="AF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" spans="18:32" x14ac:dyDescent="0.2">
      <c r="R978" t="s">
        <v>47</v>
      </c>
      <c r="S978" t="s">
        <v>235</v>
      </c>
      <c r="T978" t="s">
        <v>7</v>
      </c>
      <c r="U978" s="21">
        <v>0.04</v>
      </c>
      <c r="V978" s="21" t="s">
        <v>368</v>
      </c>
      <c r="W978" t="str">
        <f>VLOOKUP(Table_Query_from_Actuarial___Production[[#This Row],[Kor1]],$AI$3:$AK$105,3,FALSE)</f>
        <v>Investment Income</v>
      </c>
      <c r="X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"/>
      <c r="Z978" t="s">
        <v>10</v>
      </c>
      <c r="AA978" t="s">
        <v>237</v>
      </c>
      <c r="AB978" t="s">
        <v>8</v>
      </c>
      <c r="AC978" s="21">
        <v>456237.88</v>
      </c>
      <c r="AD978" s="21" t="s">
        <v>368</v>
      </c>
      <c r="AE978" t="str">
        <f>VLOOKUP(Table_Query_from_Actuarial___Production3[[#This Row],[Kor1]],$AI$3:$AK$105,3,FALSE)</f>
        <v>Commissions</v>
      </c>
      <c r="AF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" spans="18:32" x14ac:dyDescent="0.2">
      <c r="R979" t="s">
        <v>50</v>
      </c>
      <c r="S979" t="s">
        <v>240</v>
      </c>
      <c r="T979" t="s">
        <v>441</v>
      </c>
      <c r="U979" s="21">
        <v>204188.11</v>
      </c>
      <c r="V979" s="21" t="s">
        <v>368</v>
      </c>
      <c r="W979" t="str">
        <f>VLOOKUP(Table_Query_from_Actuarial___Production[[#This Row],[Kor1]],$AI$3:$AK$105,3,FALSE)</f>
        <v>ALAE Reserve</v>
      </c>
      <c r="X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"/>
      <c r="Z979" t="s">
        <v>12</v>
      </c>
      <c r="AA979" t="s">
        <v>263</v>
      </c>
      <c r="AB979" t="s">
        <v>7</v>
      </c>
      <c r="AC979" s="21">
        <v>8211.9</v>
      </c>
      <c r="AD979" s="21" t="s">
        <v>368</v>
      </c>
      <c r="AE979" t="str">
        <f>VLOOKUP(Table_Query_from_Actuarial___Production3[[#This Row],[Kor1]],$AI$3:$AK$105,3,FALSE)</f>
        <v>Premium Tax</v>
      </c>
      <c r="AF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" spans="18:32" x14ac:dyDescent="0.2">
      <c r="R980" t="s">
        <v>12</v>
      </c>
      <c r="S980" t="s">
        <v>251</v>
      </c>
      <c r="T980" t="s">
        <v>433</v>
      </c>
      <c r="U980" s="21">
        <v>21716.34</v>
      </c>
      <c r="V980" s="21" t="s">
        <v>368</v>
      </c>
      <c r="W980" t="str">
        <f>VLOOKUP(Table_Query_from_Actuarial___Production[[#This Row],[Kor1]],$AI$3:$AK$105,3,FALSE)</f>
        <v>Premium Tax</v>
      </c>
      <c r="X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"/>
      <c r="Z980" t="s">
        <v>13</v>
      </c>
      <c r="AA980" t="s">
        <v>245</v>
      </c>
      <c r="AB980" t="s">
        <v>442</v>
      </c>
      <c r="AC980" s="21">
        <v>3228.32</v>
      </c>
      <c r="AD980" s="21" t="s">
        <v>368</v>
      </c>
      <c r="AE980" t="str">
        <f>VLOOKUP(Table_Query_from_Actuarial___Production3[[#This Row],[Kor1]],$AI$3:$AK$105,3,FALSE)</f>
        <v>Operating Service Fees</v>
      </c>
      <c r="AF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" spans="18:32" x14ac:dyDescent="0.2">
      <c r="R981" t="s">
        <v>132</v>
      </c>
      <c r="S981" t="s">
        <v>354</v>
      </c>
      <c r="T981" t="s">
        <v>9</v>
      </c>
      <c r="U981" s="21">
        <v>145118507.53999999</v>
      </c>
      <c r="V981" s="21" t="s">
        <v>369</v>
      </c>
      <c r="W981" t="str">
        <f>VLOOKUP(Table_Query_from_Actuarial___Production[[#This Row],[Kor1]],$AI$3:$AK$105,3,FALSE)</f>
        <v>Clean Risk Subsidy</v>
      </c>
      <c r="X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1"/>
      <c r="Z981" t="s">
        <v>41</v>
      </c>
      <c r="AA981" t="s">
        <v>255</v>
      </c>
      <c r="AB981" t="s">
        <v>9</v>
      </c>
      <c r="AC981" s="21">
        <v>100</v>
      </c>
      <c r="AD981" s="21" t="s">
        <v>368</v>
      </c>
      <c r="AE981" t="str">
        <f>VLOOKUP(Table_Query_from_Actuarial___Production3[[#This Row],[Kor1]],$AI$3:$AK$105,3,FALSE)</f>
        <v>Misc. Income</v>
      </c>
      <c r="AF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" spans="18:32" x14ac:dyDescent="0.2">
      <c r="R982" t="s">
        <v>38</v>
      </c>
      <c r="S982" t="s">
        <v>354</v>
      </c>
      <c r="T982" t="s">
        <v>445</v>
      </c>
      <c r="U982" s="21">
        <v>675366.63</v>
      </c>
      <c r="V982" s="21" t="s">
        <v>369</v>
      </c>
      <c r="W982" t="str">
        <f>VLOOKUP(Table_Query_from_Actuarial___Production[[#This Row],[Kor1]],$AI$3:$AK$105,3,FALSE)</f>
        <v>Misc. Income</v>
      </c>
      <c r="X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2"/>
      <c r="Z982" t="s">
        <v>13</v>
      </c>
      <c r="AA982" t="s">
        <v>229</v>
      </c>
      <c r="AB982" t="s">
        <v>427</v>
      </c>
      <c r="AC982" s="21">
        <v>26570.48</v>
      </c>
      <c r="AD982" s="21" t="s">
        <v>368</v>
      </c>
      <c r="AE982" t="str">
        <f>VLOOKUP(Table_Query_from_Actuarial___Production3[[#This Row],[Kor1]],$AI$3:$AK$105,3,FALSE)</f>
        <v>Operating Service Fees</v>
      </c>
      <c r="AF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" spans="18:32" x14ac:dyDescent="0.2">
      <c r="R983" t="s">
        <v>147</v>
      </c>
      <c r="S983" t="s">
        <v>354</v>
      </c>
      <c r="T983" t="s">
        <v>6</v>
      </c>
      <c r="U983" s="21">
        <v>9619391.1999999993</v>
      </c>
      <c r="V983" s="21" t="s">
        <v>369</v>
      </c>
      <c r="W983" t="str">
        <f>VLOOKUP(Table_Query_from_Actuarial___Production[[#This Row],[Kor1]],$AI$3:$AK$105,3,FALSE)</f>
        <v>Investment Impairments</v>
      </c>
      <c r="X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3"/>
      <c r="Z983" t="s">
        <v>21</v>
      </c>
      <c r="AA983" t="s">
        <v>248</v>
      </c>
      <c r="AB983" t="s">
        <v>7</v>
      </c>
      <c r="AC983" s="21">
        <v>23.75</v>
      </c>
      <c r="AD983" s="21" t="s">
        <v>368</v>
      </c>
      <c r="AE983" t="str">
        <f>VLOOKUP(Table_Query_from_Actuarial___Production3[[#This Row],[Kor1]],$AI$3:$AK$105,3,FALSE)</f>
        <v>Misc. Expense</v>
      </c>
      <c r="AF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" spans="18:32" x14ac:dyDescent="0.2">
      <c r="R984" t="s">
        <v>49</v>
      </c>
      <c r="S984" t="s">
        <v>225</v>
      </c>
      <c r="T984" t="s">
        <v>433</v>
      </c>
      <c r="U984" s="21">
        <v>2345.2800000000002</v>
      </c>
      <c r="V984" s="21" t="s">
        <v>369</v>
      </c>
      <c r="W984" t="str">
        <f>VLOOKUP(Table_Query_from_Actuarial___Production[[#This Row],[Kor1]],$AI$3:$AK$105,3,FALSE)</f>
        <v>ALAE Paid</v>
      </c>
      <c r="X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84"/>
      <c r="Z984" t="s">
        <v>40</v>
      </c>
      <c r="AA984" t="s">
        <v>265</v>
      </c>
      <c r="AB984" t="s">
        <v>6</v>
      </c>
      <c r="AC984" s="21">
        <v>52</v>
      </c>
      <c r="AD984" s="21" t="s">
        <v>368</v>
      </c>
      <c r="AE984" t="str">
        <f>VLOOKUP(Table_Query_from_Actuarial___Production3[[#This Row],[Kor1]],$AI$3:$AK$105,3,FALSE)</f>
        <v>Misc. Income</v>
      </c>
      <c r="AF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" spans="18:32" x14ac:dyDescent="0.2">
      <c r="R985" t="s">
        <v>444</v>
      </c>
      <c r="S985" t="s">
        <v>239</v>
      </c>
      <c r="T985" t="s">
        <v>443</v>
      </c>
      <c r="U985" s="21">
        <v>23464.18</v>
      </c>
      <c r="V985" s="21" t="s">
        <v>368</v>
      </c>
      <c r="W985" t="str">
        <f>VLOOKUP(Table_Query_from_Actuarial___Production[[#This Row],[Kor1]],$AI$3:$AK$105,3,FALSE)</f>
        <v>Misc. Expense</v>
      </c>
      <c r="X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"/>
      <c r="Z985" t="s">
        <v>3</v>
      </c>
      <c r="AA985" t="s">
        <v>225</v>
      </c>
      <c r="AB985" t="s">
        <v>443</v>
      </c>
      <c r="AC985" s="21">
        <v>848010</v>
      </c>
      <c r="AD985" s="21" t="s">
        <v>368</v>
      </c>
      <c r="AE985" t="str">
        <f>VLOOKUP(Table_Query_from_Actuarial___Production3[[#This Row],[Kor1]],$AI$3:$AK$105,3,FALSE)</f>
        <v>Premiums Written</v>
      </c>
      <c r="AF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86" spans="18:32" x14ac:dyDescent="0.2">
      <c r="R986" t="s">
        <v>44</v>
      </c>
      <c r="S986" t="s">
        <v>252</v>
      </c>
      <c r="T986" t="s">
        <v>356</v>
      </c>
      <c r="U986" s="21">
        <v>1061590.3500000001</v>
      </c>
      <c r="V986" s="21" t="s">
        <v>368</v>
      </c>
      <c r="W986" t="str">
        <f>VLOOKUP(Table_Query_from_Actuarial___Production[[#This Row],[Kor1]],$AI$3:$AK$105,3,FALSE)</f>
        <v>Charge-offs</v>
      </c>
      <c r="X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"/>
      <c r="Z986" t="s">
        <v>10</v>
      </c>
      <c r="AA986" t="s">
        <v>225</v>
      </c>
      <c r="AB986" t="s">
        <v>7</v>
      </c>
      <c r="AC986" s="21">
        <v>82732.490000000005</v>
      </c>
      <c r="AD986" s="21" t="s">
        <v>368</v>
      </c>
      <c r="AE986" t="str">
        <f>VLOOKUP(Table_Query_from_Actuarial___Production3[[#This Row],[Kor1]],$AI$3:$AK$105,3,FALSE)</f>
        <v>Commissions</v>
      </c>
      <c r="AF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87" spans="18:32" x14ac:dyDescent="0.2">
      <c r="R987" t="s">
        <v>49</v>
      </c>
      <c r="S987" t="s">
        <v>225</v>
      </c>
      <c r="T987" t="s">
        <v>7</v>
      </c>
      <c r="U987" s="21">
        <v>588568.48</v>
      </c>
      <c r="V987" s="21" t="s">
        <v>369</v>
      </c>
      <c r="W987" t="str">
        <f>VLOOKUP(Table_Query_from_Actuarial___Production[[#This Row],[Kor1]],$AI$3:$AK$105,3,FALSE)</f>
        <v>ALAE Paid</v>
      </c>
      <c r="X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87"/>
      <c r="Z987" t="s">
        <v>33</v>
      </c>
      <c r="AA987" t="s">
        <v>4</v>
      </c>
      <c r="AB987" t="s">
        <v>5</v>
      </c>
      <c r="AC987" s="21">
        <v>124664.34</v>
      </c>
      <c r="AD987" s="21" t="s">
        <v>368</v>
      </c>
      <c r="AE987" t="str">
        <f>VLOOKUP(Table_Query_from_Actuarial___Production3[[#This Row],[Kor1]],$AI$3:$AK$105,3,FALSE)</f>
        <v>Misc. Expense</v>
      </c>
      <c r="AF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" spans="18:32" x14ac:dyDescent="0.2">
      <c r="R988" t="s">
        <v>3</v>
      </c>
      <c r="S988" t="s">
        <v>258</v>
      </c>
      <c r="T988" t="s">
        <v>6</v>
      </c>
      <c r="U988" s="21">
        <v>1713328</v>
      </c>
      <c r="V988" s="21" t="s">
        <v>368</v>
      </c>
      <c r="W988" t="str">
        <f>VLOOKUP(Table_Query_from_Actuarial___Production[[#This Row],[Kor1]],$AI$3:$AK$105,3,FALSE)</f>
        <v>Premiums Written</v>
      </c>
      <c r="X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"/>
      <c r="Z988" t="s">
        <v>3</v>
      </c>
      <c r="AA988" t="s">
        <v>227</v>
      </c>
      <c r="AB988" t="s">
        <v>9</v>
      </c>
      <c r="AC988" s="21">
        <v>180628</v>
      </c>
      <c r="AD988" s="21" t="s">
        <v>368</v>
      </c>
      <c r="AE988" t="str">
        <f>VLOOKUP(Table_Query_from_Actuarial___Production3[[#This Row],[Kor1]],$AI$3:$AK$105,3,FALSE)</f>
        <v>Premiums Written</v>
      </c>
      <c r="AF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" spans="18:32" x14ac:dyDescent="0.2">
      <c r="R989" t="s">
        <v>47</v>
      </c>
      <c r="S989" t="s">
        <v>263</v>
      </c>
      <c r="T989" t="s">
        <v>9</v>
      </c>
      <c r="U989" s="21">
        <v>224.51</v>
      </c>
      <c r="V989" s="21" t="s">
        <v>368</v>
      </c>
      <c r="W989" t="str">
        <f>VLOOKUP(Table_Query_from_Actuarial___Production[[#This Row],[Kor1]],$AI$3:$AK$105,3,FALSE)</f>
        <v>Investment Income</v>
      </c>
      <c r="X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"/>
      <c r="Z989" t="s">
        <v>3</v>
      </c>
      <c r="AA989" t="s">
        <v>257</v>
      </c>
      <c r="AB989" t="s">
        <v>442</v>
      </c>
      <c r="AC989" s="21">
        <v>2588775</v>
      </c>
      <c r="AD989" s="21" t="s">
        <v>368</v>
      </c>
      <c r="AE989" t="str">
        <f>VLOOKUP(Table_Query_from_Actuarial___Production3[[#This Row],[Kor1]],$AI$3:$AK$105,3,FALSE)</f>
        <v>Premiums Written</v>
      </c>
      <c r="AF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" spans="18:32" x14ac:dyDescent="0.2">
      <c r="R990" t="s">
        <v>3</v>
      </c>
      <c r="S990" t="s">
        <v>246</v>
      </c>
      <c r="T990" t="s">
        <v>441</v>
      </c>
      <c r="U990" s="21">
        <v>4702956</v>
      </c>
      <c r="V990" s="21" t="s">
        <v>368</v>
      </c>
      <c r="W990" t="str">
        <f>VLOOKUP(Table_Query_from_Actuarial___Production[[#This Row],[Kor1]],$AI$3:$AK$105,3,FALSE)</f>
        <v>Premiums Written</v>
      </c>
      <c r="X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"/>
      <c r="Z990" t="s">
        <v>13</v>
      </c>
      <c r="AA990" t="s">
        <v>264</v>
      </c>
      <c r="AB990" t="s">
        <v>427</v>
      </c>
      <c r="AC990" s="21">
        <v>1139404.98</v>
      </c>
      <c r="AD990" s="21" t="s">
        <v>368</v>
      </c>
      <c r="AE990" t="str">
        <f>VLOOKUP(Table_Query_from_Actuarial___Production3[[#This Row],[Kor1]],$AI$3:$AK$105,3,FALSE)</f>
        <v>Operating Service Fees</v>
      </c>
      <c r="AF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" spans="18:32" x14ac:dyDescent="0.2">
      <c r="R991" t="s">
        <v>39</v>
      </c>
      <c r="S991" t="s">
        <v>261</v>
      </c>
      <c r="T991" t="s">
        <v>8</v>
      </c>
      <c r="U991" s="21">
        <v>2345</v>
      </c>
      <c r="V991" s="21" t="s">
        <v>368</v>
      </c>
      <c r="W991" t="str">
        <f>VLOOKUP(Table_Query_from_Actuarial___Production[[#This Row],[Kor1]],$AI$3:$AK$105,3,FALSE)</f>
        <v>Misc. Income for Insolvent Companies</v>
      </c>
      <c r="X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"/>
      <c r="Z991" t="s">
        <v>36</v>
      </c>
      <c r="AA991" t="s">
        <v>241</v>
      </c>
      <c r="AB991" t="s">
        <v>7</v>
      </c>
      <c r="AC991" s="21">
        <v>13.41</v>
      </c>
      <c r="AD991" s="21" t="s">
        <v>368</v>
      </c>
      <c r="AE991" t="str">
        <f>VLOOKUP(Table_Query_from_Actuarial___Production3[[#This Row],[Kor1]],$AI$3:$AK$105,3,FALSE)</f>
        <v>Misc. Expense</v>
      </c>
      <c r="AF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" spans="18:32" x14ac:dyDescent="0.2">
      <c r="R992" t="s">
        <v>11</v>
      </c>
      <c r="S992" t="s">
        <v>237</v>
      </c>
      <c r="T992" t="s">
        <v>443</v>
      </c>
      <c r="U992" s="21">
        <v>27762223.309999999</v>
      </c>
      <c r="V992" s="21" t="s">
        <v>368</v>
      </c>
      <c r="W992" t="str">
        <f>VLOOKUP(Table_Query_from_Actuarial___Production[[#This Row],[Kor1]],$AI$3:$AK$105,3,FALSE)</f>
        <v>Losses Paid</v>
      </c>
      <c r="X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"/>
      <c r="Z992" t="s">
        <v>33</v>
      </c>
      <c r="AA992" t="s">
        <v>245</v>
      </c>
      <c r="AB992" t="s">
        <v>356</v>
      </c>
      <c r="AC992" s="21">
        <v>18104.13</v>
      </c>
      <c r="AD992" s="21" t="s">
        <v>368</v>
      </c>
      <c r="AE992" t="str">
        <f>VLOOKUP(Table_Query_from_Actuarial___Production3[[#This Row],[Kor1]],$AI$3:$AK$105,3,FALSE)</f>
        <v>Misc. Expense</v>
      </c>
      <c r="AF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" spans="18:32" x14ac:dyDescent="0.2">
      <c r="R993" t="s">
        <v>41</v>
      </c>
      <c r="S993" t="s">
        <v>259</v>
      </c>
      <c r="T993" t="s">
        <v>8</v>
      </c>
      <c r="U993" s="21">
        <v>249.99</v>
      </c>
      <c r="V993" s="21" t="s">
        <v>368</v>
      </c>
      <c r="W993" t="str">
        <f>VLOOKUP(Table_Query_from_Actuarial___Production[[#This Row],[Kor1]],$AI$3:$AK$105,3,FALSE)</f>
        <v>Misc. Income</v>
      </c>
      <c r="X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"/>
      <c r="Z993" t="s">
        <v>31</v>
      </c>
      <c r="AA993" t="s">
        <v>257</v>
      </c>
      <c r="AB993" t="s">
        <v>9</v>
      </c>
      <c r="AC993" s="21">
        <v>297.98</v>
      </c>
      <c r="AD993" s="21" t="s">
        <v>368</v>
      </c>
      <c r="AE993" t="str">
        <f>VLOOKUP(Table_Query_from_Actuarial___Production3[[#This Row],[Kor1]],$AI$3:$AK$105,3,FALSE)</f>
        <v>Misc. Expense</v>
      </c>
      <c r="AF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" spans="18:32" x14ac:dyDescent="0.2">
      <c r="R994" t="s">
        <v>11</v>
      </c>
      <c r="S994" t="s">
        <v>250</v>
      </c>
      <c r="T994" t="s">
        <v>443</v>
      </c>
      <c r="U994" s="21">
        <v>7786.21</v>
      </c>
      <c r="V994" s="21" t="s">
        <v>368</v>
      </c>
      <c r="W994" t="str">
        <f>VLOOKUP(Table_Query_from_Actuarial___Production[[#This Row],[Kor1]],$AI$3:$AK$105,3,FALSE)</f>
        <v>Losses Paid</v>
      </c>
      <c r="X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"/>
      <c r="Z994" t="s">
        <v>439</v>
      </c>
      <c r="AA994" t="s">
        <v>267</v>
      </c>
      <c r="AB994" t="s">
        <v>443</v>
      </c>
      <c r="AC994" s="21">
        <v>-8812.94</v>
      </c>
      <c r="AD994" s="21" t="s">
        <v>368</v>
      </c>
      <c r="AE994" t="str">
        <f>VLOOKUP(Table_Query_from_Actuarial___Production3[[#This Row],[Kor1]],$AI$3:$AK$105,3,FALSE)</f>
        <v>Operating Service Fees</v>
      </c>
      <c r="AF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" spans="18:32" x14ac:dyDescent="0.2">
      <c r="R995" t="s">
        <v>14</v>
      </c>
      <c r="S995" t="s">
        <v>248</v>
      </c>
      <c r="T995" t="s">
        <v>6</v>
      </c>
      <c r="U995" s="21">
        <v>1541.17</v>
      </c>
      <c r="V995" s="21" t="s">
        <v>368</v>
      </c>
      <c r="W995" t="str">
        <f>VLOOKUP(Table_Query_from_Actuarial___Production[[#This Row],[Kor1]],$AI$3:$AK$105,3,FALSE)</f>
        <v>Claims Expense</v>
      </c>
      <c r="X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"/>
      <c r="Z995" t="s">
        <v>37</v>
      </c>
      <c r="AA995" t="s">
        <v>265</v>
      </c>
      <c r="AB995" t="s">
        <v>5</v>
      </c>
      <c r="AC995" s="21">
        <v>-0.06</v>
      </c>
      <c r="AD995" s="21" t="s">
        <v>368</v>
      </c>
      <c r="AE995" t="str">
        <f>VLOOKUP(Table_Query_from_Actuarial___Production3[[#This Row],[Kor1]],$AI$3:$AK$105,3,FALSE)</f>
        <v>Misc. Expense</v>
      </c>
      <c r="AF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" spans="18:32" x14ac:dyDescent="0.2">
      <c r="R996" t="s">
        <v>34</v>
      </c>
      <c r="S996" t="s">
        <v>246</v>
      </c>
      <c r="T996" t="s">
        <v>445</v>
      </c>
      <c r="U996" s="21">
        <v>36483.519999999997</v>
      </c>
      <c r="V996" s="21" t="s">
        <v>368</v>
      </c>
      <c r="W996" t="str">
        <f>VLOOKUP(Table_Query_from_Actuarial___Production[[#This Row],[Kor1]],$AI$3:$AK$105,3,FALSE)</f>
        <v>Misc. Expense</v>
      </c>
      <c r="X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"/>
      <c r="Z996" t="s">
        <v>37</v>
      </c>
      <c r="AA996" t="s">
        <v>230</v>
      </c>
      <c r="AB996" t="s">
        <v>5</v>
      </c>
      <c r="AC996" s="21">
        <v>87812.95</v>
      </c>
      <c r="AD996" s="21" t="s">
        <v>368</v>
      </c>
      <c r="AE996" t="str">
        <f>VLOOKUP(Table_Query_from_Actuarial___Production3[[#This Row],[Kor1]],$AI$3:$AK$105,3,FALSE)</f>
        <v>Misc. Expense</v>
      </c>
      <c r="AF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" spans="18:32" x14ac:dyDescent="0.2">
      <c r="R997" t="s">
        <v>18</v>
      </c>
      <c r="S997" t="s">
        <v>225</v>
      </c>
      <c r="T997" t="s">
        <v>356</v>
      </c>
      <c r="U997" s="21">
        <v>584732.07999999996</v>
      </c>
      <c r="V997" s="21" t="s">
        <v>368</v>
      </c>
      <c r="W997" t="str">
        <f>VLOOKUP(Table_Query_from_Actuarial___Production[[#This Row],[Kor1]],$AI$3:$AK$105,3,FALSE)</f>
        <v>Misc. Expense</v>
      </c>
      <c r="X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97"/>
      <c r="Z997" t="s">
        <v>37</v>
      </c>
      <c r="AA997" t="s">
        <v>240</v>
      </c>
      <c r="AB997" t="s">
        <v>442</v>
      </c>
      <c r="AC997" s="21">
        <v>4174.2299999999996</v>
      </c>
      <c r="AD997" s="21" t="s">
        <v>368</v>
      </c>
      <c r="AE997" t="str">
        <f>VLOOKUP(Table_Query_from_Actuarial___Production3[[#This Row],[Kor1]],$AI$3:$AK$105,3,FALSE)</f>
        <v>Misc. Expense</v>
      </c>
      <c r="AF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" spans="18:32" x14ac:dyDescent="0.2">
      <c r="R998" t="s">
        <v>31</v>
      </c>
      <c r="S998" t="s">
        <v>239</v>
      </c>
      <c r="T998" t="s">
        <v>443</v>
      </c>
      <c r="U998" s="21">
        <v>856.01</v>
      </c>
      <c r="V998" s="21" t="s">
        <v>368</v>
      </c>
      <c r="W998" t="str">
        <f>VLOOKUP(Table_Query_from_Actuarial___Production[[#This Row],[Kor1]],$AI$3:$AK$105,3,FALSE)</f>
        <v>Misc. Expense</v>
      </c>
      <c r="X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"/>
      <c r="Z998" t="s">
        <v>49</v>
      </c>
      <c r="AA998" t="s">
        <v>266</v>
      </c>
      <c r="AB998" t="s">
        <v>433</v>
      </c>
      <c r="AC998" s="21">
        <v>14538.87</v>
      </c>
      <c r="AD998" s="21" t="s">
        <v>368</v>
      </c>
      <c r="AE998" t="str">
        <f>VLOOKUP(Table_Query_from_Actuarial___Production3[[#This Row],[Kor1]],$AI$3:$AK$105,3,FALSE)</f>
        <v>ALAE Paid</v>
      </c>
      <c r="AF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" spans="18:32" x14ac:dyDescent="0.2">
      <c r="R999" t="s">
        <v>10</v>
      </c>
      <c r="S999" t="s">
        <v>249</v>
      </c>
      <c r="T999" t="s">
        <v>445</v>
      </c>
      <c r="U999" s="21">
        <v>20114.88</v>
      </c>
      <c r="V999" s="21" t="s">
        <v>368</v>
      </c>
      <c r="W999" t="str">
        <f>VLOOKUP(Table_Query_from_Actuarial___Production[[#This Row],[Kor1]],$AI$3:$AK$105,3,FALSE)</f>
        <v>Commissions</v>
      </c>
      <c r="X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"/>
      <c r="Z999" t="s">
        <v>16</v>
      </c>
      <c r="AA999" t="s">
        <v>354</v>
      </c>
      <c r="AB999" t="s">
        <v>356</v>
      </c>
      <c r="AC999" s="21">
        <v>3719191.95</v>
      </c>
      <c r="AD999" s="21" t="s">
        <v>369</v>
      </c>
      <c r="AE999" t="str">
        <f>VLOOKUP(Table_Query_from_Actuarial___Production3[[#This Row],[Kor1]],$AI$3:$AK$105,3,FALSE)</f>
        <v>Losses Outstanding</v>
      </c>
      <c r="AF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00" spans="18:32" x14ac:dyDescent="0.2">
      <c r="R1000" t="s">
        <v>19</v>
      </c>
      <c r="S1000" t="s">
        <v>237</v>
      </c>
      <c r="T1000" t="s">
        <v>7</v>
      </c>
      <c r="U1000" s="21">
        <v>3307</v>
      </c>
      <c r="V1000" s="21" t="s">
        <v>368</v>
      </c>
      <c r="W1000" t="str">
        <f>VLOOKUP(Table_Query_from_Actuarial___Production[[#This Row],[Kor1]],$AI$3:$AK$105,3,FALSE)</f>
        <v>Misc. Expense for Insolvent Companies</v>
      </c>
      <c r="X1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"/>
      <c r="Z1000" t="s">
        <v>13</v>
      </c>
      <c r="AA1000" t="s">
        <v>247</v>
      </c>
      <c r="AB1000" t="s">
        <v>356</v>
      </c>
      <c r="AC1000" s="21">
        <v>1882.83</v>
      </c>
      <c r="AD1000" s="21" t="s">
        <v>368</v>
      </c>
      <c r="AE1000" t="str">
        <f>VLOOKUP(Table_Query_from_Actuarial___Production3[[#This Row],[Kor1]],$AI$3:$AK$105,3,FALSE)</f>
        <v>Operating Service Fees</v>
      </c>
      <c r="AF1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" spans="18:32" x14ac:dyDescent="0.2">
      <c r="R1001" t="s">
        <v>439</v>
      </c>
      <c r="S1001" t="s">
        <v>261</v>
      </c>
      <c r="T1001" t="s">
        <v>433</v>
      </c>
      <c r="U1001" s="21">
        <v>781</v>
      </c>
      <c r="V1001" s="21" t="s">
        <v>368</v>
      </c>
      <c r="W1001" t="str">
        <f>VLOOKUP(Table_Query_from_Actuarial___Production[[#This Row],[Kor1]],$AI$3:$AK$105,3,FALSE)</f>
        <v>Operating Service Fees</v>
      </c>
      <c r="X1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"/>
      <c r="Z1001" t="s">
        <v>21</v>
      </c>
      <c r="AA1001" t="s">
        <v>262</v>
      </c>
      <c r="AB1001" t="s">
        <v>6</v>
      </c>
      <c r="AC1001" s="21">
        <v>2812.9</v>
      </c>
      <c r="AD1001" s="21" t="s">
        <v>368</v>
      </c>
      <c r="AE1001" t="str">
        <f>VLOOKUP(Table_Query_from_Actuarial___Production3[[#This Row],[Kor1]],$AI$3:$AK$105,3,FALSE)</f>
        <v>Misc. Expense</v>
      </c>
      <c r="AF1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" spans="18:32" x14ac:dyDescent="0.2">
      <c r="R1002" t="s">
        <v>10</v>
      </c>
      <c r="S1002" t="s">
        <v>264</v>
      </c>
      <c r="T1002" t="s">
        <v>6</v>
      </c>
      <c r="U1002" s="21">
        <v>146208.5</v>
      </c>
      <c r="V1002" s="21" t="s">
        <v>368</v>
      </c>
      <c r="W1002" t="str">
        <f>VLOOKUP(Table_Query_from_Actuarial___Production[[#This Row],[Kor1]],$AI$3:$AK$105,3,FALSE)</f>
        <v>Commissions</v>
      </c>
      <c r="X1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"/>
      <c r="Z1002" t="s">
        <v>21</v>
      </c>
      <c r="AA1002" t="s">
        <v>235</v>
      </c>
      <c r="AB1002" t="s">
        <v>5</v>
      </c>
      <c r="AC1002" s="21">
        <v>373.87</v>
      </c>
      <c r="AD1002" s="21" t="s">
        <v>368</v>
      </c>
      <c r="AE1002" t="str">
        <f>VLOOKUP(Table_Query_from_Actuarial___Production3[[#This Row],[Kor1]],$AI$3:$AK$105,3,FALSE)</f>
        <v>Misc. Expense</v>
      </c>
      <c r="AF1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" spans="18:32" x14ac:dyDescent="0.2">
      <c r="R1003" t="s">
        <v>77</v>
      </c>
      <c r="S1003" t="s">
        <v>267</v>
      </c>
      <c r="T1003" t="s">
        <v>445</v>
      </c>
      <c r="U1003" s="21">
        <v>83107</v>
      </c>
      <c r="V1003" s="21" t="s">
        <v>368</v>
      </c>
      <c r="W1003" t="str">
        <f>VLOOKUP(Table_Query_from_Actuarial___Production[[#This Row],[Kor1]],$AI$3:$AK$105,3,FALSE)</f>
        <v>PDR</v>
      </c>
      <c r="X1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"/>
      <c r="Z1003" t="s">
        <v>47</v>
      </c>
      <c r="AA1003" t="s">
        <v>252</v>
      </c>
      <c r="AB1003" t="s">
        <v>442</v>
      </c>
      <c r="AC1003" s="21">
        <v>47159.37</v>
      </c>
      <c r="AD1003" s="21" t="s">
        <v>368</v>
      </c>
      <c r="AE1003" t="str">
        <f>VLOOKUP(Table_Query_from_Actuarial___Production3[[#This Row],[Kor1]],$AI$3:$AK$105,3,FALSE)</f>
        <v>Investment Income</v>
      </c>
      <c r="AF1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" spans="18:32" x14ac:dyDescent="0.2">
      <c r="R1004" t="s">
        <v>46</v>
      </c>
      <c r="S1004" t="s">
        <v>354</v>
      </c>
      <c r="T1004" t="s">
        <v>433</v>
      </c>
      <c r="U1004" s="21">
        <v>25286813.539999999</v>
      </c>
      <c r="V1004" s="21" t="s">
        <v>369</v>
      </c>
      <c r="W1004" t="str">
        <f>VLOOKUP(Table_Query_from_Actuarial___Production[[#This Row],[Kor1]],$AI$3:$AK$105,3,FALSE)</f>
        <v>Investment Income</v>
      </c>
      <c r="X1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04"/>
      <c r="Z1004" t="s">
        <v>12</v>
      </c>
      <c r="AA1004" t="s">
        <v>229</v>
      </c>
      <c r="AB1004" t="s">
        <v>443</v>
      </c>
      <c r="AC1004" s="21">
        <v>621.39</v>
      </c>
      <c r="AD1004" s="21" t="s">
        <v>368</v>
      </c>
      <c r="AE1004" t="str">
        <f>VLOOKUP(Table_Query_from_Actuarial___Production3[[#This Row],[Kor1]],$AI$3:$AK$105,3,FALSE)</f>
        <v>Premium Tax</v>
      </c>
      <c r="AF1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" spans="18:32" x14ac:dyDescent="0.2">
      <c r="R1005" t="s">
        <v>36</v>
      </c>
      <c r="S1005" t="s">
        <v>257</v>
      </c>
      <c r="T1005" t="s">
        <v>441</v>
      </c>
      <c r="U1005" s="21">
        <v>621.01</v>
      </c>
      <c r="V1005" s="21" t="s">
        <v>368</v>
      </c>
      <c r="W1005" t="str">
        <f>VLOOKUP(Table_Query_from_Actuarial___Production[[#This Row],[Kor1]],$AI$3:$AK$105,3,FALSE)</f>
        <v>Misc. Expense</v>
      </c>
      <c r="X1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"/>
      <c r="Z1005" t="s">
        <v>47</v>
      </c>
      <c r="AA1005" t="s">
        <v>235</v>
      </c>
      <c r="AB1005" t="s">
        <v>7</v>
      </c>
      <c r="AC1005" s="21">
        <v>0.04</v>
      </c>
      <c r="AD1005" s="21" t="s">
        <v>368</v>
      </c>
      <c r="AE1005" t="str">
        <f>VLOOKUP(Table_Query_from_Actuarial___Production3[[#This Row],[Kor1]],$AI$3:$AK$105,3,FALSE)</f>
        <v>Investment Income</v>
      </c>
      <c r="AF1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" spans="18:32" x14ac:dyDescent="0.2">
      <c r="R1006" t="s">
        <v>33</v>
      </c>
      <c r="S1006" t="s">
        <v>268</v>
      </c>
      <c r="T1006" t="s">
        <v>356</v>
      </c>
      <c r="U1006" s="21">
        <v>10799.27</v>
      </c>
      <c r="V1006" s="21" t="s">
        <v>368</v>
      </c>
      <c r="W1006" t="str">
        <f>VLOOKUP(Table_Query_from_Actuarial___Production[[#This Row],[Kor1]],$AI$3:$AK$105,3,FALSE)</f>
        <v>Misc. Expense</v>
      </c>
      <c r="X1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"/>
      <c r="Z1006" t="s">
        <v>50</v>
      </c>
      <c r="AA1006" t="s">
        <v>240</v>
      </c>
      <c r="AB1006" t="s">
        <v>441</v>
      </c>
      <c r="AC1006" s="21">
        <v>134721.26</v>
      </c>
      <c r="AD1006" s="21" t="s">
        <v>368</v>
      </c>
      <c r="AE1006" t="str">
        <f>VLOOKUP(Table_Query_from_Actuarial___Production3[[#This Row],[Kor1]],$AI$3:$AK$105,3,FALSE)</f>
        <v>ALAE Reserve</v>
      </c>
      <c r="AF1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" spans="18:32" x14ac:dyDescent="0.2">
      <c r="R1007" t="s">
        <v>10</v>
      </c>
      <c r="S1007" t="s">
        <v>243</v>
      </c>
      <c r="T1007" t="s">
        <v>441</v>
      </c>
      <c r="U1007" s="21">
        <v>42297.05</v>
      </c>
      <c r="V1007" s="21" t="s">
        <v>368</v>
      </c>
      <c r="W1007" t="str">
        <f>VLOOKUP(Table_Query_from_Actuarial___Production[[#This Row],[Kor1]],$AI$3:$AK$105,3,FALSE)</f>
        <v>Commissions</v>
      </c>
      <c r="X1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"/>
      <c r="Z1007" t="s">
        <v>12</v>
      </c>
      <c r="AA1007" t="s">
        <v>251</v>
      </c>
      <c r="AB1007" t="s">
        <v>433</v>
      </c>
      <c r="AC1007" s="21">
        <v>21716.34</v>
      </c>
      <c r="AD1007" s="21" t="s">
        <v>368</v>
      </c>
      <c r="AE1007" t="str">
        <f>VLOOKUP(Table_Query_from_Actuarial___Production3[[#This Row],[Kor1]],$AI$3:$AK$105,3,FALSE)</f>
        <v>Premium Tax</v>
      </c>
      <c r="AF1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" spans="18:32" x14ac:dyDescent="0.2">
      <c r="R1008" t="s">
        <v>15</v>
      </c>
      <c r="S1008" t="s">
        <v>261</v>
      </c>
      <c r="T1008" t="s">
        <v>445</v>
      </c>
      <c r="U1008" s="21">
        <v>738826.8</v>
      </c>
      <c r="V1008" s="21" t="s">
        <v>368</v>
      </c>
      <c r="W1008" t="str">
        <f>VLOOKUP(Table_Query_from_Actuarial___Production[[#This Row],[Kor1]],$AI$3:$AK$105,3,FALSE)</f>
        <v>Unearned Premiums</v>
      </c>
      <c r="X1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"/>
      <c r="Z1008" t="s">
        <v>132</v>
      </c>
      <c r="AA1008" t="s">
        <v>354</v>
      </c>
      <c r="AB1008" t="s">
        <v>9</v>
      </c>
      <c r="AC1008" s="21">
        <v>145118571.22999999</v>
      </c>
      <c r="AD1008" s="21" t="s">
        <v>369</v>
      </c>
      <c r="AE1008" t="str">
        <f>VLOOKUP(Table_Query_from_Actuarial___Production3[[#This Row],[Kor1]],$AI$3:$AK$105,3,FALSE)</f>
        <v>Clean Risk Subsidy</v>
      </c>
      <c r="AF1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09" spans="18:32" x14ac:dyDescent="0.2">
      <c r="R1009" t="s">
        <v>43</v>
      </c>
      <c r="S1009" t="s">
        <v>242</v>
      </c>
      <c r="T1009" t="s">
        <v>442</v>
      </c>
      <c r="U1009" s="21">
        <v>-939.8</v>
      </c>
      <c r="V1009" s="21" t="s">
        <v>368</v>
      </c>
      <c r="W1009" t="str">
        <f>VLOOKUP(Table_Query_from_Actuarial___Production[[#This Row],[Kor1]],$AI$3:$AK$105,3,FALSE)</f>
        <v>Charge-offs</v>
      </c>
      <c r="X1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"/>
      <c r="Z1009" t="s">
        <v>147</v>
      </c>
      <c r="AA1009" t="s">
        <v>354</v>
      </c>
      <c r="AB1009" t="s">
        <v>6</v>
      </c>
      <c r="AC1009" s="21">
        <v>9619391.1999999993</v>
      </c>
      <c r="AD1009" s="21" t="s">
        <v>369</v>
      </c>
      <c r="AE1009" t="str">
        <f>VLOOKUP(Table_Query_from_Actuarial___Production3[[#This Row],[Kor1]],$AI$3:$AK$105,3,FALSE)</f>
        <v>Investment Impairments</v>
      </c>
      <c r="AF1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10" spans="18:32" x14ac:dyDescent="0.2">
      <c r="R1010" t="s">
        <v>33</v>
      </c>
      <c r="S1010" t="s">
        <v>262</v>
      </c>
      <c r="T1010" t="s">
        <v>6</v>
      </c>
      <c r="U1010" s="21">
        <v>15230.32</v>
      </c>
      <c r="V1010" s="21" t="s">
        <v>368</v>
      </c>
      <c r="W1010" t="str">
        <f>VLOOKUP(Table_Query_from_Actuarial___Production[[#This Row],[Kor1]],$AI$3:$AK$105,3,FALSE)</f>
        <v>Misc. Expense</v>
      </c>
      <c r="X1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"/>
      <c r="Z1010" t="s">
        <v>49</v>
      </c>
      <c r="AA1010" t="s">
        <v>225</v>
      </c>
      <c r="AB1010" t="s">
        <v>433</v>
      </c>
      <c r="AC1010" s="21">
        <v>2345.2800000000002</v>
      </c>
      <c r="AD1010" s="21" t="s">
        <v>369</v>
      </c>
      <c r="AE1010" t="str">
        <f>VLOOKUP(Table_Query_from_Actuarial___Production3[[#This Row],[Kor1]],$AI$3:$AK$105,3,FALSE)</f>
        <v>ALAE Paid</v>
      </c>
      <c r="AF1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11" spans="18:32" x14ac:dyDescent="0.2">
      <c r="R1011" t="s">
        <v>44</v>
      </c>
      <c r="S1011" t="s">
        <v>229</v>
      </c>
      <c r="T1011" t="s">
        <v>442</v>
      </c>
      <c r="U1011" s="21">
        <v>6282</v>
      </c>
      <c r="V1011" s="21" t="s">
        <v>368</v>
      </c>
      <c r="W1011" t="str">
        <f>VLOOKUP(Table_Query_from_Actuarial___Production[[#This Row],[Kor1]],$AI$3:$AK$105,3,FALSE)</f>
        <v>Charge-offs</v>
      </c>
      <c r="X1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"/>
      <c r="Z1011" t="s">
        <v>44</v>
      </c>
      <c r="AA1011" t="s">
        <v>252</v>
      </c>
      <c r="AB1011" t="s">
        <v>356</v>
      </c>
      <c r="AC1011" s="21">
        <v>1074025.6599999999</v>
      </c>
      <c r="AD1011" s="21" t="s">
        <v>368</v>
      </c>
      <c r="AE1011" t="str">
        <f>VLOOKUP(Table_Query_from_Actuarial___Production3[[#This Row],[Kor1]],$AI$3:$AK$105,3,FALSE)</f>
        <v>Charge-offs</v>
      </c>
      <c r="AF1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" spans="18:32" x14ac:dyDescent="0.2">
      <c r="R1012" t="s">
        <v>43</v>
      </c>
      <c r="S1012" t="s">
        <v>258</v>
      </c>
      <c r="T1012" t="s">
        <v>443</v>
      </c>
      <c r="U1012" s="21">
        <v>-82.89</v>
      </c>
      <c r="V1012" s="21" t="s">
        <v>368</v>
      </c>
      <c r="W1012" t="str">
        <f>VLOOKUP(Table_Query_from_Actuarial___Production[[#This Row],[Kor1]],$AI$3:$AK$105,3,FALSE)</f>
        <v>Charge-offs</v>
      </c>
      <c r="X1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"/>
      <c r="Z1012" t="s">
        <v>49</v>
      </c>
      <c r="AA1012" t="s">
        <v>225</v>
      </c>
      <c r="AB1012" t="s">
        <v>7</v>
      </c>
      <c r="AC1012" s="21">
        <v>548556.38</v>
      </c>
      <c r="AD1012" s="21" t="s">
        <v>369</v>
      </c>
      <c r="AE1012" t="str">
        <f>VLOOKUP(Table_Query_from_Actuarial___Production3[[#This Row],[Kor1]],$AI$3:$AK$105,3,FALSE)</f>
        <v>ALAE Paid</v>
      </c>
      <c r="AF1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13" spans="18:32" x14ac:dyDescent="0.2">
      <c r="R1013" t="s">
        <v>19</v>
      </c>
      <c r="S1013" t="s">
        <v>233</v>
      </c>
      <c r="T1013" t="s">
        <v>9</v>
      </c>
      <c r="U1013" s="21">
        <v>2.99</v>
      </c>
      <c r="V1013" s="21" t="s">
        <v>368</v>
      </c>
      <c r="W1013" t="str">
        <f>VLOOKUP(Table_Query_from_Actuarial___Production[[#This Row],[Kor1]],$AI$3:$AK$105,3,FALSE)</f>
        <v>Misc. Expense for Insolvent Companies</v>
      </c>
      <c r="X1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"/>
      <c r="Z1013" t="s">
        <v>3</v>
      </c>
      <c r="AA1013" t="s">
        <v>258</v>
      </c>
      <c r="AB1013" t="s">
        <v>6</v>
      </c>
      <c r="AC1013" s="21">
        <v>1713328</v>
      </c>
      <c r="AD1013" s="21" t="s">
        <v>368</v>
      </c>
      <c r="AE1013" t="str">
        <f>VLOOKUP(Table_Query_from_Actuarial___Production3[[#This Row],[Kor1]],$AI$3:$AK$105,3,FALSE)</f>
        <v>Premiums Written</v>
      </c>
      <c r="AF1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" spans="18:32" x14ac:dyDescent="0.2">
      <c r="R1014" t="s">
        <v>16</v>
      </c>
      <c r="S1014" t="s">
        <v>237</v>
      </c>
      <c r="T1014" t="s">
        <v>427</v>
      </c>
      <c r="U1014" s="21">
        <v>5960305.4900000002</v>
      </c>
      <c r="V1014" s="21" t="s">
        <v>368</v>
      </c>
      <c r="W1014" t="str">
        <f>VLOOKUP(Table_Query_from_Actuarial___Production[[#This Row],[Kor1]],$AI$3:$AK$105,3,FALSE)</f>
        <v>Losses Outstanding</v>
      </c>
      <c r="X1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"/>
      <c r="Z1014" t="s">
        <v>47</v>
      </c>
      <c r="AA1014" t="s">
        <v>263</v>
      </c>
      <c r="AB1014" t="s">
        <v>9</v>
      </c>
      <c r="AC1014" s="21">
        <v>224.51</v>
      </c>
      <c r="AD1014" s="21" t="s">
        <v>368</v>
      </c>
      <c r="AE1014" t="str">
        <f>VLOOKUP(Table_Query_from_Actuarial___Production3[[#This Row],[Kor1]],$AI$3:$AK$105,3,FALSE)</f>
        <v>Investment Income</v>
      </c>
      <c r="AF1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" spans="18:32" x14ac:dyDescent="0.2">
      <c r="R1015" t="s">
        <v>43</v>
      </c>
      <c r="S1015" t="s">
        <v>267</v>
      </c>
      <c r="T1015" t="s">
        <v>351</v>
      </c>
      <c r="U1015" s="21">
        <v>-178.36</v>
      </c>
      <c r="V1015" s="21" t="s">
        <v>368</v>
      </c>
      <c r="W1015" t="str">
        <f>VLOOKUP(Table_Query_from_Actuarial___Production[[#This Row],[Kor1]],$AI$3:$AK$105,3,FALSE)</f>
        <v>Charge-offs</v>
      </c>
      <c r="X1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"/>
      <c r="Z1015" t="s">
        <v>3</v>
      </c>
      <c r="AA1015" t="s">
        <v>246</v>
      </c>
      <c r="AB1015" t="s">
        <v>441</v>
      </c>
      <c r="AC1015" s="21">
        <v>4702956</v>
      </c>
      <c r="AD1015" s="21" t="s">
        <v>368</v>
      </c>
      <c r="AE1015" t="str">
        <f>VLOOKUP(Table_Query_from_Actuarial___Production3[[#This Row],[Kor1]],$AI$3:$AK$105,3,FALSE)</f>
        <v>Premiums Written</v>
      </c>
      <c r="AF1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" spans="18:32" x14ac:dyDescent="0.2">
      <c r="R1016" t="s">
        <v>48</v>
      </c>
      <c r="S1016" t="s">
        <v>246</v>
      </c>
      <c r="T1016" t="s">
        <v>443</v>
      </c>
      <c r="U1016" s="21">
        <v>7338.83</v>
      </c>
      <c r="V1016" s="21" t="s">
        <v>368</v>
      </c>
      <c r="W1016" t="str">
        <f>VLOOKUP(Table_Query_from_Actuarial___Production[[#This Row],[Kor1]],$AI$3:$AK$105,3,FALSE)</f>
        <v>Anticipated Salvage</v>
      </c>
      <c r="X1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"/>
      <c r="Z1016" t="s">
        <v>39</v>
      </c>
      <c r="AA1016" t="s">
        <v>261</v>
      </c>
      <c r="AB1016" t="s">
        <v>8</v>
      </c>
      <c r="AC1016" s="21">
        <v>2345</v>
      </c>
      <c r="AD1016" s="21" t="s">
        <v>368</v>
      </c>
      <c r="AE1016" t="str">
        <f>VLOOKUP(Table_Query_from_Actuarial___Production3[[#This Row],[Kor1]],$AI$3:$AK$105,3,FALSE)</f>
        <v>Misc. Income for Insolvent Companies</v>
      </c>
      <c r="AF1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" spans="18:32" x14ac:dyDescent="0.2">
      <c r="R1017" t="s">
        <v>38</v>
      </c>
      <c r="S1017" t="s">
        <v>352</v>
      </c>
      <c r="T1017" t="s">
        <v>433</v>
      </c>
      <c r="U1017" s="21">
        <v>19369.66</v>
      </c>
      <c r="V1017" s="21" t="s">
        <v>369</v>
      </c>
      <c r="W1017" t="str">
        <f>VLOOKUP(Table_Query_from_Actuarial___Production[[#This Row],[Kor1]],$AI$3:$AK$105,3,FALSE)</f>
        <v>Misc. Income</v>
      </c>
      <c r="X1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017"/>
      <c r="Z1017" t="s">
        <v>11</v>
      </c>
      <c r="AA1017" t="s">
        <v>237</v>
      </c>
      <c r="AB1017" t="s">
        <v>443</v>
      </c>
      <c r="AC1017" s="21">
        <v>3416469.14</v>
      </c>
      <c r="AD1017" s="21" t="s">
        <v>368</v>
      </c>
      <c r="AE1017" t="str">
        <f>VLOOKUP(Table_Query_from_Actuarial___Production3[[#This Row],[Kor1]],$AI$3:$AK$105,3,FALSE)</f>
        <v>Losses Paid</v>
      </c>
      <c r="AF1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" spans="18:32" x14ac:dyDescent="0.2">
      <c r="R1018" t="s">
        <v>37</v>
      </c>
      <c r="S1018" t="s">
        <v>263</v>
      </c>
      <c r="T1018" t="s">
        <v>443</v>
      </c>
      <c r="U1018" s="21">
        <v>5.0999999999999996</v>
      </c>
      <c r="V1018" s="21" t="s">
        <v>368</v>
      </c>
      <c r="W1018" t="str">
        <f>VLOOKUP(Table_Query_from_Actuarial___Production[[#This Row],[Kor1]],$AI$3:$AK$105,3,FALSE)</f>
        <v>Misc. Expense</v>
      </c>
      <c r="X1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"/>
      <c r="Z1018" t="s">
        <v>41</v>
      </c>
      <c r="AA1018" t="s">
        <v>259</v>
      </c>
      <c r="AB1018" t="s">
        <v>8</v>
      </c>
      <c r="AC1018" s="21">
        <v>249.99</v>
      </c>
      <c r="AD1018" s="21" t="s">
        <v>368</v>
      </c>
      <c r="AE1018" t="str">
        <f>VLOOKUP(Table_Query_from_Actuarial___Production3[[#This Row],[Kor1]],$AI$3:$AK$105,3,FALSE)</f>
        <v>Misc. Income</v>
      </c>
      <c r="AF1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" spans="18:32" x14ac:dyDescent="0.2">
      <c r="R1019" t="s">
        <v>11</v>
      </c>
      <c r="S1019" t="s">
        <v>255</v>
      </c>
      <c r="T1019" t="s">
        <v>6</v>
      </c>
      <c r="U1019" s="21">
        <v>169798.43</v>
      </c>
      <c r="V1019" s="21" t="s">
        <v>368</v>
      </c>
      <c r="W1019" t="str">
        <f>VLOOKUP(Table_Query_from_Actuarial___Production[[#This Row],[Kor1]],$AI$3:$AK$105,3,FALSE)</f>
        <v>Losses Paid</v>
      </c>
      <c r="X1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"/>
      <c r="Z1019" t="s">
        <v>14</v>
      </c>
      <c r="AA1019" t="s">
        <v>248</v>
      </c>
      <c r="AB1019" t="s">
        <v>6</v>
      </c>
      <c r="AC1019" s="21">
        <v>1541.17</v>
      </c>
      <c r="AD1019" s="21" t="s">
        <v>368</v>
      </c>
      <c r="AE1019" t="str">
        <f>VLOOKUP(Table_Query_from_Actuarial___Production3[[#This Row],[Kor1]],$AI$3:$AK$105,3,FALSE)</f>
        <v>Claims Expense</v>
      </c>
      <c r="AF1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" spans="18:32" x14ac:dyDescent="0.2">
      <c r="R1020" t="s">
        <v>439</v>
      </c>
      <c r="S1020" t="s">
        <v>239</v>
      </c>
      <c r="T1020" t="s">
        <v>433</v>
      </c>
      <c r="U1020" s="21">
        <v>62581</v>
      </c>
      <c r="V1020" s="21" t="s">
        <v>368</v>
      </c>
      <c r="W1020" t="str">
        <f>VLOOKUP(Table_Query_from_Actuarial___Production[[#This Row],[Kor1]],$AI$3:$AK$105,3,FALSE)</f>
        <v>Operating Service Fees</v>
      </c>
      <c r="X1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"/>
      <c r="Z1020" t="s">
        <v>18</v>
      </c>
      <c r="AA1020" t="s">
        <v>225</v>
      </c>
      <c r="AB1020" t="s">
        <v>356</v>
      </c>
      <c r="AC1020" s="21">
        <v>584732.07999999996</v>
      </c>
      <c r="AD1020" s="21" t="s">
        <v>368</v>
      </c>
      <c r="AE1020" t="str">
        <f>VLOOKUP(Table_Query_from_Actuarial___Production3[[#This Row],[Kor1]],$AI$3:$AK$105,3,FALSE)</f>
        <v>Misc. Expense</v>
      </c>
      <c r="AF1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21" spans="18:32" x14ac:dyDescent="0.2">
      <c r="R1021" t="s">
        <v>10</v>
      </c>
      <c r="S1021" t="s">
        <v>230</v>
      </c>
      <c r="T1021" t="s">
        <v>9</v>
      </c>
      <c r="U1021" s="21">
        <v>1526069.71</v>
      </c>
      <c r="V1021" s="21" t="s">
        <v>368</v>
      </c>
      <c r="W1021" t="str">
        <f>VLOOKUP(Table_Query_from_Actuarial___Production[[#This Row],[Kor1]],$AI$3:$AK$105,3,FALSE)</f>
        <v>Commissions</v>
      </c>
      <c r="X1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"/>
      <c r="Z1021" t="s">
        <v>31</v>
      </c>
      <c r="AA1021" t="s">
        <v>239</v>
      </c>
      <c r="AB1021" t="s">
        <v>443</v>
      </c>
      <c r="AC1021" s="21">
        <v>633.17999999999995</v>
      </c>
      <c r="AD1021" s="21" t="s">
        <v>368</v>
      </c>
      <c r="AE1021" t="str">
        <f>VLOOKUP(Table_Query_from_Actuarial___Production3[[#This Row],[Kor1]],$AI$3:$AK$105,3,FALSE)</f>
        <v>Misc. Expense</v>
      </c>
      <c r="AF1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" spans="18:32" x14ac:dyDescent="0.2">
      <c r="R1022" t="s">
        <v>11</v>
      </c>
      <c r="S1022" t="s">
        <v>239</v>
      </c>
      <c r="T1022" t="s">
        <v>445</v>
      </c>
      <c r="U1022" s="21">
        <v>16983</v>
      </c>
      <c r="V1022" s="21" t="s">
        <v>368</v>
      </c>
      <c r="W1022" t="str">
        <f>VLOOKUP(Table_Query_from_Actuarial___Production[[#This Row],[Kor1]],$AI$3:$AK$105,3,FALSE)</f>
        <v>Losses Paid</v>
      </c>
      <c r="X1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"/>
      <c r="Z1022" t="s">
        <v>19</v>
      </c>
      <c r="AA1022" t="s">
        <v>237</v>
      </c>
      <c r="AB1022" t="s">
        <v>7</v>
      </c>
      <c r="AC1022" s="21">
        <v>3307</v>
      </c>
      <c r="AD1022" s="21" t="s">
        <v>368</v>
      </c>
      <c r="AE1022" t="str">
        <f>VLOOKUP(Table_Query_from_Actuarial___Production3[[#This Row],[Kor1]],$AI$3:$AK$105,3,FALSE)</f>
        <v>Misc. Expense for Insolvent Companies</v>
      </c>
      <c r="AF1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" spans="18:32" x14ac:dyDescent="0.2">
      <c r="R1023" t="s">
        <v>44</v>
      </c>
      <c r="S1023" t="s">
        <v>267</v>
      </c>
      <c r="T1023" t="s">
        <v>441</v>
      </c>
      <c r="U1023" s="21">
        <v>64507</v>
      </c>
      <c r="V1023" s="21" t="s">
        <v>368</v>
      </c>
      <c r="W1023" t="str">
        <f>VLOOKUP(Table_Query_from_Actuarial___Production[[#This Row],[Kor1]],$AI$3:$AK$105,3,FALSE)</f>
        <v>Charge-offs</v>
      </c>
      <c r="X1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"/>
      <c r="Z1023" t="s">
        <v>439</v>
      </c>
      <c r="AA1023" t="s">
        <v>261</v>
      </c>
      <c r="AB1023" t="s">
        <v>433</v>
      </c>
      <c r="AC1023" s="21">
        <v>781</v>
      </c>
      <c r="AD1023" s="21" t="s">
        <v>368</v>
      </c>
      <c r="AE1023" t="str">
        <f>VLOOKUP(Table_Query_from_Actuarial___Production3[[#This Row],[Kor1]],$AI$3:$AK$105,3,FALSE)</f>
        <v>Operating Service Fees</v>
      </c>
      <c r="AF1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" spans="18:32" x14ac:dyDescent="0.2">
      <c r="R1024" t="s">
        <v>3</v>
      </c>
      <c r="S1024" t="s">
        <v>252</v>
      </c>
      <c r="T1024" t="s">
        <v>7</v>
      </c>
      <c r="U1024" s="21">
        <v>10921340</v>
      </c>
      <c r="V1024" s="21" t="s">
        <v>368</v>
      </c>
      <c r="W1024" t="str">
        <f>VLOOKUP(Table_Query_from_Actuarial___Production[[#This Row],[Kor1]],$AI$3:$AK$105,3,FALSE)</f>
        <v>Premiums Written</v>
      </c>
      <c r="X1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"/>
      <c r="Z1024" t="s">
        <v>10</v>
      </c>
      <c r="AA1024" t="s">
        <v>264</v>
      </c>
      <c r="AB1024" t="s">
        <v>6</v>
      </c>
      <c r="AC1024" s="21">
        <v>146208.5</v>
      </c>
      <c r="AD1024" s="21" t="s">
        <v>368</v>
      </c>
      <c r="AE1024" t="str">
        <f>VLOOKUP(Table_Query_from_Actuarial___Production3[[#This Row],[Kor1]],$AI$3:$AK$105,3,FALSE)</f>
        <v>Commissions</v>
      </c>
      <c r="AF1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" spans="18:32" x14ac:dyDescent="0.2">
      <c r="R1025" t="s">
        <v>43</v>
      </c>
      <c r="S1025" t="s">
        <v>234</v>
      </c>
      <c r="T1025" t="s">
        <v>442</v>
      </c>
      <c r="U1025" s="21">
        <v>875.07</v>
      </c>
      <c r="V1025" s="21" t="s">
        <v>368</v>
      </c>
      <c r="W1025" t="str">
        <f>VLOOKUP(Table_Query_from_Actuarial___Production[[#This Row],[Kor1]],$AI$3:$AK$105,3,FALSE)</f>
        <v>Charge-offs</v>
      </c>
      <c r="X1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"/>
      <c r="Z1025" t="s">
        <v>50</v>
      </c>
      <c r="AA1025" t="s">
        <v>240</v>
      </c>
      <c r="AB1025" t="s">
        <v>427</v>
      </c>
      <c r="AC1025" s="21">
        <v>27021.919999999998</v>
      </c>
      <c r="AD1025" s="21" t="s">
        <v>368</v>
      </c>
      <c r="AE1025" t="str">
        <f>VLOOKUP(Table_Query_from_Actuarial___Production3[[#This Row],[Kor1]],$AI$3:$AK$105,3,FALSE)</f>
        <v>ALAE Reserve</v>
      </c>
      <c r="AF1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" spans="18:32" x14ac:dyDescent="0.2">
      <c r="R1026" t="s">
        <v>49</v>
      </c>
      <c r="S1026" t="s">
        <v>230</v>
      </c>
      <c r="T1026" t="s">
        <v>351</v>
      </c>
      <c r="U1026" s="21">
        <v>1620334.27</v>
      </c>
      <c r="V1026" s="21" t="s">
        <v>368</v>
      </c>
      <c r="W1026" t="str">
        <f>VLOOKUP(Table_Query_from_Actuarial___Production[[#This Row],[Kor1]],$AI$3:$AK$105,3,FALSE)</f>
        <v>ALAE Paid</v>
      </c>
      <c r="X1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"/>
      <c r="Z1026" t="s">
        <v>46</v>
      </c>
      <c r="AA1026" t="s">
        <v>354</v>
      </c>
      <c r="AB1026" t="s">
        <v>433</v>
      </c>
      <c r="AC1026" s="21">
        <v>25286813.539999999</v>
      </c>
      <c r="AD1026" s="21" t="s">
        <v>369</v>
      </c>
      <c r="AE1026" t="str">
        <f>VLOOKUP(Table_Query_from_Actuarial___Production3[[#This Row],[Kor1]],$AI$3:$AK$105,3,FALSE)</f>
        <v>Investment Income</v>
      </c>
      <c r="AF1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27" spans="18:32" x14ac:dyDescent="0.2">
      <c r="R1027" t="s">
        <v>37</v>
      </c>
      <c r="S1027" t="s">
        <v>244</v>
      </c>
      <c r="T1027" t="s">
        <v>9</v>
      </c>
      <c r="U1027" s="21">
        <v>5066.37</v>
      </c>
      <c r="V1027" s="21" t="s">
        <v>368</v>
      </c>
      <c r="W1027" t="str">
        <f>VLOOKUP(Table_Query_from_Actuarial___Production[[#This Row],[Kor1]],$AI$3:$AK$105,3,FALSE)</f>
        <v>Misc. Expense</v>
      </c>
      <c r="X1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"/>
      <c r="Z1027" t="s">
        <v>77</v>
      </c>
      <c r="AA1027" t="s">
        <v>225</v>
      </c>
      <c r="AB1027" t="s">
        <v>442</v>
      </c>
      <c r="AC1027" s="21">
        <v>26820</v>
      </c>
      <c r="AD1027" s="21" t="s">
        <v>368</v>
      </c>
      <c r="AE1027" t="str">
        <f>VLOOKUP(Table_Query_from_Actuarial___Production3[[#This Row],[Kor1]],$AI$3:$AK$105,3,FALSE)</f>
        <v>PDR</v>
      </c>
      <c r="AF1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28" spans="18:32" x14ac:dyDescent="0.2">
      <c r="R1028" t="s">
        <v>34</v>
      </c>
      <c r="S1028" t="s">
        <v>245</v>
      </c>
      <c r="T1028" t="s">
        <v>8</v>
      </c>
      <c r="U1028" s="21">
        <v>14.13</v>
      </c>
      <c r="V1028" s="21" t="s">
        <v>368</v>
      </c>
      <c r="W1028" t="str">
        <f>VLOOKUP(Table_Query_from_Actuarial___Production[[#This Row],[Kor1]],$AI$3:$AK$105,3,FALSE)</f>
        <v>Misc. Expense</v>
      </c>
      <c r="X1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"/>
      <c r="Z1028" t="s">
        <v>36</v>
      </c>
      <c r="AA1028" t="s">
        <v>257</v>
      </c>
      <c r="AB1028" t="s">
        <v>441</v>
      </c>
      <c r="AC1028" s="21">
        <v>621.01</v>
      </c>
      <c r="AD1028" s="21" t="s">
        <v>368</v>
      </c>
      <c r="AE1028" t="str">
        <f>VLOOKUP(Table_Query_from_Actuarial___Production3[[#This Row],[Kor1]],$AI$3:$AK$105,3,FALSE)</f>
        <v>Misc. Expense</v>
      </c>
      <c r="AF1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" spans="18:32" x14ac:dyDescent="0.2">
      <c r="R1029" t="s">
        <v>41</v>
      </c>
      <c r="S1029" t="s">
        <v>232</v>
      </c>
      <c r="T1029" t="s">
        <v>443</v>
      </c>
      <c r="U1029" s="21">
        <v>149.97</v>
      </c>
      <c r="V1029" s="21" t="s">
        <v>368</v>
      </c>
      <c r="W1029" t="str">
        <f>VLOOKUP(Table_Query_from_Actuarial___Production[[#This Row],[Kor1]],$AI$3:$AK$105,3,FALSE)</f>
        <v>Misc. Income</v>
      </c>
      <c r="X1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"/>
      <c r="Z1029" t="s">
        <v>37</v>
      </c>
      <c r="AA1029" t="s">
        <v>237</v>
      </c>
      <c r="AB1029" t="s">
        <v>5</v>
      </c>
      <c r="AC1029" s="21">
        <v>5454.92</v>
      </c>
      <c r="AD1029" s="21" t="s">
        <v>368</v>
      </c>
      <c r="AE1029" t="str">
        <f>VLOOKUP(Table_Query_from_Actuarial___Production3[[#This Row],[Kor1]],$AI$3:$AK$105,3,FALSE)</f>
        <v>Misc. Expense</v>
      </c>
      <c r="AF1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" spans="18:32" x14ac:dyDescent="0.2">
      <c r="R1030" t="s">
        <v>44</v>
      </c>
      <c r="S1030" t="s">
        <v>259</v>
      </c>
      <c r="T1030" t="s">
        <v>442</v>
      </c>
      <c r="U1030" s="21">
        <v>6</v>
      </c>
      <c r="V1030" s="21" t="s">
        <v>368</v>
      </c>
      <c r="W1030" t="str">
        <f>VLOOKUP(Table_Query_from_Actuarial___Production[[#This Row],[Kor1]],$AI$3:$AK$105,3,FALSE)</f>
        <v>Charge-offs</v>
      </c>
      <c r="X1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"/>
      <c r="Z1030" t="s">
        <v>33</v>
      </c>
      <c r="AA1030" t="s">
        <v>268</v>
      </c>
      <c r="AB1030" t="s">
        <v>356</v>
      </c>
      <c r="AC1030" s="21">
        <v>10799.27</v>
      </c>
      <c r="AD1030" s="21" t="s">
        <v>368</v>
      </c>
      <c r="AE1030" t="str">
        <f>VLOOKUP(Table_Query_from_Actuarial___Production3[[#This Row],[Kor1]],$AI$3:$AK$105,3,FALSE)</f>
        <v>Misc. Expense</v>
      </c>
      <c r="AF1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" spans="18:32" x14ac:dyDescent="0.2">
      <c r="R1031" t="s">
        <v>16</v>
      </c>
      <c r="S1031" t="s">
        <v>238</v>
      </c>
      <c r="T1031" t="s">
        <v>442</v>
      </c>
      <c r="U1031" s="21">
        <v>2367599.62</v>
      </c>
      <c r="V1031" s="21" t="s">
        <v>368</v>
      </c>
      <c r="W1031" t="str">
        <f>VLOOKUP(Table_Query_from_Actuarial___Production[[#This Row],[Kor1]],$AI$3:$AK$105,3,FALSE)</f>
        <v>Losses Outstanding</v>
      </c>
      <c r="X1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"/>
      <c r="Z1031" t="s">
        <v>10</v>
      </c>
      <c r="AA1031" t="s">
        <v>243</v>
      </c>
      <c r="AB1031" t="s">
        <v>441</v>
      </c>
      <c r="AC1031" s="21">
        <v>42297.05</v>
      </c>
      <c r="AD1031" s="21" t="s">
        <v>368</v>
      </c>
      <c r="AE1031" t="str">
        <f>VLOOKUP(Table_Query_from_Actuarial___Production3[[#This Row],[Kor1]],$AI$3:$AK$105,3,FALSE)</f>
        <v>Commissions</v>
      </c>
      <c r="AF1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" spans="18:32" x14ac:dyDescent="0.2">
      <c r="R1032" t="s">
        <v>20</v>
      </c>
      <c r="S1032" t="s">
        <v>248</v>
      </c>
      <c r="T1032" t="s">
        <v>356</v>
      </c>
      <c r="U1032" s="21">
        <v>6.87</v>
      </c>
      <c r="V1032" s="21" t="s">
        <v>368</v>
      </c>
      <c r="W1032" t="str">
        <f>VLOOKUP(Table_Query_from_Actuarial___Production[[#This Row],[Kor1]],$AI$3:$AK$105,3,FALSE)</f>
        <v>Misc. Expense</v>
      </c>
      <c r="X1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"/>
      <c r="Z1032" t="s">
        <v>43</v>
      </c>
      <c r="AA1032" t="s">
        <v>242</v>
      </c>
      <c r="AB1032" t="s">
        <v>442</v>
      </c>
      <c r="AC1032" s="21">
        <v>-743.52</v>
      </c>
      <c r="AD1032" s="21" t="s">
        <v>368</v>
      </c>
      <c r="AE1032" t="str">
        <f>VLOOKUP(Table_Query_from_Actuarial___Production3[[#This Row],[Kor1]],$AI$3:$AK$105,3,FALSE)</f>
        <v>Charge-offs</v>
      </c>
      <c r="AF1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" spans="18:32" x14ac:dyDescent="0.2">
      <c r="R1033" t="s">
        <v>3</v>
      </c>
      <c r="S1033" t="s">
        <v>238</v>
      </c>
      <c r="T1033" t="s">
        <v>9</v>
      </c>
      <c r="U1033" s="21">
        <v>145598</v>
      </c>
      <c r="V1033" s="21" t="s">
        <v>368</v>
      </c>
      <c r="W1033" t="str">
        <f>VLOOKUP(Table_Query_from_Actuarial___Production[[#This Row],[Kor1]],$AI$3:$AK$105,3,FALSE)</f>
        <v>Premiums Written</v>
      </c>
      <c r="X1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"/>
      <c r="Z1033" t="s">
        <v>33</v>
      </c>
      <c r="AA1033" t="s">
        <v>262</v>
      </c>
      <c r="AB1033" t="s">
        <v>6</v>
      </c>
      <c r="AC1033" s="21">
        <v>15230.32</v>
      </c>
      <c r="AD1033" s="21" t="s">
        <v>368</v>
      </c>
      <c r="AE1033" t="str">
        <f>VLOOKUP(Table_Query_from_Actuarial___Production3[[#This Row],[Kor1]],$AI$3:$AK$105,3,FALSE)</f>
        <v>Misc. Expense</v>
      </c>
      <c r="AF1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" spans="18:32" x14ac:dyDescent="0.2">
      <c r="R1034" t="s">
        <v>13</v>
      </c>
      <c r="S1034" t="s">
        <v>264</v>
      </c>
      <c r="T1034" t="s">
        <v>9</v>
      </c>
      <c r="U1034" s="21">
        <v>488204.79999999999</v>
      </c>
      <c r="V1034" s="21" t="s">
        <v>368</v>
      </c>
      <c r="W1034" t="str">
        <f>VLOOKUP(Table_Query_from_Actuarial___Production[[#This Row],[Kor1]],$AI$3:$AK$105,3,FALSE)</f>
        <v>Operating Service Fees</v>
      </c>
      <c r="X1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"/>
      <c r="Z1034" t="s">
        <v>33</v>
      </c>
      <c r="AA1034" t="s">
        <v>267</v>
      </c>
      <c r="AB1034" t="s">
        <v>5</v>
      </c>
      <c r="AC1034" s="21">
        <v>18830.13</v>
      </c>
      <c r="AD1034" s="21" t="s">
        <v>368</v>
      </c>
      <c r="AE1034" t="str">
        <f>VLOOKUP(Table_Query_from_Actuarial___Production3[[#This Row],[Kor1]],$AI$3:$AK$105,3,FALSE)</f>
        <v>Misc. Expense</v>
      </c>
      <c r="AF1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" spans="18:32" x14ac:dyDescent="0.2">
      <c r="R1035" t="s">
        <v>41</v>
      </c>
      <c r="S1035" t="s">
        <v>268</v>
      </c>
      <c r="T1035" t="s">
        <v>445</v>
      </c>
      <c r="U1035" s="21">
        <v>250</v>
      </c>
      <c r="V1035" s="21" t="s">
        <v>368</v>
      </c>
      <c r="W1035" t="str">
        <f>VLOOKUP(Table_Query_from_Actuarial___Production[[#This Row],[Kor1]],$AI$3:$AK$105,3,FALSE)</f>
        <v>Misc. Income</v>
      </c>
      <c r="X1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"/>
      <c r="Z1035" t="s">
        <v>44</v>
      </c>
      <c r="AA1035" t="s">
        <v>229</v>
      </c>
      <c r="AB1035" t="s">
        <v>442</v>
      </c>
      <c r="AC1035" s="21">
        <v>-4</v>
      </c>
      <c r="AD1035" s="21" t="s">
        <v>368</v>
      </c>
      <c r="AE1035" t="str">
        <f>VLOOKUP(Table_Query_from_Actuarial___Production3[[#This Row],[Kor1]],$AI$3:$AK$105,3,FALSE)</f>
        <v>Charge-offs</v>
      </c>
      <c r="AF1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" spans="18:32" x14ac:dyDescent="0.2">
      <c r="R1036" t="s">
        <v>43</v>
      </c>
      <c r="S1036" t="s">
        <v>250</v>
      </c>
      <c r="T1036" t="s">
        <v>6</v>
      </c>
      <c r="U1036" s="21">
        <v>-12.26</v>
      </c>
      <c r="V1036" s="21" t="s">
        <v>368</v>
      </c>
      <c r="W1036" t="str">
        <f>VLOOKUP(Table_Query_from_Actuarial___Production[[#This Row],[Kor1]],$AI$3:$AK$105,3,FALSE)</f>
        <v>Charge-offs</v>
      </c>
      <c r="X1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"/>
      <c r="Z1036" t="s">
        <v>43</v>
      </c>
      <c r="AA1036" t="s">
        <v>258</v>
      </c>
      <c r="AB1036" t="s">
        <v>443</v>
      </c>
      <c r="AC1036" s="21">
        <v>-1124.54</v>
      </c>
      <c r="AD1036" s="21" t="s">
        <v>368</v>
      </c>
      <c r="AE1036" t="str">
        <f>VLOOKUP(Table_Query_from_Actuarial___Production3[[#This Row],[Kor1]],$AI$3:$AK$105,3,FALSE)</f>
        <v>Charge-offs</v>
      </c>
      <c r="AF1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" spans="18:32" x14ac:dyDescent="0.2">
      <c r="R1037" t="s">
        <v>12</v>
      </c>
      <c r="S1037" t="s">
        <v>230</v>
      </c>
      <c r="T1037" t="s">
        <v>443</v>
      </c>
      <c r="U1037" s="21">
        <v>290894.09000000003</v>
      </c>
      <c r="V1037" s="21" t="s">
        <v>368</v>
      </c>
      <c r="W1037" t="str">
        <f>VLOOKUP(Table_Query_from_Actuarial___Production[[#This Row],[Kor1]],$AI$3:$AK$105,3,FALSE)</f>
        <v>Premium Tax</v>
      </c>
      <c r="X1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"/>
      <c r="Z1037" t="s">
        <v>19</v>
      </c>
      <c r="AA1037" t="s">
        <v>233</v>
      </c>
      <c r="AB1037" t="s">
        <v>9</v>
      </c>
      <c r="AC1037" s="21">
        <v>2.99</v>
      </c>
      <c r="AD1037" s="21" t="s">
        <v>368</v>
      </c>
      <c r="AE1037" t="str">
        <f>VLOOKUP(Table_Query_from_Actuarial___Production3[[#This Row],[Kor1]],$AI$3:$AK$105,3,FALSE)</f>
        <v>Misc. Expense for Insolvent Companies</v>
      </c>
      <c r="AF1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" spans="18:32" x14ac:dyDescent="0.2">
      <c r="R1038" t="s">
        <v>49</v>
      </c>
      <c r="S1038" t="s">
        <v>228</v>
      </c>
      <c r="T1038" t="s">
        <v>351</v>
      </c>
      <c r="U1038" s="21">
        <v>93028.04</v>
      </c>
      <c r="V1038" s="21" t="s">
        <v>368</v>
      </c>
      <c r="W1038" t="str">
        <f>VLOOKUP(Table_Query_from_Actuarial___Production[[#This Row],[Kor1]],$AI$3:$AK$105,3,FALSE)</f>
        <v>ALAE Paid</v>
      </c>
      <c r="X1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"/>
      <c r="Z1038" t="s">
        <v>16</v>
      </c>
      <c r="AA1038" t="s">
        <v>237</v>
      </c>
      <c r="AB1038" t="s">
        <v>427</v>
      </c>
      <c r="AC1038" s="21">
        <v>12081907.18</v>
      </c>
      <c r="AD1038" s="21" t="s">
        <v>368</v>
      </c>
      <c r="AE1038" t="str">
        <f>VLOOKUP(Table_Query_from_Actuarial___Production3[[#This Row],[Kor1]],$AI$3:$AK$105,3,FALSE)</f>
        <v>Losses Outstanding</v>
      </c>
      <c r="AF1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" spans="18:32" x14ac:dyDescent="0.2">
      <c r="R1039" t="s">
        <v>10</v>
      </c>
      <c r="S1039" t="s">
        <v>352</v>
      </c>
      <c r="T1039" t="s">
        <v>356</v>
      </c>
      <c r="U1039" s="21">
        <v>92.97</v>
      </c>
      <c r="V1039" s="21" t="s">
        <v>368</v>
      </c>
      <c r="W1039" t="str">
        <f>VLOOKUP(Table_Query_from_Actuarial___Production[[#This Row],[Kor1]],$AI$3:$AK$105,3,FALSE)</f>
        <v>Commissions</v>
      </c>
      <c r="X1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039"/>
      <c r="Z1039" t="s">
        <v>43</v>
      </c>
      <c r="AA1039" t="s">
        <v>267</v>
      </c>
      <c r="AB1039" t="s">
        <v>351</v>
      </c>
      <c r="AC1039" s="21">
        <v>-178.36</v>
      </c>
      <c r="AD1039" s="21" t="s">
        <v>368</v>
      </c>
      <c r="AE1039" t="str">
        <f>VLOOKUP(Table_Query_from_Actuarial___Production3[[#This Row],[Kor1]],$AI$3:$AK$105,3,FALSE)</f>
        <v>Charge-offs</v>
      </c>
      <c r="AF1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" spans="18:32" x14ac:dyDescent="0.2">
      <c r="R1040" t="s">
        <v>11</v>
      </c>
      <c r="S1040" t="s">
        <v>235</v>
      </c>
      <c r="T1040" t="s">
        <v>442</v>
      </c>
      <c r="U1040" s="21">
        <v>9958.69</v>
      </c>
      <c r="V1040" s="21" t="s">
        <v>368</v>
      </c>
      <c r="W1040" t="str">
        <f>VLOOKUP(Table_Query_from_Actuarial___Production[[#This Row],[Kor1]],$AI$3:$AK$105,3,FALSE)</f>
        <v>Losses Paid</v>
      </c>
      <c r="X1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"/>
      <c r="Z1040" t="s">
        <v>48</v>
      </c>
      <c r="AA1040" t="s">
        <v>246</v>
      </c>
      <c r="AB1040" t="s">
        <v>443</v>
      </c>
      <c r="AC1040" s="21">
        <v>424.33</v>
      </c>
      <c r="AD1040" s="21" t="s">
        <v>368</v>
      </c>
      <c r="AE1040" t="str">
        <f>VLOOKUP(Table_Query_from_Actuarial___Production3[[#This Row],[Kor1]],$AI$3:$AK$105,3,FALSE)</f>
        <v>Anticipated Salvage</v>
      </c>
      <c r="AF1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" spans="18:32" x14ac:dyDescent="0.2">
      <c r="R1041" t="s">
        <v>33</v>
      </c>
      <c r="S1041" t="s">
        <v>229</v>
      </c>
      <c r="T1041" t="s">
        <v>351</v>
      </c>
      <c r="U1041" s="21">
        <v>11659.9</v>
      </c>
      <c r="V1041" s="21" t="s">
        <v>368</v>
      </c>
      <c r="W1041" t="str">
        <f>VLOOKUP(Table_Query_from_Actuarial___Production[[#This Row],[Kor1]],$AI$3:$AK$105,3,FALSE)</f>
        <v>Misc. Expense</v>
      </c>
      <c r="X1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"/>
      <c r="Z1041" t="s">
        <v>38</v>
      </c>
      <c r="AA1041" t="s">
        <v>352</v>
      </c>
      <c r="AB1041" t="s">
        <v>433</v>
      </c>
      <c r="AC1041" s="21">
        <v>19369.66</v>
      </c>
      <c r="AD1041" s="21" t="s">
        <v>369</v>
      </c>
      <c r="AE1041" t="str">
        <f>VLOOKUP(Table_Query_from_Actuarial___Production3[[#This Row],[Kor1]],$AI$3:$AK$105,3,FALSE)</f>
        <v>Misc. Income</v>
      </c>
      <c r="AF1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042" spans="18:32" x14ac:dyDescent="0.2">
      <c r="R1042" t="s">
        <v>33</v>
      </c>
      <c r="S1042" t="s">
        <v>250</v>
      </c>
      <c r="T1042" t="s">
        <v>7</v>
      </c>
      <c r="U1042" s="21">
        <v>34801.81</v>
      </c>
      <c r="V1042" s="21" t="s">
        <v>368</v>
      </c>
      <c r="W1042" t="str">
        <f>VLOOKUP(Table_Query_from_Actuarial___Production[[#This Row],[Kor1]],$AI$3:$AK$105,3,FALSE)</f>
        <v>Misc. Expense</v>
      </c>
      <c r="X1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"/>
      <c r="Z1042" t="s">
        <v>37</v>
      </c>
      <c r="AA1042" t="s">
        <v>263</v>
      </c>
      <c r="AB1042" t="s">
        <v>443</v>
      </c>
      <c r="AC1042" s="21">
        <v>5.0999999999999996</v>
      </c>
      <c r="AD1042" s="21" t="s">
        <v>368</v>
      </c>
      <c r="AE1042" t="str">
        <f>VLOOKUP(Table_Query_from_Actuarial___Production3[[#This Row],[Kor1]],$AI$3:$AK$105,3,FALSE)</f>
        <v>Misc. Expense</v>
      </c>
      <c r="AF1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" spans="18:32" x14ac:dyDescent="0.2">
      <c r="R1043" t="s">
        <v>14</v>
      </c>
      <c r="S1043" t="s">
        <v>249</v>
      </c>
      <c r="T1043" t="s">
        <v>351</v>
      </c>
      <c r="U1043" s="21">
        <v>27159.14</v>
      </c>
      <c r="V1043" s="21" t="s">
        <v>368</v>
      </c>
      <c r="W1043" t="str">
        <f>VLOOKUP(Table_Query_from_Actuarial___Production[[#This Row],[Kor1]],$AI$3:$AK$105,3,FALSE)</f>
        <v>Claims Expense</v>
      </c>
      <c r="X1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"/>
      <c r="Z1043" t="s">
        <v>11</v>
      </c>
      <c r="AA1043" t="s">
        <v>255</v>
      </c>
      <c r="AB1043" t="s">
        <v>6</v>
      </c>
      <c r="AC1043" s="21">
        <v>169798.43</v>
      </c>
      <c r="AD1043" s="21" t="s">
        <v>368</v>
      </c>
      <c r="AE1043" t="str">
        <f>VLOOKUP(Table_Query_from_Actuarial___Production3[[#This Row],[Kor1]],$AI$3:$AK$105,3,FALSE)</f>
        <v>Losses Paid</v>
      </c>
      <c r="AF1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" spans="18:32" x14ac:dyDescent="0.2">
      <c r="R1044" t="s">
        <v>19</v>
      </c>
      <c r="S1044" t="s">
        <v>229</v>
      </c>
      <c r="T1044" t="s">
        <v>445</v>
      </c>
      <c r="U1044" s="21">
        <v>2026</v>
      </c>
      <c r="V1044" s="21" t="s">
        <v>368</v>
      </c>
      <c r="W1044" t="str">
        <f>VLOOKUP(Table_Query_from_Actuarial___Production[[#This Row],[Kor1]],$AI$3:$AK$105,3,FALSE)</f>
        <v>Misc. Expense for Insolvent Companies</v>
      </c>
      <c r="X1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"/>
      <c r="Z1044" t="s">
        <v>439</v>
      </c>
      <c r="AA1044" t="s">
        <v>239</v>
      </c>
      <c r="AB1044" t="s">
        <v>433</v>
      </c>
      <c r="AC1044" s="21">
        <v>62581</v>
      </c>
      <c r="AD1044" s="21" t="s">
        <v>368</v>
      </c>
      <c r="AE1044" t="str">
        <f>VLOOKUP(Table_Query_from_Actuarial___Production3[[#This Row],[Kor1]],$AI$3:$AK$105,3,FALSE)</f>
        <v>Operating Service Fees</v>
      </c>
      <c r="AF1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" spans="18:32" x14ac:dyDescent="0.2">
      <c r="R1045" t="s">
        <v>31</v>
      </c>
      <c r="S1045" t="s">
        <v>236</v>
      </c>
      <c r="T1045" t="s">
        <v>445</v>
      </c>
      <c r="U1045" s="21">
        <v>25.61</v>
      </c>
      <c r="V1045" s="21" t="s">
        <v>368</v>
      </c>
      <c r="W1045" t="str">
        <f>VLOOKUP(Table_Query_from_Actuarial___Production[[#This Row],[Kor1]],$AI$3:$AK$105,3,FALSE)</f>
        <v>Misc. Expense</v>
      </c>
      <c r="X1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"/>
      <c r="Z1045" t="s">
        <v>10</v>
      </c>
      <c r="AA1045" t="s">
        <v>230</v>
      </c>
      <c r="AB1045" t="s">
        <v>9</v>
      </c>
      <c r="AC1045" s="21">
        <v>1526069.71</v>
      </c>
      <c r="AD1045" s="21" t="s">
        <v>368</v>
      </c>
      <c r="AE1045" t="str">
        <f>VLOOKUP(Table_Query_from_Actuarial___Production3[[#This Row],[Kor1]],$AI$3:$AK$105,3,FALSE)</f>
        <v>Commissions</v>
      </c>
      <c r="AF1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" spans="18:32" x14ac:dyDescent="0.2">
      <c r="R1046" t="s">
        <v>44</v>
      </c>
      <c r="S1046" t="s">
        <v>242</v>
      </c>
      <c r="T1046" t="s">
        <v>7</v>
      </c>
      <c r="U1046" s="21">
        <v>1</v>
      </c>
      <c r="V1046" s="21" t="s">
        <v>368</v>
      </c>
      <c r="W1046" t="str">
        <f>VLOOKUP(Table_Query_from_Actuarial___Production[[#This Row],[Kor1]],$AI$3:$AK$105,3,FALSE)</f>
        <v>Charge-offs</v>
      </c>
      <c r="X1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"/>
      <c r="Z1046" t="s">
        <v>44</v>
      </c>
      <c r="AA1046" t="s">
        <v>267</v>
      </c>
      <c r="AB1046" t="s">
        <v>441</v>
      </c>
      <c r="AC1046" s="21">
        <v>64507</v>
      </c>
      <c r="AD1046" s="21" t="s">
        <v>368</v>
      </c>
      <c r="AE1046" t="str">
        <f>VLOOKUP(Table_Query_from_Actuarial___Production3[[#This Row],[Kor1]],$AI$3:$AK$105,3,FALSE)</f>
        <v>Charge-offs</v>
      </c>
      <c r="AF1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" spans="18:32" x14ac:dyDescent="0.2">
      <c r="R1047" t="s">
        <v>27</v>
      </c>
      <c r="S1047" t="s">
        <v>259</v>
      </c>
      <c r="T1047" t="s">
        <v>8</v>
      </c>
      <c r="U1047" s="21">
        <v>691.98</v>
      </c>
      <c r="V1047" s="21" t="s">
        <v>368</v>
      </c>
      <c r="W1047" t="str">
        <f>VLOOKUP(Table_Query_from_Actuarial___Production[[#This Row],[Kor1]],$AI$3:$AK$105,3,FALSE)</f>
        <v>Misc. Expense</v>
      </c>
      <c r="X1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"/>
      <c r="Z1047" t="s">
        <v>3</v>
      </c>
      <c r="AA1047" t="s">
        <v>252</v>
      </c>
      <c r="AB1047" t="s">
        <v>7</v>
      </c>
      <c r="AC1047" s="21">
        <v>10921340</v>
      </c>
      <c r="AD1047" s="21" t="s">
        <v>368</v>
      </c>
      <c r="AE1047" t="str">
        <f>VLOOKUP(Table_Query_from_Actuarial___Production3[[#This Row],[Kor1]],$AI$3:$AK$105,3,FALSE)</f>
        <v>Premiums Written</v>
      </c>
      <c r="AF1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" spans="18:32" x14ac:dyDescent="0.2">
      <c r="R1048" t="s">
        <v>31</v>
      </c>
      <c r="S1048" t="s">
        <v>241</v>
      </c>
      <c r="T1048" t="s">
        <v>356</v>
      </c>
      <c r="U1048" s="21">
        <v>835.1</v>
      </c>
      <c r="V1048" s="21" t="s">
        <v>368</v>
      </c>
      <c r="W1048" t="str">
        <f>VLOOKUP(Table_Query_from_Actuarial___Production[[#This Row],[Kor1]],$AI$3:$AK$105,3,FALSE)</f>
        <v>Misc. Expense</v>
      </c>
      <c r="X1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"/>
      <c r="Z1048" t="s">
        <v>17</v>
      </c>
      <c r="AA1048" t="s">
        <v>253</v>
      </c>
      <c r="AB1048" t="s">
        <v>427</v>
      </c>
      <c r="AC1048" s="21">
        <v>294.24</v>
      </c>
      <c r="AD1048" s="21" t="s">
        <v>368</v>
      </c>
      <c r="AE1048" t="str">
        <f>VLOOKUP(Table_Query_from_Actuarial___Production3[[#This Row],[Kor1]],$AI$3:$AK$105,3,FALSE)</f>
        <v>IBNR</v>
      </c>
      <c r="AF1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" spans="18:32" x14ac:dyDescent="0.2">
      <c r="R1049" t="s">
        <v>39</v>
      </c>
      <c r="S1049" t="s">
        <v>248</v>
      </c>
      <c r="T1049" t="s">
        <v>6</v>
      </c>
      <c r="U1049" s="21">
        <v>74</v>
      </c>
      <c r="V1049" s="21" t="s">
        <v>368</v>
      </c>
      <c r="W1049" t="str">
        <f>VLOOKUP(Table_Query_from_Actuarial___Production[[#This Row],[Kor1]],$AI$3:$AK$105,3,FALSE)</f>
        <v>Misc. Income for Insolvent Companies</v>
      </c>
      <c r="X1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"/>
      <c r="Z1049" t="s">
        <v>43</v>
      </c>
      <c r="AA1049" t="s">
        <v>234</v>
      </c>
      <c r="AB1049" t="s">
        <v>442</v>
      </c>
      <c r="AC1049" s="21">
        <v>523.67999999999995</v>
      </c>
      <c r="AD1049" s="21" t="s">
        <v>368</v>
      </c>
      <c r="AE1049" t="str">
        <f>VLOOKUP(Table_Query_from_Actuarial___Production3[[#This Row],[Kor1]],$AI$3:$AK$105,3,FALSE)</f>
        <v>Charge-offs</v>
      </c>
      <c r="AF1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" spans="18:32" x14ac:dyDescent="0.2">
      <c r="R1050" t="s">
        <v>33</v>
      </c>
      <c r="S1050" t="s">
        <v>264</v>
      </c>
      <c r="T1050" t="s">
        <v>445</v>
      </c>
      <c r="U1050" s="21">
        <v>8752.5</v>
      </c>
      <c r="V1050" s="21" t="s">
        <v>368</v>
      </c>
      <c r="W1050" t="str">
        <f>VLOOKUP(Table_Query_from_Actuarial___Production[[#This Row],[Kor1]],$AI$3:$AK$105,3,FALSE)</f>
        <v>Misc. Expense</v>
      </c>
      <c r="X1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"/>
      <c r="Z1050" t="s">
        <v>49</v>
      </c>
      <c r="AA1050" t="s">
        <v>230</v>
      </c>
      <c r="AB1050" t="s">
        <v>351</v>
      </c>
      <c r="AC1050" s="21">
        <v>1485782.98</v>
      </c>
      <c r="AD1050" s="21" t="s">
        <v>368</v>
      </c>
      <c r="AE1050" t="str">
        <f>VLOOKUP(Table_Query_from_Actuarial___Production3[[#This Row],[Kor1]],$AI$3:$AK$105,3,FALSE)</f>
        <v>ALAE Paid</v>
      </c>
      <c r="AF1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" spans="18:32" x14ac:dyDescent="0.2">
      <c r="R1051" t="s">
        <v>43</v>
      </c>
      <c r="S1051" t="s">
        <v>257</v>
      </c>
      <c r="T1051" t="s">
        <v>351</v>
      </c>
      <c r="U1051" s="21">
        <v>2160.38</v>
      </c>
      <c r="V1051" s="21" t="s">
        <v>368</v>
      </c>
      <c r="W1051" t="str">
        <f>VLOOKUP(Table_Query_from_Actuarial___Production[[#This Row],[Kor1]],$AI$3:$AK$105,3,FALSE)</f>
        <v>Charge-offs</v>
      </c>
      <c r="X1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"/>
      <c r="Z1051" t="s">
        <v>37</v>
      </c>
      <c r="AA1051" t="s">
        <v>244</v>
      </c>
      <c r="AB1051" t="s">
        <v>9</v>
      </c>
      <c r="AC1051" s="21">
        <v>5066.37</v>
      </c>
      <c r="AD1051" s="21" t="s">
        <v>368</v>
      </c>
      <c r="AE1051" t="str">
        <f>VLOOKUP(Table_Query_from_Actuarial___Production3[[#This Row],[Kor1]],$AI$3:$AK$105,3,FALSE)</f>
        <v>Misc. Expense</v>
      </c>
      <c r="AF1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" spans="18:32" x14ac:dyDescent="0.2">
      <c r="R1052" t="s">
        <v>10</v>
      </c>
      <c r="S1052" t="s">
        <v>243</v>
      </c>
      <c r="T1052" t="s">
        <v>351</v>
      </c>
      <c r="U1052" s="21">
        <v>30050.38</v>
      </c>
      <c r="V1052" s="21" t="s">
        <v>368</v>
      </c>
      <c r="W1052" t="str">
        <f>VLOOKUP(Table_Query_from_Actuarial___Production[[#This Row],[Kor1]],$AI$3:$AK$105,3,FALSE)</f>
        <v>Commissions</v>
      </c>
      <c r="X1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"/>
      <c r="Z1052" t="s">
        <v>34</v>
      </c>
      <c r="AA1052" t="s">
        <v>241</v>
      </c>
      <c r="AB1052" t="s">
        <v>5</v>
      </c>
      <c r="AC1052" s="21">
        <v>88.93</v>
      </c>
      <c r="AD1052" s="21" t="s">
        <v>368</v>
      </c>
      <c r="AE1052" t="str">
        <f>VLOOKUP(Table_Query_from_Actuarial___Production3[[#This Row],[Kor1]],$AI$3:$AK$105,3,FALSE)</f>
        <v>Misc. Expense</v>
      </c>
      <c r="AF1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" spans="18:32" x14ac:dyDescent="0.2">
      <c r="R1053" t="s">
        <v>11</v>
      </c>
      <c r="S1053" t="s">
        <v>241</v>
      </c>
      <c r="T1053" t="s">
        <v>433</v>
      </c>
      <c r="U1053" s="21">
        <v>107823.48</v>
      </c>
      <c r="V1053" s="21" t="s">
        <v>368</v>
      </c>
      <c r="W1053" t="str">
        <f>VLOOKUP(Table_Query_from_Actuarial___Production[[#This Row],[Kor1]],$AI$3:$AK$105,3,FALSE)</f>
        <v>Losses Paid</v>
      </c>
      <c r="X1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"/>
      <c r="Z1053" t="s">
        <v>34</v>
      </c>
      <c r="AA1053" t="s">
        <v>245</v>
      </c>
      <c r="AB1053" t="s">
        <v>8</v>
      </c>
      <c r="AC1053" s="21">
        <v>14.13</v>
      </c>
      <c r="AD1053" s="21" t="s">
        <v>368</v>
      </c>
      <c r="AE1053" t="str">
        <f>VLOOKUP(Table_Query_from_Actuarial___Production3[[#This Row],[Kor1]],$AI$3:$AK$105,3,FALSE)</f>
        <v>Misc. Expense</v>
      </c>
      <c r="AF1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" spans="18:32" x14ac:dyDescent="0.2">
      <c r="R1054" t="s">
        <v>31</v>
      </c>
      <c r="S1054" t="s">
        <v>227</v>
      </c>
      <c r="T1054" t="s">
        <v>8</v>
      </c>
      <c r="U1054" s="21">
        <v>262.70999999999998</v>
      </c>
      <c r="V1054" s="21" t="s">
        <v>368</v>
      </c>
      <c r="W1054" t="str">
        <f>VLOOKUP(Table_Query_from_Actuarial___Production[[#This Row],[Kor1]],$AI$3:$AK$105,3,FALSE)</f>
        <v>Misc. Expense</v>
      </c>
      <c r="X1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"/>
      <c r="Z1054" t="s">
        <v>41</v>
      </c>
      <c r="AA1054" t="s">
        <v>232</v>
      </c>
      <c r="AB1054" t="s">
        <v>443</v>
      </c>
      <c r="AC1054" s="21">
        <v>49.99</v>
      </c>
      <c r="AD1054" s="21" t="s">
        <v>368</v>
      </c>
      <c r="AE1054" t="str">
        <f>VLOOKUP(Table_Query_from_Actuarial___Production3[[#This Row],[Kor1]],$AI$3:$AK$105,3,FALSE)</f>
        <v>Misc. Income</v>
      </c>
      <c r="AF1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" spans="18:32" x14ac:dyDescent="0.2">
      <c r="R1055" t="s">
        <v>14</v>
      </c>
      <c r="S1055" t="s">
        <v>253</v>
      </c>
      <c r="T1055" t="s">
        <v>441</v>
      </c>
      <c r="U1055" s="21">
        <v>1929.31</v>
      </c>
      <c r="V1055" s="21" t="s">
        <v>368</v>
      </c>
      <c r="W1055" t="str">
        <f>VLOOKUP(Table_Query_from_Actuarial___Production[[#This Row],[Kor1]],$AI$3:$AK$105,3,FALSE)</f>
        <v>Claims Expense</v>
      </c>
      <c r="X1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"/>
      <c r="Z1055" t="s">
        <v>44</v>
      </c>
      <c r="AA1055" t="s">
        <v>259</v>
      </c>
      <c r="AB1055" t="s">
        <v>442</v>
      </c>
      <c r="AC1055" s="21">
        <v>6</v>
      </c>
      <c r="AD1055" s="21" t="s">
        <v>368</v>
      </c>
      <c r="AE1055" t="str">
        <f>VLOOKUP(Table_Query_from_Actuarial___Production3[[#This Row],[Kor1]],$AI$3:$AK$105,3,FALSE)</f>
        <v>Charge-offs</v>
      </c>
      <c r="AF1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" spans="18:32" x14ac:dyDescent="0.2">
      <c r="R1056" t="s">
        <v>21</v>
      </c>
      <c r="S1056" t="s">
        <v>231</v>
      </c>
      <c r="T1056" t="s">
        <v>8</v>
      </c>
      <c r="U1056" s="21">
        <v>826.24</v>
      </c>
      <c r="V1056" s="21" t="s">
        <v>368</v>
      </c>
      <c r="W1056" t="str">
        <f>VLOOKUP(Table_Query_from_Actuarial___Production[[#This Row],[Kor1]],$AI$3:$AK$105,3,FALSE)</f>
        <v>Misc. Expense</v>
      </c>
      <c r="X1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"/>
      <c r="Z1056" t="s">
        <v>14</v>
      </c>
      <c r="AA1056" t="s">
        <v>253</v>
      </c>
      <c r="AB1056" t="s">
        <v>5</v>
      </c>
      <c r="AC1056" s="21">
        <v>1991.03</v>
      </c>
      <c r="AD1056" s="21" t="s">
        <v>368</v>
      </c>
      <c r="AE1056" t="str">
        <f>VLOOKUP(Table_Query_from_Actuarial___Production3[[#This Row],[Kor1]],$AI$3:$AK$105,3,FALSE)</f>
        <v>Claims Expense</v>
      </c>
      <c r="AF1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" spans="18:32" x14ac:dyDescent="0.2">
      <c r="R1057" t="s">
        <v>43</v>
      </c>
      <c r="S1057" t="s">
        <v>267</v>
      </c>
      <c r="T1057" t="s">
        <v>441</v>
      </c>
      <c r="U1057" s="21">
        <v>93.58</v>
      </c>
      <c r="V1057" s="21" t="s">
        <v>368</v>
      </c>
      <c r="W1057" t="str">
        <f>VLOOKUP(Table_Query_from_Actuarial___Production[[#This Row],[Kor1]],$AI$3:$AK$105,3,FALSE)</f>
        <v>Charge-offs</v>
      </c>
      <c r="X1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"/>
      <c r="Z1057" t="s">
        <v>16</v>
      </c>
      <c r="AA1057" t="s">
        <v>238</v>
      </c>
      <c r="AB1057" t="s">
        <v>442</v>
      </c>
      <c r="AC1057" s="21">
        <v>791866.36</v>
      </c>
      <c r="AD1057" s="21" t="s">
        <v>368</v>
      </c>
      <c r="AE1057" t="str">
        <f>VLOOKUP(Table_Query_from_Actuarial___Production3[[#This Row],[Kor1]],$AI$3:$AK$105,3,FALSE)</f>
        <v>Losses Outstanding</v>
      </c>
      <c r="AF1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" spans="18:32" x14ac:dyDescent="0.2">
      <c r="R1058" t="s">
        <v>39</v>
      </c>
      <c r="S1058" t="s">
        <v>266</v>
      </c>
      <c r="T1058" t="s">
        <v>351</v>
      </c>
      <c r="U1058" s="21">
        <v>187</v>
      </c>
      <c r="V1058" s="21" t="s">
        <v>368</v>
      </c>
      <c r="W1058" t="str">
        <f>VLOOKUP(Table_Query_from_Actuarial___Production[[#This Row],[Kor1]],$AI$3:$AK$105,3,FALSE)</f>
        <v>Misc. Income for Insolvent Companies</v>
      </c>
      <c r="X1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"/>
      <c r="Z1058" t="s">
        <v>20</v>
      </c>
      <c r="AA1058" t="s">
        <v>248</v>
      </c>
      <c r="AB1058" t="s">
        <v>356</v>
      </c>
      <c r="AC1058" s="21">
        <v>6.87</v>
      </c>
      <c r="AD1058" s="21" t="s">
        <v>368</v>
      </c>
      <c r="AE1058" t="str">
        <f>VLOOKUP(Table_Query_from_Actuarial___Production3[[#This Row],[Kor1]],$AI$3:$AK$105,3,FALSE)</f>
        <v>Misc. Expense</v>
      </c>
      <c r="AF1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" spans="18:32" x14ac:dyDescent="0.2">
      <c r="R1059" t="s">
        <v>40</v>
      </c>
      <c r="S1059" t="s">
        <v>237</v>
      </c>
      <c r="T1059" t="s">
        <v>427</v>
      </c>
      <c r="U1059" s="21">
        <v>266.99</v>
      </c>
      <c r="V1059" s="21" t="s">
        <v>368</v>
      </c>
      <c r="W1059" t="str">
        <f>VLOOKUP(Table_Query_from_Actuarial___Production[[#This Row],[Kor1]],$AI$3:$AK$105,3,FALSE)</f>
        <v>Misc. Income</v>
      </c>
      <c r="X1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"/>
      <c r="Z1059" t="s">
        <v>3</v>
      </c>
      <c r="AA1059" t="s">
        <v>238</v>
      </c>
      <c r="AB1059" t="s">
        <v>9</v>
      </c>
      <c r="AC1059" s="21">
        <v>145598</v>
      </c>
      <c r="AD1059" s="21" t="s">
        <v>368</v>
      </c>
      <c r="AE1059" t="str">
        <f>VLOOKUP(Table_Query_from_Actuarial___Production3[[#This Row],[Kor1]],$AI$3:$AK$105,3,FALSE)</f>
        <v>Premiums Written</v>
      </c>
      <c r="AF1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" spans="18:32" x14ac:dyDescent="0.2">
      <c r="R1060" t="s">
        <v>49</v>
      </c>
      <c r="S1060" t="s">
        <v>264</v>
      </c>
      <c r="T1060" t="s">
        <v>356</v>
      </c>
      <c r="U1060" s="21">
        <v>6024.45</v>
      </c>
      <c r="V1060" s="21" t="s">
        <v>368</v>
      </c>
      <c r="W1060" t="str">
        <f>VLOOKUP(Table_Query_from_Actuarial___Production[[#This Row],[Kor1]],$AI$3:$AK$105,3,FALSE)</f>
        <v>ALAE Paid</v>
      </c>
      <c r="X1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"/>
      <c r="Z1060" t="s">
        <v>13</v>
      </c>
      <c r="AA1060" t="s">
        <v>264</v>
      </c>
      <c r="AB1060" t="s">
        <v>9</v>
      </c>
      <c r="AC1060" s="21">
        <v>488204.79999999999</v>
      </c>
      <c r="AD1060" s="21" t="s">
        <v>368</v>
      </c>
      <c r="AE1060" t="str">
        <f>VLOOKUP(Table_Query_from_Actuarial___Production3[[#This Row],[Kor1]],$AI$3:$AK$105,3,FALSE)</f>
        <v>Operating Service Fees</v>
      </c>
      <c r="AF1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" spans="18:32" x14ac:dyDescent="0.2">
      <c r="R1061" t="s">
        <v>41</v>
      </c>
      <c r="S1061" t="s">
        <v>244</v>
      </c>
      <c r="T1061" t="s">
        <v>6</v>
      </c>
      <c r="U1061" s="21">
        <v>350.03</v>
      </c>
      <c r="V1061" s="21" t="s">
        <v>368</v>
      </c>
      <c r="W1061" t="str">
        <f>VLOOKUP(Table_Query_from_Actuarial___Production[[#This Row],[Kor1]],$AI$3:$AK$105,3,FALSE)</f>
        <v>Misc. Income</v>
      </c>
      <c r="X1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"/>
      <c r="Z1061" t="s">
        <v>43</v>
      </c>
      <c r="AA1061" t="s">
        <v>250</v>
      </c>
      <c r="AB1061" t="s">
        <v>6</v>
      </c>
      <c r="AC1061" s="21">
        <v>-12.26</v>
      </c>
      <c r="AD1061" s="21" t="s">
        <v>368</v>
      </c>
      <c r="AE1061" t="str">
        <f>VLOOKUP(Table_Query_from_Actuarial___Production3[[#This Row],[Kor1]],$AI$3:$AK$105,3,FALSE)</f>
        <v>Charge-offs</v>
      </c>
      <c r="AF1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" spans="18:32" x14ac:dyDescent="0.2">
      <c r="R1062" t="s">
        <v>44</v>
      </c>
      <c r="S1062" t="s">
        <v>258</v>
      </c>
      <c r="T1062" t="s">
        <v>7</v>
      </c>
      <c r="U1062" s="21">
        <v>31685.78</v>
      </c>
      <c r="V1062" s="21" t="s">
        <v>368</v>
      </c>
      <c r="W1062" t="str">
        <f>VLOOKUP(Table_Query_from_Actuarial___Production[[#This Row],[Kor1]],$AI$3:$AK$105,3,FALSE)</f>
        <v>Charge-offs</v>
      </c>
      <c r="X1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"/>
      <c r="Z1062" t="s">
        <v>12</v>
      </c>
      <c r="AA1062" t="s">
        <v>230</v>
      </c>
      <c r="AB1062" t="s">
        <v>443</v>
      </c>
      <c r="AC1062" s="21">
        <v>127142.39999999999</v>
      </c>
      <c r="AD1062" s="21" t="s">
        <v>368</v>
      </c>
      <c r="AE1062" t="str">
        <f>VLOOKUP(Table_Query_from_Actuarial___Production3[[#This Row],[Kor1]],$AI$3:$AK$105,3,FALSE)</f>
        <v>Premium Tax</v>
      </c>
      <c r="AF1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" spans="18:32" x14ac:dyDescent="0.2">
      <c r="R1063" t="s">
        <v>44</v>
      </c>
      <c r="S1063" t="s">
        <v>267</v>
      </c>
      <c r="T1063" t="s">
        <v>351</v>
      </c>
      <c r="U1063" s="21">
        <v>447</v>
      </c>
      <c r="V1063" s="21" t="s">
        <v>368</v>
      </c>
      <c r="W1063" t="str">
        <f>VLOOKUP(Table_Query_from_Actuarial___Production[[#This Row],[Kor1]],$AI$3:$AK$105,3,FALSE)</f>
        <v>Charge-offs</v>
      </c>
      <c r="X1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"/>
      <c r="Z1063" t="s">
        <v>49</v>
      </c>
      <c r="AA1063" t="s">
        <v>228</v>
      </c>
      <c r="AB1063" t="s">
        <v>351</v>
      </c>
      <c r="AC1063" s="21">
        <v>93028.04</v>
      </c>
      <c r="AD1063" s="21" t="s">
        <v>368</v>
      </c>
      <c r="AE1063" t="str">
        <f>VLOOKUP(Table_Query_from_Actuarial___Production3[[#This Row],[Kor1]],$AI$3:$AK$105,3,FALSE)</f>
        <v>ALAE Paid</v>
      </c>
      <c r="AF1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" spans="18:32" x14ac:dyDescent="0.2">
      <c r="R1064" t="s">
        <v>19</v>
      </c>
      <c r="S1064" t="s">
        <v>227</v>
      </c>
      <c r="T1064" t="s">
        <v>6</v>
      </c>
      <c r="U1064" s="21">
        <v>34</v>
      </c>
      <c r="V1064" s="21" t="s">
        <v>368</v>
      </c>
      <c r="W1064" t="str">
        <f>VLOOKUP(Table_Query_from_Actuarial___Production[[#This Row],[Kor1]],$AI$3:$AK$105,3,FALSE)</f>
        <v>Misc. Expense for Insolvent Companies</v>
      </c>
      <c r="X1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"/>
      <c r="Z1064" t="s">
        <v>10</v>
      </c>
      <c r="AA1064" t="s">
        <v>352</v>
      </c>
      <c r="AB1064" t="s">
        <v>356</v>
      </c>
      <c r="AC1064" s="21">
        <v>92.97</v>
      </c>
      <c r="AD1064" s="21" t="s">
        <v>368</v>
      </c>
      <c r="AE1064" t="str">
        <f>VLOOKUP(Table_Query_from_Actuarial___Production3[[#This Row],[Kor1]],$AI$3:$AK$105,3,FALSE)</f>
        <v>Commissions</v>
      </c>
      <c r="AF1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065" spans="18:32" x14ac:dyDescent="0.2">
      <c r="R1065" t="s">
        <v>21</v>
      </c>
      <c r="S1065" t="s">
        <v>4</v>
      </c>
      <c r="T1065" t="s">
        <v>356</v>
      </c>
      <c r="U1065" s="21">
        <v>-29.65</v>
      </c>
      <c r="V1065" s="21" t="s">
        <v>368</v>
      </c>
      <c r="W1065" t="str">
        <f>VLOOKUP(Table_Query_from_Actuarial___Production[[#This Row],[Kor1]],$AI$3:$AK$105,3,FALSE)</f>
        <v>Misc. Expense</v>
      </c>
      <c r="X1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"/>
      <c r="Z1065" t="s">
        <v>14</v>
      </c>
      <c r="AA1065" t="s">
        <v>225</v>
      </c>
      <c r="AB1065" t="s">
        <v>5</v>
      </c>
      <c r="AC1065" s="21">
        <v>690729</v>
      </c>
      <c r="AD1065" s="21" t="s">
        <v>369</v>
      </c>
      <c r="AE1065" t="str">
        <f>VLOOKUP(Table_Query_from_Actuarial___Production3[[#This Row],[Kor1]],$AI$3:$AK$105,3,FALSE)</f>
        <v>Claims Expense</v>
      </c>
      <c r="AF1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66" spans="18:32" x14ac:dyDescent="0.2">
      <c r="R1066" t="s">
        <v>21</v>
      </c>
      <c r="S1066" t="s">
        <v>257</v>
      </c>
      <c r="T1066" t="s">
        <v>9</v>
      </c>
      <c r="U1066" s="21">
        <v>2606.11</v>
      </c>
      <c r="V1066" s="21" t="s">
        <v>368</v>
      </c>
      <c r="W1066" t="str">
        <f>VLOOKUP(Table_Query_from_Actuarial___Production[[#This Row],[Kor1]],$AI$3:$AK$105,3,FALSE)</f>
        <v>Misc. Expense</v>
      </c>
      <c r="X1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"/>
      <c r="Z1066" t="s">
        <v>10</v>
      </c>
      <c r="AA1066" t="s">
        <v>256</v>
      </c>
      <c r="AB1066" t="s">
        <v>5</v>
      </c>
      <c r="AC1066" s="21">
        <v>3138.9</v>
      </c>
      <c r="AD1066" s="21" t="s">
        <v>368</v>
      </c>
      <c r="AE1066" t="str">
        <f>VLOOKUP(Table_Query_from_Actuarial___Production3[[#This Row],[Kor1]],$AI$3:$AK$105,3,FALSE)</f>
        <v>Commissions</v>
      </c>
      <c r="AF1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" spans="18:32" x14ac:dyDescent="0.2">
      <c r="R1067" t="s">
        <v>31</v>
      </c>
      <c r="S1067" t="s">
        <v>255</v>
      </c>
      <c r="T1067" t="s">
        <v>442</v>
      </c>
      <c r="U1067" s="21">
        <v>746.76</v>
      </c>
      <c r="V1067" s="21" t="s">
        <v>368</v>
      </c>
      <c r="W1067" t="str">
        <f>VLOOKUP(Table_Query_from_Actuarial___Production[[#This Row],[Kor1]],$AI$3:$AK$105,3,FALSE)</f>
        <v>Misc. Expense</v>
      </c>
      <c r="X1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"/>
      <c r="Z1067" t="s">
        <v>11</v>
      </c>
      <c r="AA1067" t="s">
        <v>235</v>
      </c>
      <c r="AB1067" t="s">
        <v>442</v>
      </c>
      <c r="AC1067" s="21">
        <v>3958.69</v>
      </c>
      <c r="AD1067" s="21" t="s">
        <v>368</v>
      </c>
      <c r="AE1067" t="str">
        <f>VLOOKUP(Table_Query_from_Actuarial___Production3[[#This Row],[Kor1]],$AI$3:$AK$105,3,FALSE)</f>
        <v>Losses Paid</v>
      </c>
      <c r="AF1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" spans="18:32" x14ac:dyDescent="0.2">
      <c r="R1068" t="s">
        <v>20</v>
      </c>
      <c r="S1068" t="s">
        <v>244</v>
      </c>
      <c r="T1068" t="s">
        <v>442</v>
      </c>
      <c r="U1068" s="21">
        <v>178.76</v>
      </c>
      <c r="V1068" s="21" t="s">
        <v>368</v>
      </c>
      <c r="W1068" t="str">
        <f>VLOOKUP(Table_Query_from_Actuarial___Production[[#This Row],[Kor1]],$AI$3:$AK$105,3,FALSE)</f>
        <v>Misc. Expense</v>
      </c>
      <c r="X1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"/>
      <c r="Z1068" t="s">
        <v>33</v>
      </c>
      <c r="AA1068" t="s">
        <v>229</v>
      </c>
      <c r="AB1068" t="s">
        <v>351</v>
      </c>
      <c r="AC1068" s="21">
        <v>11659.9</v>
      </c>
      <c r="AD1068" s="21" t="s">
        <v>368</v>
      </c>
      <c r="AE1068" t="str">
        <f>VLOOKUP(Table_Query_from_Actuarial___Production3[[#This Row],[Kor1]],$AI$3:$AK$105,3,FALSE)</f>
        <v>Misc. Expense</v>
      </c>
      <c r="AF1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" spans="18:32" x14ac:dyDescent="0.2">
      <c r="R1069" t="s">
        <v>17</v>
      </c>
      <c r="S1069" t="s">
        <v>250</v>
      </c>
      <c r="T1069" t="s">
        <v>433</v>
      </c>
      <c r="U1069" s="21">
        <v>77105.86</v>
      </c>
      <c r="V1069" s="21" t="s">
        <v>368</v>
      </c>
      <c r="W1069" t="str">
        <f>VLOOKUP(Table_Query_from_Actuarial___Production[[#This Row],[Kor1]],$AI$3:$AK$105,3,FALSE)</f>
        <v>IBNR</v>
      </c>
      <c r="X1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9"/>
      <c r="Z1069" t="s">
        <v>33</v>
      </c>
      <c r="AA1069" t="s">
        <v>250</v>
      </c>
      <c r="AB1069" t="s">
        <v>7</v>
      </c>
      <c r="AC1069" s="21">
        <v>34801.81</v>
      </c>
      <c r="AD1069" s="21" t="s">
        <v>368</v>
      </c>
      <c r="AE1069" t="str">
        <f>VLOOKUP(Table_Query_from_Actuarial___Production3[[#This Row],[Kor1]],$AI$3:$AK$105,3,FALSE)</f>
        <v>Misc. Expense</v>
      </c>
      <c r="AF1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0" spans="18:32" x14ac:dyDescent="0.2">
      <c r="R1070" t="s">
        <v>50</v>
      </c>
      <c r="S1070" t="s">
        <v>237</v>
      </c>
      <c r="T1070" t="s">
        <v>433</v>
      </c>
      <c r="U1070" s="21">
        <v>1161625.56</v>
      </c>
      <c r="V1070" s="21" t="s">
        <v>368</v>
      </c>
      <c r="W1070" t="str">
        <f>VLOOKUP(Table_Query_from_Actuarial___Production[[#This Row],[Kor1]],$AI$3:$AK$105,3,FALSE)</f>
        <v>ALAE Reserve</v>
      </c>
      <c r="X1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0"/>
      <c r="Z1070" t="s">
        <v>14</v>
      </c>
      <c r="AA1070" t="s">
        <v>249</v>
      </c>
      <c r="AB1070" t="s">
        <v>351</v>
      </c>
      <c r="AC1070" s="21">
        <v>27159.14</v>
      </c>
      <c r="AD1070" s="21" t="s">
        <v>368</v>
      </c>
      <c r="AE1070" t="str">
        <f>VLOOKUP(Table_Query_from_Actuarial___Production3[[#This Row],[Kor1]],$AI$3:$AK$105,3,FALSE)</f>
        <v>Claims Expense</v>
      </c>
      <c r="AF1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1" spans="18:32" x14ac:dyDescent="0.2">
      <c r="R1071" t="s">
        <v>14</v>
      </c>
      <c r="S1071" t="s">
        <v>260</v>
      </c>
      <c r="T1071" t="s">
        <v>6</v>
      </c>
      <c r="U1071" s="21">
        <v>271.02</v>
      </c>
      <c r="V1071" s="21" t="s">
        <v>368</v>
      </c>
      <c r="W1071" t="str">
        <f>VLOOKUP(Table_Query_from_Actuarial___Production[[#This Row],[Kor1]],$AI$3:$AK$105,3,FALSE)</f>
        <v>Claims Expense</v>
      </c>
      <c r="X1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1"/>
      <c r="Z1071" t="s">
        <v>44</v>
      </c>
      <c r="AA1071" t="s">
        <v>242</v>
      </c>
      <c r="AB1071" t="s">
        <v>7</v>
      </c>
      <c r="AC1071" s="21">
        <v>1</v>
      </c>
      <c r="AD1071" s="21" t="s">
        <v>368</v>
      </c>
      <c r="AE1071" t="str">
        <f>VLOOKUP(Table_Query_from_Actuarial___Production3[[#This Row],[Kor1]],$AI$3:$AK$105,3,FALSE)</f>
        <v>Charge-offs</v>
      </c>
      <c r="AF1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2" spans="18:32" x14ac:dyDescent="0.2">
      <c r="R1072" t="s">
        <v>37</v>
      </c>
      <c r="S1072" t="s">
        <v>267</v>
      </c>
      <c r="T1072" t="s">
        <v>9</v>
      </c>
      <c r="U1072" s="21">
        <v>-0.5</v>
      </c>
      <c r="V1072" s="21" t="s">
        <v>368</v>
      </c>
      <c r="W1072" t="str">
        <f>VLOOKUP(Table_Query_from_Actuarial___Production[[#This Row],[Kor1]],$AI$3:$AK$105,3,FALSE)</f>
        <v>Misc. Expense</v>
      </c>
      <c r="X1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2"/>
      <c r="Z1072" t="s">
        <v>27</v>
      </c>
      <c r="AA1072" t="s">
        <v>259</v>
      </c>
      <c r="AB1072" t="s">
        <v>8</v>
      </c>
      <c r="AC1072" s="21">
        <v>691.98</v>
      </c>
      <c r="AD1072" s="21" t="s">
        <v>368</v>
      </c>
      <c r="AE1072" t="str">
        <f>VLOOKUP(Table_Query_from_Actuarial___Production3[[#This Row],[Kor1]],$AI$3:$AK$105,3,FALSE)</f>
        <v>Misc. Expense</v>
      </c>
      <c r="AF1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3" spans="18:32" x14ac:dyDescent="0.2">
      <c r="R1073" t="s">
        <v>43</v>
      </c>
      <c r="S1073" t="s">
        <v>238</v>
      </c>
      <c r="T1073" t="s">
        <v>443</v>
      </c>
      <c r="U1073" s="21">
        <v>-1.36</v>
      </c>
      <c r="V1073" s="21" t="s">
        <v>368</v>
      </c>
      <c r="W1073" t="str">
        <f>VLOOKUP(Table_Query_from_Actuarial___Production[[#This Row],[Kor1]],$AI$3:$AK$105,3,FALSE)</f>
        <v>Charge-offs</v>
      </c>
      <c r="X1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3"/>
      <c r="Z1073" t="s">
        <v>31</v>
      </c>
      <c r="AA1073" t="s">
        <v>241</v>
      </c>
      <c r="AB1073" t="s">
        <v>356</v>
      </c>
      <c r="AC1073" s="21">
        <v>835.1</v>
      </c>
      <c r="AD1073" s="21" t="s">
        <v>368</v>
      </c>
      <c r="AE1073" t="str">
        <f>VLOOKUP(Table_Query_from_Actuarial___Production3[[#This Row],[Kor1]],$AI$3:$AK$105,3,FALSE)</f>
        <v>Misc. Expense</v>
      </c>
      <c r="AF1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4" spans="18:32" x14ac:dyDescent="0.2">
      <c r="R1074" t="s">
        <v>43</v>
      </c>
      <c r="S1074" t="s">
        <v>240</v>
      </c>
      <c r="T1074" t="s">
        <v>8</v>
      </c>
      <c r="U1074" s="21">
        <v>141.9</v>
      </c>
      <c r="V1074" s="21" t="s">
        <v>368</v>
      </c>
      <c r="W1074" t="str">
        <f>VLOOKUP(Table_Query_from_Actuarial___Production[[#This Row],[Kor1]],$AI$3:$AK$105,3,FALSE)</f>
        <v>Charge-offs</v>
      </c>
      <c r="X1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4"/>
      <c r="Z1074" t="s">
        <v>39</v>
      </c>
      <c r="AA1074" t="s">
        <v>248</v>
      </c>
      <c r="AB1074" t="s">
        <v>6</v>
      </c>
      <c r="AC1074" s="21">
        <v>74</v>
      </c>
      <c r="AD1074" s="21" t="s">
        <v>368</v>
      </c>
      <c r="AE1074" t="str">
        <f>VLOOKUP(Table_Query_from_Actuarial___Production3[[#This Row],[Kor1]],$AI$3:$AK$105,3,FALSE)</f>
        <v>Misc. Income for Insolvent Companies</v>
      </c>
      <c r="AF1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5" spans="18:32" x14ac:dyDescent="0.2">
      <c r="R1075" t="s">
        <v>11</v>
      </c>
      <c r="S1075" t="s">
        <v>224</v>
      </c>
      <c r="T1075" t="s">
        <v>427</v>
      </c>
      <c r="U1075" s="21">
        <v>55284.99</v>
      </c>
      <c r="V1075" s="21" t="s">
        <v>425</v>
      </c>
      <c r="W1075" t="str">
        <f>VLOOKUP(Table_Query_from_Actuarial___Production[[#This Row],[Kor1]],$AI$3:$AK$105,3,FALSE)</f>
        <v>Losses Paid</v>
      </c>
      <c r="X1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75"/>
      <c r="Z1075" t="s">
        <v>17</v>
      </c>
      <c r="AA1075" t="s">
        <v>230</v>
      </c>
      <c r="AB1075" t="s">
        <v>427</v>
      </c>
      <c r="AC1075" s="21">
        <v>2527351.12</v>
      </c>
      <c r="AD1075" s="21" t="s">
        <v>368</v>
      </c>
      <c r="AE1075" t="str">
        <f>VLOOKUP(Table_Query_from_Actuarial___Production3[[#This Row],[Kor1]],$AI$3:$AK$105,3,FALSE)</f>
        <v>IBNR</v>
      </c>
      <c r="AF1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6" spans="18:32" x14ac:dyDescent="0.2">
      <c r="R1076" t="s">
        <v>37</v>
      </c>
      <c r="S1076" t="s">
        <v>261</v>
      </c>
      <c r="T1076" t="s">
        <v>356</v>
      </c>
      <c r="U1076" s="21">
        <v>80.41</v>
      </c>
      <c r="V1076" s="21" t="s">
        <v>368</v>
      </c>
      <c r="W1076" t="str">
        <f>VLOOKUP(Table_Query_from_Actuarial___Production[[#This Row],[Kor1]],$AI$3:$AK$105,3,FALSE)</f>
        <v>Misc. Expense</v>
      </c>
      <c r="X1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6"/>
      <c r="Z1076" t="s">
        <v>43</v>
      </c>
      <c r="AA1076" t="s">
        <v>257</v>
      </c>
      <c r="AB1076" t="s">
        <v>351</v>
      </c>
      <c r="AC1076" s="21">
        <v>2160.38</v>
      </c>
      <c r="AD1076" s="21" t="s">
        <v>368</v>
      </c>
      <c r="AE1076" t="str">
        <f>VLOOKUP(Table_Query_from_Actuarial___Production3[[#This Row],[Kor1]],$AI$3:$AK$105,3,FALSE)</f>
        <v>Charge-offs</v>
      </c>
      <c r="AF1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7" spans="18:32" x14ac:dyDescent="0.2">
      <c r="R1077" t="s">
        <v>37</v>
      </c>
      <c r="S1077" t="s">
        <v>263</v>
      </c>
      <c r="T1077" t="s">
        <v>7</v>
      </c>
      <c r="U1077" s="21">
        <v>-3.75</v>
      </c>
      <c r="V1077" s="21" t="s">
        <v>368</v>
      </c>
      <c r="W1077" t="str">
        <f>VLOOKUP(Table_Query_from_Actuarial___Production[[#This Row],[Kor1]],$AI$3:$AK$105,3,FALSE)</f>
        <v>Misc. Expense</v>
      </c>
      <c r="X1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7"/>
      <c r="Z1077" t="s">
        <v>10</v>
      </c>
      <c r="AA1077" t="s">
        <v>243</v>
      </c>
      <c r="AB1077" t="s">
        <v>351</v>
      </c>
      <c r="AC1077" s="21">
        <v>30050.38</v>
      </c>
      <c r="AD1077" s="21" t="s">
        <v>368</v>
      </c>
      <c r="AE1077" t="str">
        <f>VLOOKUP(Table_Query_from_Actuarial___Production3[[#This Row],[Kor1]],$AI$3:$AK$105,3,FALSE)</f>
        <v>Commissions</v>
      </c>
      <c r="AF1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8" spans="18:32" x14ac:dyDescent="0.2">
      <c r="R1078" t="s">
        <v>43</v>
      </c>
      <c r="S1078" t="s">
        <v>231</v>
      </c>
      <c r="T1078" t="s">
        <v>442</v>
      </c>
      <c r="U1078" s="21">
        <v>10629.66</v>
      </c>
      <c r="V1078" s="21" t="s">
        <v>368</v>
      </c>
      <c r="W1078" t="str">
        <f>VLOOKUP(Table_Query_from_Actuarial___Production[[#This Row],[Kor1]],$AI$3:$AK$105,3,FALSE)</f>
        <v>Charge-offs</v>
      </c>
      <c r="X1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8"/>
      <c r="Z1078" t="s">
        <v>11</v>
      </c>
      <c r="AA1078" t="s">
        <v>241</v>
      </c>
      <c r="AB1078" t="s">
        <v>433</v>
      </c>
      <c r="AC1078" s="21">
        <v>107823.48</v>
      </c>
      <c r="AD1078" s="21" t="s">
        <v>368</v>
      </c>
      <c r="AE1078" t="str">
        <f>VLOOKUP(Table_Query_from_Actuarial___Production3[[#This Row],[Kor1]],$AI$3:$AK$105,3,FALSE)</f>
        <v>Losses Paid</v>
      </c>
      <c r="AF1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9" spans="18:32" x14ac:dyDescent="0.2">
      <c r="R1079" t="s">
        <v>12</v>
      </c>
      <c r="S1079" t="s">
        <v>260</v>
      </c>
      <c r="T1079" t="s">
        <v>445</v>
      </c>
      <c r="U1079" s="21">
        <v>1571.79</v>
      </c>
      <c r="V1079" s="21" t="s">
        <v>368</v>
      </c>
      <c r="W1079" t="str">
        <f>VLOOKUP(Table_Query_from_Actuarial___Production[[#This Row],[Kor1]],$AI$3:$AK$105,3,FALSE)</f>
        <v>Premium Tax</v>
      </c>
      <c r="X1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79"/>
      <c r="Z1079" t="s">
        <v>31</v>
      </c>
      <c r="AA1079" t="s">
        <v>240</v>
      </c>
      <c r="AB1079" t="s">
        <v>5</v>
      </c>
      <c r="AC1079" s="21">
        <v>-1569</v>
      </c>
      <c r="AD1079" s="21" t="s">
        <v>368</v>
      </c>
      <c r="AE1079" t="str">
        <f>VLOOKUP(Table_Query_from_Actuarial___Production3[[#This Row],[Kor1]],$AI$3:$AK$105,3,FALSE)</f>
        <v>Misc. Expense</v>
      </c>
      <c r="AF1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0" spans="18:32" x14ac:dyDescent="0.2">
      <c r="R1080" t="s">
        <v>16</v>
      </c>
      <c r="S1080" t="s">
        <v>242</v>
      </c>
      <c r="T1080" t="s">
        <v>441</v>
      </c>
      <c r="U1080" s="21">
        <v>196958.88</v>
      </c>
      <c r="V1080" s="21" t="s">
        <v>368</v>
      </c>
      <c r="W1080" t="str">
        <f>VLOOKUP(Table_Query_from_Actuarial___Production[[#This Row],[Kor1]],$AI$3:$AK$105,3,FALSE)</f>
        <v>Losses Outstanding</v>
      </c>
      <c r="X1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0"/>
      <c r="Z1080" t="s">
        <v>31</v>
      </c>
      <c r="AA1080" t="s">
        <v>227</v>
      </c>
      <c r="AB1080" t="s">
        <v>8</v>
      </c>
      <c r="AC1080" s="21">
        <v>262.70999999999998</v>
      </c>
      <c r="AD1080" s="21" t="s">
        <v>368</v>
      </c>
      <c r="AE1080" t="str">
        <f>VLOOKUP(Table_Query_from_Actuarial___Production3[[#This Row],[Kor1]],$AI$3:$AK$105,3,FALSE)</f>
        <v>Misc. Expense</v>
      </c>
      <c r="AF1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1" spans="18:32" x14ac:dyDescent="0.2">
      <c r="R1081" t="s">
        <v>33</v>
      </c>
      <c r="S1081" t="s">
        <v>237</v>
      </c>
      <c r="T1081" t="s">
        <v>427</v>
      </c>
      <c r="U1081" s="21">
        <v>30092.79</v>
      </c>
      <c r="V1081" s="21" t="s">
        <v>368</v>
      </c>
      <c r="W1081" t="str">
        <f>VLOOKUP(Table_Query_from_Actuarial___Production[[#This Row],[Kor1]],$AI$3:$AK$105,3,FALSE)</f>
        <v>Misc. Expense</v>
      </c>
      <c r="X1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1"/>
      <c r="Z1081" t="s">
        <v>14</v>
      </c>
      <c r="AA1081" t="s">
        <v>253</v>
      </c>
      <c r="AB1081" t="s">
        <v>441</v>
      </c>
      <c r="AC1081" s="21">
        <v>1929.31</v>
      </c>
      <c r="AD1081" s="21" t="s">
        <v>368</v>
      </c>
      <c r="AE1081" t="str">
        <f>VLOOKUP(Table_Query_from_Actuarial___Production3[[#This Row],[Kor1]],$AI$3:$AK$105,3,FALSE)</f>
        <v>Claims Expense</v>
      </c>
      <c r="AF1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2" spans="18:32" x14ac:dyDescent="0.2">
      <c r="R1082" t="s">
        <v>50</v>
      </c>
      <c r="S1082" t="s">
        <v>232</v>
      </c>
      <c r="T1082" t="s">
        <v>441</v>
      </c>
      <c r="U1082" s="21">
        <v>50498.51</v>
      </c>
      <c r="V1082" s="21" t="s">
        <v>368</v>
      </c>
      <c r="W1082" t="str">
        <f>VLOOKUP(Table_Query_from_Actuarial___Production[[#This Row],[Kor1]],$AI$3:$AK$105,3,FALSE)</f>
        <v>ALAE Reserve</v>
      </c>
      <c r="X1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2"/>
      <c r="Z1082" t="s">
        <v>21</v>
      </c>
      <c r="AA1082" t="s">
        <v>231</v>
      </c>
      <c r="AB1082" t="s">
        <v>8</v>
      </c>
      <c r="AC1082" s="21">
        <v>826.24</v>
      </c>
      <c r="AD1082" s="21" t="s">
        <v>368</v>
      </c>
      <c r="AE1082" t="str">
        <f>VLOOKUP(Table_Query_from_Actuarial___Production3[[#This Row],[Kor1]],$AI$3:$AK$105,3,FALSE)</f>
        <v>Misc. Expense</v>
      </c>
      <c r="AF1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3" spans="18:32" x14ac:dyDescent="0.2">
      <c r="R1083" t="s">
        <v>12</v>
      </c>
      <c r="S1083" t="s">
        <v>238</v>
      </c>
      <c r="T1083" t="s">
        <v>351</v>
      </c>
      <c r="U1083" s="21">
        <v>15085.22</v>
      </c>
      <c r="V1083" s="21" t="s">
        <v>368</v>
      </c>
      <c r="W1083" t="str">
        <f>VLOOKUP(Table_Query_from_Actuarial___Production[[#This Row],[Kor1]],$AI$3:$AK$105,3,FALSE)</f>
        <v>Premium Tax</v>
      </c>
      <c r="X1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3"/>
      <c r="Z1083" t="s">
        <v>43</v>
      </c>
      <c r="AA1083" t="s">
        <v>267</v>
      </c>
      <c r="AB1083" t="s">
        <v>441</v>
      </c>
      <c r="AC1083" s="21">
        <v>93.58</v>
      </c>
      <c r="AD1083" s="21" t="s">
        <v>368</v>
      </c>
      <c r="AE1083" t="str">
        <f>VLOOKUP(Table_Query_from_Actuarial___Production3[[#This Row],[Kor1]],$AI$3:$AK$105,3,FALSE)</f>
        <v>Charge-offs</v>
      </c>
      <c r="AF1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4" spans="18:32" x14ac:dyDescent="0.2">
      <c r="R1084" t="s">
        <v>13</v>
      </c>
      <c r="S1084" t="s">
        <v>228</v>
      </c>
      <c r="T1084" t="s">
        <v>427</v>
      </c>
      <c r="U1084" s="21">
        <v>1711875.68</v>
      </c>
      <c r="V1084" s="21" t="s">
        <v>368</v>
      </c>
      <c r="W1084" t="str">
        <f>VLOOKUP(Table_Query_from_Actuarial___Production[[#This Row],[Kor1]],$AI$3:$AK$105,3,FALSE)</f>
        <v>Operating Service Fees</v>
      </c>
      <c r="X1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4"/>
      <c r="Z1084" t="s">
        <v>12</v>
      </c>
      <c r="AA1084" t="s">
        <v>252</v>
      </c>
      <c r="AB1084" t="s">
        <v>5</v>
      </c>
      <c r="AC1084" s="21">
        <v>136501.57</v>
      </c>
      <c r="AD1084" s="21" t="s">
        <v>368</v>
      </c>
      <c r="AE1084" t="str">
        <f>VLOOKUP(Table_Query_from_Actuarial___Production3[[#This Row],[Kor1]],$AI$3:$AK$105,3,FALSE)</f>
        <v>Premium Tax</v>
      </c>
      <c r="AF1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5" spans="18:32" x14ac:dyDescent="0.2">
      <c r="R1085" t="s">
        <v>38</v>
      </c>
      <c r="S1085" t="s">
        <v>352</v>
      </c>
      <c r="T1085" t="s">
        <v>6</v>
      </c>
      <c r="U1085" s="21">
        <v>17323.07</v>
      </c>
      <c r="V1085" s="21" t="s">
        <v>369</v>
      </c>
      <c r="W1085" t="str">
        <f>VLOOKUP(Table_Query_from_Actuarial___Production[[#This Row],[Kor1]],$AI$3:$AK$105,3,FALSE)</f>
        <v>Misc. Income</v>
      </c>
      <c r="X1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085"/>
      <c r="Z1085" t="s">
        <v>39</v>
      </c>
      <c r="AA1085" t="s">
        <v>266</v>
      </c>
      <c r="AB1085" t="s">
        <v>351</v>
      </c>
      <c r="AC1085" s="21">
        <v>187</v>
      </c>
      <c r="AD1085" s="21" t="s">
        <v>368</v>
      </c>
      <c r="AE1085" t="str">
        <f>VLOOKUP(Table_Query_from_Actuarial___Production3[[#This Row],[Kor1]],$AI$3:$AK$105,3,FALSE)</f>
        <v>Misc. Income for Insolvent Companies</v>
      </c>
      <c r="AF1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6" spans="18:32" x14ac:dyDescent="0.2">
      <c r="R1086" t="s">
        <v>46</v>
      </c>
      <c r="S1086" t="s">
        <v>224</v>
      </c>
      <c r="T1086" t="s">
        <v>433</v>
      </c>
      <c r="U1086" s="21">
        <v>671.37</v>
      </c>
      <c r="V1086" s="21" t="s">
        <v>369</v>
      </c>
      <c r="W1086" t="str">
        <f>VLOOKUP(Table_Query_from_Actuarial___Production[[#This Row],[Kor1]],$AI$3:$AK$105,3,FALSE)</f>
        <v>Investment Income</v>
      </c>
      <c r="X1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86"/>
      <c r="Z1086" t="s">
        <v>40</v>
      </c>
      <c r="AA1086" t="s">
        <v>237</v>
      </c>
      <c r="AB1086" t="s">
        <v>427</v>
      </c>
      <c r="AC1086" s="21">
        <v>266.99</v>
      </c>
      <c r="AD1086" s="21" t="s">
        <v>368</v>
      </c>
      <c r="AE1086" t="str">
        <f>VLOOKUP(Table_Query_from_Actuarial___Production3[[#This Row],[Kor1]],$AI$3:$AK$105,3,FALSE)</f>
        <v>Misc. Income</v>
      </c>
      <c r="AF1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7" spans="18:32" x14ac:dyDescent="0.2">
      <c r="R1087" t="s">
        <v>14</v>
      </c>
      <c r="S1087" t="s">
        <v>250</v>
      </c>
      <c r="T1087" t="s">
        <v>8</v>
      </c>
      <c r="U1087" s="21">
        <v>140355.51</v>
      </c>
      <c r="V1087" s="21" t="s">
        <v>368</v>
      </c>
      <c r="W1087" t="str">
        <f>VLOOKUP(Table_Query_from_Actuarial___Production[[#This Row],[Kor1]],$AI$3:$AK$105,3,FALSE)</f>
        <v>Claims Expense</v>
      </c>
      <c r="X1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7"/>
      <c r="Z1087" t="s">
        <v>49</v>
      </c>
      <c r="AA1087" t="s">
        <v>264</v>
      </c>
      <c r="AB1087" t="s">
        <v>356</v>
      </c>
      <c r="AC1087" s="21">
        <v>6024.45</v>
      </c>
      <c r="AD1087" s="21" t="s">
        <v>368</v>
      </c>
      <c r="AE1087" t="str">
        <f>VLOOKUP(Table_Query_from_Actuarial___Production3[[#This Row],[Kor1]],$AI$3:$AK$105,3,FALSE)</f>
        <v>ALAE Paid</v>
      </c>
      <c r="AF1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8" spans="18:32" x14ac:dyDescent="0.2">
      <c r="R1088" t="s">
        <v>21</v>
      </c>
      <c r="S1088" t="s">
        <v>248</v>
      </c>
      <c r="T1088" t="s">
        <v>443</v>
      </c>
      <c r="U1088" s="21">
        <v>1069.25</v>
      </c>
      <c r="V1088" s="21" t="s">
        <v>368</v>
      </c>
      <c r="W1088" t="str">
        <f>VLOOKUP(Table_Query_from_Actuarial___Production[[#This Row],[Kor1]],$AI$3:$AK$105,3,FALSE)</f>
        <v>Misc. Expense</v>
      </c>
      <c r="X1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8"/>
      <c r="Z1088" t="s">
        <v>41</v>
      </c>
      <c r="AA1088" t="s">
        <v>244</v>
      </c>
      <c r="AB1088" t="s">
        <v>6</v>
      </c>
      <c r="AC1088" s="21">
        <v>350.03</v>
      </c>
      <c r="AD1088" s="21" t="s">
        <v>368</v>
      </c>
      <c r="AE1088" t="str">
        <f>VLOOKUP(Table_Query_from_Actuarial___Production3[[#This Row],[Kor1]],$AI$3:$AK$105,3,FALSE)</f>
        <v>Misc. Income</v>
      </c>
      <c r="AF1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89" spans="18:32" x14ac:dyDescent="0.2">
      <c r="R1089" t="s">
        <v>10</v>
      </c>
      <c r="S1089" t="s">
        <v>247</v>
      </c>
      <c r="T1089" t="s">
        <v>442</v>
      </c>
      <c r="U1089" s="21">
        <v>657.4</v>
      </c>
      <c r="V1089" s="21" t="s">
        <v>368</v>
      </c>
      <c r="W1089" t="str">
        <f>VLOOKUP(Table_Query_from_Actuarial___Production[[#This Row],[Kor1]],$AI$3:$AK$105,3,FALSE)</f>
        <v>Commissions</v>
      </c>
      <c r="X1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89"/>
      <c r="Z1089" t="s">
        <v>44</v>
      </c>
      <c r="AA1089" t="s">
        <v>258</v>
      </c>
      <c r="AB1089" t="s">
        <v>7</v>
      </c>
      <c r="AC1089" s="21">
        <v>31685.78</v>
      </c>
      <c r="AD1089" s="21" t="s">
        <v>368</v>
      </c>
      <c r="AE1089" t="str">
        <f>VLOOKUP(Table_Query_from_Actuarial___Production3[[#This Row],[Kor1]],$AI$3:$AK$105,3,FALSE)</f>
        <v>Charge-offs</v>
      </c>
      <c r="AF1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0" spans="18:32" x14ac:dyDescent="0.2">
      <c r="R1090" t="s">
        <v>24</v>
      </c>
      <c r="S1090" t="s">
        <v>259</v>
      </c>
      <c r="T1090" t="s">
        <v>443</v>
      </c>
      <c r="U1090" s="21">
        <v>51.71</v>
      </c>
      <c r="V1090" s="21" t="s">
        <v>368</v>
      </c>
      <c r="W1090" t="str">
        <f>VLOOKUP(Table_Query_from_Actuarial___Production[[#This Row],[Kor1]],$AI$3:$AK$105,3,FALSE)</f>
        <v>Misc. Expense</v>
      </c>
      <c r="X1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0"/>
      <c r="Z1090" t="s">
        <v>44</v>
      </c>
      <c r="AA1090" t="s">
        <v>267</v>
      </c>
      <c r="AB1090" t="s">
        <v>351</v>
      </c>
      <c r="AC1090" s="21">
        <v>447</v>
      </c>
      <c r="AD1090" s="21" t="s">
        <v>368</v>
      </c>
      <c r="AE1090" t="str">
        <f>VLOOKUP(Table_Query_from_Actuarial___Production3[[#This Row],[Kor1]],$AI$3:$AK$105,3,FALSE)</f>
        <v>Charge-offs</v>
      </c>
      <c r="AF1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1" spans="18:32" x14ac:dyDescent="0.2">
      <c r="R1091" t="s">
        <v>33</v>
      </c>
      <c r="S1091" t="s">
        <v>231</v>
      </c>
      <c r="T1091" t="s">
        <v>442</v>
      </c>
      <c r="U1091" s="21">
        <v>16222.21</v>
      </c>
      <c r="V1091" s="21" t="s">
        <v>368</v>
      </c>
      <c r="W1091" t="str">
        <f>VLOOKUP(Table_Query_from_Actuarial___Production[[#This Row],[Kor1]],$AI$3:$AK$105,3,FALSE)</f>
        <v>Misc. Expense</v>
      </c>
      <c r="X1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1"/>
      <c r="Z1091" t="s">
        <v>19</v>
      </c>
      <c r="AA1091" t="s">
        <v>227</v>
      </c>
      <c r="AB1091" t="s">
        <v>6</v>
      </c>
      <c r="AC1091" s="21">
        <v>34</v>
      </c>
      <c r="AD1091" s="21" t="s">
        <v>368</v>
      </c>
      <c r="AE1091" t="str">
        <f>VLOOKUP(Table_Query_from_Actuarial___Production3[[#This Row],[Kor1]],$AI$3:$AK$105,3,FALSE)</f>
        <v>Misc. Expense for Insolvent Companies</v>
      </c>
      <c r="AF1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2" spans="18:32" x14ac:dyDescent="0.2">
      <c r="R1092" t="s">
        <v>21</v>
      </c>
      <c r="S1092" t="s">
        <v>248</v>
      </c>
      <c r="T1092" t="s">
        <v>427</v>
      </c>
      <c r="U1092" s="21">
        <v>1675.76</v>
      </c>
      <c r="V1092" s="21" t="s">
        <v>368</v>
      </c>
      <c r="W1092" t="str">
        <f>VLOOKUP(Table_Query_from_Actuarial___Production[[#This Row],[Kor1]],$AI$3:$AK$105,3,FALSE)</f>
        <v>Misc. Expense</v>
      </c>
      <c r="X1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2"/>
      <c r="Z1092" t="s">
        <v>21</v>
      </c>
      <c r="AA1092" t="s">
        <v>4</v>
      </c>
      <c r="AB1092" t="s">
        <v>356</v>
      </c>
      <c r="AC1092" s="21">
        <v>-29.65</v>
      </c>
      <c r="AD1092" s="21" t="s">
        <v>368</v>
      </c>
      <c r="AE1092" t="str">
        <f>VLOOKUP(Table_Query_from_Actuarial___Production3[[#This Row],[Kor1]],$AI$3:$AK$105,3,FALSE)</f>
        <v>Misc. Expense</v>
      </c>
      <c r="AF1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3" spans="18:32" x14ac:dyDescent="0.2">
      <c r="R1093" t="s">
        <v>21</v>
      </c>
      <c r="S1093" t="s">
        <v>251</v>
      </c>
      <c r="T1093" t="s">
        <v>7</v>
      </c>
      <c r="U1093" s="21">
        <v>318.33</v>
      </c>
      <c r="V1093" s="21" t="s">
        <v>368</v>
      </c>
      <c r="W1093" t="str">
        <f>VLOOKUP(Table_Query_from_Actuarial___Production[[#This Row],[Kor1]],$AI$3:$AK$105,3,FALSE)</f>
        <v>Misc. Expense</v>
      </c>
      <c r="X1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3"/>
      <c r="Z1093" t="s">
        <v>21</v>
      </c>
      <c r="AA1093" t="s">
        <v>257</v>
      </c>
      <c r="AB1093" t="s">
        <v>9</v>
      </c>
      <c r="AC1093" s="21">
        <v>2606.11</v>
      </c>
      <c r="AD1093" s="21" t="s">
        <v>368</v>
      </c>
      <c r="AE1093" t="str">
        <f>VLOOKUP(Table_Query_from_Actuarial___Production3[[#This Row],[Kor1]],$AI$3:$AK$105,3,FALSE)</f>
        <v>Misc. Expense</v>
      </c>
      <c r="AF1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4" spans="18:32" x14ac:dyDescent="0.2">
      <c r="R1094" t="s">
        <v>29</v>
      </c>
      <c r="S1094" t="s">
        <v>257</v>
      </c>
      <c r="T1094" t="s">
        <v>356</v>
      </c>
      <c r="U1094" s="21">
        <v>39681.29</v>
      </c>
      <c r="V1094" s="21" t="s">
        <v>368</v>
      </c>
      <c r="W1094" t="str">
        <f>VLOOKUP(Table_Query_from_Actuarial___Production[[#This Row],[Kor1]],$AI$3:$AK$105,3,FALSE)</f>
        <v>Misc. Expense</v>
      </c>
      <c r="X1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4"/>
      <c r="Z1094" t="s">
        <v>31</v>
      </c>
      <c r="AA1094" t="s">
        <v>255</v>
      </c>
      <c r="AB1094" t="s">
        <v>442</v>
      </c>
      <c r="AC1094" s="21">
        <v>746.76</v>
      </c>
      <c r="AD1094" s="21" t="s">
        <v>368</v>
      </c>
      <c r="AE1094" t="str">
        <f>VLOOKUP(Table_Query_from_Actuarial___Production3[[#This Row],[Kor1]],$AI$3:$AK$105,3,FALSE)</f>
        <v>Misc. Expense</v>
      </c>
      <c r="AF1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5" spans="18:32" x14ac:dyDescent="0.2">
      <c r="R1095" t="s">
        <v>31</v>
      </c>
      <c r="S1095" t="s">
        <v>233</v>
      </c>
      <c r="T1095" t="s">
        <v>6</v>
      </c>
      <c r="U1095" s="21">
        <v>28.01</v>
      </c>
      <c r="V1095" s="21" t="s">
        <v>368</v>
      </c>
      <c r="W1095" t="str">
        <f>VLOOKUP(Table_Query_from_Actuarial___Production[[#This Row],[Kor1]],$AI$3:$AK$105,3,FALSE)</f>
        <v>Misc. Expense</v>
      </c>
      <c r="X1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5"/>
      <c r="Z1095" t="s">
        <v>20</v>
      </c>
      <c r="AA1095" t="s">
        <v>244</v>
      </c>
      <c r="AB1095" t="s">
        <v>442</v>
      </c>
      <c r="AC1095" s="21">
        <v>178.76</v>
      </c>
      <c r="AD1095" s="21" t="s">
        <v>368</v>
      </c>
      <c r="AE1095" t="str">
        <f>VLOOKUP(Table_Query_from_Actuarial___Production3[[#This Row],[Kor1]],$AI$3:$AK$105,3,FALSE)</f>
        <v>Misc. Expense</v>
      </c>
      <c r="AF1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6" spans="18:32" x14ac:dyDescent="0.2">
      <c r="R1096" t="s">
        <v>50</v>
      </c>
      <c r="S1096" t="s">
        <v>242</v>
      </c>
      <c r="T1096" t="s">
        <v>356</v>
      </c>
      <c r="U1096" s="21">
        <v>11444.45</v>
      </c>
      <c r="V1096" s="21" t="s">
        <v>368</v>
      </c>
      <c r="W1096" t="str">
        <f>VLOOKUP(Table_Query_from_Actuarial___Production[[#This Row],[Kor1]],$AI$3:$AK$105,3,FALSE)</f>
        <v>ALAE Reserve</v>
      </c>
      <c r="X1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6"/>
      <c r="Z1096" t="s">
        <v>21</v>
      </c>
      <c r="AA1096" t="s">
        <v>250</v>
      </c>
      <c r="AB1096" t="s">
        <v>5</v>
      </c>
      <c r="AC1096" s="21">
        <v>423.99</v>
      </c>
      <c r="AD1096" s="21" t="s">
        <v>368</v>
      </c>
      <c r="AE1096" t="str">
        <f>VLOOKUP(Table_Query_from_Actuarial___Production3[[#This Row],[Kor1]],$AI$3:$AK$105,3,FALSE)</f>
        <v>Misc. Expense</v>
      </c>
      <c r="AF1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7" spans="18:32" x14ac:dyDescent="0.2">
      <c r="R1097" t="s">
        <v>3</v>
      </c>
      <c r="S1097" t="s">
        <v>352</v>
      </c>
      <c r="T1097" t="s">
        <v>9</v>
      </c>
      <c r="U1097" s="21">
        <v>204221.59</v>
      </c>
      <c r="V1097" s="21" t="s">
        <v>369</v>
      </c>
      <c r="W1097" t="str">
        <f>VLOOKUP(Table_Query_from_Actuarial___Production[[#This Row],[Kor1]],$AI$3:$AK$105,3,FALSE)</f>
        <v>Premiums Written</v>
      </c>
      <c r="X1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097"/>
      <c r="Z1097" t="s">
        <v>17</v>
      </c>
      <c r="AA1097" t="s">
        <v>250</v>
      </c>
      <c r="AB1097" t="s">
        <v>433</v>
      </c>
      <c r="AC1097" s="21">
        <v>101240.35</v>
      </c>
      <c r="AD1097" s="21" t="s">
        <v>368</v>
      </c>
      <c r="AE1097" t="str">
        <f>VLOOKUP(Table_Query_from_Actuarial___Production3[[#This Row],[Kor1]],$AI$3:$AK$105,3,FALSE)</f>
        <v>IBNR</v>
      </c>
      <c r="AF1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8" spans="18:32" x14ac:dyDescent="0.2">
      <c r="R1098" t="s">
        <v>49</v>
      </c>
      <c r="S1098" t="s">
        <v>230</v>
      </c>
      <c r="T1098" t="s">
        <v>7</v>
      </c>
      <c r="U1098" s="21">
        <v>1030401.29</v>
      </c>
      <c r="V1098" s="21" t="s">
        <v>368</v>
      </c>
      <c r="W1098" t="str">
        <f>VLOOKUP(Table_Query_from_Actuarial___Production[[#This Row],[Kor1]],$AI$3:$AK$105,3,FALSE)</f>
        <v>ALAE Paid</v>
      </c>
      <c r="X1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8"/>
      <c r="Z1098" t="s">
        <v>50</v>
      </c>
      <c r="AA1098" t="s">
        <v>237</v>
      </c>
      <c r="AB1098" t="s">
        <v>433</v>
      </c>
      <c r="AC1098" s="21">
        <v>1505365.61</v>
      </c>
      <c r="AD1098" s="21" t="s">
        <v>368</v>
      </c>
      <c r="AE1098" t="str">
        <f>VLOOKUP(Table_Query_from_Actuarial___Production3[[#This Row],[Kor1]],$AI$3:$AK$105,3,FALSE)</f>
        <v>ALAE Reserve</v>
      </c>
      <c r="AF1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99" spans="18:32" x14ac:dyDescent="0.2">
      <c r="R1099" t="s">
        <v>33</v>
      </c>
      <c r="S1099" t="s">
        <v>242</v>
      </c>
      <c r="T1099" t="s">
        <v>441</v>
      </c>
      <c r="U1099" s="21">
        <v>14423.55</v>
      </c>
      <c r="V1099" s="21" t="s">
        <v>368</v>
      </c>
      <c r="W1099" t="str">
        <f>VLOOKUP(Table_Query_from_Actuarial___Production[[#This Row],[Kor1]],$AI$3:$AK$105,3,FALSE)</f>
        <v>Misc. Expense</v>
      </c>
      <c r="X1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99"/>
      <c r="Z1099" t="s">
        <v>12</v>
      </c>
      <c r="AA1099" t="s">
        <v>258</v>
      </c>
      <c r="AB1099" t="s">
        <v>5</v>
      </c>
      <c r="AC1099" s="21">
        <v>29950.44</v>
      </c>
      <c r="AD1099" s="21" t="s">
        <v>368</v>
      </c>
      <c r="AE1099" t="str">
        <f>VLOOKUP(Table_Query_from_Actuarial___Production3[[#This Row],[Kor1]],$AI$3:$AK$105,3,FALSE)</f>
        <v>Premium Tax</v>
      </c>
      <c r="AF1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0" spans="18:32" x14ac:dyDescent="0.2">
      <c r="R1100" t="s">
        <v>37</v>
      </c>
      <c r="S1100" t="s">
        <v>238</v>
      </c>
      <c r="T1100" t="s">
        <v>441</v>
      </c>
      <c r="U1100" s="21">
        <v>3786.12</v>
      </c>
      <c r="V1100" s="21" t="s">
        <v>368</v>
      </c>
      <c r="W1100" t="str">
        <f>VLOOKUP(Table_Query_from_Actuarial___Production[[#This Row],[Kor1]],$AI$3:$AK$105,3,FALSE)</f>
        <v>Misc. Expense</v>
      </c>
      <c r="X1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0"/>
      <c r="Z1100" t="s">
        <v>14</v>
      </c>
      <c r="AA1100" t="s">
        <v>260</v>
      </c>
      <c r="AB1100" t="s">
        <v>6</v>
      </c>
      <c r="AC1100" s="21">
        <v>271.02</v>
      </c>
      <c r="AD1100" s="21" t="s">
        <v>368</v>
      </c>
      <c r="AE1100" t="str">
        <f>VLOOKUP(Table_Query_from_Actuarial___Production3[[#This Row],[Kor1]],$AI$3:$AK$105,3,FALSE)</f>
        <v>Claims Expense</v>
      </c>
      <c r="AF1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1" spans="18:32" x14ac:dyDescent="0.2">
      <c r="R1101" t="s">
        <v>47</v>
      </c>
      <c r="S1101" t="s">
        <v>251</v>
      </c>
      <c r="T1101" t="s">
        <v>442</v>
      </c>
      <c r="U1101" s="21">
        <v>1956.68</v>
      </c>
      <c r="V1101" s="21" t="s">
        <v>368</v>
      </c>
      <c r="W1101" t="str">
        <f>VLOOKUP(Table_Query_from_Actuarial___Production[[#This Row],[Kor1]],$AI$3:$AK$105,3,FALSE)</f>
        <v>Investment Income</v>
      </c>
      <c r="X1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1"/>
      <c r="Z1101" t="s">
        <v>37</v>
      </c>
      <c r="AA1101" t="s">
        <v>267</v>
      </c>
      <c r="AB1101" t="s">
        <v>9</v>
      </c>
      <c r="AC1101" s="21">
        <v>-0.5</v>
      </c>
      <c r="AD1101" s="21" t="s">
        <v>368</v>
      </c>
      <c r="AE1101" t="str">
        <f>VLOOKUP(Table_Query_from_Actuarial___Production3[[#This Row],[Kor1]],$AI$3:$AK$105,3,FALSE)</f>
        <v>Misc. Expense</v>
      </c>
      <c r="AF1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2" spans="18:32" x14ac:dyDescent="0.2">
      <c r="R1102" t="s">
        <v>3</v>
      </c>
      <c r="S1102" t="s">
        <v>243</v>
      </c>
      <c r="T1102" t="s">
        <v>433</v>
      </c>
      <c r="U1102" s="21">
        <v>513761</v>
      </c>
      <c r="V1102" s="21" t="s">
        <v>368</v>
      </c>
      <c r="W1102" t="str">
        <f>VLOOKUP(Table_Query_from_Actuarial___Production[[#This Row],[Kor1]],$AI$3:$AK$105,3,FALSE)</f>
        <v>Premiums Written</v>
      </c>
      <c r="X1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2"/>
      <c r="Z1102" t="s">
        <v>43</v>
      </c>
      <c r="AA1102" t="s">
        <v>238</v>
      </c>
      <c r="AB1102" t="s">
        <v>443</v>
      </c>
      <c r="AC1102" s="21">
        <v>-1.36</v>
      </c>
      <c r="AD1102" s="21" t="s">
        <v>368</v>
      </c>
      <c r="AE1102" t="str">
        <f>VLOOKUP(Table_Query_from_Actuarial___Production3[[#This Row],[Kor1]],$AI$3:$AK$105,3,FALSE)</f>
        <v>Charge-offs</v>
      </c>
      <c r="AF1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3" spans="18:32" x14ac:dyDescent="0.2">
      <c r="R1103" t="s">
        <v>11</v>
      </c>
      <c r="S1103" t="s">
        <v>255</v>
      </c>
      <c r="T1103" t="s">
        <v>445</v>
      </c>
      <c r="U1103" s="21">
        <v>5225.88</v>
      </c>
      <c r="V1103" s="21" t="s">
        <v>368</v>
      </c>
      <c r="W1103" t="str">
        <f>VLOOKUP(Table_Query_from_Actuarial___Production[[#This Row],[Kor1]],$AI$3:$AK$105,3,FALSE)</f>
        <v>Losses Paid</v>
      </c>
      <c r="X1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3"/>
      <c r="Z1103" t="s">
        <v>43</v>
      </c>
      <c r="AA1103" t="s">
        <v>240</v>
      </c>
      <c r="AB1103" t="s">
        <v>8</v>
      </c>
      <c r="AC1103" s="21">
        <v>141.9</v>
      </c>
      <c r="AD1103" s="21" t="s">
        <v>368</v>
      </c>
      <c r="AE1103" t="str">
        <f>VLOOKUP(Table_Query_from_Actuarial___Production3[[#This Row],[Kor1]],$AI$3:$AK$105,3,FALSE)</f>
        <v>Charge-offs</v>
      </c>
      <c r="AF1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4" spans="18:32" x14ac:dyDescent="0.2">
      <c r="R1104" t="s">
        <v>11</v>
      </c>
      <c r="S1104" t="s">
        <v>262</v>
      </c>
      <c r="T1104" t="s">
        <v>351</v>
      </c>
      <c r="U1104" s="21">
        <v>1401949.26</v>
      </c>
      <c r="V1104" s="21" t="s">
        <v>368</v>
      </c>
      <c r="W1104" t="str">
        <f>VLOOKUP(Table_Query_from_Actuarial___Production[[#This Row],[Kor1]],$AI$3:$AK$105,3,FALSE)</f>
        <v>Losses Paid</v>
      </c>
      <c r="X1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4"/>
      <c r="Z1104" t="s">
        <v>11</v>
      </c>
      <c r="AA1104" t="s">
        <v>224</v>
      </c>
      <c r="AB1104" t="s">
        <v>427</v>
      </c>
      <c r="AC1104" s="21">
        <v>55284.99</v>
      </c>
      <c r="AD1104" s="21" t="s">
        <v>425</v>
      </c>
      <c r="AE1104" t="str">
        <f>VLOOKUP(Table_Query_from_Actuarial___Production3[[#This Row],[Kor1]],$AI$3:$AK$105,3,FALSE)</f>
        <v>Losses Paid</v>
      </c>
      <c r="AF1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105" spans="18:32" x14ac:dyDescent="0.2">
      <c r="R1105" t="s">
        <v>15</v>
      </c>
      <c r="S1105" t="s">
        <v>254</v>
      </c>
      <c r="T1105" t="s">
        <v>445</v>
      </c>
      <c r="U1105" s="21">
        <v>11700427.76</v>
      </c>
      <c r="V1105" s="21" t="s">
        <v>368</v>
      </c>
      <c r="W1105" t="str">
        <f>VLOOKUP(Table_Query_from_Actuarial___Production[[#This Row],[Kor1]],$AI$3:$AK$105,3,FALSE)</f>
        <v>Unearned Premiums</v>
      </c>
      <c r="X1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5"/>
      <c r="Z1105" t="s">
        <v>37</v>
      </c>
      <c r="AA1105" t="s">
        <v>261</v>
      </c>
      <c r="AB1105" t="s">
        <v>356</v>
      </c>
      <c r="AC1105" s="21">
        <v>80.41</v>
      </c>
      <c r="AD1105" s="21" t="s">
        <v>368</v>
      </c>
      <c r="AE1105" t="str">
        <f>VLOOKUP(Table_Query_from_Actuarial___Production3[[#This Row],[Kor1]],$AI$3:$AK$105,3,FALSE)</f>
        <v>Misc. Expense</v>
      </c>
      <c r="AF1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6" spans="18:32" x14ac:dyDescent="0.2">
      <c r="R1106" t="s">
        <v>11</v>
      </c>
      <c r="S1106" t="s">
        <v>263</v>
      </c>
      <c r="T1106" t="s">
        <v>9</v>
      </c>
      <c r="U1106" s="21">
        <v>47155.040000000001</v>
      </c>
      <c r="V1106" s="21" t="s">
        <v>368</v>
      </c>
      <c r="W1106" t="str">
        <f>VLOOKUP(Table_Query_from_Actuarial___Production[[#This Row],[Kor1]],$AI$3:$AK$105,3,FALSE)</f>
        <v>Losses Paid</v>
      </c>
      <c r="X1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6"/>
      <c r="Z1106" t="s">
        <v>37</v>
      </c>
      <c r="AA1106" t="s">
        <v>263</v>
      </c>
      <c r="AB1106" t="s">
        <v>7</v>
      </c>
      <c r="AC1106" s="21">
        <v>-3.75</v>
      </c>
      <c r="AD1106" s="21" t="s">
        <v>368</v>
      </c>
      <c r="AE1106" t="str">
        <f>VLOOKUP(Table_Query_from_Actuarial___Production3[[#This Row],[Kor1]],$AI$3:$AK$105,3,FALSE)</f>
        <v>Misc. Expense</v>
      </c>
      <c r="AF1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7" spans="18:32" x14ac:dyDescent="0.2">
      <c r="R1107" t="s">
        <v>12</v>
      </c>
      <c r="S1107" t="s">
        <v>236</v>
      </c>
      <c r="T1107" t="s">
        <v>351</v>
      </c>
      <c r="U1107" s="21">
        <v>770.16</v>
      </c>
      <c r="V1107" s="21" t="s">
        <v>368</v>
      </c>
      <c r="W1107" t="str">
        <f>VLOOKUP(Table_Query_from_Actuarial___Production[[#This Row],[Kor1]],$AI$3:$AK$105,3,FALSE)</f>
        <v>Premium Tax</v>
      </c>
      <c r="X1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7"/>
      <c r="Z1107" t="s">
        <v>43</v>
      </c>
      <c r="AA1107" t="s">
        <v>231</v>
      </c>
      <c r="AB1107" t="s">
        <v>442</v>
      </c>
      <c r="AC1107" s="21">
        <v>374.31</v>
      </c>
      <c r="AD1107" s="21" t="s">
        <v>368</v>
      </c>
      <c r="AE1107" t="str">
        <f>VLOOKUP(Table_Query_from_Actuarial___Production3[[#This Row],[Kor1]],$AI$3:$AK$105,3,FALSE)</f>
        <v>Charge-offs</v>
      </c>
      <c r="AF1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8" spans="18:32" x14ac:dyDescent="0.2">
      <c r="R1108" t="s">
        <v>13</v>
      </c>
      <c r="S1108" t="s">
        <v>243</v>
      </c>
      <c r="T1108" t="s">
        <v>427</v>
      </c>
      <c r="U1108" s="21">
        <v>140327.69</v>
      </c>
      <c r="V1108" s="21" t="s">
        <v>368</v>
      </c>
      <c r="W1108" t="str">
        <f>VLOOKUP(Table_Query_from_Actuarial___Production[[#This Row],[Kor1]],$AI$3:$AK$105,3,FALSE)</f>
        <v>Operating Service Fees</v>
      </c>
      <c r="X1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08"/>
      <c r="Z1108" t="s">
        <v>16</v>
      </c>
      <c r="AA1108" t="s">
        <v>242</v>
      </c>
      <c r="AB1108" t="s">
        <v>441</v>
      </c>
      <c r="AC1108" s="21">
        <v>8544.4</v>
      </c>
      <c r="AD1108" s="21" t="s">
        <v>368</v>
      </c>
      <c r="AE1108" t="str">
        <f>VLOOKUP(Table_Query_from_Actuarial___Production3[[#This Row],[Kor1]],$AI$3:$AK$105,3,FALSE)</f>
        <v>Losses Outstanding</v>
      </c>
      <c r="AF1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09" spans="18:32" x14ac:dyDescent="0.2">
      <c r="R1109" t="s">
        <v>44</v>
      </c>
      <c r="S1109" t="s">
        <v>226</v>
      </c>
      <c r="T1109" t="s">
        <v>7</v>
      </c>
      <c r="U1109" s="21">
        <v>175555.97</v>
      </c>
      <c r="V1109" s="21" t="s">
        <v>368</v>
      </c>
      <c r="W1109" t="str">
        <f>VLOOKUP(Table_Query_from_Actuarial___Production[[#This Row],[Kor1]],$AI$3:$AK$105,3,FALSE)</f>
        <v>Charge-offs</v>
      </c>
      <c r="X1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109"/>
      <c r="Z1109" t="s">
        <v>33</v>
      </c>
      <c r="AA1109" t="s">
        <v>237</v>
      </c>
      <c r="AB1109" t="s">
        <v>427</v>
      </c>
      <c r="AC1109" s="21">
        <v>30092.79</v>
      </c>
      <c r="AD1109" s="21" t="s">
        <v>368</v>
      </c>
      <c r="AE1109" t="str">
        <f>VLOOKUP(Table_Query_from_Actuarial___Production3[[#This Row],[Kor1]],$AI$3:$AK$105,3,FALSE)</f>
        <v>Misc. Expense</v>
      </c>
      <c r="AF1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0" spans="18:32" x14ac:dyDescent="0.2">
      <c r="R1110" t="s">
        <v>43</v>
      </c>
      <c r="S1110" t="s">
        <v>258</v>
      </c>
      <c r="T1110" t="s">
        <v>7</v>
      </c>
      <c r="U1110" s="21">
        <v>-12.05</v>
      </c>
      <c r="V1110" s="21" t="s">
        <v>368</v>
      </c>
      <c r="W1110" t="str">
        <f>VLOOKUP(Table_Query_from_Actuarial___Production[[#This Row],[Kor1]],$AI$3:$AK$105,3,FALSE)</f>
        <v>Charge-offs</v>
      </c>
      <c r="X1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0"/>
      <c r="Z1110" t="s">
        <v>50</v>
      </c>
      <c r="AA1110" t="s">
        <v>232</v>
      </c>
      <c r="AB1110" t="s">
        <v>441</v>
      </c>
      <c r="AC1110" s="21">
        <v>35588.699999999997</v>
      </c>
      <c r="AD1110" s="21" t="s">
        <v>368</v>
      </c>
      <c r="AE1110" t="str">
        <f>VLOOKUP(Table_Query_from_Actuarial___Production3[[#This Row],[Kor1]],$AI$3:$AK$105,3,FALSE)</f>
        <v>ALAE Reserve</v>
      </c>
      <c r="AF1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1" spans="18:32" x14ac:dyDescent="0.2">
      <c r="R1111" t="s">
        <v>16</v>
      </c>
      <c r="S1111" t="s">
        <v>231</v>
      </c>
      <c r="T1111" t="s">
        <v>441</v>
      </c>
      <c r="U1111" s="21">
        <v>512874.53</v>
      </c>
      <c r="V1111" s="21" t="s">
        <v>368</v>
      </c>
      <c r="W1111" t="str">
        <f>VLOOKUP(Table_Query_from_Actuarial___Production[[#This Row],[Kor1]],$AI$3:$AK$105,3,FALSE)</f>
        <v>Losses Outstanding</v>
      </c>
      <c r="X1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1"/>
      <c r="Z1111" t="s">
        <v>12</v>
      </c>
      <c r="AA1111" t="s">
        <v>238</v>
      </c>
      <c r="AB1111" t="s">
        <v>351</v>
      </c>
      <c r="AC1111" s="21">
        <v>15085.22</v>
      </c>
      <c r="AD1111" s="21" t="s">
        <v>368</v>
      </c>
      <c r="AE1111" t="str">
        <f>VLOOKUP(Table_Query_from_Actuarial___Production3[[#This Row],[Kor1]],$AI$3:$AK$105,3,FALSE)</f>
        <v>Premium Tax</v>
      </c>
      <c r="AF1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2" spans="18:32" x14ac:dyDescent="0.2">
      <c r="R1112" t="s">
        <v>16</v>
      </c>
      <c r="S1112" t="s">
        <v>264</v>
      </c>
      <c r="T1112" t="s">
        <v>445</v>
      </c>
      <c r="U1112" s="21">
        <v>19875.75</v>
      </c>
      <c r="V1112" s="21" t="s">
        <v>368</v>
      </c>
      <c r="W1112" t="str">
        <f>VLOOKUP(Table_Query_from_Actuarial___Production[[#This Row],[Kor1]],$AI$3:$AK$105,3,FALSE)</f>
        <v>Losses Outstanding</v>
      </c>
      <c r="X1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2"/>
      <c r="Z1112" t="s">
        <v>13</v>
      </c>
      <c r="AA1112" t="s">
        <v>228</v>
      </c>
      <c r="AB1112" t="s">
        <v>427</v>
      </c>
      <c r="AC1112" s="21">
        <v>1711875.68</v>
      </c>
      <c r="AD1112" s="21" t="s">
        <v>368</v>
      </c>
      <c r="AE1112" t="str">
        <f>VLOOKUP(Table_Query_from_Actuarial___Production3[[#This Row],[Kor1]],$AI$3:$AK$105,3,FALSE)</f>
        <v>Operating Service Fees</v>
      </c>
      <c r="AF1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3" spans="18:32" x14ac:dyDescent="0.2">
      <c r="R1113" t="s">
        <v>44</v>
      </c>
      <c r="S1113" t="s">
        <v>226</v>
      </c>
      <c r="T1113" t="s">
        <v>433</v>
      </c>
      <c r="U1113" s="21">
        <v>116338.97</v>
      </c>
      <c r="V1113" s="21" t="s">
        <v>368</v>
      </c>
      <c r="W1113" t="str">
        <f>VLOOKUP(Table_Query_from_Actuarial___Production[[#This Row],[Kor1]],$AI$3:$AK$105,3,FALSE)</f>
        <v>Charge-offs</v>
      </c>
      <c r="X1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113"/>
      <c r="Z1113" t="s">
        <v>38</v>
      </c>
      <c r="AA1113" t="s">
        <v>352</v>
      </c>
      <c r="AB1113" t="s">
        <v>6</v>
      </c>
      <c r="AC1113" s="21">
        <v>17323.07</v>
      </c>
      <c r="AD1113" s="21" t="s">
        <v>369</v>
      </c>
      <c r="AE1113" t="str">
        <f>VLOOKUP(Table_Query_from_Actuarial___Production3[[#This Row],[Kor1]],$AI$3:$AK$105,3,FALSE)</f>
        <v>Misc. Income</v>
      </c>
      <c r="AF1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114" spans="18:32" x14ac:dyDescent="0.2">
      <c r="R1114" t="s">
        <v>33</v>
      </c>
      <c r="S1114" t="s">
        <v>259</v>
      </c>
      <c r="T1114" t="s">
        <v>356</v>
      </c>
      <c r="U1114" s="21">
        <v>16367.77</v>
      </c>
      <c r="V1114" s="21" t="s">
        <v>368</v>
      </c>
      <c r="W1114" t="str">
        <f>VLOOKUP(Table_Query_from_Actuarial___Production[[#This Row],[Kor1]],$AI$3:$AK$105,3,FALSE)</f>
        <v>Misc. Expense</v>
      </c>
      <c r="X1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4"/>
      <c r="Z1114" t="s">
        <v>46</v>
      </c>
      <c r="AA1114" t="s">
        <v>224</v>
      </c>
      <c r="AB1114" t="s">
        <v>433</v>
      </c>
      <c r="AC1114" s="21">
        <v>671.37</v>
      </c>
      <c r="AD1114" s="21" t="s">
        <v>369</v>
      </c>
      <c r="AE1114" t="str">
        <f>VLOOKUP(Table_Query_from_Actuarial___Production3[[#This Row],[Kor1]],$AI$3:$AK$105,3,FALSE)</f>
        <v>Investment Income</v>
      </c>
      <c r="AF1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115" spans="18:32" x14ac:dyDescent="0.2">
      <c r="R1115" t="s">
        <v>40</v>
      </c>
      <c r="S1115" t="s">
        <v>253</v>
      </c>
      <c r="T1115" t="s">
        <v>7</v>
      </c>
      <c r="U1115" s="21">
        <v>8</v>
      </c>
      <c r="V1115" s="21" t="s">
        <v>368</v>
      </c>
      <c r="W1115" t="str">
        <f>VLOOKUP(Table_Query_from_Actuarial___Production[[#This Row],[Kor1]],$AI$3:$AK$105,3,FALSE)</f>
        <v>Misc. Income</v>
      </c>
      <c r="X1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5"/>
      <c r="Z1115" t="s">
        <v>14</v>
      </c>
      <c r="AA1115" t="s">
        <v>250</v>
      </c>
      <c r="AB1115" t="s">
        <v>8</v>
      </c>
      <c r="AC1115" s="21">
        <v>140355.51</v>
      </c>
      <c r="AD1115" s="21" t="s">
        <v>368</v>
      </c>
      <c r="AE1115" t="str">
        <f>VLOOKUP(Table_Query_from_Actuarial___Production3[[#This Row],[Kor1]],$AI$3:$AK$105,3,FALSE)</f>
        <v>Claims Expense</v>
      </c>
      <c r="AF1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6" spans="18:32" x14ac:dyDescent="0.2">
      <c r="R1116" t="s">
        <v>14</v>
      </c>
      <c r="S1116" t="s">
        <v>258</v>
      </c>
      <c r="T1116" t="s">
        <v>9</v>
      </c>
      <c r="U1116" s="21">
        <v>187519.37</v>
      </c>
      <c r="V1116" s="21" t="s">
        <v>368</v>
      </c>
      <c r="W1116" t="str">
        <f>VLOOKUP(Table_Query_from_Actuarial___Production[[#This Row],[Kor1]],$AI$3:$AK$105,3,FALSE)</f>
        <v>Claims Expense</v>
      </c>
      <c r="X1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6"/>
      <c r="Z1116" t="s">
        <v>21</v>
      </c>
      <c r="AA1116" t="s">
        <v>248</v>
      </c>
      <c r="AB1116" t="s">
        <v>443</v>
      </c>
      <c r="AC1116" s="21">
        <v>1069.25</v>
      </c>
      <c r="AD1116" s="21" t="s">
        <v>368</v>
      </c>
      <c r="AE1116" t="str">
        <f>VLOOKUP(Table_Query_from_Actuarial___Production3[[#This Row],[Kor1]],$AI$3:$AK$105,3,FALSE)</f>
        <v>Misc. Expense</v>
      </c>
      <c r="AF1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7" spans="18:32" x14ac:dyDescent="0.2">
      <c r="R1117" t="s">
        <v>33</v>
      </c>
      <c r="S1117" t="s">
        <v>240</v>
      </c>
      <c r="T1117" t="s">
        <v>6</v>
      </c>
      <c r="U1117" s="21">
        <v>15606.7</v>
      </c>
      <c r="V1117" s="21" t="s">
        <v>368</v>
      </c>
      <c r="W1117" t="str">
        <f>VLOOKUP(Table_Query_from_Actuarial___Production[[#This Row],[Kor1]],$AI$3:$AK$105,3,FALSE)</f>
        <v>Misc. Expense</v>
      </c>
      <c r="X1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7"/>
      <c r="Z1117" t="s">
        <v>10</v>
      </c>
      <c r="AA1117" t="s">
        <v>247</v>
      </c>
      <c r="AB1117" t="s">
        <v>442</v>
      </c>
      <c r="AC1117" s="21">
        <v>657.4</v>
      </c>
      <c r="AD1117" s="21" t="s">
        <v>368</v>
      </c>
      <c r="AE1117" t="str">
        <f>VLOOKUP(Table_Query_from_Actuarial___Production3[[#This Row],[Kor1]],$AI$3:$AK$105,3,FALSE)</f>
        <v>Commissions</v>
      </c>
      <c r="AF1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8" spans="18:32" x14ac:dyDescent="0.2">
      <c r="R1118" t="s">
        <v>11</v>
      </c>
      <c r="S1118" t="s">
        <v>248</v>
      </c>
      <c r="T1118" t="s">
        <v>356</v>
      </c>
      <c r="U1118" s="21">
        <v>1320507.8999999999</v>
      </c>
      <c r="V1118" s="21" t="s">
        <v>368</v>
      </c>
      <c r="W1118" t="str">
        <f>VLOOKUP(Table_Query_from_Actuarial___Production[[#This Row],[Kor1]],$AI$3:$AK$105,3,FALSE)</f>
        <v>Losses Paid</v>
      </c>
      <c r="X1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8"/>
      <c r="Z1118" t="s">
        <v>24</v>
      </c>
      <c r="AA1118" t="s">
        <v>259</v>
      </c>
      <c r="AB1118" t="s">
        <v>443</v>
      </c>
      <c r="AC1118" s="21">
        <v>-2.16</v>
      </c>
      <c r="AD1118" s="21" t="s">
        <v>368</v>
      </c>
      <c r="AE1118" t="str">
        <f>VLOOKUP(Table_Query_from_Actuarial___Production3[[#This Row],[Kor1]],$AI$3:$AK$105,3,FALSE)</f>
        <v>Misc. Expense</v>
      </c>
      <c r="AF1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19" spans="18:32" x14ac:dyDescent="0.2">
      <c r="R1119" t="s">
        <v>19</v>
      </c>
      <c r="S1119" t="s">
        <v>241</v>
      </c>
      <c r="T1119" t="s">
        <v>433</v>
      </c>
      <c r="U1119" s="21">
        <v>349.93</v>
      </c>
      <c r="V1119" s="21" t="s">
        <v>368</v>
      </c>
      <c r="W1119" t="str">
        <f>VLOOKUP(Table_Query_from_Actuarial___Production[[#This Row],[Kor1]],$AI$3:$AK$105,3,FALSE)</f>
        <v>Misc. Expense for Insolvent Companies</v>
      </c>
      <c r="X1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19"/>
      <c r="Z1119" t="s">
        <v>33</v>
      </c>
      <c r="AA1119" t="s">
        <v>231</v>
      </c>
      <c r="AB1119" t="s">
        <v>442</v>
      </c>
      <c r="AC1119" s="21">
        <v>16222.21</v>
      </c>
      <c r="AD1119" s="21" t="s">
        <v>368</v>
      </c>
      <c r="AE1119" t="str">
        <f>VLOOKUP(Table_Query_from_Actuarial___Production3[[#This Row],[Kor1]],$AI$3:$AK$105,3,FALSE)</f>
        <v>Misc. Expense</v>
      </c>
      <c r="AF1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0" spans="18:32" x14ac:dyDescent="0.2">
      <c r="R1120" t="s">
        <v>44</v>
      </c>
      <c r="S1120" t="s">
        <v>250</v>
      </c>
      <c r="T1120" t="s">
        <v>6</v>
      </c>
      <c r="U1120" s="21">
        <v>238.92</v>
      </c>
      <c r="V1120" s="21" t="s">
        <v>368</v>
      </c>
      <c r="W1120" t="str">
        <f>VLOOKUP(Table_Query_from_Actuarial___Production[[#This Row],[Kor1]],$AI$3:$AK$105,3,FALSE)</f>
        <v>Charge-offs</v>
      </c>
      <c r="X1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0"/>
      <c r="Z1120" t="s">
        <v>21</v>
      </c>
      <c r="AA1120" t="s">
        <v>248</v>
      </c>
      <c r="AB1120" t="s">
        <v>427</v>
      </c>
      <c r="AC1120" s="21">
        <v>1675.76</v>
      </c>
      <c r="AD1120" s="21" t="s">
        <v>368</v>
      </c>
      <c r="AE1120" t="str">
        <f>VLOOKUP(Table_Query_from_Actuarial___Production3[[#This Row],[Kor1]],$AI$3:$AK$105,3,FALSE)</f>
        <v>Misc. Expense</v>
      </c>
      <c r="AF1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1" spans="18:32" x14ac:dyDescent="0.2">
      <c r="R1121" t="s">
        <v>40</v>
      </c>
      <c r="S1121" t="s">
        <v>234</v>
      </c>
      <c r="T1121" t="s">
        <v>9</v>
      </c>
      <c r="U1121" s="21">
        <v>6</v>
      </c>
      <c r="V1121" s="21" t="s">
        <v>368</v>
      </c>
      <c r="W1121" t="str">
        <f>VLOOKUP(Table_Query_from_Actuarial___Production[[#This Row],[Kor1]],$AI$3:$AK$105,3,FALSE)</f>
        <v>Misc. Income</v>
      </c>
      <c r="X1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1"/>
      <c r="Z1121" t="s">
        <v>21</v>
      </c>
      <c r="AA1121" t="s">
        <v>251</v>
      </c>
      <c r="AB1121" t="s">
        <v>7</v>
      </c>
      <c r="AC1121" s="21">
        <v>318.33</v>
      </c>
      <c r="AD1121" s="21" t="s">
        <v>368</v>
      </c>
      <c r="AE1121" t="str">
        <f>VLOOKUP(Table_Query_from_Actuarial___Production3[[#This Row],[Kor1]],$AI$3:$AK$105,3,FALSE)</f>
        <v>Misc. Expense</v>
      </c>
      <c r="AF1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2" spans="18:32" x14ac:dyDescent="0.2">
      <c r="R1122" t="s">
        <v>43</v>
      </c>
      <c r="S1122" t="s">
        <v>267</v>
      </c>
      <c r="T1122" t="s">
        <v>433</v>
      </c>
      <c r="U1122" s="21">
        <v>160.32</v>
      </c>
      <c r="V1122" s="21" t="s">
        <v>368</v>
      </c>
      <c r="W1122" t="str">
        <f>VLOOKUP(Table_Query_from_Actuarial___Production[[#This Row],[Kor1]],$AI$3:$AK$105,3,FALSE)</f>
        <v>Charge-offs</v>
      </c>
      <c r="X1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2"/>
      <c r="Z1122" t="s">
        <v>29</v>
      </c>
      <c r="AA1122" t="s">
        <v>257</v>
      </c>
      <c r="AB1122" t="s">
        <v>356</v>
      </c>
      <c r="AC1122" s="21">
        <v>39681.29</v>
      </c>
      <c r="AD1122" s="21" t="s">
        <v>368</v>
      </c>
      <c r="AE1122" t="str">
        <f>VLOOKUP(Table_Query_from_Actuarial___Production3[[#This Row],[Kor1]],$AI$3:$AK$105,3,FALSE)</f>
        <v>Misc. Expense</v>
      </c>
      <c r="AF1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3" spans="18:32" x14ac:dyDescent="0.2">
      <c r="R1123" t="s">
        <v>37</v>
      </c>
      <c r="S1123" t="s">
        <v>255</v>
      </c>
      <c r="T1123" t="s">
        <v>443</v>
      </c>
      <c r="U1123" s="21">
        <v>5657.67</v>
      </c>
      <c r="V1123" s="21" t="s">
        <v>368</v>
      </c>
      <c r="W1123" t="str">
        <f>VLOOKUP(Table_Query_from_Actuarial___Production[[#This Row],[Kor1]],$AI$3:$AK$105,3,FALSE)</f>
        <v>Misc. Expense</v>
      </c>
      <c r="X1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3"/>
      <c r="Z1123" t="s">
        <v>31</v>
      </c>
      <c r="AA1123" t="s">
        <v>233</v>
      </c>
      <c r="AB1123" t="s">
        <v>6</v>
      </c>
      <c r="AC1123" s="21">
        <v>28.01</v>
      </c>
      <c r="AD1123" s="21" t="s">
        <v>368</v>
      </c>
      <c r="AE1123" t="str">
        <f>VLOOKUP(Table_Query_from_Actuarial___Production3[[#This Row],[Kor1]],$AI$3:$AK$105,3,FALSE)</f>
        <v>Misc. Expense</v>
      </c>
      <c r="AF1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4" spans="18:32" x14ac:dyDescent="0.2">
      <c r="R1124" t="s">
        <v>10</v>
      </c>
      <c r="S1124" t="s">
        <v>4</v>
      </c>
      <c r="T1124" t="s">
        <v>351</v>
      </c>
      <c r="U1124" s="21">
        <v>2373759.2799999998</v>
      </c>
      <c r="V1124" s="21" t="s">
        <v>368</v>
      </c>
      <c r="W1124" t="str">
        <f>VLOOKUP(Table_Query_from_Actuarial___Production[[#This Row],[Kor1]],$AI$3:$AK$105,3,FALSE)</f>
        <v>Commissions</v>
      </c>
      <c r="X1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4"/>
      <c r="Z1124" t="s">
        <v>50</v>
      </c>
      <c r="AA1124" t="s">
        <v>242</v>
      </c>
      <c r="AB1124" t="s">
        <v>356</v>
      </c>
      <c r="AC1124" s="21">
        <v>21586.92</v>
      </c>
      <c r="AD1124" s="21" t="s">
        <v>368</v>
      </c>
      <c r="AE1124" t="str">
        <f>VLOOKUP(Table_Query_from_Actuarial___Production3[[#This Row],[Kor1]],$AI$3:$AK$105,3,FALSE)</f>
        <v>ALAE Reserve</v>
      </c>
      <c r="AF1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5" spans="18:32" x14ac:dyDescent="0.2">
      <c r="R1125" t="s">
        <v>21</v>
      </c>
      <c r="S1125" t="s">
        <v>265</v>
      </c>
      <c r="T1125" t="s">
        <v>356</v>
      </c>
      <c r="U1125" s="21">
        <v>4782.9799999999996</v>
      </c>
      <c r="V1125" s="21" t="s">
        <v>368</v>
      </c>
      <c r="W1125" t="str">
        <f>VLOOKUP(Table_Query_from_Actuarial___Production[[#This Row],[Kor1]],$AI$3:$AK$105,3,FALSE)</f>
        <v>Misc. Expense</v>
      </c>
      <c r="X1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5"/>
      <c r="Z1125" t="s">
        <v>3</v>
      </c>
      <c r="AA1125" t="s">
        <v>352</v>
      </c>
      <c r="AB1125" t="s">
        <v>9</v>
      </c>
      <c r="AC1125" s="21">
        <v>213652.59</v>
      </c>
      <c r="AD1125" s="21" t="s">
        <v>369</v>
      </c>
      <c r="AE1125" t="str">
        <f>VLOOKUP(Table_Query_from_Actuarial___Production3[[#This Row],[Kor1]],$AI$3:$AK$105,3,FALSE)</f>
        <v>Premiums Written</v>
      </c>
      <c r="AF1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126" spans="18:32" x14ac:dyDescent="0.2">
      <c r="R1126" t="s">
        <v>10</v>
      </c>
      <c r="S1126" t="s">
        <v>232</v>
      </c>
      <c r="T1126" t="s">
        <v>445</v>
      </c>
      <c r="U1126" s="21">
        <v>96111.679999999993</v>
      </c>
      <c r="V1126" s="21" t="s">
        <v>368</v>
      </c>
      <c r="W1126" t="str">
        <f>VLOOKUP(Table_Query_from_Actuarial___Production[[#This Row],[Kor1]],$AI$3:$AK$105,3,FALSE)</f>
        <v>Commissions</v>
      </c>
      <c r="X1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6"/>
      <c r="Z1126" t="s">
        <v>49</v>
      </c>
      <c r="AA1126" t="s">
        <v>230</v>
      </c>
      <c r="AB1126" t="s">
        <v>7</v>
      </c>
      <c r="AC1126" s="21">
        <v>1030401.29</v>
      </c>
      <c r="AD1126" s="21" t="s">
        <v>368</v>
      </c>
      <c r="AE1126" t="str">
        <f>VLOOKUP(Table_Query_from_Actuarial___Production3[[#This Row],[Kor1]],$AI$3:$AK$105,3,FALSE)</f>
        <v>ALAE Paid</v>
      </c>
      <c r="AF1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7" spans="18:32" x14ac:dyDescent="0.2">
      <c r="R1127" t="s">
        <v>12</v>
      </c>
      <c r="S1127" t="s">
        <v>238</v>
      </c>
      <c r="T1127" t="s">
        <v>441</v>
      </c>
      <c r="U1127" s="21">
        <v>37882.080000000002</v>
      </c>
      <c r="V1127" s="21" t="s">
        <v>368</v>
      </c>
      <c r="W1127" t="str">
        <f>VLOOKUP(Table_Query_from_Actuarial___Production[[#This Row],[Kor1]],$AI$3:$AK$105,3,FALSE)</f>
        <v>Premium Tax</v>
      </c>
      <c r="X1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7"/>
      <c r="Z1127" t="s">
        <v>33</v>
      </c>
      <c r="AA1127" t="s">
        <v>242</v>
      </c>
      <c r="AB1127" t="s">
        <v>441</v>
      </c>
      <c r="AC1127" s="21">
        <v>14423.55</v>
      </c>
      <c r="AD1127" s="21" t="s">
        <v>368</v>
      </c>
      <c r="AE1127" t="str">
        <f>VLOOKUP(Table_Query_from_Actuarial___Production3[[#This Row],[Kor1]],$AI$3:$AK$105,3,FALSE)</f>
        <v>Misc. Expense</v>
      </c>
      <c r="AF1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8" spans="18:32" x14ac:dyDescent="0.2">
      <c r="R1128" t="s">
        <v>10</v>
      </c>
      <c r="S1128" t="s">
        <v>225</v>
      </c>
      <c r="T1128" t="s">
        <v>6</v>
      </c>
      <c r="U1128" s="21">
        <v>412036.28</v>
      </c>
      <c r="V1128" s="21" t="s">
        <v>369</v>
      </c>
      <c r="W1128" t="str">
        <f>VLOOKUP(Table_Query_from_Actuarial___Production[[#This Row],[Kor1]],$AI$3:$AK$105,3,FALSE)</f>
        <v>Commissions</v>
      </c>
      <c r="X1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128"/>
      <c r="Z1128" t="s">
        <v>37</v>
      </c>
      <c r="AA1128" t="s">
        <v>238</v>
      </c>
      <c r="AB1128" t="s">
        <v>441</v>
      </c>
      <c r="AC1128" s="21">
        <v>3786.12</v>
      </c>
      <c r="AD1128" s="21" t="s">
        <v>368</v>
      </c>
      <c r="AE1128" t="str">
        <f>VLOOKUP(Table_Query_from_Actuarial___Production3[[#This Row],[Kor1]],$AI$3:$AK$105,3,FALSE)</f>
        <v>Misc. Expense</v>
      </c>
      <c r="AF1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29" spans="18:32" x14ac:dyDescent="0.2">
      <c r="R1129" t="s">
        <v>13</v>
      </c>
      <c r="S1129" t="s">
        <v>252</v>
      </c>
      <c r="T1129" t="s">
        <v>443</v>
      </c>
      <c r="U1129" s="21">
        <v>4441368.01</v>
      </c>
      <c r="V1129" s="21" t="s">
        <v>368</v>
      </c>
      <c r="W1129" t="str">
        <f>VLOOKUP(Table_Query_from_Actuarial___Production[[#This Row],[Kor1]],$AI$3:$AK$105,3,FALSE)</f>
        <v>Operating Service Fees</v>
      </c>
      <c r="X1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29"/>
      <c r="Z1129" t="s">
        <v>47</v>
      </c>
      <c r="AA1129" t="s">
        <v>251</v>
      </c>
      <c r="AB1129" t="s">
        <v>442</v>
      </c>
      <c r="AC1129" s="21">
        <v>1956.68</v>
      </c>
      <c r="AD1129" s="21" t="s">
        <v>368</v>
      </c>
      <c r="AE1129" t="str">
        <f>VLOOKUP(Table_Query_from_Actuarial___Production3[[#This Row],[Kor1]],$AI$3:$AK$105,3,FALSE)</f>
        <v>Investment Income</v>
      </c>
      <c r="AF1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0" spans="18:32" x14ac:dyDescent="0.2">
      <c r="R1130" t="s">
        <v>31</v>
      </c>
      <c r="S1130" t="s">
        <v>246</v>
      </c>
      <c r="T1130" t="s">
        <v>356</v>
      </c>
      <c r="U1130" s="21">
        <v>864.36</v>
      </c>
      <c r="V1130" s="21" t="s">
        <v>368</v>
      </c>
      <c r="W1130" t="str">
        <f>VLOOKUP(Table_Query_from_Actuarial___Production[[#This Row],[Kor1]],$AI$3:$AK$105,3,FALSE)</f>
        <v>Misc. Expense</v>
      </c>
      <c r="X1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0"/>
      <c r="Z1130" t="s">
        <v>3</v>
      </c>
      <c r="AA1130" t="s">
        <v>243</v>
      </c>
      <c r="AB1130" t="s">
        <v>433</v>
      </c>
      <c r="AC1130" s="21">
        <v>513761</v>
      </c>
      <c r="AD1130" s="21" t="s">
        <v>368</v>
      </c>
      <c r="AE1130" t="str">
        <f>VLOOKUP(Table_Query_from_Actuarial___Production3[[#This Row],[Kor1]],$AI$3:$AK$105,3,FALSE)</f>
        <v>Premiums Written</v>
      </c>
      <c r="AF1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1" spans="18:32" x14ac:dyDescent="0.2">
      <c r="R1131" t="s">
        <v>39</v>
      </c>
      <c r="S1131" t="s">
        <v>229</v>
      </c>
      <c r="T1131" t="s">
        <v>441</v>
      </c>
      <c r="U1131" s="21">
        <v>1184.5999999999999</v>
      </c>
      <c r="V1131" s="21" t="s">
        <v>368</v>
      </c>
      <c r="W1131" t="str">
        <f>VLOOKUP(Table_Query_from_Actuarial___Production[[#This Row],[Kor1]],$AI$3:$AK$105,3,FALSE)</f>
        <v>Misc. Income for Insolvent Companies</v>
      </c>
      <c r="X1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1"/>
      <c r="Z1131" t="s">
        <v>11</v>
      </c>
      <c r="AA1131" t="s">
        <v>262</v>
      </c>
      <c r="AB1131" t="s">
        <v>351</v>
      </c>
      <c r="AC1131" s="21">
        <v>1401949.26</v>
      </c>
      <c r="AD1131" s="21" t="s">
        <v>368</v>
      </c>
      <c r="AE1131" t="str">
        <f>VLOOKUP(Table_Query_from_Actuarial___Production3[[#This Row],[Kor1]],$AI$3:$AK$105,3,FALSE)</f>
        <v>Losses Paid</v>
      </c>
      <c r="AF1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2" spans="18:32" x14ac:dyDescent="0.2">
      <c r="R1132" t="s">
        <v>14</v>
      </c>
      <c r="S1132" t="s">
        <v>252</v>
      </c>
      <c r="T1132" t="s">
        <v>9</v>
      </c>
      <c r="U1132" s="21">
        <v>1894251.81</v>
      </c>
      <c r="V1132" s="21" t="s">
        <v>368</v>
      </c>
      <c r="W1132" t="str">
        <f>VLOOKUP(Table_Query_from_Actuarial___Production[[#This Row],[Kor1]],$AI$3:$AK$105,3,FALSE)</f>
        <v>Claims Expense</v>
      </c>
      <c r="X1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2"/>
      <c r="Z1132" t="s">
        <v>11</v>
      </c>
      <c r="AA1132" t="s">
        <v>263</v>
      </c>
      <c r="AB1132" t="s">
        <v>9</v>
      </c>
      <c r="AC1132" s="21">
        <v>47155.040000000001</v>
      </c>
      <c r="AD1132" s="21" t="s">
        <v>368</v>
      </c>
      <c r="AE1132" t="str">
        <f>VLOOKUP(Table_Query_from_Actuarial___Production3[[#This Row],[Kor1]],$AI$3:$AK$105,3,FALSE)</f>
        <v>Losses Paid</v>
      </c>
      <c r="AF1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3" spans="18:32" x14ac:dyDescent="0.2">
      <c r="R1133" t="s">
        <v>14</v>
      </c>
      <c r="S1133" t="s">
        <v>231</v>
      </c>
      <c r="T1133" t="s">
        <v>6</v>
      </c>
      <c r="U1133" s="21">
        <v>5751.38</v>
      </c>
      <c r="V1133" s="21" t="s">
        <v>368</v>
      </c>
      <c r="W1133" t="str">
        <f>VLOOKUP(Table_Query_from_Actuarial___Production[[#This Row],[Kor1]],$AI$3:$AK$105,3,FALSE)</f>
        <v>Claims Expense</v>
      </c>
      <c r="X1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3"/>
      <c r="Z1133" t="s">
        <v>12</v>
      </c>
      <c r="AA1133" t="s">
        <v>236</v>
      </c>
      <c r="AB1133" t="s">
        <v>351</v>
      </c>
      <c r="AC1133" s="21">
        <v>770.16</v>
      </c>
      <c r="AD1133" s="21" t="s">
        <v>368</v>
      </c>
      <c r="AE1133" t="str">
        <f>VLOOKUP(Table_Query_from_Actuarial___Production3[[#This Row],[Kor1]],$AI$3:$AK$105,3,FALSE)</f>
        <v>Premium Tax</v>
      </c>
      <c r="AF1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4" spans="18:32" x14ac:dyDescent="0.2">
      <c r="R1134" t="s">
        <v>40</v>
      </c>
      <c r="S1134" t="s">
        <v>231</v>
      </c>
      <c r="T1134" t="s">
        <v>8</v>
      </c>
      <c r="U1134" s="21">
        <v>66</v>
      </c>
      <c r="V1134" s="21" t="s">
        <v>368</v>
      </c>
      <c r="W1134" t="str">
        <f>VLOOKUP(Table_Query_from_Actuarial___Production[[#This Row],[Kor1]],$AI$3:$AK$105,3,FALSE)</f>
        <v>Misc. Income</v>
      </c>
      <c r="X1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4"/>
      <c r="Z1134" t="s">
        <v>13</v>
      </c>
      <c r="AA1134" t="s">
        <v>243</v>
      </c>
      <c r="AB1134" t="s">
        <v>427</v>
      </c>
      <c r="AC1134" s="21">
        <v>140327.69</v>
      </c>
      <c r="AD1134" s="21" t="s">
        <v>368</v>
      </c>
      <c r="AE1134" t="str">
        <f>VLOOKUP(Table_Query_from_Actuarial___Production3[[#This Row],[Kor1]],$AI$3:$AK$105,3,FALSE)</f>
        <v>Operating Service Fees</v>
      </c>
      <c r="AF1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5" spans="18:32" x14ac:dyDescent="0.2">
      <c r="R1135" t="s">
        <v>16</v>
      </c>
      <c r="S1135" t="s">
        <v>237</v>
      </c>
      <c r="T1135" t="s">
        <v>9</v>
      </c>
      <c r="U1135" s="21">
        <v>1172274.02</v>
      </c>
      <c r="V1135" s="21" t="s">
        <v>368</v>
      </c>
      <c r="W1135" t="str">
        <f>VLOOKUP(Table_Query_from_Actuarial___Production[[#This Row],[Kor1]],$AI$3:$AK$105,3,FALSE)</f>
        <v>Losses Outstanding</v>
      </c>
      <c r="X1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5"/>
      <c r="Z1135" t="s">
        <v>44</v>
      </c>
      <c r="AA1135" t="s">
        <v>226</v>
      </c>
      <c r="AB1135" t="s">
        <v>7</v>
      </c>
      <c r="AC1135" s="21">
        <v>175555.97</v>
      </c>
      <c r="AD1135" s="21" t="s">
        <v>368</v>
      </c>
      <c r="AE1135" t="str">
        <f>VLOOKUP(Table_Query_from_Actuarial___Production3[[#This Row],[Kor1]],$AI$3:$AK$105,3,FALSE)</f>
        <v>Charge-offs</v>
      </c>
      <c r="AF1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136" spans="18:32" x14ac:dyDescent="0.2">
      <c r="R1136" t="s">
        <v>33</v>
      </c>
      <c r="S1136" t="s">
        <v>250</v>
      </c>
      <c r="T1136" t="s">
        <v>443</v>
      </c>
      <c r="U1136" s="21">
        <v>39788.03</v>
      </c>
      <c r="V1136" s="21" t="s">
        <v>368</v>
      </c>
      <c r="W1136" t="str">
        <f>VLOOKUP(Table_Query_from_Actuarial___Production[[#This Row],[Kor1]],$AI$3:$AK$105,3,FALSE)</f>
        <v>Misc. Expense</v>
      </c>
      <c r="X1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6"/>
      <c r="Z1136" t="s">
        <v>24</v>
      </c>
      <c r="AA1136" t="s">
        <v>4</v>
      </c>
      <c r="AB1136" t="s">
        <v>5</v>
      </c>
      <c r="AC1136" s="21">
        <v>2421.02</v>
      </c>
      <c r="AD1136" s="21" t="s">
        <v>368</v>
      </c>
      <c r="AE1136" t="str">
        <f>VLOOKUP(Table_Query_from_Actuarial___Production3[[#This Row],[Kor1]],$AI$3:$AK$105,3,FALSE)</f>
        <v>Misc. Expense</v>
      </c>
      <c r="AF1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7" spans="18:32" x14ac:dyDescent="0.2">
      <c r="R1137" t="s">
        <v>43</v>
      </c>
      <c r="S1137" t="s">
        <v>254</v>
      </c>
      <c r="T1137" t="s">
        <v>427</v>
      </c>
      <c r="U1137" s="21">
        <v>753.89</v>
      </c>
      <c r="V1137" s="21" t="s">
        <v>368</v>
      </c>
      <c r="W1137" t="str">
        <f>VLOOKUP(Table_Query_from_Actuarial___Production[[#This Row],[Kor1]],$AI$3:$AK$105,3,FALSE)</f>
        <v>Charge-offs</v>
      </c>
      <c r="X1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7"/>
      <c r="Z1137" t="s">
        <v>39</v>
      </c>
      <c r="AA1137" t="s">
        <v>261</v>
      </c>
      <c r="AB1137" t="s">
        <v>5</v>
      </c>
      <c r="AC1137" s="21">
        <v>20266.62</v>
      </c>
      <c r="AD1137" s="21" t="s">
        <v>368</v>
      </c>
      <c r="AE1137" t="str">
        <f>VLOOKUP(Table_Query_from_Actuarial___Production3[[#This Row],[Kor1]],$AI$3:$AK$105,3,FALSE)</f>
        <v>Misc. Income for Insolvent Companies</v>
      </c>
      <c r="AF1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8" spans="18:32" x14ac:dyDescent="0.2">
      <c r="R1138" t="s">
        <v>43</v>
      </c>
      <c r="S1138" t="s">
        <v>267</v>
      </c>
      <c r="T1138" t="s">
        <v>7</v>
      </c>
      <c r="U1138" s="21">
        <v>0.27</v>
      </c>
      <c r="V1138" s="21" t="s">
        <v>368</v>
      </c>
      <c r="W1138" t="str">
        <f>VLOOKUP(Table_Query_from_Actuarial___Production[[#This Row],[Kor1]],$AI$3:$AK$105,3,FALSE)</f>
        <v>Charge-offs</v>
      </c>
      <c r="X1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8"/>
      <c r="Z1138" t="s">
        <v>41</v>
      </c>
      <c r="AA1138" t="s">
        <v>249</v>
      </c>
      <c r="AB1138" t="s">
        <v>5</v>
      </c>
      <c r="AC1138" s="21">
        <v>100</v>
      </c>
      <c r="AD1138" s="21" t="s">
        <v>368</v>
      </c>
      <c r="AE1138" t="str">
        <f>VLOOKUP(Table_Query_from_Actuarial___Production3[[#This Row],[Kor1]],$AI$3:$AK$105,3,FALSE)</f>
        <v>Misc. Income</v>
      </c>
      <c r="AF1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39" spans="18:32" x14ac:dyDescent="0.2">
      <c r="R1139" t="s">
        <v>15</v>
      </c>
      <c r="S1139" t="s">
        <v>244</v>
      </c>
      <c r="T1139" t="s">
        <v>443</v>
      </c>
      <c r="U1139" s="21">
        <v>689150.3</v>
      </c>
      <c r="V1139" s="21" t="s">
        <v>368</v>
      </c>
      <c r="W1139" t="str">
        <f>VLOOKUP(Table_Query_from_Actuarial___Production[[#This Row],[Kor1]],$AI$3:$AK$105,3,FALSE)</f>
        <v>Unearned Premiums</v>
      </c>
      <c r="X1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39"/>
      <c r="Z1139" t="s">
        <v>43</v>
      </c>
      <c r="AA1139" t="s">
        <v>258</v>
      </c>
      <c r="AB1139" t="s">
        <v>7</v>
      </c>
      <c r="AC1139" s="21">
        <v>-12.05</v>
      </c>
      <c r="AD1139" s="21" t="s">
        <v>368</v>
      </c>
      <c r="AE1139" t="str">
        <f>VLOOKUP(Table_Query_from_Actuarial___Production3[[#This Row],[Kor1]],$AI$3:$AK$105,3,FALSE)</f>
        <v>Charge-offs</v>
      </c>
      <c r="AF1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0" spans="18:32" x14ac:dyDescent="0.2">
      <c r="R1140" t="s">
        <v>33</v>
      </c>
      <c r="S1140" t="s">
        <v>263</v>
      </c>
      <c r="T1140" t="s">
        <v>441</v>
      </c>
      <c r="U1140" s="21">
        <v>14781.37</v>
      </c>
      <c r="V1140" s="21" t="s">
        <v>368</v>
      </c>
      <c r="W1140" t="str">
        <f>VLOOKUP(Table_Query_from_Actuarial___Production[[#This Row],[Kor1]],$AI$3:$AK$105,3,FALSE)</f>
        <v>Misc. Expense</v>
      </c>
      <c r="X1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0"/>
      <c r="Z1140" t="s">
        <v>16</v>
      </c>
      <c r="AA1140" t="s">
        <v>231</v>
      </c>
      <c r="AB1140" t="s">
        <v>441</v>
      </c>
      <c r="AC1140" s="21">
        <v>553732.35</v>
      </c>
      <c r="AD1140" s="21" t="s">
        <v>368</v>
      </c>
      <c r="AE1140" t="str">
        <f>VLOOKUP(Table_Query_from_Actuarial___Production3[[#This Row],[Kor1]],$AI$3:$AK$105,3,FALSE)</f>
        <v>Losses Outstanding</v>
      </c>
      <c r="AF1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1" spans="18:32" x14ac:dyDescent="0.2">
      <c r="R1141" t="s">
        <v>13</v>
      </c>
      <c r="S1141" t="s">
        <v>228</v>
      </c>
      <c r="T1141" t="s">
        <v>443</v>
      </c>
      <c r="U1141" s="21">
        <v>83798.55</v>
      </c>
      <c r="V1141" s="21" t="s">
        <v>368</v>
      </c>
      <c r="W1141" t="str">
        <f>VLOOKUP(Table_Query_from_Actuarial___Production[[#This Row],[Kor1]],$AI$3:$AK$105,3,FALSE)</f>
        <v>Operating Service Fees</v>
      </c>
      <c r="X1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1"/>
      <c r="Z1141" t="s">
        <v>44</v>
      </c>
      <c r="AA1141" t="s">
        <v>226</v>
      </c>
      <c r="AB1141" t="s">
        <v>433</v>
      </c>
      <c r="AC1141" s="21">
        <v>105091.97</v>
      </c>
      <c r="AD1141" s="21" t="s">
        <v>368</v>
      </c>
      <c r="AE1141" t="str">
        <f>VLOOKUP(Table_Query_from_Actuarial___Production3[[#This Row],[Kor1]],$AI$3:$AK$105,3,FALSE)</f>
        <v>Charge-offs</v>
      </c>
      <c r="AF1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142" spans="18:32" x14ac:dyDescent="0.2">
      <c r="R1142" t="s">
        <v>3</v>
      </c>
      <c r="S1142" t="s">
        <v>244</v>
      </c>
      <c r="T1142" t="s">
        <v>351</v>
      </c>
      <c r="U1142" s="21">
        <v>1353497</v>
      </c>
      <c r="V1142" s="21" t="s">
        <v>368</v>
      </c>
      <c r="W1142" t="str">
        <f>VLOOKUP(Table_Query_from_Actuarial___Production[[#This Row],[Kor1]],$AI$3:$AK$105,3,FALSE)</f>
        <v>Premiums Written</v>
      </c>
      <c r="X1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2"/>
      <c r="Z1142" t="s">
        <v>33</v>
      </c>
      <c r="AA1142" t="s">
        <v>259</v>
      </c>
      <c r="AB1142" t="s">
        <v>356</v>
      </c>
      <c r="AC1142" s="21">
        <v>16367.77</v>
      </c>
      <c r="AD1142" s="21" t="s">
        <v>368</v>
      </c>
      <c r="AE1142" t="str">
        <f>VLOOKUP(Table_Query_from_Actuarial___Production3[[#This Row],[Kor1]],$AI$3:$AK$105,3,FALSE)</f>
        <v>Misc. Expense</v>
      </c>
      <c r="AF1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3" spans="18:32" x14ac:dyDescent="0.2">
      <c r="R1143" t="s">
        <v>33</v>
      </c>
      <c r="S1143" t="s">
        <v>263</v>
      </c>
      <c r="T1143" t="s">
        <v>351</v>
      </c>
      <c r="U1143" s="21">
        <v>16082.96</v>
      </c>
      <c r="V1143" s="21" t="s">
        <v>368</v>
      </c>
      <c r="W1143" t="str">
        <f>VLOOKUP(Table_Query_from_Actuarial___Production[[#This Row],[Kor1]],$AI$3:$AK$105,3,FALSE)</f>
        <v>Misc. Expense</v>
      </c>
      <c r="X1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3"/>
      <c r="Z1143" t="s">
        <v>40</v>
      </c>
      <c r="AA1143" t="s">
        <v>253</v>
      </c>
      <c r="AB1143" t="s">
        <v>7</v>
      </c>
      <c r="AC1143" s="21">
        <v>8</v>
      </c>
      <c r="AD1143" s="21" t="s">
        <v>368</v>
      </c>
      <c r="AE1143" t="str">
        <f>VLOOKUP(Table_Query_from_Actuarial___Production3[[#This Row],[Kor1]],$AI$3:$AK$105,3,FALSE)</f>
        <v>Misc. Income</v>
      </c>
      <c r="AF1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4" spans="18:32" x14ac:dyDescent="0.2">
      <c r="R1144" t="s">
        <v>48</v>
      </c>
      <c r="S1144" t="s">
        <v>266</v>
      </c>
      <c r="T1144" t="s">
        <v>441</v>
      </c>
      <c r="U1144" s="21">
        <v>1220.8599999999999</v>
      </c>
      <c r="V1144" s="21" t="s">
        <v>368</v>
      </c>
      <c r="W1144" t="str">
        <f>VLOOKUP(Table_Query_from_Actuarial___Production[[#This Row],[Kor1]],$AI$3:$AK$105,3,FALSE)</f>
        <v>Anticipated Salvage</v>
      </c>
      <c r="X1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4"/>
      <c r="Z1144" t="s">
        <v>14</v>
      </c>
      <c r="AA1144" t="s">
        <v>258</v>
      </c>
      <c r="AB1144" t="s">
        <v>9</v>
      </c>
      <c r="AC1144" s="21">
        <v>187519.37</v>
      </c>
      <c r="AD1144" s="21" t="s">
        <v>368</v>
      </c>
      <c r="AE1144" t="str">
        <f>VLOOKUP(Table_Query_from_Actuarial___Production3[[#This Row],[Kor1]],$AI$3:$AK$105,3,FALSE)</f>
        <v>Claims Expense</v>
      </c>
      <c r="AF1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5" spans="18:32" x14ac:dyDescent="0.2">
      <c r="R1145" t="s">
        <v>41</v>
      </c>
      <c r="S1145" t="s">
        <v>234</v>
      </c>
      <c r="T1145" t="s">
        <v>8</v>
      </c>
      <c r="U1145" s="21">
        <v>350</v>
      </c>
      <c r="V1145" s="21" t="s">
        <v>368</v>
      </c>
      <c r="W1145" t="str">
        <f>VLOOKUP(Table_Query_from_Actuarial___Production[[#This Row],[Kor1]],$AI$3:$AK$105,3,FALSE)</f>
        <v>Misc. Income</v>
      </c>
      <c r="X1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5"/>
      <c r="Z1145" t="s">
        <v>33</v>
      </c>
      <c r="AA1145" t="s">
        <v>240</v>
      </c>
      <c r="AB1145" t="s">
        <v>6</v>
      </c>
      <c r="AC1145" s="21">
        <v>15606.7</v>
      </c>
      <c r="AD1145" s="21" t="s">
        <v>368</v>
      </c>
      <c r="AE1145" t="str">
        <f>VLOOKUP(Table_Query_from_Actuarial___Production3[[#This Row],[Kor1]],$AI$3:$AK$105,3,FALSE)</f>
        <v>Misc. Expense</v>
      </c>
      <c r="AF1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6" spans="18:32" x14ac:dyDescent="0.2">
      <c r="R1146" t="s">
        <v>47</v>
      </c>
      <c r="S1146" t="s">
        <v>246</v>
      </c>
      <c r="T1146" t="s">
        <v>356</v>
      </c>
      <c r="U1146" s="21">
        <v>2931.08</v>
      </c>
      <c r="V1146" s="21" t="s">
        <v>368</v>
      </c>
      <c r="W1146" t="str">
        <f>VLOOKUP(Table_Query_from_Actuarial___Production[[#This Row],[Kor1]],$AI$3:$AK$105,3,FALSE)</f>
        <v>Investment Income</v>
      </c>
      <c r="X1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6"/>
      <c r="Z1146" t="s">
        <v>39</v>
      </c>
      <c r="AA1146" t="s">
        <v>263</v>
      </c>
      <c r="AB1146" t="s">
        <v>5</v>
      </c>
      <c r="AC1146" s="21">
        <v>6139.48</v>
      </c>
      <c r="AD1146" s="21" t="s">
        <v>368</v>
      </c>
      <c r="AE1146" t="str">
        <f>VLOOKUP(Table_Query_from_Actuarial___Production3[[#This Row],[Kor1]],$AI$3:$AK$105,3,FALSE)</f>
        <v>Misc. Income for Insolvent Companies</v>
      </c>
      <c r="AF1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7" spans="18:32" x14ac:dyDescent="0.2">
      <c r="R1147" t="s">
        <v>41</v>
      </c>
      <c r="S1147" t="s">
        <v>260</v>
      </c>
      <c r="T1147" t="s">
        <v>445</v>
      </c>
      <c r="U1147" s="21">
        <v>100</v>
      </c>
      <c r="V1147" s="21" t="s">
        <v>368</v>
      </c>
      <c r="W1147" t="str">
        <f>VLOOKUP(Table_Query_from_Actuarial___Production[[#This Row],[Kor1]],$AI$3:$AK$105,3,FALSE)</f>
        <v>Misc. Income</v>
      </c>
      <c r="X1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7"/>
      <c r="Z1147" t="s">
        <v>11</v>
      </c>
      <c r="AA1147" t="s">
        <v>248</v>
      </c>
      <c r="AB1147" t="s">
        <v>356</v>
      </c>
      <c r="AC1147" s="21">
        <v>1320507.8999999999</v>
      </c>
      <c r="AD1147" s="21" t="s">
        <v>368</v>
      </c>
      <c r="AE1147" t="str">
        <f>VLOOKUP(Table_Query_from_Actuarial___Production3[[#This Row],[Kor1]],$AI$3:$AK$105,3,FALSE)</f>
        <v>Losses Paid</v>
      </c>
      <c r="AF1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8" spans="18:32" x14ac:dyDescent="0.2">
      <c r="R1148" t="s">
        <v>49</v>
      </c>
      <c r="S1148" t="s">
        <v>225</v>
      </c>
      <c r="T1148" t="s">
        <v>441</v>
      </c>
      <c r="U1148" s="21">
        <v>3894.52</v>
      </c>
      <c r="V1148" s="21" t="s">
        <v>369</v>
      </c>
      <c r="W1148" t="str">
        <f>VLOOKUP(Table_Query_from_Actuarial___Production[[#This Row],[Kor1]],$AI$3:$AK$105,3,FALSE)</f>
        <v>ALAE Paid</v>
      </c>
      <c r="X1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148"/>
      <c r="Z1148" t="s">
        <v>19</v>
      </c>
      <c r="AA1148" t="s">
        <v>241</v>
      </c>
      <c r="AB1148" t="s">
        <v>433</v>
      </c>
      <c r="AC1148" s="21">
        <v>349.93</v>
      </c>
      <c r="AD1148" s="21" t="s">
        <v>368</v>
      </c>
      <c r="AE1148" t="str">
        <f>VLOOKUP(Table_Query_from_Actuarial___Production3[[#This Row],[Kor1]],$AI$3:$AK$105,3,FALSE)</f>
        <v>Misc. Expense for Insolvent Companies</v>
      </c>
      <c r="AF1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49" spans="18:32" x14ac:dyDescent="0.2">
      <c r="R1149" t="s">
        <v>33</v>
      </c>
      <c r="S1149" t="s">
        <v>264</v>
      </c>
      <c r="T1149" t="s">
        <v>6</v>
      </c>
      <c r="U1149" s="21">
        <v>17964.07</v>
      </c>
      <c r="V1149" s="21" t="s">
        <v>368</v>
      </c>
      <c r="W1149" t="str">
        <f>VLOOKUP(Table_Query_from_Actuarial___Production[[#This Row],[Kor1]],$AI$3:$AK$105,3,FALSE)</f>
        <v>Misc. Expense</v>
      </c>
      <c r="X1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49"/>
      <c r="Z1149" t="s">
        <v>44</v>
      </c>
      <c r="AA1149" t="s">
        <v>250</v>
      </c>
      <c r="AB1149" t="s">
        <v>6</v>
      </c>
      <c r="AC1149" s="21">
        <v>238.92</v>
      </c>
      <c r="AD1149" s="21" t="s">
        <v>368</v>
      </c>
      <c r="AE1149" t="str">
        <f>VLOOKUP(Table_Query_from_Actuarial___Production3[[#This Row],[Kor1]],$AI$3:$AK$105,3,FALSE)</f>
        <v>Charge-offs</v>
      </c>
      <c r="AF1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0" spans="18:32" x14ac:dyDescent="0.2">
      <c r="R1150" t="s">
        <v>13</v>
      </c>
      <c r="S1150" t="s">
        <v>225</v>
      </c>
      <c r="T1150" t="s">
        <v>433</v>
      </c>
      <c r="U1150" s="21">
        <v>106940.66</v>
      </c>
      <c r="V1150" s="21" t="s">
        <v>369</v>
      </c>
      <c r="W1150" t="str">
        <f>VLOOKUP(Table_Query_from_Actuarial___Production[[#This Row],[Kor1]],$AI$3:$AK$105,3,FALSE)</f>
        <v>Operating Service Fees</v>
      </c>
      <c r="X1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150"/>
      <c r="Z1150" t="s">
        <v>40</v>
      </c>
      <c r="AA1150" t="s">
        <v>234</v>
      </c>
      <c r="AB1150" t="s">
        <v>9</v>
      </c>
      <c r="AC1150" s="21">
        <v>6</v>
      </c>
      <c r="AD1150" s="21" t="s">
        <v>368</v>
      </c>
      <c r="AE1150" t="str">
        <f>VLOOKUP(Table_Query_from_Actuarial___Production3[[#This Row],[Kor1]],$AI$3:$AK$105,3,FALSE)</f>
        <v>Misc. Income</v>
      </c>
      <c r="AF1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1" spans="18:32" x14ac:dyDescent="0.2">
      <c r="R1151" t="s">
        <v>16</v>
      </c>
      <c r="S1151" t="s">
        <v>248</v>
      </c>
      <c r="T1151" t="s">
        <v>443</v>
      </c>
      <c r="U1151" s="21">
        <v>356155.82</v>
      </c>
      <c r="V1151" s="21" t="s">
        <v>368</v>
      </c>
      <c r="W1151" t="str">
        <f>VLOOKUP(Table_Query_from_Actuarial___Production[[#This Row],[Kor1]],$AI$3:$AK$105,3,FALSE)</f>
        <v>Losses Outstanding</v>
      </c>
      <c r="X1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1"/>
      <c r="Z1151" t="s">
        <v>43</v>
      </c>
      <c r="AA1151" t="s">
        <v>267</v>
      </c>
      <c r="AB1151" t="s">
        <v>433</v>
      </c>
      <c r="AC1151" s="21">
        <v>160.32</v>
      </c>
      <c r="AD1151" s="21" t="s">
        <v>368</v>
      </c>
      <c r="AE1151" t="str">
        <f>VLOOKUP(Table_Query_from_Actuarial___Production3[[#This Row],[Kor1]],$AI$3:$AK$105,3,FALSE)</f>
        <v>Charge-offs</v>
      </c>
      <c r="AF1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2" spans="18:32" x14ac:dyDescent="0.2">
      <c r="R1152" t="s">
        <v>17</v>
      </c>
      <c r="S1152" t="s">
        <v>254</v>
      </c>
      <c r="T1152" t="s">
        <v>442</v>
      </c>
      <c r="U1152" s="21">
        <v>4697267.76</v>
      </c>
      <c r="V1152" s="21" t="s">
        <v>368</v>
      </c>
      <c r="W1152" t="str">
        <f>VLOOKUP(Table_Query_from_Actuarial___Production[[#This Row],[Kor1]],$AI$3:$AK$105,3,FALSE)</f>
        <v>IBNR</v>
      </c>
      <c r="X1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2"/>
      <c r="Z1152" t="s">
        <v>37</v>
      </c>
      <c r="AA1152" t="s">
        <v>255</v>
      </c>
      <c r="AB1152" t="s">
        <v>443</v>
      </c>
      <c r="AC1152" s="21">
        <v>5657.67</v>
      </c>
      <c r="AD1152" s="21" t="s">
        <v>368</v>
      </c>
      <c r="AE1152" t="str">
        <f>VLOOKUP(Table_Query_from_Actuarial___Production3[[#This Row],[Kor1]],$AI$3:$AK$105,3,FALSE)</f>
        <v>Misc. Expense</v>
      </c>
      <c r="AF1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3" spans="18:32" x14ac:dyDescent="0.2">
      <c r="R1153" t="s">
        <v>19</v>
      </c>
      <c r="S1153" t="s">
        <v>267</v>
      </c>
      <c r="T1153" t="s">
        <v>445</v>
      </c>
      <c r="U1153" s="21">
        <v>5609.99</v>
      </c>
      <c r="V1153" s="21" t="s">
        <v>368</v>
      </c>
      <c r="W1153" t="str">
        <f>VLOOKUP(Table_Query_from_Actuarial___Production[[#This Row],[Kor1]],$AI$3:$AK$105,3,FALSE)</f>
        <v>Misc. Expense for Insolvent Companies</v>
      </c>
      <c r="X1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3"/>
      <c r="Z1153" t="s">
        <v>10</v>
      </c>
      <c r="AA1153" t="s">
        <v>4</v>
      </c>
      <c r="AB1153" t="s">
        <v>351</v>
      </c>
      <c r="AC1153" s="21">
        <v>2373759.2799999998</v>
      </c>
      <c r="AD1153" s="21" t="s">
        <v>368</v>
      </c>
      <c r="AE1153" t="str">
        <f>VLOOKUP(Table_Query_from_Actuarial___Production3[[#This Row],[Kor1]],$AI$3:$AK$105,3,FALSE)</f>
        <v>Commissions</v>
      </c>
      <c r="AF1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4" spans="18:32" x14ac:dyDescent="0.2">
      <c r="R1154" t="s">
        <v>33</v>
      </c>
      <c r="S1154" t="s">
        <v>242</v>
      </c>
      <c r="T1154" t="s">
        <v>351</v>
      </c>
      <c r="U1154" s="21">
        <v>15658.35</v>
      </c>
      <c r="V1154" s="21" t="s">
        <v>368</v>
      </c>
      <c r="W1154" t="str">
        <f>VLOOKUP(Table_Query_from_Actuarial___Production[[#This Row],[Kor1]],$AI$3:$AK$105,3,FALSE)</f>
        <v>Misc. Expense</v>
      </c>
      <c r="X1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4"/>
      <c r="Z1154" t="s">
        <v>21</v>
      </c>
      <c r="AA1154" t="s">
        <v>265</v>
      </c>
      <c r="AB1154" t="s">
        <v>356</v>
      </c>
      <c r="AC1154" s="21">
        <v>4782.9799999999996</v>
      </c>
      <c r="AD1154" s="21" t="s">
        <v>368</v>
      </c>
      <c r="AE1154" t="str">
        <f>VLOOKUP(Table_Query_from_Actuarial___Production3[[#This Row],[Kor1]],$AI$3:$AK$105,3,FALSE)</f>
        <v>Misc. Expense</v>
      </c>
      <c r="AF1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5" spans="18:32" x14ac:dyDescent="0.2">
      <c r="R1155" t="s">
        <v>14</v>
      </c>
      <c r="S1155" t="s">
        <v>231</v>
      </c>
      <c r="T1155" t="s">
        <v>433</v>
      </c>
      <c r="U1155" s="21">
        <v>113600.39</v>
      </c>
      <c r="V1155" s="21" t="s">
        <v>368</v>
      </c>
      <c r="W1155" t="str">
        <f>VLOOKUP(Table_Query_from_Actuarial___Production[[#This Row],[Kor1]],$AI$3:$AK$105,3,FALSE)</f>
        <v>Claims Expense</v>
      </c>
      <c r="X1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5"/>
      <c r="Z1155" t="s">
        <v>12</v>
      </c>
      <c r="AA1155" t="s">
        <v>238</v>
      </c>
      <c r="AB1155" t="s">
        <v>441</v>
      </c>
      <c r="AC1155" s="21">
        <v>37882.080000000002</v>
      </c>
      <c r="AD1155" s="21" t="s">
        <v>368</v>
      </c>
      <c r="AE1155" t="str">
        <f>VLOOKUP(Table_Query_from_Actuarial___Production3[[#This Row],[Kor1]],$AI$3:$AK$105,3,FALSE)</f>
        <v>Premium Tax</v>
      </c>
      <c r="AF1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6" spans="18:32" x14ac:dyDescent="0.2">
      <c r="R1156" t="s">
        <v>439</v>
      </c>
      <c r="S1156" t="s">
        <v>262</v>
      </c>
      <c r="T1156" t="s">
        <v>433</v>
      </c>
      <c r="U1156" s="21">
        <v>3137</v>
      </c>
      <c r="V1156" s="21" t="s">
        <v>368</v>
      </c>
      <c r="W1156" t="str">
        <f>VLOOKUP(Table_Query_from_Actuarial___Production[[#This Row],[Kor1]],$AI$3:$AK$105,3,FALSE)</f>
        <v>Operating Service Fees</v>
      </c>
      <c r="X1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6"/>
      <c r="Z1156" t="s">
        <v>10</v>
      </c>
      <c r="AA1156" t="s">
        <v>225</v>
      </c>
      <c r="AB1156" t="s">
        <v>6</v>
      </c>
      <c r="AC1156" s="21">
        <v>412036.28</v>
      </c>
      <c r="AD1156" s="21" t="s">
        <v>369</v>
      </c>
      <c r="AE1156" t="str">
        <f>VLOOKUP(Table_Query_from_Actuarial___Production3[[#This Row],[Kor1]],$AI$3:$AK$105,3,FALSE)</f>
        <v>Commissions</v>
      </c>
      <c r="AF1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157" spans="18:32" x14ac:dyDescent="0.2">
      <c r="R1157" t="s">
        <v>12</v>
      </c>
      <c r="S1157" t="s">
        <v>265</v>
      </c>
      <c r="T1157" t="s">
        <v>433</v>
      </c>
      <c r="U1157" s="21">
        <v>26517.78</v>
      </c>
      <c r="V1157" s="21" t="s">
        <v>368</v>
      </c>
      <c r="W1157" t="str">
        <f>VLOOKUP(Table_Query_from_Actuarial___Production[[#This Row],[Kor1]],$AI$3:$AK$105,3,FALSE)</f>
        <v>Premium Tax</v>
      </c>
      <c r="X1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7"/>
      <c r="Z1157" t="s">
        <v>13</v>
      </c>
      <c r="AA1157" t="s">
        <v>252</v>
      </c>
      <c r="AB1157" t="s">
        <v>443</v>
      </c>
      <c r="AC1157" s="21">
        <v>2053996.38</v>
      </c>
      <c r="AD1157" s="21" t="s">
        <v>368</v>
      </c>
      <c r="AE1157" t="str">
        <f>VLOOKUP(Table_Query_from_Actuarial___Production3[[#This Row],[Kor1]],$AI$3:$AK$105,3,FALSE)</f>
        <v>Operating Service Fees</v>
      </c>
      <c r="AF1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8" spans="18:32" x14ac:dyDescent="0.2">
      <c r="R1158" t="s">
        <v>37</v>
      </c>
      <c r="S1158" t="s">
        <v>4</v>
      </c>
      <c r="T1158" t="s">
        <v>442</v>
      </c>
      <c r="U1158" s="21">
        <v>222635.12</v>
      </c>
      <c r="V1158" s="21" t="s">
        <v>368</v>
      </c>
      <c r="W1158" t="str">
        <f>VLOOKUP(Table_Query_from_Actuarial___Production[[#This Row],[Kor1]],$AI$3:$AK$105,3,FALSE)</f>
        <v>Misc. Expense</v>
      </c>
      <c r="X1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8"/>
      <c r="Z1158" t="s">
        <v>31</v>
      </c>
      <c r="AA1158" t="s">
        <v>246</v>
      </c>
      <c r="AB1158" t="s">
        <v>356</v>
      </c>
      <c r="AC1158" s="21">
        <v>864.36</v>
      </c>
      <c r="AD1158" s="21" t="s">
        <v>368</v>
      </c>
      <c r="AE1158" t="str">
        <f>VLOOKUP(Table_Query_from_Actuarial___Production3[[#This Row],[Kor1]],$AI$3:$AK$105,3,FALSE)</f>
        <v>Misc. Expense</v>
      </c>
      <c r="AF1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59" spans="18:32" x14ac:dyDescent="0.2">
      <c r="R1159" t="s">
        <v>39</v>
      </c>
      <c r="S1159" t="s">
        <v>234</v>
      </c>
      <c r="T1159" t="s">
        <v>441</v>
      </c>
      <c r="U1159" s="21">
        <v>31</v>
      </c>
      <c r="V1159" s="21" t="s">
        <v>368</v>
      </c>
      <c r="W1159" t="str">
        <f>VLOOKUP(Table_Query_from_Actuarial___Production[[#This Row],[Kor1]],$AI$3:$AK$105,3,FALSE)</f>
        <v>Misc. Income for Insolvent Companies</v>
      </c>
      <c r="X1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59"/>
      <c r="Z1159" t="s">
        <v>39</v>
      </c>
      <c r="AA1159" t="s">
        <v>229</v>
      </c>
      <c r="AB1159" t="s">
        <v>441</v>
      </c>
      <c r="AC1159" s="21">
        <v>493.6</v>
      </c>
      <c r="AD1159" s="21" t="s">
        <v>368</v>
      </c>
      <c r="AE1159" t="str">
        <f>VLOOKUP(Table_Query_from_Actuarial___Production3[[#This Row],[Kor1]],$AI$3:$AK$105,3,FALSE)</f>
        <v>Misc. Income for Insolvent Companies</v>
      </c>
      <c r="AF1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0" spans="18:32" x14ac:dyDescent="0.2">
      <c r="R1160" t="s">
        <v>14</v>
      </c>
      <c r="S1160" t="s">
        <v>228</v>
      </c>
      <c r="T1160" t="s">
        <v>7</v>
      </c>
      <c r="U1160" s="21">
        <v>28772.34</v>
      </c>
      <c r="V1160" s="21" t="s">
        <v>368</v>
      </c>
      <c r="W1160" t="str">
        <f>VLOOKUP(Table_Query_from_Actuarial___Production[[#This Row],[Kor1]],$AI$3:$AK$105,3,FALSE)</f>
        <v>Claims Expense</v>
      </c>
      <c r="X1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0"/>
      <c r="Z1160" t="s">
        <v>16</v>
      </c>
      <c r="AA1160" t="s">
        <v>354</v>
      </c>
      <c r="AB1160" t="s">
        <v>5</v>
      </c>
      <c r="AC1160" s="21">
        <v>1079</v>
      </c>
      <c r="AD1160" s="21" t="s">
        <v>368</v>
      </c>
      <c r="AE1160" t="str">
        <f>VLOOKUP(Table_Query_from_Actuarial___Production3[[#This Row],[Kor1]],$AI$3:$AK$105,3,FALSE)</f>
        <v>Losses Outstanding</v>
      </c>
      <c r="AF1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161" spans="18:32" x14ac:dyDescent="0.2">
      <c r="R1161" t="s">
        <v>46</v>
      </c>
      <c r="S1161" t="s">
        <v>352</v>
      </c>
      <c r="T1161" t="s">
        <v>445</v>
      </c>
      <c r="U1161" s="21">
        <v>7054.51</v>
      </c>
      <c r="V1161" s="21" t="s">
        <v>369</v>
      </c>
      <c r="W1161" t="str">
        <f>VLOOKUP(Table_Query_from_Actuarial___Production[[#This Row],[Kor1]],$AI$3:$AK$105,3,FALSE)</f>
        <v>Investment Income</v>
      </c>
      <c r="X1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161"/>
      <c r="Z1161" t="s">
        <v>14</v>
      </c>
      <c r="AA1161" t="s">
        <v>252</v>
      </c>
      <c r="AB1161" t="s">
        <v>9</v>
      </c>
      <c r="AC1161" s="21">
        <v>1894251.81</v>
      </c>
      <c r="AD1161" s="21" t="s">
        <v>368</v>
      </c>
      <c r="AE1161" t="str">
        <f>VLOOKUP(Table_Query_from_Actuarial___Production3[[#This Row],[Kor1]],$AI$3:$AK$105,3,FALSE)</f>
        <v>Claims Expense</v>
      </c>
      <c r="AF1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2" spans="18:32" x14ac:dyDescent="0.2">
      <c r="R1162" t="s">
        <v>12</v>
      </c>
      <c r="S1162" t="s">
        <v>249</v>
      </c>
      <c r="T1162" t="s">
        <v>6</v>
      </c>
      <c r="U1162" s="21">
        <v>18697.84</v>
      </c>
      <c r="V1162" s="21" t="s">
        <v>368</v>
      </c>
      <c r="W1162" t="str">
        <f>VLOOKUP(Table_Query_from_Actuarial___Production[[#This Row],[Kor1]],$AI$3:$AK$105,3,FALSE)</f>
        <v>Premium Tax</v>
      </c>
      <c r="X1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2"/>
      <c r="Z1162" t="s">
        <v>14</v>
      </c>
      <c r="AA1162" t="s">
        <v>231</v>
      </c>
      <c r="AB1162" t="s">
        <v>6</v>
      </c>
      <c r="AC1162" s="21">
        <v>5751.38</v>
      </c>
      <c r="AD1162" s="21" t="s">
        <v>368</v>
      </c>
      <c r="AE1162" t="str">
        <f>VLOOKUP(Table_Query_from_Actuarial___Production3[[#This Row],[Kor1]],$AI$3:$AK$105,3,FALSE)</f>
        <v>Claims Expense</v>
      </c>
      <c r="AF1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3" spans="18:32" x14ac:dyDescent="0.2">
      <c r="R1163" t="s">
        <v>41</v>
      </c>
      <c r="S1163" t="s">
        <v>248</v>
      </c>
      <c r="T1163" t="s">
        <v>442</v>
      </c>
      <c r="U1163" s="21">
        <v>950.01</v>
      </c>
      <c r="V1163" s="21" t="s">
        <v>368</v>
      </c>
      <c r="W1163" t="str">
        <f>VLOOKUP(Table_Query_from_Actuarial___Production[[#This Row],[Kor1]],$AI$3:$AK$105,3,FALSE)</f>
        <v>Misc. Income</v>
      </c>
      <c r="X1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3"/>
      <c r="Z1163" t="s">
        <v>40</v>
      </c>
      <c r="AA1163" t="s">
        <v>231</v>
      </c>
      <c r="AB1163" t="s">
        <v>8</v>
      </c>
      <c r="AC1163" s="21">
        <v>66</v>
      </c>
      <c r="AD1163" s="21" t="s">
        <v>368</v>
      </c>
      <c r="AE1163" t="str">
        <f>VLOOKUP(Table_Query_from_Actuarial___Production3[[#This Row],[Kor1]],$AI$3:$AK$105,3,FALSE)</f>
        <v>Misc. Income</v>
      </c>
      <c r="AF1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4" spans="18:32" x14ac:dyDescent="0.2">
      <c r="R1164" t="s">
        <v>21</v>
      </c>
      <c r="S1164" t="s">
        <v>258</v>
      </c>
      <c r="T1164" t="s">
        <v>356</v>
      </c>
      <c r="U1164" s="21">
        <v>11632.27</v>
      </c>
      <c r="V1164" s="21" t="s">
        <v>368</v>
      </c>
      <c r="W1164" t="str">
        <f>VLOOKUP(Table_Query_from_Actuarial___Production[[#This Row],[Kor1]],$AI$3:$AK$105,3,FALSE)</f>
        <v>Misc. Expense</v>
      </c>
      <c r="X1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4"/>
      <c r="Z1164" t="s">
        <v>16</v>
      </c>
      <c r="AA1164" t="s">
        <v>237</v>
      </c>
      <c r="AB1164" t="s">
        <v>9</v>
      </c>
      <c r="AC1164" s="21">
        <v>2333677.69</v>
      </c>
      <c r="AD1164" s="21" t="s">
        <v>368</v>
      </c>
      <c r="AE1164" t="str">
        <f>VLOOKUP(Table_Query_from_Actuarial___Production3[[#This Row],[Kor1]],$AI$3:$AK$105,3,FALSE)</f>
        <v>Losses Outstanding</v>
      </c>
      <c r="AF1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5" spans="18:32" x14ac:dyDescent="0.2">
      <c r="R1165" t="s">
        <v>34</v>
      </c>
      <c r="S1165" t="s">
        <v>241</v>
      </c>
      <c r="T1165" t="s">
        <v>351</v>
      </c>
      <c r="U1165" s="21">
        <v>399.01</v>
      </c>
      <c r="V1165" s="21" t="s">
        <v>368</v>
      </c>
      <c r="W1165" t="str">
        <f>VLOOKUP(Table_Query_from_Actuarial___Production[[#This Row],[Kor1]],$AI$3:$AK$105,3,FALSE)</f>
        <v>Misc. Expense</v>
      </c>
      <c r="X1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5"/>
      <c r="Z1165" t="s">
        <v>33</v>
      </c>
      <c r="AA1165" t="s">
        <v>250</v>
      </c>
      <c r="AB1165" t="s">
        <v>443</v>
      </c>
      <c r="AC1165" s="21">
        <v>19965.12</v>
      </c>
      <c r="AD1165" s="21" t="s">
        <v>368</v>
      </c>
      <c r="AE1165" t="str">
        <f>VLOOKUP(Table_Query_from_Actuarial___Production3[[#This Row],[Kor1]],$AI$3:$AK$105,3,FALSE)</f>
        <v>Misc. Expense</v>
      </c>
      <c r="AF1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6" spans="18:32" x14ac:dyDescent="0.2">
      <c r="R1166" t="s">
        <v>41</v>
      </c>
      <c r="S1166" t="s">
        <v>232</v>
      </c>
      <c r="T1166" t="s">
        <v>427</v>
      </c>
      <c r="U1166" s="21">
        <v>50</v>
      </c>
      <c r="V1166" s="21" t="s">
        <v>368</v>
      </c>
      <c r="W1166" t="str">
        <f>VLOOKUP(Table_Query_from_Actuarial___Production[[#This Row],[Kor1]],$AI$3:$AK$105,3,FALSE)</f>
        <v>Misc. Income</v>
      </c>
      <c r="X1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6"/>
      <c r="Z1166" t="s">
        <v>36</v>
      </c>
      <c r="AA1166" t="s">
        <v>257</v>
      </c>
      <c r="AB1166" t="s">
        <v>5</v>
      </c>
      <c r="AC1166" s="21">
        <v>1009.01</v>
      </c>
      <c r="AD1166" s="21" t="s">
        <v>368</v>
      </c>
      <c r="AE1166" t="str">
        <f>VLOOKUP(Table_Query_from_Actuarial___Production3[[#This Row],[Kor1]],$AI$3:$AK$105,3,FALSE)</f>
        <v>Misc. Expense</v>
      </c>
      <c r="AF1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7" spans="18:32" x14ac:dyDescent="0.2">
      <c r="R1167" t="s">
        <v>10</v>
      </c>
      <c r="S1167" t="s">
        <v>352</v>
      </c>
      <c r="T1167" t="s">
        <v>8</v>
      </c>
      <c r="U1167" s="21">
        <v>22442.84</v>
      </c>
      <c r="V1167" s="21" t="s">
        <v>369</v>
      </c>
      <c r="W1167" t="str">
        <f>VLOOKUP(Table_Query_from_Actuarial___Production[[#This Row],[Kor1]],$AI$3:$AK$105,3,FALSE)</f>
        <v>Commissions</v>
      </c>
      <c r="X1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167"/>
      <c r="Z1167" t="s">
        <v>43</v>
      </c>
      <c r="AA1167" t="s">
        <v>254</v>
      </c>
      <c r="AB1167" t="s">
        <v>427</v>
      </c>
      <c r="AC1167" s="21">
        <v>753.89</v>
      </c>
      <c r="AD1167" s="21" t="s">
        <v>368</v>
      </c>
      <c r="AE1167" t="str">
        <f>VLOOKUP(Table_Query_from_Actuarial___Production3[[#This Row],[Kor1]],$AI$3:$AK$105,3,FALSE)</f>
        <v>Charge-offs</v>
      </c>
      <c r="AF1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8" spans="18:32" x14ac:dyDescent="0.2">
      <c r="R1168" t="s">
        <v>20</v>
      </c>
      <c r="S1168" t="s">
        <v>264</v>
      </c>
      <c r="T1168" t="s">
        <v>445</v>
      </c>
      <c r="U1168" s="21">
        <v>56.91</v>
      </c>
      <c r="V1168" s="21" t="s">
        <v>368</v>
      </c>
      <c r="W1168" t="str">
        <f>VLOOKUP(Table_Query_from_Actuarial___Production[[#This Row],[Kor1]],$AI$3:$AK$105,3,FALSE)</f>
        <v>Misc. Expense</v>
      </c>
      <c r="X1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8"/>
      <c r="Z1168" t="s">
        <v>43</v>
      </c>
      <c r="AA1168" t="s">
        <v>267</v>
      </c>
      <c r="AB1168" t="s">
        <v>7</v>
      </c>
      <c r="AC1168" s="21">
        <v>0.27</v>
      </c>
      <c r="AD1168" s="21" t="s">
        <v>368</v>
      </c>
      <c r="AE1168" t="str">
        <f>VLOOKUP(Table_Query_from_Actuarial___Production3[[#This Row],[Kor1]],$AI$3:$AK$105,3,FALSE)</f>
        <v>Charge-offs</v>
      </c>
      <c r="AF1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69" spans="18:32" x14ac:dyDescent="0.2">
      <c r="R1169" t="s">
        <v>32</v>
      </c>
      <c r="S1169" t="s">
        <v>252</v>
      </c>
      <c r="T1169" t="s">
        <v>433</v>
      </c>
      <c r="U1169" s="21">
        <v>56561.48</v>
      </c>
      <c r="V1169" s="21" t="s">
        <v>368</v>
      </c>
      <c r="W1169" t="str">
        <f>VLOOKUP(Table_Query_from_Actuarial___Production[[#This Row],[Kor1]],$AI$3:$AK$105,3,FALSE)</f>
        <v>Misc. Expense</v>
      </c>
      <c r="X1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69"/>
      <c r="Z1169" t="s">
        <v>15</v>
      </c>
      <c r="AA1169" t="s">
        <v>244</v>
      </c>
      <c r="AB1169" t="s">
        <v>443</v>
      </c>
      <c r="AC1169" s="21">
        <v>808218.02</v>
      </c>
      <c r="AD1169" s="21" t="s">
        <v>368</v>
      </c>
      <c r="AE1169" t="str">
        <f>VLOOKUP(Table_Query_from_Actuarial___Production3[[#This Row],[Kor1]],$AI$3:$AK$105,3,FALSE)</f>
        <v>Unearned Premiums</v>
      </c>
      <c r="AF1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0" spans="18:32" x14ac:dyDescent="0.2">
      <c r="R1170" t="s">
        <v>34</v>
      </c>
      <c r="S1170" t="s">
        <v>239</v>
      </c>
      <c r="T1170" t="s">
        <v>443</v>
      </c>
      <c r="U1170" s="21">
        <v>78294.09</v>
      </c>
      <c r="V1170" s="21" t="s">
        <v>368</v>
      </c>
      <c r="W1170" t="str">
        <f>VLOOKUP(Table_Query_from_Actuarial___Production[[#This Row],[Kor1]],$AI$3:$AK$105,3,FALSE)</f>
        <v>Misc. Expense</v>
      </c>
      <c r="X1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0"/>
      <c r="Z1170" t="s">
        <v>33</v>
      </c>
      <c r="AA1170" t="s">
        <v>263</v>
      </c>
      <c r="AB1170" t="s">
        <v>441</v>
      </c>
      <c r="AC1170" s="21">
        <v>14781.37</v>
      </c>
      <c r="AD1170" s="21" t="s">
        <v>368</v>
      </c>
      <c r="AE1170" t="str">
        <f>VLOOKUP(Table_Query_from_Actuarial___Production3[[#This Row],[Kor1]],$AI$3:$AK$105,3,FALSE)</f>
        <v>Misc. Expense</v>
      </c>
      <c r="AF1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1" spans="18:32" x14ac:dyDescent="0.2">
      <c r="R1171" t="s">
        <v>21</v>
      </c>
      <c r="S1171" t="s">
        <v>227</v>
      </c>
      <c r="T1171" t="s">
        <v>433</v>
      </c>
      <c r="U1171" s="21">
        <v>825</v>
      </c>
      <c r="V1171" s="21" t="s">
        <v>368</v>
      </c>
      <c r="W1171" t="str">
        <f>VLOOKUP(Table_Query_from_Actuarial___Production[[#This Row],[Kor1]],$AI$3:$AK$105,3,FALSE)</f>
        <v>Misc. Expense</v>
      </c>
      <c r="X1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1"/>
      <c r="Z1171" t="s">
        <v>13</v>
      </c>
      <c r="AA1171" t="s">
        <v>228</v>
      </c>
      <c r="AB1171" t="s">
        <v>443</v>
      </c>
      <c r="AC1171" s="21">
        <v>124026.66</v>
      </c>
      <c r="AD1171" s="21" t="s">
        <v>368</v>
      </c>
      <c r="AE1171" t="str">
        <f>VLOOKUP(Table_Query_from_Actuarial___Production3[[#This Row],[Kor1]],$AI$3:$AK$105,3,FALSE)</f>
        <v>Operating Service Fees</v>
      </c>
      <c r="AF1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2" spans="18:32" x14ac:dyDescent="0.2">
      <c r="R1172" t="s">
        <v>49</v>
      </c>
      <c r="S1172" t="s">
        <v>267</v>
      </c>
      <c r="T1172" t="s">
        <v>433</v>
      </c>
      <c r="U1172" s="21">
        <v>28896.95</v>
      </c>
      <c r="V1172" s="21" t="s">
        <v>368</v>
      </c>
      <c r="W1172" t="str">
        <f>VLOOKUP(Table_Query_from_Actuarial___Production[[#This Row],[Kor1]],$AI$3:$AK$105,3,FALSE)</f>
        <v>ALAE Paid</v>
      </c>
      <c r="X1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2"/>
      <c r="Z1172" t="s">
        <v>3</v>
      </c>
      <c r="AA1172" t="s">
        <v>244</v>
      </c>
      <c r="AB1172" t="s">
        <v>351</v>
      </c>
      <c r="AC1172" s="21">
        <v>1353497</v>
      </c>
      <c r="AD1172" s="21" t="s">
        <v>368</v>
      </c>
      <c r="AE1172" t="str">
        <f>VLOOKUP(Table_Query_from_Actuarial___Production3[[#This Row],[Kor1]],$AI$3:$AK$105,3,FALSE)</f>
        <v>Premiums Written</v>
      </c>
      <c r="AF1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3" spans="18:32" x14ac:dyDescent="0.2">
      <c r="R1173" t="s">
        <v>14</v>
      </c>
      <c r="S1173" t="s">
        <v>232</v>
      </c>
      <c r="T1173" t="s">
        <v>9</v>
      </c>
      <c r="U1173" s="21">
        <v>108684.81</v>
      </c>
      <c r="V1173" s="21" t="s">
        <v>368</v>
      </c>
      <c r="W1173" t="str">
        <f>VLOOKUP(Table_Query_from_Actuarial___Production[[#This Row],[Kor1]],$AI$3:$AK$105,3,FALSE)</f>
        <v>Claims Expense</v>
      </c>
      <c r="X1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3"/>
      <c r="Z1173" t="s">
        <v>15</v>
      </c>
      <c r="AA1173" t="s">
        <v>233</v>
      </c>
      <c r="AB1173" t="s">
        <v>442</v>
      </c>
      <c r="AC1173" s="21">
        <v>171912.53</v>
      </c>
      <c r="AD1173" s="21" t="s">
        <v>368</v>
      </c>
      <c r="AE1173" t="str">
        <f>VLOOKUP(Table_Query_from_Actuarial___Production3[[#This Row],[Kor1]],$AI$3:$AK$105,3,FALSE)</f>
        <v>Unearned Premiums</v>
      </c>
      <c r="AF1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4" spans="18:32" x14ac:dyDescent="0.2">
      <c r="R1174" t="s">
        <v>17</v>
      </c>
      <c r="S1174" t="s">
        <v>253</v>
      </c>
      <c r="T1174" t="s">
        <v>443</v>
      </c>
      <c r="U1174" s="21">
        <v>1818.14</v>
      </c>
      <c r="V1174" s="21" t="s">
        <v>368</v>
      </c>
      <c r="W1174" t="str">
        <f>VLOOKUP(Table_Query_from_Actuarial___Production[[#This Row],[Kor1]],$AI$3:$AK$105,3,FALSE)</f>
        <v>IBNR</v>
      </c>
      <c r="X1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4"/>
      <c r="Z1174" t="s">
        <v>17</v>
      </c>
      <c r="AA1174" t="s">
        <v>238</v>
      </c>
      <c r="AB1174" t="s">
        <v>427</v>
      </c>
      <c r="AC1174" s="21">
        <v>103517.19</v>
      </c>
      <c r="AD1174" s="21" t="s">
        <v>368</v>
      </c>
      <c r="AE1174" t="str">
        <f>VLOOKUP(Table_Query_from_Actuarial___Production3[[#This Row],[Kor1]],$AI$3:$AK$105,3,FALSE)</f>
        <v>IBNR</v>
      </c>
      <c r="AF1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5" spans="18:32" x14ac:dyDescent="0.2">
      <c r="R1175" t="s">
        <v>33</v>
      </c>
      <c r="S1175" t="s">
        <v>250</v>
      </c>
      <c r="T1175" t="s">
        <v>427</v>
      </c>
      <c r="U1175" s="21">
        <v>30019.200000000001</v>
      </c>
      <c r="V1175" s="21" t="s">
        <v>368</v>
      </c>
      <c r="W1175" t="str">
        <f>VLOOKUP(Table_Query_from_Actuarial___Production[[#This Row],[Kor1]],$AI$3:$AK$105,3,FALSE)</f>
        <v>Misc. Expense</v>
      </c>
      <c r="X1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5"/>
      <c r="Z1175" t="s">
        <v>33</v>
      </c>
      <c r="AA1175" t="s">
        <v>263</v>
      </c>
      <c r="AB1175" t="s">
        <v>351</v>
      </c>
      <c r="AC1175" s="21">
        <v>16082.96</v>
      </c>
      <c r="AD1175" s="21" t="s">
        <v>368</v>
      </c>
      <c r="AE1175" t="str">
        <f>VLOOKUP(Table_Query_from_Actuarial___Production3[[#This Row],[Kor1]],$AI$3:$AK$105,3,FALSE)</f>
        <v>Misc. Expense</v>
      </c>
      <c r="AF1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6" spans="18:32" x14ac:dyDescent="0.2">
      <c r="R1176" t="s">
        <v>33</v>
      </c>
      <c r="S1176" t="s">
        <v>251</v>
      </c>
      <c r="T1176" t="s">
        <v>6</v>
      </c>
      <c r="U1176" s="21">
        <v>14935.08</v>
      </c>
      <c r="V1176" s="21" t="s">
        <v>368</v>
      </c>
      <c r="W1176" t="str">
        <f>VLOOKUP(Table_Query_from_Actuarial___Production[[#This Row],[Kor1]],$AI$3:$AK$105,3,FALSE)</f>
        <v>Misc. Expense</v>
      </c>
      <c r="X1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6"/>
      <c r="Z1176" t="s">
        <v>48</v>
      </c>
      <c r="AA1176" t="s">
        <v>266</v>
      </c>
      <c r="AB1176" t="s">
        <v>441</v>
      </c>
      <c r="AC1176" s="21">
        <v>4590.41</v>
      </c>
      <c r="AD1176" s="21" t="s">
        <v>368</v>
      </c>
      <c r="AE1176" t="str">
        <f>VLOOKUP(Table_Query_from_Actuarial___Production3[[#This Row],[Kor1]],$AI$3:$AK$105,3,FALSE)</f>
        <v>Anticipated Salvage</v>
      </c>
      <c r="AF1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7" spans="18:32" x14ac:dyDescent="0.2">
      <c r="R1177" t="s">
        <v>10</v>
      </c>
      <c r="S1177" t="s">
        <v>254</v>
      </c>
      <c r="T1177" t="s">
        <v>356</v>
      </c>
      <c r="U1177" s="21">
        <v>220972.25</v>
      </c>
      <c r="V1177" s="21" t="s">
        <v>368</v>
      </c>
      <c r="W1177" t="str">
        <f>VLOOKUP(Table_Query_from_Actuarial___Production[[#This Row],[Kor1]],$AI$3:$AK$105,3,FALSE)</f>
        <v>Commissions</v>
      </c>
      <c r="X1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7"/>
      <c r="Z1177" t="s">
        <v>41</v>
      </c>
      <c r="AA1177" t="s">
        <v>234</v>
      </c>
      <c r="AB1177" t="s">
        <v>8</v>
      </c>
      <c r="AC1177" s="21">
        <v>350</v>
      </c>
      <c r="AD1177" s="21" t="s">
        <v>368</v>
      </c>
      <c r="AE1177" t="str">
        <f>VLOOKUP(Table_Query_from_Actuarial___Production3[[#This Row],[Kor1]],$AI$3:$AK$105,3,FALSE)</f>
        <v>Misc. Income</v>
      </c>
      <c r="AF1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8" spans="18:32" x14ac:dyDescent="0.2">
      <c r="R1178" t="s">
        <v>33</v>
      </c>
      <c r="S1178" t="s">
        <v>261</v>
      </c>
      <c r="T1178" t="s">
        <v>7</v>
      </c>
      <c r="U1178" s="21">
        <v>13649.23</v>
      </c>
      <c r="V1178" s="21" t="s">
        <v>368</v>
      </c>
      <c r="W1178" t="str">
        <f>VLOOKUP(Table_Query_from_Actuarial___Production[[#This Row],[Kor1]],$AI$3:$AK$105,3,FALSE)</f>
        <v>Misc. Expense</v>
      </c>
      <c r="X1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8"/>
      <c r="Z1178" t="s">
        <v>47</v>
      </c>
      <c r="AA1178" t="s">
        <v>246</v>
      </c>
      <c r="AB1178" t="s">
        <v>356</v>
      </c>
      <c r="AC1178" s="21">
        <v>2931.08</v>
      </c>
      <c r="AD1178" s="21" t="s">
        <v>368</v>
      </c>
      <c r="AE1178" t="str">
        <f>VLOOKUP(Table_Query_from_Actuarial___Production3[[#This Row],[Kor1]],$AI$3:$AK$105,3,FALSE)</f>
        <v>Investment Income</v>
      </c>
      <c r="AF1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79" spans="18:32" x14ac:dyDescent="0.2">
      <c r="R1179" t="s">
        <v>12</v>
      </c>
      <c r="S1179" t="s">
        <v>236</v>
      </c>
      <c r="T1179" t="s">
        <v>441</v>
      </c>
      <c r="U1179" s="21">
        <v>698.48</v>
      </c>
      <c r="V1179" s="21" t="s">
        <v>368</v>
      </c>
      <c r="W1179" t="str">
        <f>VLOOKUP(Table_Query_from_Actuarial___Production[[#This Row],[Kor1]],$AI$3:$AK$105,3,FALSE)</f>
        <v>Premium Tax</v>
      </c>
      <c r="X1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79"/>
      <c r="Z1179" t="s">
        <v>49</v>
      </c>
      <c r="AA1179" t="s">
        <v>225</v>
      </c>
      <c r="AB1179" t="s">
        <v>441</v>
      </c>
      <c r="AC1179" s="21">
        <v>3622.31</v>
      </c>
      <c r="AD1179" s="21" t="s">
        <v>369</v>
      </c>
      <c r="AE1179" t="str">
        <f>VLOOKUP(Table_Query_from_Actuarial___Production3[[#This Row],[Kor1]],$AI$3:$AK$105,3,FALSE)</f>
        <v>ALAE Paid</v>
      </c>
      <c r="AF1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180" spans="18:32" x14ac:dyDescent="0.2">
      <c r="R1180" t="s">
        <v>13</v>
      </c>
      <c r="S1180" t="s">
        <v>243</v>
      </c>
      <c r="T1180" t="s">
        <v>443</v>
      </c>
      <c r="U1180" s="21">
        <v>73077.45</v>
      </c>
      <c r="V1180" s="21" t="s">
        <v>368</v>
      </c>
      <c r="W1180" t="str">
        <f>VLOOKUP(Table_Query_from_Actuarial___Production[[#This Row],[Kor1]],$AI$3:$AK$105,3,FALSE)</f>
        <v>Operating Service Fees</v>
      </c>
      <c r="X1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0"/>
      <c r="Z1180" t="s">
        <v>33</v>
      </c>
      <c r="AA1180" t="s">
        <v>264</v>
      </c>
      <c r="AB1180" t="s">
        <v>6</v>
      </c>
      <c r="AC1180" s="21">
        <v>17964.07</v>
      </c>
      <c r="AD1180" s="21" t="s">
        <v>368</v>
      </c>
      <c r="AE1180" t="str">
        <f>VLOOKUP(Table_Query_from_Actuarial___Production3[[#This Row],[Kor1]],$AI$3:$AK$105,3,FALSE)</f>
        <v>Misc. Expense</v>
      </c>
      <c r="AF1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1" spans="18:32" x14ac:dyDescent="0.2">
      <c r="R1181" t="s">
        <v>19</v>
      </c>
      <c r="S1181" t="s">
        <v>262</v>
      </c>
      <c r="T1181" t="s">
        <v>433</v>
      </c>
      <c r="U1181" s="21">
        <v>147</v>
      </c>
      <c r="V1181" s="21" t="s">
        <v>368</v>
      </c>
      <c r="W1181" t="str">
        <f>VLOOKUP(Table_Query_from_Actuarial___Production[[#This Row],[Kor1]],$AI$3:$AK$105,3,FALSE)</f>
        <v>Misc. Expense for Insolvent Companies</v>
      </c>
      <c r="X1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1"/>
      <c r="Z1181" t="s">
        <v>13</v>
      </c>
      <c r="AA1181" t="s">
        <v>225</v>
      </c>
      <c r="AB1181" t="s">
        <v>433</v>
      </c>
      <c r="AC1181" s="21">
        <v>106950.8</v>
      </c>
      <c r="AD1181" s="21" t="s">
        <v>369</v>
      </c>
      <c r="AE1181" t="str">
        <f>VLOOKUP(Table_Query_from_Actuarial___Production3[[#This Row],[Kor1]],$AI$3:$AK$105,3,FALSE)</f>
        <v>Operating Service Fees</v>
      </c>
      <c r="AF1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182" spans="18:32" x14ac:dyDescent="0.2">
      <c r="R1182" t="s">
        <v>13</v>
      </c>
      <c r="S1182" t="s">
        <v>352</v>
      </c>
      <c r="T1182" t="s">
        <v>356</v>
      </c>
      <c r="U1182" s="21">
        <v>20351.849999999999</v>
      </c>
      <c r="V1182" s="21" t="s">
        <v>369</v>
      </c>
      <c r="W1182" t="str">
        <f>VLOOKUP(Table_Query_from_Actuarial___Production[[#This Row],[Kor1]],$AI$3:$AK$105,3,FALSE)</f>
        <v>Operating Service Fees</v>
      </c>
      <c r="X1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182"/>
      <c r="Z1182" t="s">
        <v>17</v>
      </c>
      <c r="AA1182" t="s">
        <v>254</v>
      </c>
      <c r="AB1182" t="s">
        <v>442</v>
      </c>
      <c r="AC1182" s="21">
        <v>5183080.49</v>
      </c>
      <c r="AD1182" s="21" t="s">
        <v>368</v>
      </c>
      <c r="AE1182" t="str">
        <f>VLOOKUP(Table_Query_from_Actuarial___Production3[[#This Row],[Kor1]],$AI$3:$AK$105,3,FALSE)</f>
        <v>IBNR</v>
      </c>
      <c r="AF1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3" spans="18:32" x14ac:dyDescent="0.2">
      <c r="R1183" t="s">
        <v>43</v>
      </c>
      <c r="S1183" t="s">
        <v>224</v>
      </c>
      <c r="T1183" t="s">
        <v>356</v>
      </c>
      <c r="U1183" s="21">
        <v>71.37</v>
      </c>
      <c r="V1183" s="21" t="s">
        <v>370</v>
      </c>
      <c r="W1183" t="str">
        <f>VLOOKUP(Table_Query_from_Actuarial___Production[[#This Row],[Kor1]],$AI$3:$AK$105,3,FALSE)</f>
        <v>Charge-offs</v>
      </c>
      <c r="X1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183"/>
      <c r="Z1183" t="s">
        <v>19</v>
      </c>
      <c r="AA1183" t="s">
        <v>259</v>
      </c>
      <c r="AB1183" t="s">
        <v>5</v>
      </c>
      <c r="AC1183" s="21">
        <v>2408</v>
      </c>
      <c r="AD1183" s="21" t="s">
        <v>368</v>
      </c>
      <c r="AE1183" t="str">
        <f>VLOOKUP(Table_Query_from_Actuarial___Production3[[#This Row],[Kor1]],$AI$3:$AK$105,3,FALSE)</f>
        <v>Misc. Expense for Insolvent Companies</v>
      </c>
      <c r="AF1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4" spans="18:32" x14ac:dyDescent="0.2">
      <c r="R1184" t="s">
        <v>13</v>
      </c>
      <c r="S1184" t="s">
        <v>234</v>
      </c>
      <c r="T1184" t="s">
        <v>6</v>
      </c>
      <c r="U1184" s="21">
        <v>118789.31</v>
      </c>
      <c r="V1184" s="21" t="s">
        <v>368</v>
      </c>
      <c r="W1184" t="str">
        <f>VLOOKUP(Table_Query_from_Actuarial___Production[[#This Row],[Kor1]],$AI$3:$AK$105,3,FALSE)</f>
        <v>Operating Service Fees</v>
      </c>
      <c r="X1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4"/>
      <c r="Z1184" t="s">
        <v>33</v>
      </c>
      <c r="AA1184" t="s">
        <v>242</v>
      </c>
      <c r="AB1184" t="s">
        <v>351</v>
      </c>
      <c r="AC1184" s="21">
        <v>15658.35</v>
      </c>
      <c r="AD1184" s="21" t="s">
        <v>368</v>
      </c>
      <c r="AE1184" t="str">
        <f>VLOOKUP(Table_Query_from_Actuarial___Production3[[#This Row],[Kor1]],$AI$3:$AK$105,3,FALSE)</f>
        <v>Misc. Expense</v>
      </c>
      <c r="AF1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5" spans="18:32" x14ac:dyDescent="0.2">
      <c r="R1185" t="s">
        <v>17</v>
      </c>
      <c r="S1185" t="s">
        <v>230</v>
      </c>
      <c r="T1185" t="s">
        <v>443</v>
      </c>
      <c r="U1185" s="21">
        <v>6511407.7599999998</v>
      </c>
      <c r="V1185" s="21" t="s">
        <v>368</v>
      </c>
      <c r="W1185" t="str">
        <f>VLOOKUP(Table_Query_from_Actuarial___Production[[#This Row],[Kor1]],$AI$3:$AK$105,3,FALSE)</f>
        <v>IBNR</v>
      </c>
      <c r="X1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5"/>
      <c r="Z1185" t="s">
        <v>14</v>
      </c>
      <c r="AA1185" t="s">
        <v>231</v>
      </c>
      <c r="AB1185" t="s">
        <v>433</v>
      </c>
      <c r="AC1185" s="21">
        <v>113600.39</v>
      </c>
      <c r="AD1185" s="21" t="s">
        <v>368</v>
      </c>
      <c r="AE1185" t="str">
        <f>VLOOKUP(Table_Query_from_Actuarial___Production3[[#This Row],[Kor1]],$AI$3:$AK$105,3,FALSE)</f>
        <v>Claims Expense</v>
      </c>
      <c r="AF1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6" spans="18:32" x14ac:dyDescent="0.2">
      <c r="R1186" t="s">
        <v>31</v>
      </c>
      <c r="S1186" t="s">
        <v>264</v>
      </c>
      <c r="T1186" t="s">
        <v>356</v>
      </c>
      <c r="U1186" s="21">
        <v>620.25</v>
      </c>
      <c r="V1186" s="21" t="s">
        <v>368</v>
      </c>
      <c r="W1186" t="str">
        <f>VLOOKUP(Table_Query_from_Actuarial___Production[[#This Row],[Kor1]],$AI$3:$AK$105,3,FALSE)</f>
        <v>Misc. Expense</v>
      </c>
      <c r="X1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6"/>
      <c r="Z1186" t="s">
        <v>439</v>
      </c>
      <c r="AA1186" t="s">
        <v>262</v>
      </c>
      <c r="AB1186" t="s">
        <v>433</v>
      </c>
      <c r="AC1186" s="21">
        <v>3137</v>
      </c>
      <c r="AD1186" s="21" t="s">
        <v>368</v>
      </c>
      <c r="AE1186" t="str">
        <f>VLOOKUP(Table_Query_from_Actuarial___Production3[[#This Row],[Kor1]],$AI$3:$AK$105,3,FALSE)</f>
        <v>Operating Service Fees</v>
      </c>
      <c r="AF1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7" spans="18:32" x14ac:dyDescent="0.2">
      <c r="R1187" t="s">
        <v>16</v>
      </c>
      <c r="S1187" t="s">
        <v>226</v>
      </c>
      <c r="T1187" t="s">
        <v>433</v>
      </c>
      <c r="U1187" s="21">
        <v>766979.48</v>
      </c>
      <c r="V1187" s="21" t="s">
        <v>368</v>
      </c>
      <c r="W1187" t="str">
        <f>VLOOKUP(Table_Query_from_Actuarial___Production[[#This Row],[Kor1]],$AI$3:$AK$105,3,FALSE)</f>
        <v>Losses Outstanding</v>
      </c>
      <c r="X1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187"/>
      <c r="Z1187" t="s">
        <v>15</v>
      </c>
      <c r="AA1187" t="s">
        <v>241</v>
      </c>
      <c r="AB1187" t="s">
        <v>442</v>
      </c>
      <c r="AC1187" s="21">
        <v>40241.79</v>
      </c>
      <c r="AD1187" s="21" t="s">
        <v>368</v>
      </c>
      <c r="AE1187" t="str">
        <f>VLOOKUP(Table_Query_from_Actuarial___Production3[[#This Row],[Kor1]],$AI$3:$AK$105,3,FALSE)</f>
        <v>Unearned Premiums</v>
      </c>
      <c r="AF1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8" spans="18:32" x14ac:dyDescent="0.2">
      <c r="R1188" t="s">
        <v>19</v>
      </c>
      <c r="S1188" t="s">
        <v>237</v>
      </c>
      <c r="T1188" t="s">
        <v>443</v>
      </c>
      <c r="U1188" s="21">
        <v>4024.94</v>
      </c>
      <c r="V1188" s="21" t="s">
        <v>368</v>
      </c>
      <c r="W1188" t="str">
        <f>VLOOKUP(Table_Query_from_Actuarial___Production[[#This Row],[Kor1]],$AI$3:$AK$105,3,FALSE)</f>
        <v>Misc. Expense for Insolvent Companies</v>
      </c>
      <c r="X1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8"/>
      <c r="Z1188" t="s">
        <v>12</v>
      </c>
      <c r="AA1188" t="s">
        <v>265</v>
      </c>
      <c r="AB1188" t="s">
        <v>433</v>
      </c>
      <c r="AC1188" s="21">
        <v>26517.78</v>
      </c>
      <c r="AD1188" s="21" t="s">
        <v>368</v>
      </c>
      <c r="AE1188" t="str">
        <f>VLOOKUP(Table_Query_from_Actuarial___Production3[[#This Row],[Kor1]],$AI$3:$AK$105,3,FALSE)</f>
        <v>Premium Tax</v>
      </c>
      <c r="AF1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89" spans="18:32" x14ac:dyDescent="0.2">
      <c r="R1189" t="s">
        <v>21</v>
      </c>
      <c r="S1189" t="s">
        <v>237</v>
      </c>
      <c r="T1189" t="s">
        <v>433</v>
      </c>
      <c r="U1189" s="21">
        <v>15376.02</v>
      </c>
      <c r="V1189" s="21" t="s">
        <v>368</v>
      </c>
      <c r="W1189" t="str">
        <f>VLOOKUP(Table_Query_from_Actuarial___Production[[#This Row],[Kor1]],$AI$3:$AK$105,3,FALSE)</f>
        <v>Misc. Expense</v>
      </c>
      <c r="X1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89"/>
      <c r="Z1189" t="s">
        <v>37</v>
      </c>
      <c r="AA1189" t="s">
        <v>4</v>
      </c>
      <c r="AB1189" t="s">
        <v>442</v>
      </c>
      <c r="AC1189" s="21">
        <v>221656.6</v>
      </c>
      <c r="AD1189" s="21" t="s">
        <v>368</v>
      </c>
      <c r="AE1189" t="str">
        <f>VLOOKUP(Table_Query_from_Actuarial___Production3[[#This Row],[Kor1]],$AI$3:$AK$105,3,FALSE)</f>
        <v>Misc. Expense</v>
      </c>
      <c r="AF1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0" spans="18:32" x14ac:dyDescent="0.2">
      <c r="R1190" t="s">
        <v>11</v>
      </c>
      <c r="S1190" t="s">
        <v>240</v>
      </c>
      <c r="T1190" t="s">
        <v>443</v>
      </c>
      <c r="U1190" s="21">
        <v>568904.04</v>
      </c>
      <c r="V1190" s="21" t="s">
        <v>368</v>
      </c>
      <c r="W1190" t="str">
        <f>VLOOKUP(Table_Query_from_Actuarial___Production[[#This Row],[Kor1]],$AI$3:$AK$105,3,FALSE)</f>
        <v>Losses Paid</v>
      </c>
      <c r="X1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0"/>
      <c r="Z1190" t="s">
        <v>39</v>
      </c>
      <c r="AA1190" t="s">
        <v>234</v>
      </c>
      <c r="AB1190" t="s">
        <v>441</v>
      </c>
      <c r="AC1190" s="21">
        <v>31</v>
      </c>
      <c r="AD1190" s="21" t="s">
        <v>368</v>
      </c>
      <c r="AE1190" t="str">
        <f>VLOOKUP(Table_Query_from_Actuarial___Production3[[#This Row],[Kor1]],$AI$3:$AK$105,3,FALSE)</f>
        <v>Misc. Income for Insolvent Companies</v>
      </c>
      <c r="AF1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1" spans="18:32" x14ac:dyDescent="0.2">
      <c r="R1191" t="s">
        <v>3</v>
      </c>
      <c r="S1191" t="s">
        <v>260</v>
      </c>
      <c r="T1191" t="s">
        <v>6</v>
      </c>
      <c r="U1191" s="21">
        <v>4174</v>
      </c>
      <c r="V1191" s="21" t="s">
        <v>368</v>
      </c>
      <c r="W1191" t="str">
        <f>VLOOKUP(Table_Query_from_Actuarial___Production[[#This Row],[Kor1]],$AI$3:$AK$105,3,FALSE)</f>
        <v>Premiums Written</v>
      </c>
      <c r="X1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1"/>
      <c r="Z1191" t="s">
        <v>14</v>
      </c>
      <c r="AA1191" t="s">
        <v>228</v>
      </c>
      <c r="AB1191" t="s">
        <v>7</v>
      </c>
      <c r="AC1191" s="21">
        <v>28772.34</v>
      </c>
      <c r="AD1191" s="21" t="s">
        <v>368</v>
      </c>
      <c r="AE1191" t="str">
        <f>VLOOKUP(Table_Query_from_Actuarial___Production3[[#This Row],[Kor1]],$AI$3:$AK$105,3,FALSE)</f>
        <v>Claims Expense</v>
      </c>
      <c r="AF1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2" spans="18:32" x14ac:dyDescent="0.2">
      <c r="R1192" t="s">
        <v>13</v>
      </c>
      <c r="S1192" t="s">
        <v>249</v>
      </c>
      <c r="T1192" t="s">
        <v>6</v>
      </c>
      <c r="U1192" s="21">
        <v>110614.48</v>
      </c>
      <c r="V1192" s="21" t="s">
        <v>368</v>
      </c>
      <c r="W1192" t="str">
        <f>VLOOKUP(Table_Query_from_Actuarial___Production[[#This Row],[Kor1]],$AI$3:$AK$105,3,FALSE)</f>
        <v>Operating Service Fees</v>
      </c>
      <c r="X1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2"/>
      <c r="Z1192" t="s">
        <v>12</v>
      </c>
      <c r="AA1192" t="s">
        <v>249</v>
      </c>
      <c r="AB1192" t="s">
        <v>6</v>
      </c>
      <c r="AC1192" s="21">
        <v>18697.84</v>
      </c>
      <c r="AD1192" s="21" t="s">
        <v>368</v>
      </c>
      <c r="AE1192" t="str">
        <f>VLOOKUP(Table_Query_from_Actuarial___Production3[[#This Row],[Kor1]],$AI$3:$AK$105,3,FALSE)</f>
        <v>Premium Tax</v>
      </c>
      <c r="AF1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3" spans="18:32" x14ac:dyDescent="0.2">
      <c r="R1193" t="s">
        <v>44</v>
      </c>
      <c r="S1193" t="s">
        <v>246</v>
      </c>
      <c r="T1193" t="s">
        <v>427</v>
      </c>
      <c r="U1193" s="21">
        <v>2383.4</v>
      </c>
      <c r="V1193" s="21" t="s">
        <v>368</v>
      </c>
      <c r="W1193" t="str">
        <f>VLOOKUP(Table_Query_from_Actuarial___Production[[#This Row],[Kor1]],$AI$3:$AK$105,3,FALSE)</f>
        <v>Charge-offs</v>
      </c>
      <c r="X1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3"/>
      <c r="Z1193" t="s">
        <v>41</v>
      </c>
      <c r="AA1193" t="s">
        <v>248</v>
      </c>
      <c r="AB1193" t="s">
        <v>442</v>
      </c>
      <c r="AC1193" s="21">
        <v>950.01</v>
      </c>
      <c r="AD1193" s="21" t="s">
        <v>368</v>
      </c>
      <c r="AE1193" t="str">
        <f>VLOOKUP(Table_Query_from_Actuarial___Production3[[#This Row],[Kor1]],$AI$3:$AK$105,3,FALSE)</f>
        <v>Misc. Income</v>
      </c>
      <c r="AF1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4" spans="18:32" x14ac:dyDescent="0.2">
      <c r="R1194" t="s">
        <v>14</v>
      </c>
      <c r="S1194" t="s">
        <v>238</v>
      </c>
      <c r="T1194" t="s">
        <v>9</v>
      </c>
      <c r="U1194" s="21">
        <v>7387.71</v>
      </c>
      <c r="V1194" s="21" t="s">
        <v>368</v>
      </c>
      <c r="W1194" t="str">
        <f>VLOOKUP(Table_Query_from_Actuarial___Production[[#This Row],[Kor1]],$AI$3:$AK$105,3,FALSE)</f>
        <v>Claims Expense</v>
      </c>
      <c r="X1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4"/>
      <c r="Z1194" t="s">
        <v>21</v>
      </c>
      <c r="AA1194" t="s">
        <v>258</v>
      </c>
      <c r="AB1194" t="s">
        <v>356</v>
      </c>
      <c r="AC1194" s="21">
        <v>11632.27</v>
      </c>
      <c r="AD1194" s="21" t="s">
        <v>368</v>
      </c>
      <c r="AE1194" t="str">
        <f>VLOOKUP(Table_Query_from_Actuarial___Production3[[#This Row],[Kor1]],$AI$3:$AK$105,3,FALSE)</f>
        <v>Misc. Expense</v>
      </c>
      <c r="AF1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5" spans="18:32" x14ac:dyDescent="0.2">
      <c r="R1195" t="s">
        <v>19</v>
      </c>
      <c r="S1195" t="s">
        <v>239</v>
      </c>
      <c r="T1195" t="s">
        <v>445</v>
      </c>
      <c r="U1195" s="21">
        <v>8164</v>
      </c>
      <c r="V1195" s="21" t="s">
        <v>368</v>
      </c>
      <c r="W1195" t="str">
        <f>VLOOKUP(Table_Query_from_Actuarial___Production[[#This Row],[Kor1]],$AI$3:$AK$105,3,FALSE)</f>
        <v>Misc. Expense for Insolvent Companies</v>
      </c>
      <c r="X1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5"/>
      <c r="Z1195" t="s">
        <v>34</v>
      </c>
      <c r="AA1195" t="s">
        <v>241</v>
      </c>
      <c r="AB1195" t="s">
        <v>351</v>
      </c>
      <c r="AC1195" s="21">
        <v>399.01</v>
      </c>
      <c r="AD1195" s="21" t="s">
        <v>368</v>
      </c>
      <c r="AE1195" t="str">
        <f>VLOOKUP(Table_Query_from_Actuarial___Production3[[#This Row],[Kor1]],$AI$3:$AK$105,3,FALSE)</f>
        <v>Misc. Expense</v>
      </c>
      <c r="AF1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6" spans="18:32" x14ac:dyDescent="0.2">
      <c r="R1196" t="s">
        <v>33</v>
      </c>
      <c r="S1196" t="s">
        <v>236</v>
      </c>
      <c r="T1196" t="s">
        <v>9</v>
      </c>
      <c r="U1196" s="21">
        <v>15604.62</v>
      </c>
      <c r="V1196" s="21" t="s">
        <v>368</v>
      </c>
      <c r="W1196" t="str">
        <f>VLOOKUP(Table_Query_from_Actuarial___Production[[#This Row],[Kor1]],$AI$3:$AK$105,3,FALSE)</f>
        <v>Misc. Expense</v>
      </c>
      <c r="X1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6"/>
      <c r="Z1196" t="s">
        <v>41</v>
      </c>
      <c r="AA1196" t="s">
        <v>232</v>
      </c>
      <c r="AB1196" t="s">
        <v>427</v>
      </c>
      <c r="AC1196" s="21">
        <v>50</v>
      </c>
      <c r="AD1196" s="21" t="s">
        <v>368</v>
      </c>
      <c r="AE1196" t="str">
        <f>VLOOKUP(Table_Query_from_Actuarial___Production3[[#This Row],[Kor1]],$AI$3:$AK$105,3,FALSE)</f>
        <v>Misc. Income</v>
      </c>
      <c r="AF1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7" spans="18:32" x14ac:dyDescent="0.2">
      <c r="R1197" t="s">
        <v>43</v>
      </c>
      <c r="S1197" t="s">
        <v>244</v>
      </c>
      <c r="T1197" t="s">
        <v>356</v>
      </c>
      <c r="U1197" s="21">
        <v>0.06</v>
      </c>
      <c r="V1197" s="21" t="s">
        <v>368</v>
      </c>
      <c r="W1197" t="str">
        <f>VLOOKUP(Table_Query_from_Actuarial___Production[[#This Row],[Kor1]],$AI$3:$AK$105,3,FALSE)</f>
        <v>Charge-offs</v>
      </c>
      <c r="X1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7"/>
      <c r="Z1197" t="s">
        <v>10</v>
      </c>
      <c r="AA1197" t="s">
        <v>352</v>
      </c>
      <c r="AB1197" t="s">
        <v>8</v>
      </c>
      <c r="AC1197" s="21">
        <v>22442.84</v>
      </c>
      <c r="AD1197" s="21" t="s">
        <v>369</v>
      </c>
      <c r="AE1197" t="str">
        <f>VLOOKUP(Table_Query_from_Actuarial___Production3[[#This Row],[Kor1]],$AI$3:$AK$105,3,FALSE)</f>
        <v>Commissions</v>
      </c>
      <c r="AF1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198" spans="18:32" x14ac:dyDescent="0.2">
      <c r="R1198" t="s">
        <v>31</v>
      </c>
      <c r="S1198" t="s">
        <v>240</v>
      </c>
      <c r="T1198" t="s">
        <v>351</v>
      </c>
      <c r="U1198" s="21">
        <v>42.14</v>
      </c>
      <c r="V1198" s="21" t="s">
        <v>368</v>
      </c>
      <c r="W1198" t="str">
        <f>VLOOKUP(Table_Query_from_Actuarial___Production[[#This Row],[Kor1]],$AI$3:$AK$105,3,FALSE)</f>
        <v>Misc. Expense</v>
      </c>
      <c r="X1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198"/>
      <c r="Z1198" t="s">
        <v>32</v>
      </c>
      <c r="AA1198" t="s">
        <v>252</v>
      </c>
      <c r="AB1198" t="s">
        <v>433</v>
      </c>
      <c r="AC1198" s="21">
        <v>56561.48</v>
      </c>
      <c r="AD1198" s="21" t="s">
        <v>368</v>
      </c>
      <c r="AE1198" t="str">
        <f>VLOOKUP(Table_Query_from_Actuarial___Production3[[#This Row],[Kor1]],$AI$3:$AK$105,3,FALSE)</f>
        <v>Misc. Expense</v>
      </c>
      <c r="AF1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199" spans="18:32" x14ac:dyDescent="0.2">
      <c r="R1199" t="s">
        <v>167</v>
      </c>
      <c r="S1199" t="s">
        <v>354</v>
      </c>
      <c r="T1199" t="s">
        <v>445</v>
      </c>
      <c r="U1199" s="21">
        <v>-21451452</v>
      </c>
      <c r="V1199" s="21" t="s">
        <v>368</v>
      </c>
      <c r="W1199" t="str">
        <f>VLOOKUP(Table_Query_from_Actuarial___Production[[#This Row],[Kor1]],$AI$3:$AK$105,3,FALSE)</f>
        <v>Recoupment</v>
      </c>
      <c r="X1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199"/>
      <c r="Z1199" t="s">
        <v>34</v>
      </c>
      <c r="AA1199" t="s">
        <v>239</v>
      </c>
      <c r="AB1199" t="s">
        <v>443</v>
      </c>
      <c r="AC1199" s="21">
        <v>17707.68</v>
      </c>
      <c r="AD1199" s="21" t="s">
        <v>368</v>
      </c>
      <c r="AE1199" t="str">
        <f>VLOOKUP(Table_Query_from_Actuarial___Production3[[#This Row],[Kor1]],$AI$3:$AK$105,3,FALSE)</f>
        <v>Misc. Expense</v>
      </c>
      <c r="AF1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0" spans="18:32" x14ac:dyDescent="0.2">
      <c r="R1200" t="s">
        <v>13</v>
      </c>
      <c r="S1200" t="s">
        <v>225</v>
      </c>
      <c r="T1200" t="s">
        <v>356</v>
      </c>
      <c r="U1200" s="21">
        <v>102365.84</v>
      </c>
      <c r="V1200" s="21" t="s">
        <v>368</v>
      </c>
      <c r="W1200" t="str">
        <f>VLOOKUP(Table_Query_from_Actuarial___Production[[#This Row],[Kor1]],$AI$3:$AK$105,3,FALSE)</f>
        <v>Operating Service Fees</v>
      </c>
      <c r="X1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200"/>
      <c r="Z1200" t="s">
        <v>21</v>
      </c>
      <c r="AA1200" t="s">
        <v>227</v>
      </c>
      <c r="AB1200" t="s">
        <v>433</v>
      </c>
      <c r="AC1200" s="21">
        <v>825</v>
      </c>
      <c r="AD1200" s="21" t="s">
        <v>368</v>
      </c>
      <c r="AE1200" t="str">
        <f>VLOOKUP(Table_Query_from_Actuarial___Production3[[#This Row],[Kor1]],$AI$3:$AK$105,3,FALSE)</f>
        <v>Misc. Expense</v>
      </c>
      <c r="AF1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1" spans="18:32" x14ac:dyDescent="0.2">
      <c r="R1201" t="s">
        <v>46</v>
      </c>
      <c r="S1201" t="s">
        <v>224</v>
      </c>
      <c r="T1201" t="s">
        <v>356</v>
      </c>
      <c r="U1201" s="21">
        <v>88809.72</v>
      </c>
      <c r="V1201" s="21" t="s">
        <v>368</v>
      </c>
      <c r="W1201" t="str">
        <f>VLOOKUP(Table_Query_from_Actuarial___Production[[#This Row],[Kor1]],$AI$3:$AK$105,3,FALSE)</f>
        <v>Investment Income</v>
      </c>
      <c r="X1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201"/>
      <c r="Z1201" t="s">
        <v>49</v>
      </c>
      <c r="AA1201" t="s">
        <v>267</v>
      </c>
      <c r="AB1201" t="s">
        <v>433</v>
      </c>
      <c r="AC1201" s="21">
        <v>4233.3500000000004</v>
      </c>
      <c r="AD1201" s="21" t="s">
        <v>368</v>
      </c>
      <c r="AE1201" t="str">
        <f>VLOOKUP(Table_Query_from_Actuarial___Production3[[#This Row],[Kor1]],$AI$3:$AK$105,3,FALSE)</f>
        <v>ALAE Paid</v>
      </c>
      <c r="AF1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2" spans="18:32" x14ac:dyDescent="0.2">
      <c r="R1202" t="s">
        <v>14</v>
      </c>
      <c r="S1202" t="s">
        <v>254</v>
      </c>
      <c r="T1202" t="s">
        <v>356</v>
      </c>
      <c r="U1202" s="21">
        <v>626824.98</v>
      </c>
      <c r="V1202" s="21" t="s">
        <v>368</v>
      </c>
      <c r="W1202" t="str">
        <f>VLOOKUP(Table_Query_from_Actuarial___Production[[#This Row],[Kor1]],$AI$3:$AK$105,3,FALSE)</f>
        <v>Claims Expense</v>
      </c>
      <c r="X1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2"/>
      <c r="Z1202" t="s">
        <v>14</v>
      </c>
      <c r="AA1202" t="s">
        <v>232</v>
      </c>
      <c r="AB1202" t="s">
        <v>9</v>
      </c>
      <c r="AC1202" s="21">
        <v>108684.81</v>
      </c>
      <c r="AD1202" s="21" t="s">
        <v>368</v>
      </c>
      <c r="AE1202" t="str">
        <f>VLOOKUP(Table_Query_from_Actuarial___Production3[[#This Row],[Kor1]],$AI$3:$AK$105,3,FALSE)</f>
        <v>Claims Expense</v>
      </c>
      <c r="AF1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3" spans="18:32" x14ac:dyDescent="0.2">
      <c r="R1203" t="s">
        <v>16</v>
      </c>
      <c r="S1203" t="s">
        <v>255</v>
      </c>
      <c r="T1203" t="s">
        <v>445</v>
      </c>
      <c r="U1203" s="21">
        <v>4742.67</v>
      </c>
      <c r="V1203" s="21" t="s">
        <v>368</v>
      </c>
      <c r="W1203" t="str">
        <f>VLOOKUP(Table_Query_from_Actuarial___Production[[#This Row],[Kor1]],$AI$3:$AK$105,3,FALSE)</f>
        <v>Losses Outstanding</v>
      </c>
      <c r="X1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3"/>
      <c r="Z1203" t="s">
        <v>33</v>
      </c>
      <c r="AA1203" t="s">
        <v>250</v>
      </c>
      <c r="AB1203" t="s">
        <v>427</v>
      </c>
      <c r="AC1203" s="21">
        <v>30019.200000000001</v>
      </c>
      <c r="AD1203" s="21" t="s">
        <v>368</v>
      </c>
      <c r="AE1203" t="str">
        <f>VLOOKUP(Table_Query_from_Actuarial___Production3[[#This Row],[Kor1]],$AI$3:$AK$105,3,FALSE)</f>
        <v>Misc. Expense</v>
      </c>
      <c r="AF1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4" spans="18:32" x14ac:dyDescent="0.2">
      <c r="R1204" t="s">
        <v>31</v>
      </c>
      <c r="S1204" t="s">
        <v>233</v>
      </c>
      <c r="T1204" t="s">
        <v>445</v>
      </c>
      <c r="U1204" s="21">
        <v>462.86</v>
      </c>
      <c r="V1204" s="21" t="s">
        <v>368</v>
      </c>
      <c r="W1204" t="str">
        <f>VLOOKUP(Table_Query_from_Actuarial___Production[[#This Row],[Kor1]],$AI$3:$AK$105,3,FALSE)</f>
        <v>Misc. Expense</v>
      </c>
      <c r="X1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4"/>
      <c r="Z1204" t="s">
        <v>33</v>
      </c>
      <c r="AA1204" t="s">
        <v>251</v>
      </c>
      <c r="AB1204" t="s">
        <v>6</v>
      </c>
      <c r="AC1204" s="21">
        <v>14935.08</v>
      </c>
      <c r="AD1204" s="21" t="s">
        <v>368</v>
      </c>
      <c r="AE1204" t="str">
        <f>VLOOKUP(Table_Query_from_Actuarial___Production3[[#This Row],[Kor1]],$AI$3:$AK$105,3,FALSE)</f>
        <v>Misc. Expense</v>
      </c>
      <c r="AF1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5" spans="18:32" x14ac:dyDescent="0.2">
      <c r="R1205" t="s">
        <v>15</v>
      </c>
      <c r="S1205" t="s">
        <v>224</v>
      </c>
      <c r="T1205" t="s">
        <v>443</v>
      </c>
      <c r="U1205" s="21">
        <v>132657.4</v>
      </c>
      <c r="V1205" s="21" t="s">
        <v>368</v>
      </c>
      <c r="W1205" t="str">
        <f>VLOOKUP(Table_Query_from_Actuarial___Production[[#This Row],[Kor1]],$AI$3:$AK$105,3,FALSE)</f>
        <v>Unearned Premiums</v>
      </c>
      <c r="X1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205"/>
      <c r="Z1205" t="s">
        <v>10</v>
      </c>
      <c r="AA1205" t="s">
        <v>254</v>
      </c>
      <c r="AB1205" t="s">
        <v>356</v>
      </c>
      <c r="AC1205" s="21">
        <v>220972.25</v>
      </c>
      <c r="AD1205" s="21" t="s">
        <v>368</v>
      </c>
      <c r="AE1205" t="str">
        <f>VLOOKUP(Table_Query_from_Actuarial___Production3[[#This Row],[Kor1]],$AI$3:$AK$105,3,FALSE)</f>
        <v>Commissions</v>
      </c>
      <c r="AF1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6" spans="18:32" x14ac:dyDescent="0.2">
      <c r="R1206" t="s">
        <v>10</v>
      </c>
      <c r="S1206" t="s">
        <v>234</v>
      </c>
      <c r="T1206" t="s">
        <v>8</v>
      </c>
      <c r="U1206" s="21">
        <v>58108.91</v>
      </c>
      <c r="V1206" s="21" t="s">
        <v>368</v>
      </c>
      <c r="W1206" t="str">
        <f>VLOOKUP(Table_Query_from_Actuarial___Production[[#This Row],[Kor1]],$AI$3:$AK$105,3,FALSE)</f>
        <v>Commissions</v>
      </c>
      <c r="X1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6"/>
      <c r="Z1206" t="s">
        <v>33</v>
      </c>
      <c r="AA1206" t="s">
        <v>261</v>
      </c>
      <c r="AB1206" t="s">
        <v>7</v>
      </c>
      <c r="AC1206" s="21">
        <v>13649.23</v>
      </c>
      <c r="AD1206" s="21" t="s">
        <v>368</v>
      </c>
      <c r="AE1206" t="str">
        <f>VLOOKUP(Table_Query_from_Actuarial___Production3[[#This Row],[Kor1]],$AI$3:$AK$105,3,FALSE)</f>
        <v>Misc. Expense</v>
      </c>
      <c r="AF1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7" spans="18:32" x14ac:dyDescent="0.2">
      <c r="R1207" t="s">
        <v>40</v>
      </c>
      <c r="S1207" t="s">
        <v>232</v>
      </c>
      <c r="T1207" t="s">
        <v>427</v>
      </c>
      <c r="U1207" s="21">
        <v>306.5</v>
      </c>
      <c r="V1207" s="21" t="s">
        <v>368</v>
      </c>
      <c r="W1207" t="str">
        <f>VLOOKUP(Table_Query_from_Actuarial___Production[[#This Row],[Kor1]],$AI$3:$AK$105,3,FALSE)</f>
        <v>Misc. Income</v>
      </c>
      <c r="X1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7"/>
      <c r="Z1207" t="s">
        <v>12</v>
      </c>
      <c r="AA1207" t="s">
        <v>236</v>
      </c>
      <c r="AB1207" t="s">
        <v>441</v>
      </c>
      <c r="AC1207" s="21">
        <v>698.48</v>
      </c>
      <c r="AD1207" s="21" t="s">
        <v>368</v>
      </c>
      <c r="AE1207" t="str">
        <f>VLOOKUP(Table_Query_from_Actuarial___Production3[[#This Row],[Kor1]],$AI$3:$AK$105,3,FALSE)</f>
        <v>Premium Tax</v>
      </c>
      <c r="AF1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8" spans="18:32" x14ac:dyDescent="0.2">
      <c r="R1208" t="s">
        <v>13</v>
      </c>
      <c r="S1208" t="s">
        <v>254</v>
      </c>
      <c r="T1208" t="s">
        <v>441</v>
      </c>
      <c r="U1208" s="21">
        <v>5840307.1799999997</v>
      </c>
      <c r="V1208" s="21" t="s">
        <v>368</v>
      </c>
      <c r="W1208" t="str">
        <f>VLOOKUP(Table_Query_from_Actuarial___Production[[#This Row],[Kor1]],$AI$3:$AK$105,3,FALSE)</f>
        <v>Operating Service Fees</v>
      </c>
      <c r="X1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8"/>
      <c r="Z1208" t="s">
        <v>13</v>
      </c>
      <c r="AA1208" t="s">
        <v>243</v>
      </c>
      <c r="AB1208" t="s">
        <v>443</v>
      </c>
      <c r="AC1208" s="21">
        <v>18830.64</v>
      </c>
      <c r="AD1208" s="21" t="s">
        <v>368</v>
      </c>
      <c r="AE1208" t="str">
        <f>VLOOKUP(Table_Query_from_Actuarial___Production3[[#This Row],[Kor1]],$AI$3:$AK$105,3,FALSE)</f>
        <v>Operating Service Fees</v>
      </c>
      <c r="AF1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09" spans="18:32" x14ac:dyDescent="0.2">
      <c r="R1209" t="s">
        <v>48</v>
      </c>
      <c r="S1209" t="s">
        <v>241</v>
      </c>
      <c r="T1209" t="s">
        <v>443</v>
      </c>
      <c r="U1209" s="21">
        <v>1102.22</v>
      </c>
      <c r="V1209" s="21" t="s">
        <v>368</v>
      </c>
      <c r="W1209" t="str">
        <f>VLOOKUP(Table_Query_from_Actuarial___Production[[#This Row],[Kor1]],$AI$3:$AK$105,3,FALSE)</f>
        <v>Anticipated Salvage</v>
      </c>
      <c r="X1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09"/>
      <c r="Z1209" t="s">
        <v>19</v>
      </c>
      <c r="AA1209" t="s">
        <v>262</v>
      </c>
      <c r="AB1209" t="s">
        <v>433</v>
      </c>
      <c r="AC1209" s="21">
        <v>147</v>
      </c>
      <c r="AD1209" s="21" t="s">
        <v>368</v>
      </c>
      <c r="AE1209" t="str">
        <f>VLOOKUP(Table_Query_from_Actuarial___Production3[[#This Row],[Kor1]],$AI$3:$AK$105,3,FALSE)</f>
        <v>Misc. Expense for Insolvent Companies</v>
      </c>
      <c r="AF1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0" spans="18:32" x14ac:dyDescent="0.2">
      <c r="R1210" t="s">
        <v>21</v>
      </c>
      <c r="S1210" t="s">
        <v>263</v>
      </c>
      <c r="T1210" t="s">
        <v>427</v>
      </c>
      <c r="U1210" s="21">
        <v>1496</v>
      </c>
      <c r="V1210" s="21" t="s">
        <v>368</v>
      </c>
      <c r="W1210" t="str">
        <f>VLOOKUP(Table_Query_from_Actuarial___Production[[#This Row],[Kor1]],$AI$3:$AK$105,3,FALSE)</f>
        <v>Misc. Expense</v>
      </c>
      <c r="X1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0"/>
      <c r="Z1210" t="s">
        <v>13</v>
      </c>
      <c r="AA1210" t="s">
        <v>352</v>
      </c>
      <c r="AB1210" t="s">
        <v>356</v>
      </c>
      <c r="AC1210" s="21">
        <v>20351.849999999999</v>
      </c>
      <c r="AD1210" s="21" t="s">
        <v>369</v>
      </c>
      <c r="AE1210" t="str">
        <f>VLOOKUP(Table_Query_from_Actuarial___Production3[[#This Row],[Kor1]],$AI$3:$AK$105,3,FALSE)</f>
        <v>Operating Service Fees</v>
      </c>
      <c r="AF1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211" spans="18:32" x14ac:dyDescent="0.2">
      <c r="R1211" t="s">
        <v>31</v>
      </c>
      <c r="S1211" t="s">
        <v>268</v>
      </c>
      <c r="T1211" t="s">
        <v>427</v>
      </c>
      <c r="U1211" s="21">
        <v>803.1</v>
      </c>
      <c r="V1211" s="21" t="s">
        <v>368</v>
      </c>
      <c r="W1211" t="str">
        <f>VLOOKUP(Table_Query_from_Actuarial___Production[[#This Row],[Kor1]],$AI$3:$AK$105,3,FALSE)</f>
        <v>Misc. Expense</v>
      </c>
      <c r="X1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1"/>
      <c r="Z1211" t="s">
        <v>43</v>
      </c>
      <c r="AA1211" t="s">
        <v>224</v>
      </c>
      <c r="AB1211" t="s">
        <v>356</v>
      </c>
      <c r="AC1211" s="21">
        <v>71.37</v>
      </c>
      <c r="AD1211" s="21" t="s">
        <v>370</v>
      </c>
      <c r="AE1211" t="str">
        <f>VLOOKUP(Table_Query_from_Actuarial___Production3[[#This Row],[Kor1]],$AI$3:$AK$105,3,FALSE)</f>
        <v>Charge-offs</v>
      </c>
      <c r="AF1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212" spans="18:32" x14ac:dyDescent="0.2">
      <c r="R1212" t="s">
        <v>44</v>
      </c>
      <c r="S1212" t="s">
        <v>266</v>
      </c>
      <c r="T1212" t="s">
        <v>351</v>
      </c>
      <c r="U1212" s="21">
        <v>2015.69</v>
      </c>
      <c r="V1212" s="21" t="s">
        <v>368</v>
      </c>
      <c r="W1212" t="str">
        <f>VLOOKUP(Table_Query_from_Actuarial___Production[[#This Row],[Kor1]],$AI$3:$AK$105,3,FALSE)</f>
        <v>Charge-offs</v>
      </c>
      <c r="X1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2"/>
      <c r="Z1212" t="s">
        <v>13</v>
      </c>
      <c r="AA1212" t="s">
        <v>234</v>
      </c>
      <c r="AB1212" t="s">
        <v>6</v>
      </c>
      <c r="AC1212" s="21">
        <v>118789.31</v>
      </c>
      <c r="AD1212" s="21" t="s">
        <v>368</v>
      </c>
      <c r="AE1212" t="str">
        <f>VLOOKUP(Table_Query_from_Actuarial___Production3[[#This Row],[Kor1]],$AI$3:$AK$105,3,FALSE)</f>
        <v>Operating Service Fees</v>
      </c>
      <c r="AF1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3" spans="18:32" x14ac:dyDescent="0.2">
      <c r="R1213" t="s">
        <v>16</v>
      </c>
      <c r="S1213" t="s">
        <v>250</v>
      </c>
      <c r="T1213" t="s">
        <v>427</v>
      </c>
      <c r="U1213" s="21">
        <v>47524</v>
      </c>
      <c r="V1213" s="21" t="s">
        <v>368</v>
      </c>
      <c r="W1213" t="str">
        <f>VLOOKUP(Table_Query_from_Actuarial___Production[[#This Row],[Kor1]],$AI$3:$AK$105,3,FALSE)</f>
        <v>Losses Outstanding</v>
      </c>
      <c r="X1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3"/>
      <c r="Z1213" t="s">
        <v>17</v>
      </c>
      <c r="AA1213" t="s">
        <v>230</v>
      </c>
      <c r="AB1213" t="s">
        <v>443</v>
      </c>
      <c r="AC1213" s="21">
        <v>1189826.3</v>
      </c>
      <c r="AD1213" s="21" t="s">
        <v>368</v>
      </c>
      <c r="AE1213" t="str">
        <f>VLOOKUP(Table_Query_from_Actuarial___Production3[[#This Row],[Kor1]],$AI$3:$AK$105,3,FALSE)</f>
        <v>IBNR</v>
      </c>
      <c r="AF1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4" spans="18:32" x14ac:dyDescent="0.2">
      <c r="R1214" t="s">
        <v>36</v>
      </c>
      <c r="S1214" t="s">
        <v>250</v>
      </c>
      <c r="T1214" t="s">
        <v>9</v>
      </c>
      <c r="U1214" s="21">
        <v>2596</v>
      </c>
      <c r="V1214" s="21" t="s">
        <v>368</v>
      </c>
      <c r="W1214" t="str">
        <f>VLOOKUP(Table_Query_from_Actuarial___Production[[#This Row],[Kor1]],$AI$3:$AK$105,3,FALSE)</f>
        <v>Misc. Expense</v>
      </c>
      <c r="X1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4"/>
      <c r="Z1214" t="s">
        <v>31</v>
      </c>
      <c r="AA1214" t="s">
        <v>264</v>
      </c>
      <c r="AB1214" t="s">
        <v>356</v>
      </c>
      <c r="AC1214" s="21">
        <v>620.25</v>
      </c>
      <c r="AD1214" s="21" t="s">
        <v>368</v>
      </c>
      <c r="AE1214" t="str">
        <f>VLOOKUP(Table_Query_from_Actuarial___Production3[[#This Row],[Kor1]],$AI$3:$AK$105,3,FALSE)</f>
        <v>Misc. Expense</v>
      </c>
      <c r="AF1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5" spans="18:32" x14ac:dyDescent="0.2">
      <c r="R1215" t="s">
        <v>3</v>
      </c>
      <c r="S1215" t="s">
        <v>234</v>
      </c>
      <c r="T1215" t="s">
        <v>427</v>
      </c>
      <c r="U1215" s="21">
        <v>766447</v>
      </c>
      <c r="V1215" s="21" t="s">
        <v>368</v>
      </c>
      <c r="W1215" t="str">
        <f>VLOOKUP(Table_Query_from_Actuarial___Production[[#This Row],[Kor1]],$AI$3:$AK$105,3,FALSE)</f>
        <v>Premiums Written</v>
      </c>
      <c r="X1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5"/>
      <c r="Z1215" t="s">
        <v>41</v>
      </c>
      <c r="AA1215" t="s">
        <v>250</v>
      </c>
      <c r="AB1215" t="s">
        <v>5</v>
      </c>
      <c r="AC1215" s="21">
        <v>249.99</v>
      </c>
      <c r="AD1215" s="21" t="s">
        <v>368</v>
      </c>
      <c r="AE1215" t="str">
        <f>VLOOKUP(Table_Query_from_Actuarial___Production3[[#This Row],[Kor1]],$AI$3:$AK$105,3,FALSE)</f>
        <v>Misc. Income</v>
      </c>
      <c r="AF1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6" spans="18:32" x14ac:dyDescent="0.2">
      <c r="R1216" t="s">
        <v>11</v>
      </c>
      <c r="S1216" t="s">
        <v>224</v>
      </c>
      <c r="T1216" t="s">
        <v>7</v>
      </c>
      <c r="U1216" s="21">
        <v>83343.97</v>
      </c>
      <c r="V1216" s="21" t="s">
        <v>425</v>
      </c>
      <c r="W1216" t="str">
        <f>VLOOKUP(Table_Query_from_Actuarial___Production[[#This Row],[Kor1]],$AI$3:$AK$105,3,FALSE)</f>
        <v>Losses Paid</v>
      </c>
      <c r="X1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216"/>
      <c r="Z1216" t="s">
        <v>16</v>
      </c>
      <c r="AA1216" t="s">
        <v>226</v>
      </c>
      <c r="AB1216" t="s">
        <v>433</v>
      </c>
      <c r="AC1216" s="21">
        <v>1974391.92</v>
      </c>
      <c r="AD1216" s="21" t="s">
        <v>368</v>
      </c>
      <c r="AE1216" t="str">
        <f>VLOOKUP(Table_Query_from_Actuarial___Production3[[#This Row],[Kor1]],$AI$3:$AK$105,3,FALSE)</f>
        <v>Losses Outstanding</v>
      </c>
      <c r="AF1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217" spans="18:32" x14ac:dyDescent="0.2">
      <c r="R1217" t="s">
        <v>19</v>
      </c>
      <c r="S1217" t="s">
        <v>255</v>
      </c>
      <c r="T1217" t="s">
        <v>433</v>
      </c>
      <c r="U1217" s="21">
        <v>307</v>
      </c>
      <c r="V1217" s="21" t="s">
        <v>368</v>
      </c>
      <c r="W1217" t="str">
        <f>VLOOKUP(Table_Query_from_Actuarial___Production[[#This Row],[Kor1]],$AI$3:$AK$105,3,FALSE)</f>
        <v>Misc. Expense for Insolvent Companies</v>
      </c>
      <c r="X1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7"/>
      <c r="Z1217" t="s">
        <v>19</v>
      </c>
      <c r="AA1217" t="s">
        <v>237</v>
      </c>
      <c r="AB1217" t="s">
        <v>443</v>
      </c>
      <c r="AC1217" s="21">
        <v>61.97</v>
      </c>
      <c r="AD1217" s="21" t="s">
        <v>368</v>
      </c>
      <c r="AE1217" t="str">
        <f>VLOOKUP(Table_Query_from_Actuarial___Production3[[#This Row],[Kor1]],$AI$3:$AK$105,3,FALSE)</f>
        <v>Misc. Expense for Insolvent Companies</v>
      </c>
      <c r="AF1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8" spans="18:32" x14ac:dyDescent="0.2">
      <c r="R1218" t="s">
        <v>43</v>
      </c>
      <c r="S1218" t="s">
        <v>257</v>
      </c>
      <c r="T1218" t="s">
        <v>433</v>
      </c>
      <c r="U1218" s="21">
        <v>-110.26</v>
      </c>
      <c r="V1218" s="21" t="s">
        <v>368</v>
      </c>
      <c r="W1218" t="str">
        <f>VLOOKUP(Table_Query_from_Actuarial___Production[[#This Row],[Kor1]],$AI$3:$AK$105,3,FALSE)</f>
        <v>Charge-offs</v>
      </c>
      <c r="X1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18"/>
      <c r="Z1218" t="s">
        <v>21</v>
      </c>
      <c r="AA1218" t="s">
        <v>237</v>
      </c>
      <c r="AB1218" t="s">
        <v>433</v>
      </c>
      <c r="AC1218" s="21">
        <v>15376.02</v>
      </c>
      <c r="AD1218" s="21" t="s">
        <v>368</v>
      </c>
      <c r="AE1218" t="str">
        <f>VLOOKUP(Table_Query_from_Actuarial___Production3[[#This Row],[Kor1]],$AI$3:$AK$105,3,FALSE)</f>
        <v>Misc. Expense</v>
      </c>
      <c r="AF1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19" spans="18:32" x14ac:dyDescent="0.2">
      <c r="R1219" t="s">
        <v>48</v>
      </c>
      <c r="S1219" t="s">
        <v>354</v>
      </c>
      <c r="T1219" t="s">
        <v>441</v>
      </c>
      <c r="U1219" s="21">
        <v>73168.23</v>
      </c>
      <c r="V1219" s="21" t="s">
        <v>368</v>
      </c>
      <c r="W1219" t="str">
        <f>VLOOKUP(Table_Query_from_Actuarial___Production[[#This Row],[Kor1]],$AI$3:$AK$105,3,FALSE)</f>
        <v>Anticipated Salvage</v>
      </c>
      <c r="X1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219"/>
      <c r="Z1219" t="s">
        <v>11</v>
      </c>
      <c r="AA1219" t="s">
        <v>240</v>
      </c>
      <c r="AB1219" t="s">
        <v>443</v>
      </c>
      <c r="AC1219" s="21">
        <v>10958.92</v>
      </c>
      <c r="AD1219" s="21" t="s">
        <v>368</v>
      </c>
      <c r="AE1219" t="str">
        <f>VLOOKUP(Table_Query_from_Actuarial___Production3[[#This Row],[Kor1]],$AI$3:$AK$105,3,FALSE)</f>
        <v>Losses Paid</v>
      </c>
      <c r="AF1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0" spans="18:32" x14ac:dyDescent="0.2">
      <c r="R1220" t="s">
        <v>18</v>
      </c>
      <c r="S1220" t="s">
        <v>354</v>
      </c>
      <c r="T1220" t="s">
        <v>445</v>
      </c>
      <c r="U1220" s="21">
        <v>5299971.55</v>
      </c>
      <c r="V1220" s="21" t="s">
        <v>369</v>
      </c>
      <c r="W1220" t="str">
        <f>VLOOKUP(Table_Query_from_Actuarial___Production[[#This Row],[Kor1]],$AI$3:$AK$105,3,FALSE)</f>
        <v>Misc. Expense</v>
      </c>
      <c r="X1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220"/>
      <c r="Z1220" t="s">
        <v>3</v>
      </c>
      <c r="AA1220" t="s">
        <v>260</v>
      </c>
      <c r="AB1220" t="s">
        <v>6</v>
      </c>
      <c r="AC1220" s="21">
        <v>4174</v>
      </c>
      <c r="AD1220" s="21" t="s">
        <v>368</v>
      </c>
      <c r="AE1220" t="str">
        <f>VLOOKUP(Table_Query_from_Actuarial___Production3[[#This Row],[Kor1]],$AI$3:$AK$105,3,FALSE)</f>
        <v>Premiums Written</v>
      </c>
      <c r="AF1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1" spans="18:32" x14ac:dyDescent="0.2">
      <c r="R1221" t="s">
        <v>13</v>
      </c>
      <c r="S1221" t="s">
        <v>225</v>
      </c>
      <c r="T1221" t="s">
        <v>351</v>
      </c>
      <c r="U1221" s="21">
        <v>210982.97</v>
      </c>
      <c r="V1221" s="21" t="s">
        <v>369</v>
      </c>
      <c r="W1221" t="str">
        <f>VLOOKUP(Table_Query_from_Actuarial___Production[[#This Row],[Kor1]],$AI$3:$AK$105,3,FALSE)</f>
        <v>Operating Service Fees</v>
      </c>
      <c r="X1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221"/>
      <c r="Z1221" t="s">
        <v>13</v>
      </c>
      <c r="AA1221" t="s">
        <v>249</v>
      </c>
      <c r="AB1221" t="s">
        <v>6</v>
      </c>
      <c r="AC1221" s="21">
        <v>110614.48</v>
      </c>
      <c r="AD1221" s="21" t="s">
        <v>368</v>
      </c>
      <c r="AE1221" t="str">
        <f>VLOOKUP(Table_Query_from_Actuarial___Production3[[#This Row],[Kor1]],$AI$3:$AK$105,3,FALSE)</f>
        <v>Operating Service Fees</v>
      </c>
      <c r="AF1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2" spans="18:32" x14ac:dyDescent="0.2">
      <c r="R1222" t="s">
        <v>10</v>
      </c>
      <c r="S1222" t="s">
        <v>258</v>
      </c>
      <c r="T1222" t="s">
        <v>8</v>
      </c>
      <c r="U1222" s="21">
        <v>161513.39000000001</v>
      </c>
      <c r="V1222" s="21" t="s">
        <v>368</v>
      </c>
      <c r="W1222" t="str">
        <f>VLOOKUP(Table_Query_from_Actuarial___Production[[#This Row],[Kor1]],$AI$3:$AK$105,3,FALSE)</f>
        <v>Commissions</v>
      </c>
      <c r="X1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2"/>
      <c r="Z1222" t="s">
        <v>44</v>
      </c>
      <c r="AA1222" t="s">
        <v>246</v>
      </c>
      <c r="AB1222" t="s">
        <v>427</v>
      </c>
      <c r="AC1222" s="21">
        <v>2383.4</v>
      </c>
      <c r="AD1222" s="21" t="s">
        <v>368</v>
      </c>
      <c r="AE1222" t="str">
        <f>VLOOKUP(Table_Query_from_Actuarial___Production3[[#This Row],[Kor1]],$AI$3:$AK$105,3,FALSE)</f>
        <v>Charge-offs</v>
      </c>
      <c r="AF1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3" spans="18:32" x14ac:dyDescent="0.2">
      <c r="R1223" t="s">
        <v>13</v>
      </c>
      <c r="S1223" t="s">
        <v>238</v>
      </c>
      <c r="T1223" t="s">
        <v>8</v>
      </c>
      <c r="U1223" s="21">
        <v>49708.73</v>
      </c>
      <c r="V1223" s="21" t="s">
        <v>368</v>
      </c>
      <c r="W1223" t="str">
        <f>VLOOKUP(Table_Query_from_Actuarial___Production[[#This Row],[Kor1]],$AI$3:$AK$105,3,FALSE)</f>
        <v>Operating Service Fees</v>
      </c>
      <c r="X1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3"/>
      <c r="Z1223" t="s">
        <v>14</v>
      </c>
      <c r="AA1223" t="s">
        <v>238</v>
      </c>
      <c r="AB1223" t="s">
        <v>9</v>
      </c>
      <c r="AC1223" s="21">
        <v>7387.71</v>
      </c>
      <c r="AD1223" s="21" t="s">
        <v>368</v>
      </c>
      <c r="AE1223" t="str">
        <f>VLOOKUP(Table_Query_from_Actuarial___Production3[[#This Row],[Kor1]],$AI$3:$AK$105,3,FALSE)</f>
        <v>Claims Expense</v>
      </c>
      <c r="AF1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4" spans="18:32" x14ac:dyDescent="0.2">
      <c r="R1224" t="s">
        <v>37</v>
      </c>
      <c r="S1224" t="s">
        <v>257</v>
      </c>
      <c r="T1224" t="s">
        <v>8</v>
      </c>
      <c r="U1224" s="21">
        <v>3184.57</v>
      </c>
      <c r="V1224" s="21" t="s">
        <v>368</v>
      </c>
      <c r="W1224" t="str">
        <f>VLOOKUP(Table_Query_from_Actuarial___Production[[#This Row],[Kor1]],$AI$3:$AK$105,3,FALSE)</f>
        <v>Misc. Expense</v>
      </c>
      <c r="X1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4"/>
      <c r="Z1224" t="s">
        <v>33</v>
      </c>
      <c r="AA1224" t="s">
        <v>236</v>
      </c>
      <c r="AB1224" t="s">
        <v>9</v>
      </c>
      <c r="AC1224" s="21">
        <v>15604.62</v>
      </c>
      <c r="AD1224" s="21" t="s">
        <v>368</v>
      </c>
      <c r="AE1224" t="str">
        <f>VLOOKUP(Table_Query_from_Actuarial___Production3[[#This Row],[Kor1]],$AI$3:$AK$105,3,FALSE)</f>
        <v>Misc. Expense</v>
      </c>
      <c r="AF1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5" spans="18:32" x14ac:dyDescent="0.2">
      <c r="R1225" t="s">
        <v>21</v>
      </c>
      <c r="S1225" t="s">
        <v>251</v>
      </c>
      <c r="T1225" t="s">
        <v>443</v>
      </c>
      <c r="U1225" s="21">
        <v>278.2</v>
      </c>
      <c r="V1225" s="21" t="s">
        <v>368</v>
      </c>
      <c r="W1225" t="str">
        <f>VLOOKUP(Table_Query_from_Actuarial___Production[[#This Row],[Kor1]],$AI$3:$AK$105,3,FALSE)</f>
        <v>Misc. Expense</v>
      </c>
      <c r="X1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5"/>
      <c r="Z1225" t="s">
        <v>43</v>
      </c>
      <c r="AA1225" t="s">
        <v>244</v>
      </c>
      <c r="AB1225" t="s">
        <v>356</v>
      </c>
      <c r="AC1225" s="21">
        <v>0.06</v>
      </c>
      <c r="AD1225" s="21" t="s">
        <v>368</v>
      </c>
      <c r="AE1225" t="str">
        <f>VLOOKUP(Table_Query_from_Actuarial___Production3[[#This Row],[Kor1]],$AI$3:$AK$105,3,FALSE)</f>
        <v>Charge-offs</v>
      </c>
      <c r="AF1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6" spans="18:32" x14ac:dyDescent="0.2">
      <c r="R1226" t="s">
        <v>12</v>
      </c>
      <c r="S1226" t="s">
        <v>253</v>
      </c>
      <c r="T1226" t="s">
        <v>6</v>
      </c>
      <c r="U1226" s="21">
        <v>329.3</v>
      </c>
      <c r="V1226" s="21" t="s">
        <v>368</v>
      </c>
      <c r="W1226" t="str">
        <f>VLOOKUP(Table_Query_from_Actuarial___Production[[#This Row],[Kor1]],$AI$3:$AK$105,3,FALSE)</f>
        <v>Premium Tax</v>
      </c>
      <c r="X1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6"/>
      <c r="Z1226" t="s">
        <v>31</v>
      </c>
      <c r="AA1226" t="s">
        <v>240</v>
      </c>
      <c r="AB1226" t="s">
        <v>351</v>
      </c>
      <c r="AC1226" s="21">
        <v>42.14</v>
      </c>
      <c r="AD1226" s="21" t="s">
        <v>368</v>
      </c>
      <c r="AE1226" t="str">
        <f>VLOOKUP(Table_Query_from_Actuarial___Production3[[#This Row],[Kor1]],$AI$3:$AK$105,3,FALSE)</f>
        <v>Misc. Expense</v>
      </c>
      <c r="AF1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27" spans="18:32" x14ac:dyDescent="0.2">
      <c r="R1227" t="s">
        <v>19</v>
      </c>
      <c r="S1227" t="s">
        <v>4</v>
      </c>
      <c r="T1227" t="s">
        <v>443</v>
      </c>
      <c r="U1227" s="21">
        <v>9541.4699999999993</v>
      </c>
      <c r="V1227" s="21" t="s">
        <v>368</v>
      </c>
      <c r="W1227" t="str">
        <f>VLOOKUP(Table_Query_from_Actuarial___Production[[#This Row],[Kor1]],$AI$3:$AK$105,3,FALSE)</f>
        <v>Misc. Expense for Insolvent Companies</v>
      </c>
      <c r="X1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7"/>
      <c r="Z1227" t="s">
        <v>13</v>
      </c>
      <c r="AA1227" t="s">
        <v>225</v>
      </c>
      <c r="AB1227" t="s">
        <v>356</v>
      </c>
      <c r="AC1227" s="21">
        <v>102365.84</v>
      </c>
      <c r="AD1227" s="21" t="s">
        <v>368</v>
      </c>
      <c r="AE1227" t="str">
        <f>VLOOKUP(Table_Query_from_Actuarial___Production3[[#This Row],[Kor1]],$AI$3:$AK$105,3,FALSE)</f>
        <v>Operating Service Fees</v>
      </c>
      <c r="AF1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228" spans="18:32" x14ac:dyDescent="0.2">
      <c r="R1228" t="s">
        <v>20</v>
      </c>
      <c r="S1228" t="s">
        <v>262</v>
      </c>
      <c r="T1228" t="s">
        <v>351</v>
      </c>
      <c r="U1228" s="21">
        <v>96.91</v>
      </c>
      <c r="V1228" s="21" t="s">
        <v>368</v>
      </c>
      <c r="W1228" t="str">
        <f>VLOOKUP(Table_Query_from_Actuarial___Production[[#This Row],[Kor1]],$AI$3:$AK$105,3,FALSE)</f>
        <v>Misc. Expense</v>
      </c>
      <c r="X1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8"/>
      <c r="Z1228" t="s">
        <v>46</v>
      </c>
      <c r="AA1228" t="s">
        <v>224</v>
      </c>
      <c r="AB1228" t="s">
        <v>356</v>
      </c>
      <c r="AC1228" s="21">
        <v>88809.72</v>
      </c>
      <c r="AD1228" s="21" t="s">
        <v>368</v>
      </c>
      <c r="AE1228" t="str">
        <f>VLOOKUP(Table_Query_from_Actuarial___Production3[[#This Row],[Kor1]],$AI$3:$AK$105,3,FALSE)</f>
        <v>Investment Income</v>
      </c>
      <c r="AF1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229" spans="18:32" x14ac:dyDescent="0.2">
      <c r="R1229" t="s">
        <v>10</v>
      </c>
      <c r="S1229" t="s">
        <v>253</v>
      </c>
      <c r="T1229" t="s">
        <v>351</v>
      </c>
      <c r="U1229" s="21">
        <v>293.2</v>
      </c>
      <c r="V1229" s="21" t="s">
        <v>368</v>
      </c>
      <c r="W1229" t="str">
        <f>VLOOKUP(Table_Query_from_Actuarial___Production[[#This Row],[Kor1]],$AI$3:$AK$105,3,FALSE)</f>
        <v>Commissions</v>
      </c>
      <c r="X1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29"/>
      <c r="Z1229" t="s">
        <v>14</v>
      </c>
      <c r="AA1229" t="s">
        <v>254</v>
      </c>
      <c r="AB1229" t="s">
        <v>356</v>
      </c>
      <c r="AC1229" s="21">
        <v>626824.98</v>
      </c>
      <c r="AD1229" s="21" t="s">
        <v>368</v>
      </c>
      <c r="AE1229" t="str">
        <f>VLOOKUP(Table_Query_from_Actuarial___Production3[[#This Row],[Kor1]],$AI$3:$AK$105,3,FALSE)</f>
        <v>Claims Expense</v>
      </c>
      <c r="AF1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0" spans="18:32" x14ac:dyDescent="0.2">
      <c r="R1230" t="s">
        <v>39</v>
      </c>
      <c r="S1230" t="s">
        <v>263</v>
      </c>
      <c r="T1230" t="s">
        <v>441</v>
      </c>
      <c r="U1230" s="21">
        <v>536.92999999999995</v>
      </c>
      <c r="V1230" s="21" t="s">
        <v>368</v>
      </c>
      <c r="W1230" t="str">
        <f>VLOOKUP(Table_Query_from_Actuarial___Production[[#This Row],[Kor1]],$AI$3:$AK$105,3,FALSE)</f>
        <v>Misc. Income for Insolvent Companies</v>
      </c>
      <c r="X1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0"/>
      <c r="Z1230" t="s">
        <v>15</v>
      </c>
      <c r="AA1230" t="s">
        <v>224</v>
      </c>
      <c r="AB1230" t="s">
        <v>443</v>
      </c>
      <c r="AC1230" s="21">
        <v>904205.18</v>
      </c>
      <c r="AD1230" s="21" t="s">
        <v>368</v>
      </c>
      <c r="AE1230" t="str">
        <f>VLOOKUP(Table_Query_from_Actuarial___Production3[[#This Row],[Kor1]],$AI$3:$AK$105,3,FALSE)</f>
        <v>Unearned Premiums</v>
      </c>
      <c r="AF1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231" spans="18:32" x14ac:dyDescent="0.2">
      <c r="R1231" t="s">
        <v>41</v>
      </c>
      <c r="S1231" t="s">
        <v>249</v>
      </c>
      <c r="T1231" t="s">
        <v>8</v>
      </c>
      <c r="U1231" s="21">
        <v>250</v>
      </c>
      <c r="V1231" s="21" t="s">
        <v>368</v>
      </c>
      <c r="W1231" t="str">
        <f>VLOOKUP(Table_Query_from_Actuarial___Production[[#This Row],[Kor1]],$AI$3:$AK$105,3,FALSE)</f>
        <v>Misc. Income</v>
      </c>
      <c r="X1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1"/>
      <c r="Z1231" t="s">
        <v>10</v>
      </c>
      <c r="AA1231" t="s">
        <v>234</v>
      </c>
      <c r="AB1231" t="s">
        <v>8</v>
      </c>
      <c r="AC1231" s="21">
        <v>58108.91</v>
      </c>
      <c r="AD1231" s="21" t="s">
        <v>368</v>
      </c>
      <c r="AE1231" t="str">
        <f>VLOOKUP(Table_Query_from_Actuarial___Production3[[#This Row],[Kor1]],$AI$3:$AK$105,3,FALSE)</f>
        <v>Commissions</v>
      </c>
      <c r="AF1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2" spans="18:32" x14ac:dyDescent="0.2">
      <c r="R1232" t="s">
        <v>41</v>
      </c>
      <c r="S1232" t="s">
        <v>254</v>
      </c>
      <c r="T1232" t="s">
        <v>443</v>
      </c>
      <c r="U1232" s="21">
        <v>2567.7800000000002</v>
      </c>
      <c r="V1232" s="21" t="s">
        <v>368</v>
      </c>
      <c r="W1232" t="str">
        <f>VLOOKUP(Table_Query_from_Actuarial___Production[[#This Row],[Kor1]],$AI$3:$AK$105,3,FALSE)</f>
        <v>Misc. Income</v>
      </c>
      <c r="X1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2"/>
      <c r="Z1232" t="s">
        <v>19</v>
      </c>
      <c r="AA1232" t="s">
        <v>262</v>
      </c>
      <c r="AB1232" t="s">
        <v>5</v>
      </c>
      <c r="AC1232" s="21">
        <v>191</v>
      </c>
      <c r="AD1232" s="21" t="s">
        <v>368</v>
      </c>
      <c r="AE1232" t="str">
        <f>VLOOKUP(Table_Query_from_Actuarial___Production3[[#This Row],[Kor1]],$AI$3:$AK$105,3,FALSE)</f>
        <v>Misc. Expense for Insolvent Companies</v>
      </c>
      <c r="AF1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3" spans="18:32" x14ac:dyDescent="0.2">
      <c r="R1233" t="s">
        <v>43</v>
      </c>
      <c r="S1233" t="s">
        <v>4</v>
      </c>
      <c r="T1233" t="s">
        <v>8</v>
      </c>
      <c r="U1233" s="21">
        <v>-1932.48</v>
      </c>
      <c r="V1233" s="21" t="s">
        <v>368</v>
      </c>
      <c r="W1233" t="str">
        <f>VLOOKUP(Table_Query_from_Actuarial___Production[[#This Row],[Kor1]],$AI$3:$AK$105,3,FALSE)</f>
        <v>Charge-offs</v>
      </c>
      <c r="X1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3"/>
      <c r="Z1233" t="s">
        <v>40</v>
      </c>
      <c r="AA1233" t="s">
        <v>232</v>
      </c>
      <c r="AB1233" t="s">
        <v>427</v>
      </c>
      <c r="AC1233" s="21">
        <v>306.5</v>
      </c>
      <c r="AD1233" s="21" t="s">
        <v>368</v>
      </c>
      <c r="AE1233" t="str">
        <f>VLOOKUP(Table_Query_from_Actuarial___Production3[[#This Row],[Kor1]],$AI$3:$AK$105,3,FALSE)</f>
        <v>Misc. Income</v>
      </c>
      <c r="AF1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4" spans="18:32" x14ac:dyDescent="0.2">
      <c r="R1234" t="s">
        <v>49</v>
      </c>
      <c r="S1234" t="s">
        <v>242</v>
      </c>
      <c r="T1234" t="s">
        <v>427</v>
      </c>
      <c r="U1234" s="21">
        <v>50820.13</v>
      </c>
      <c r="V1234" s="21" t="s">
        <v>368</v>
      </c>
      <c r="W1234" t="str">
        <f>VLOOKUP(Table_Query_from_Actuarial___Production[[#This Row],[Kor1]],$AI$3:$AK$105,3,FALSE)</f>
        <v>ALAE Paid</v>
      </c>
      <c r="X1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4"/>
      <c r="Z1234" t="s">
        <v>13</v>
      </c>
      <c r="AA1234" t="s">
        <v>254</v>
      </c>
      <c r="AB1234" t="s">
        <v>441</v>
      </c>
      <c r="AC1234" s="21">
        <v>5840554.8600000003</v>
      </c>
      <c r="AD1234" s="21" t="s">
        <v>368</v>
      </c>
      <c r="AE1234" t="str">
        <f>VLOOKUP(Table_Query_from_Actuarial___Production3[[#This Row],[Kor1]],$AI$3:$AK$105,3,FALSE)</f>
        <v>Operating Service Fees</v>
      </c>
      <c r="AF1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5" spans="18:32" x14ac:dyDescent="0.2">
      <c r="R1235" t="s">
        <v>39</v>
      </c>
      <c r="S1235" t="s">
        <v>259</v>
      </c>
      <c r="T1235" t="s">
        <v>351</v>
      </c>
      <c r="U1235" s="21">
        <v>6409.03</v>
      </c>
      <c r="V1235" s="21" t="s">
        <v>368</v>
      </c>
      <c r="W1235" t="str">
        <f>VLOOKUP(Table_Query_from_Actuarial___Production[[#This Row],[Kor1]],$AI$3:$AK$105,3,FALSE)</f>
        <v>Misc. Income for Insolvent Companies</v>
      </c>
      <c r="X1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5"/>
      <c r="Z1235" t="s">
        <v>48</v>
      </c>
      <c r="AA1235" t="s">
        <v>241</v>
      </c>
      <c r="AB1235" t="s">
        <v>443</v>
      </c>
      <c r="AC1235" s="21">
        <v>148.13999999999999</v>
      </c>
      <c r="AD1235" s="21" t="s">
        <v>368</v>
      </c>
      <c r="AE1235" t="str">
        <f>VLOOKUP(Table_Query_from_Actuarial___Production3[[#This Row],[Kor1]],$AI$3:$AK$105,3,FALSE)</f>
        <v>Anticipated Salvage</v>
      </c>
      <c r="AF1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6" spans="18:32" x14ac:dyDescent="0.2">
      <c r="R1236" t="s">
        <v>13</v>
      </c>
      <c r="S1236" t="s">
        <v>254</v>
      </c>
      <c r="T1236" t="s">
        <v>351</v>
      </c>
      <c r="U1236" s="21">
        <v>477644.76</v>
      </c>
      <c r="V1236" s="21" t="s">
        <v>368</v>
      </c>
      <c r="W1236" t="str">
        <f>VLOOKUP(Table_Query_from_Actuarial___Production[[#This Row],[Kor1]],$AI$3:$AK$105,3,FALSE)</f>
        <v>Operating Service Fees</v>
      </c>
      <c r="X1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6"/>
      <c r="Z1236" t="s">
        <v>21</v>
      </c>
      <c r="AA1236" t="s">
        <v>263</v>
      </c>
      <c r="AB1236" t="s">
        <v>427</v>
      </c>
      <c r="AC1236" s="21">
        <v>1496</v>
      </c>
      <c r="AD1236" s="21" t="s">
        <v>368</v>
      </c>
      <c r="AE1236" t="str">
        <f>VLOOKUP(Table_Query_from_Actuarial___Production3[[#This Row],[Kor1]],$AI$3:$AK$105,3,FALSE)</f>
        <v>Misc. Expense</v>
      </c>
      <c r="AF1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7" spans="18:32" x14ac:dyDescent="0.2">
      <c r="R1237" t="s">
        <v>41</v>
      </c>
      <c r="S1237" t="s">
        <v>268</v>
      </c>
      <c r="T1237" t="s">
        <v>356</v>
      </c>
      <c r="U1237" s="21">
        <v>150</v>
      </c>
      <c r="V1237" s="21" t="s">
        <v>368</v>
      </c>
      <c r="W1237" t="str">
        <f>VLOOKUP(Table_Query_from_Actuarial___Production[[#This Row],[Kor1]],$AI$3:$AK$105,3,FALSE)</f>
        <v>Misc. Income</v>
      </c>
      <c r="X1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7"/>
      <c r="Z1237" t="s">
        <v>31</v>
      </c>
      <c r="AA1237" t="s">
        <v>268</v>
      </c>
      <c r="AB1237" t="s">
        <v>427</v>
      </c>
      <c r="AC1237" s="21">
        <v>803.1</v>
      </c>
      <c r="AD1237" s="21" t="s">
        <v>368</v>
      </c>
      <c r="AE1237" t="str">
        <f>VLOOKUP(Table_Query_from_Actuarial___Production3[[#This Row],[Kor1]],$AI$3:$AK$105,3,FALSE)</f>
        <v>Misc. Expense</v>
      </c>
      <c r="AF1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8" spans="18:32" x14ac:dyDescent="0.2">
      <c r="R1238" t="s">
        <v>21</v>
      </c>
      <c r="S1238" t="s">
        <v>263</v>
      </c>
      <c r="T1238" t="s">
        <v>443</v>
      </c>
      <c r="U1238" s="21">
        <v>95</v>
      </c>
      <c r="V1238" s="21" t="s">
        <v>368</v>
      </c>
      <c r="W1238" t="str">
        <f>VLOOKUP(Table_Query_from_Actuarial___Production[[#This Row],[Kor1]],$AI$3:$AK$105,3,FALSE)</f>
        <v>Misc. Expense</v>
      </c>
      <c r="X1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8"/>
      <c r="Z1238" t="s">
        <v>33</v>
      </c>
      <c r="AA1238" t="s">
        <v>242</v>
      </c>
      <c r="AB1238" t="s">
        <v>5</v>
      </c>
      <c r="AC1238" s="21">
        <v>17843.849999999999</v>
      </c>
      <c r="AD1238" s="21" t="s">
        <v>368</v>
      </c>
      <c r="AE1238" t="str">
        <f>VLOOKUP(Table_Query_from_Actuarial___Production3[[#This Row],[Kor1]],$AI$3:$AK$105,3,FALSE)</f>
        <v>Misc. Expense</v>
      </c>
      <c r="AF1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39" spans="18:32" x14ac:dyDescent="0.2">
      <c r="R1239" t="s">
        <v>33</v>
      </c>
      <c r="S1239" t="s">
        <v>261</v>
      </c>
      <c r="T1239" t="s">
        <v>443</v>
      </c>
      <c r="U1239" s="21">
        <v>16303.35</v>
      </c>
      <c r="V1239" s="21" t="s">
        <v>368</v>
      </c>
      <c r="W1239" t="str">
        <f>VLOOKUP(Table_Query_from_Actuarial___Production[[#This Row],[Kor1]],$AI$3:$AK$105,3,FALSE)</f>
        <v>Misc. Expense</v>
      </c>
      <c r="X1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39"/>
      <c r="Z1239" t="s">
        <v>44</v>
      </c>
      <c r="AA1239" t="s">
        <v>266</v>
      </c>
      <c r="AB1239" t="s">
        <v>351</v>
      </c>
      <c r="AC1239" s="21">
        <v>2015.69</v>
      </c>
      <c r="AD1239" s="21" t="s">
        <v>368</v>
      </c>
      <c r="AE1239" t="str">
        <f>VLOOKUP(Table_Query_from_Actuarial___Production3[[#This Row],[Kor1]],$AI$3:$AK$105,3,FALSE)</f>
        <v>Charge-offs</v>
      </c>
      <c r="AF1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0" spans="18:32" x14ac:dyDescent="0.2">
      <c r="R1240" t="s">
        <v>39</v>
      </c>
      <c r="S1240" t="s">
        <v>258</v>
      </c>
      <c r="T1240" t="s">
        <v>443</v>
      </c>
      <c r="U1240" s="21">
        <v>17607.38</v>
      </c>
      <c r="V1240" s="21" t="s">
        <v>368</v>
      </c>
      <c r="W1240" t="str">
        <f>VLOOKUP(Table_Query_from_Actuarial___Production[[#This Row],[Kor1]],$AI$3:$AK$105,3,FALSE)</f>
        <v>Misc. Income for Insolvent Companies</v>
      </c>
      <c r="X1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0"/>
      <c r="Z1240" t="s">
        <v>36</v>
      </c>
      <c r="AA1240" t="s">
        <v>250</v>
      </c>
      <c r="AB1240" t="s">
        <v>9</v>
      </c>
      <c r="AC1240" s="21">
        <v>2596</v>
      </c>
      <c r="AD1240" s="21" t="s">
        <v>368</v>
      </c>
      <c r="AE1240" t="str">
        <f>VLOOKUP(Table_Query_from_Actuarial___Production3[[#This Row],[Kor1]],$AI$3:$AK$105,3,FALSE)</f>
        <v>Misc. Expense</v>
      </c>
      <c r="AF1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1" spans="18:32" x14ac:dyDescent="0.2">
      <c r="R1241" t="s">
        <v>49</v>
      </c>
      <c r="S1241" t="s">
        <v>252</v>
      </c>
      <c r="T1241" t="s">
        <v>356</v>
      </c>
      <c r="U1241" s="21">
        <v>1164108.75</v>
      </c>
      <c r="V1241" s="21" t="s">
        <v>368</v>
      </c>
      <c r="W1241" t="str">
        <f>VLOOKUP(Table_Query_from_Actuarial___Production[[#This Row],[Kor1]],$AI$3:$AK$105,3,FALSE)</f>
        <v>ALAE Paid</v>
      </c>
      <c r="X1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1"/>
      <c r="Z1241" t="s">
        <v>3</v>
      </c>
      <c r="AA1241" t="s">
        <v>234</v>
      </c>
      <c r="AB1241" t="s">
        <v>427</v>
      </c>
      <c r="AC1241" s="21">
        <v>766447</v>
      </c>
      <c r="AD1241" s="21" t="s">
        <v>368</v>
      </c>
      <c r="AE1241" t="str">
        <f>VLOOKUP(Table_Query_from_Actuarial___Production3[[#This Row],[Kor1]],$AI$3:$AK$105,3,FALSE)</f>
        <v>Premiums Written</v>
      </c>
      <c r="AF1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2" spans="18:32" x14ac:dyDescent="0.2">
      <c r="R1242" t="s">
        <v>38</v>
      </c>
      <c r="S1242" t="s">
        <v>225</v>
      </c>
      <c r="T1242" t="s">
        <v>356</v>
      </c>
      <c r="U1242" s="21">
        <v>937075.86</v>
      </c>
      <c r="V1242" s="21" t="s">
        <v>369</v>
      </c>
      <c r="W1242" t="str">
        <f>VLOOKUP(Table_Query_from_Actuarial___Production[[#This Row],[Kor1]],$AI$3:$AK$105,3,FALSE)</f>
        <v>Misc. Income</v>
      </c>
      <c r="X1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242"/>
      <c r="Z1242" t="s">
        <v>11</v>
      </c>
      <c r="AA1242" t="s">
        <v>224</v>
      </c>
      <c r="AB1242" t="s">
        <v>7</v>
      </c>
      <c r="AC1242" s="21">
        <v>83343.97</v>
      </c>
      <c r="AD1242" s="21" t="s">
        <v>425</v>
      </c>
      <c r="AE1242" t="str">
        <f>VLOOKUP(Table_Query_from_Actuarial___Production3[[#This Row],[Kor1]],$AI$3:$AK$105,3,FALSE)</f>
        <v>Losses Paid</v>
      </c>
      <c r="AF1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243" spans="18:32" x14ac:dyDescent="0.2">
      <c r="R1243" t="s">
        <v>12</v>
      </c>
      <c r="S1243" t="s">
        <v>254</v>
      </c>
      <c r="T1243" t="s">
        <v>7</v>
      </c>
      <c r="U1243" s="21">
        <v>7654.96</v>
      </c>
      <c r="V1243" s="21" t="s">
        <v>368</v>
      </c>
      <c r="W1243" t="str">
        <f>VLOOKUP(Table_Query_from_Actuarial___Production[[#This Row],[Kor1]],$AI$3:$AK$105,3,FALSE)</f>
        <v>Premium Tax</v>
      </c>
      <c r="X1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3"/>
      <c r="Z1243" t="s">
        <v>19</v>
      </c>
      <c r="AA1243" t="s">
        <v>255</v>
      </c>
      <c r="AB1243" t="s">
        <v>433</v>
      </c>
      <c r="AC1243" s="21">
        <v>307</v>
      </c>
      <c r="AD1243" s="21" t="s">
        <v>368</v>
      </c>
      <c r="AE1243" t="str">
        <f>VLOOKUP(Table_Query_from_Actuarial___Production3[[#This Row],[Kor1]],$AI$3:$AK$105,3,FALSE)</f>
        <v>Misc. Expense for Insolvent Companies</v>
      </c>
      <c r="AF1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4" spans="18:32" x14ac:dyDescent="0.2">
      <c r="R1244" t="s">
        <v>30</v>
      </c>
      <c r="S1244" t="s">
        <v>259</v>
      </c>
      <c r="T1244" t="s">
        <v>6</v>
      </c>
      <c r="U1244" s="21">
        <v>334.45</v>
      </c>
      <c r="V1244" s="21" t="s">
        <v>368</v>
      </c>
      <c r="W1244" t="str">
        <f>VLOOKUP(Table_Query_from_Actuarial___Production[[#This Row],[Kor1]],$AI$3:$AK$105,3,FALSE)</f>
        <v>Misc. Expense</v>
      </c>
      <c r="X1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4"/>
      <c r="Z1244" t="s">
        <v>43</v>
      </c>
      <c r="AA1244" t="s">
        <v>257</v>
      </c>
      <c r="AB1244" t="s">
        <v>433</v>
      </c>
      <c r="AC1244" s="21">
        <v>-110.26</v>
      </c>
      <c r="AD1244" s="21" t="s">
        <v>368</v>
      </c>
      <c r="AE1244" t="str">
        <f>VLOOKUP(Table_Query_from_Actuarial___Production3[[#This Row],[Kor1]],$AI$3:$AK$105,3,FALSE)</f>
        <v>Charge-offs</v>
      </c>
      <c r="AF1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5" spans="18:32" x14ac:dyDescent="0.2">
      <c r="R1245" t="s">
        <v>41</v>
      </c>
      <c r="S1245" t="s">
        <v>253</v>
      </c>
      <c r="T1245" t="s">
        <v>8</v>
      </c>
      <c r="U1245" s="21">
        <v>400</v>
      </c>
      <c r="V1245" s="21" t="s">
        <v>368</v>
      </c>
      <c r="W1245" t="str">
        <f>VLOOKUP(Table_Query_from_Actuarial___Production[[#This Row],[Kor1]],$AI$3:$AK$105,3,FALSE)</f>
        <v>Misc. Income</v>
      </c>
      <c r="X1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5"/>
      <c r="Z1245" t="s">
        <v>48</v>
      </c>
      <c r="AA1245" t="s">
        <v>354</v>
      </c>
      <c r="AB1245" t="s">
        <v>441</v>
      </c>
      <c r="AC1245" s="21">
        <v>223529.26</v>
      </c>
      <c r="AD1245" s="21" t="s">
        <v>368</v>
      </c>
      <c r="AE1245" t="str">
        <f>VLOOKUP(Table_Query_from_Actuarial___Production3[[#This Row],[Kor1]],$AI$3:$AK$105,3,FALSE)</f>
        <v>Anticipated Salvage</v>
      </c>
      <c r="AF1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246" spans="18:32" x14ac:dyDescent="0.2">
      <c r="R1246" t="s">
        <v>10</v>
      </c>
      <c r="S1246" t="s">
        <v>236</v>
      </c>
      <c r="T1246" t="s">
        <v>443</v>
      </c>
      <c r="U1246" s="21">
        <v>3048.3</v>
      </c>
      <c r="V1246" s="21" t="s">
        <v>368</v>
      </c>
      <c r="W1246" t="str">
        <f>VLOOKUP(Table_Query_from_Actuarial___Production[[#This Row],[Kor1]],$AI$3:$AK$105,3,FALSE)</f>
        <v>Commissions</v>
      </c>
      <c r="X1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6"/>
      <c r="Z1246" t="s">
        <v>13</v>
      </c>
      <c r="AA1246" t="s">
        <v>225</v>
      </c>
      <c r="AB1246" t="s">
        <v>351</v>
      </c>
      <c r="AC1246" s="21">
        <v>210992.09</v>
      </c>
      <c r="AD1246" s="21" t="s">
        <v>369</v>
      </c>
      <c r="AE1246" t="str">
        <f>VLOOKUP(Table_Query_from_Actuarial___Production3[[#This Row],[Kor1]],$AI$3:$AK$105,3,FALSE)</f>
        <v>Operating Service Fees</v>
      </c>
      <c r="AF1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247" spans="18:32" x14ac:dyDescent="0.2">
      <c r="R1247" t="s">
        <v>14</v>
      </c>
      <c r="S1247" t="s">
        <v>253</v>
      </c>
      <c r="T1247" t="s">
        <v>433</v>
      </c>
      <c r="U1247" s="21">
        <v>2101.8000000000002</v>
      </c>
      <c r="V1247" s="21" t="s">
        <v>368</v>
      </c>
      <c r="W1247" t="str">
        <f>VLOOKUP(Table_Query_from_Actuarial___Production[[#This Row],[Kor1]],$AI$3:$AK$105,3,FALSE)</f>
        <v>Claims Expense</v>
      </c>
      <c r="X1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7"/>
      <c r="Z1247" t="s">
        <v>10</v>
      </c>
      <c r="AA1247" t="s">
        <v>258</v>
      </c>
      <c r="AB1247" t="s">
        <v>8</v>
      </c>
      <c r="AC1247" s="21">
        <v>161513.39000000001</v>
      </c>
      <c r="AD1247" s="21" t="s">
        <v>368</v>
      </c>
      <c r="AE1247" t="str">
        <f>VLOOKUP(Table_Query_from_Actuarial___Production3[[#This Row],[Kor1]],$AI$3:$AK$105,3,FALSE)</f>
        <v>Commissions</v>
      </c>
      <c r="AF1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8" spans="18:32" x14ac:dyDescent="0.2">
      <c r="R1248" t="s">
        <v>17</v>
      </c>
      <c r="S1248" t="s">
        <v>232</v>
      </c>
      <c r="T1248" t="s">
        <v>441</v>
      </c>
      <c r="U1248" s="21">
        <v>86857.06</v>
      </c>
      <c r="V1248" s="21" t="s">
        <v>368</v>
      </c>
      <c r="W1248" t="str">
        <f>VLOOKUP(Table_Query_from_Actuarial___Production[[#This Row],[Kor1]],$AI$3:$AK$105,3,FALSE)</f>
        <v>IBNR</v>
      </c>
      <c r="X1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8"/>
      <c r="Z1248" t="s">
        <v>11</v>
      </c>
      <c r="AA1248" t="s">
        <v>241</v>
      </c>
      <c r="AB1248" t="s">
        <v>5</v>
      </c>
      <c r="AC1248" s="21">
        <v>194486.66</v>
      </c>
      <c r="AD1248" s="21" t="s">
        <v>368</v>
      </c>
      <c r="AE1248" t="str">
        <f>VLOOKUP(Table_Query_from_Actuarial___Production3[[#This Row],[Kor1]],$AI$3:$AK$105,3,FALSE)</f>
        <v>Losses Paid</v>
      </c>
      <c r="AF1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49" spans="18:32" x14ac:dyDescent="0.2">
      <c r="R1249" t="s">
        <v>20</v>
      </c>
      <c r="S1249" t="s">
        <v>246</v>
      </c>
      <c r="T1249" t="s">
        <v>356</v>
      </c>
      <c r="U1249" s="21">
        <v>154.52000000000001</v>
      </c>
      <c r="V1249" s="21" t="s">
        <v>368</v>
      </c>
      <c r="W1249" t="str">
        <f>VLOOKUP(Table_Query_from_Actuarial___Production[[#This Row],[Kor1]],$AI$3:$AK$105,3,FALSE)</f>
        <v>Misc. Expense</v>
      </c>
      <c r="X1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49"/>
      <c r="Z1249" t="s">
        <v>13</v>
      </c>
      <c r="AA1249" t="s">
        <v>238</v>
      </c>
      <c r="AB1249" t="s">
        <v>8</v>
      </c>
      <c r="AC1249" s="21">
        <v>49708.73</v>
      </c>
      <c r="AD1249" s="21" t="s">
        <v>368</v>
      </c>
      <c r="AE1249" t="str">
        <f>VLOOKUP(Table_Query_from_Actuarial___Production3[[#This Row],[Kor1]],$AI$3:$AK$105,3,FALSE)</f>
        <v>Operating Service Fees</v>
      </c>
      <c r="AF1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0" spans="18:32" x14ac:dyDescent="0.2">
      <c r="R1250" t="s">
        <v>10</v>
      </c>
      <c r="S1250" t="s">
        <v>247</v>
      </c>
      <c r="T1250" t="s">
        <v>6</v>
      </c>
      <c r="U1250" s="21">
        <v>643.6</v>
      </c>
      <c r="V1250" s="21" t="s">
        <v>368</v>
      </c>
      <c r="W1250" t="str">
        <f>VLOOKUP(Table_Query_from_Actuarial___Production[[#This Row],[Kor1]],$AI$3:$AK$105,3,FALSE)</f>
        <v>Commissions</v>
      </c>
      <c r="X1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0"/>
      <c r="Z1250" t="s">
        <v>43</v>
      </c>
      <c r="AA1250" t="s">
        <v>228</v>
      </c>
      <c r="AB1250" t="s">
        <v>5</v>
      </c>
      <c r="AC1250" s="21">
        <v>-0.01</v>
      </c>
      <c r="AD1250" s="21" t="s">
        <v>368</v>
      </c>
      <c r="AE1250" t="str">
        <f>VLOOKUP(Table_Query_from_Actuarial___Production3[[#This Row],[Kor1]],$AI$3:$AK$105,3,FALSE)</f>
        <v>Charge-offs</v>
      </c>
      <c r="AF1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1" spans="18:32" x14ac:dyDescent="0.2">
      <c r="R1251" t="s">
        <v>20</v>
      </c>
      <c r="S1251" t="s">
        <v>233</v>
      </c>
      <c r="T1251" t="s">
        <v>356</v>
      </c>
      <c r="U1251" s="21">
        <v>164.45</v>
      </c>
      <c r="V1251" s="21" t="s">
        <v>368</v>
      </c>
      <c r="W1251" t="str">
        <f>VLOOKUP(Table_Query_from_Actuarial___Production[[#This Row],[Kor1]],$AI$3:$AK$105,3,FALSE)</f>
        <v>Misc. Expense</v>
      </c>
      <c r="X1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1"/>
      <c r="Z1251" t="s">
        <v>31</v>
      </c>
      <c r="AA1251" t="s">
        <v>227</v>
      </c>
      <c r="AB1251" t="s">
        <v>5</v>
      </c>
      <c r="AC1251" s="21">
        <v>428</v>
      </c>
      <c r="AD1251" s="21" t="s">
        <v>368</v>
      </c>
      <c r="AE1251" t="str">
        <f>VLOOKUP(Table_Query_from_Actuarial___Production3[[#This Row],[Kor1]],$AI$3:$AK$105,3,FALSE)</f>
        <v>Misc. Expense</v>
      </c>
      <c r="AF1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2" spans="18:32" x14ac:dyDescent="0.2">
      <c r="R1252" t="s">
        <v>31</v>
      </c>
      <c r="S1252" t="s">
        <v>268</v>
      </c>
      <c r="T1252" t="s">
        <v>443</v>
      </c>
      <c r="U1252" s="21">
        <v>1447.79</v>
      </c>
      <c r="V1252" s="21" t="s">
        <v>368</v>
      </c>
      <c r="W1252" t="str">
        <f>VLOOKUP(Table_Query_from_Actuarial___Production[[#This Row],[Kor1]],$AI$3:$AK$105,3,FALSE)</f>
        <v>Misc. Expense</v>
      </c>
      <c r="X1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2"/>
      <c r="Z1252" t="s">
        <v>37</v>
      </c>
      <c r="AA1252" t="s">
        <v>257</v>
      </c>
      <c r="AB1252" t="s">
        <v>8</v>
      </c>
      <c r="AC1252" s="21">
        <v>3184.57</v>
      </c>
      <c r="AD1252" s="21" t="s">
        <v>368</v>
      </c>
      <c r="AE1252" t="str">
        <f>VLOOKUP(Table_Query_from_Actuarial___Production3[[#This Row],[Kor1]],$AI$3:$AK$105,3,FALSE)</f>
        <v>Misc. Expense</v>
      </c>
      <c r="AF1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3" spans="18:32" x14ac:dyDescent="0.2">
      <c r="R1253" t="s">
        <v>31</v>
      </c>
      <c r="S1253" t="s">
        <v>245</v>
      </c>
      <c r="T1253" t="s">
        <v>8</v>
      </c>
      <c r="U1253" s="21">
        <v>1919.52</v>
      </c>
      <c r="V1253" s="21" t="s">
        <v>368</v>
      </c>
      <c r="W1253" t="str">
        <f>VLOOKUP(Table_Query_from_Actuarial___Production[[#This Row],[Kor1]],$AI$3:$AK$105,3,FALSE)</f>
        <v>Misc. Expense</v>
      </c>
      <c r="X1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3"/>
      <c r="Z1253" t="s">
        <v>21</v>
      </c>
      <c r="AA1253" t="s">
        <v>251</v>
      </c>
      <c r="AB1253" t="s">
        <v>443</v>
      </c>
      <c r="AC1253" s="21">
        <v>278.2</v>
      </c>
      <c r="AD1253" s="21" t="s">
        <v>368</v>
      </c>
      <c r="AE1253" t="str">
        <f>VLOOKUP(Table_Query_from_Actuarial___Production3[[#This Row],[Kor1]],$AI$3:$AK$105,3,FALSE)</f>
        <v>Misc. Expense</v>
      </c>
      <c r="AF1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4" spans="18:32" x14ac:dyDescent="0.2">
      <c r="R1254" t="s">
        <v>10</v>
      </c>
      <c r="S1254" t="s">
        <v>256</v>
      </c>
      <c r="T1254" t="s">
        <v>8</v>
      </c>
      <c r="U1254" s="21">
        <v>8510.2999999999993</v>
      </c>
      <c r="V1254" s="21" t="s">
        <v>368</v>
      </c>
      <c r="W1254" t="str">
        <f>VLOOKUP(Table_Query_from_Actuarial___Production[[#This Row],[Kor1]],$AI$3:$AK$105,3,FALSE)</f>
        <v>Commissions</v>
      </c>
      <c r="X1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4"/>
      <c r="Z1254" t="s">
        <v>12</v>
      </c>
      <c r="AA1254" t="s">
        <v>253</v>
      </c>
      <c r="AB1254" t="s">
        <v>6</v>
      </c>
      <c r="AC1254" s="21">
        <v>329.3</v>
      </c>
      <c r="AD1254" s="21" t="s">
        <v>368</v>
      </c>
      <c r="AE1254" t="str">
        <f>VLOOKUP(Table_Query_from_Actuarial___Production3[[#This Row],[Kor1]],$AI$3:$AK$105,3,FALSE)</f>
        <v>Premium Tax</v>
      </c>
      <c r="AF1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5" spans="18:32" x14ac:dyDescent="0.2">
      <c r="R1255" t="s">
        <v>13</v>
      </c>
      <c r="S1255" t="s">
        <v>232</v>
      </c>
      <c r="T1255" t="s">
        <v>433</v>
      </c>
      <c r="U1255" s="21">
        <v>249193.88</v>
      </c>
      <c r="V1255" s="21" t="s">
        <v>368</v>
      </c>
      <c r="W1255" t="str">
        <f>VLOOKUP(Table_Query_from_Actuarial___Production[[#This Row],[Kor1]],$AI$3:$AK$105,3,FALSE)</f>
        <v>Operating Service Fees</v>
      </c>
      <c r="X1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5"/>
      <c r="Z1255" t="s">
        <v>19</v>
      </c>
      <c r="AA1255" t="s">
        <v>4</v>
      </c>
      <c r="AB1255" t="s">
        <v>443</v>
      </c>
      <c r="AC1255" s="21">
        <v>9541.4699999999993</v>
      </c>
      <c r="AD1255" s="21" t="s">
        <v>368</v>
      </c>
      <c r="AE1255" t="str">
        <f>VLOOKUP(Table_Query_from_Actuarial___Production3[[#This Row],[Kor1]],$AI$3:$AK$105,3,FALSE)</f>
        <v>Misc. Expense for Insolvent Companies</v>
      </c>
      <c r="AF1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6" spans="18:32" x14ac:dyDescent="0.2">
      <c r="R1256" t="s">
        <v>16</v>
      </c>
      <c r="S1256" t="s">
        <v>250</v>
      </c>
      <c r="T1256" t="s">
        <v>443</v>
      </c>
      <c r="U1256" s="21">
        <v>46629.73</v>
      </c>
      <c r="V1256" s="21" t="s">
        <v>368</v>
      </c>
      <c r="W1256" t="str">
        <f>VLOOKUP(Table_Query_from_Actuarial___Production[[#This Row],[Kor1]],$AI$3:$AK$105,3,FALSE)</f>
        <v>Losses Outstanding</v>
      </c>
      <c r="X1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6"/>
      <c r="Z1256" t="s">
        <v>20</v>
      </c>
      <c r="AA1256" t="s">
        <v>262</v>
      </c>
      <c r="AB1256" t="s">
        <v>351</v>
      </c>
      <c r="AC1256" s="21">
        <v>96.91</v>
      </c>
      <c r="AD1256" s="21" t="s">
        <v>368</v>
      </c>
      <c r="AE1256" t="str">
        <f>VLOOKUP(Table_Query_from_Actuarial___Production3[[#This Row],[Kor1]],$AI$3:$AK$105,3,FALSE)</f>
        <v>Misc. Expense</v>
      </c>
      <c r="AF1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7" spans="18:32" x14ac:dyDescent="0.2">
      <c r="R1257" t="s">
        <v>37</v>
      </c>
      <c r="S1257" t="s">
        <v>258</v>
      </c>
      <c r="T1257" t="s">
        <v>351</v>
      </c>
      <c r="U1257" s="21">
        <v>1417.89</v>
      </c>
      <c r="V1257" s="21" t="s">
        <v>368</v>
      </c>
      <c r="W1257" t="str">
        <f>VLOOKUP(Table_Query_from_Actuarial___Production[[#This Row],[Kor1]],$AI$3:$AK$105,3,FALSE)</f>
        <v>Misc. Expense</v>
      </c>
      <c r="X1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7"/>
      <c r="Z1257" t="s">
        <v>12</v>
      </c>
      <c r="AA1257" t="s">
        <v>232</v>
      </c>
      <c r="AB1257" t="s">
        <v>5</v>
      </c>
      <c r="AC1257" s="21">
        <v>15805.74</v>
      </c>
      <c r="AD1257" s="21" t="s">
        <v>368</v>
      </c>
      <c r="AE1257" t="str">
        <f>VLOOKUP(Table_Query_from_Actuarial___Production3[[#This Row],[Kor1]],$AI$3:$AK$105,3,FALSE)</f>
        <v>Premium Tax</v>
      </c>
      <c r="AF1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8" spans="18:32" x14ac:dyDescent="0.2">
      <c r="R1258" t="s">
        <v>50</v>
      </c>
      <c r="S1258" t="s">
        <v>237</v>
      </c>
      <c r="T1258" t="s">
        <v>441</v>
      </c>
      <c r="U1258" s="21">
        <v>1594287.08</v>
      </c>
      <c r="V1258" s="21" t="s">
        <v>368</v>
      </c>
      <c r="W1258" t="str">
        <f>VLOOKUP(Table_Query_from_Actuarial___Production[[#This Row],[Kor1]],$AI$3:$AK$105,3,FALSE)</f>
        <v>ALAE Reserve</v>
      </c>
      <c r="X1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58"/>
      <c r="Z1258" t="s">
        <v>40</v>
      </c>
      <c r="AA1258" t="s">
        <v>247</v>
      </c>
      <c r="AB1258" t="s">
        <v>5</v>
      </c>
      <c r="AC1258" s="21">
        <v>14</v>
      </c>
      <c r="AD1258" s="21" t="s">
        <v>368</v>
      </c>
      <c r="AE1258" t="str">
        <f>VLOOKUP(Table_Query_from_Actuarial___Production3[[#This Row],[Kor1]],$AI$3:$AK$105,3,FALSE)</f>
        <v>Misc. Income</v>
      </c>
      <c r="AF1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59" spans="18:32" x14ac:dyDescent="0.2">
      <c r="R1259" t="s">
        <v>18</v>
      </c>
      <c r="S1259" t="s">
        <v>225</v>
      </c>
      <c r="T1259" t="s">
        <v>433</v>
      </c>
      <c r="U1259" s="21">
        <v>481664.56</v>
      </c>
      <c r="V1259" s="21" t="s">
        <v>369</v>
      </c>
      <c r="W1259" t="str">
        <f>VLOOKUP(Table_Query_from_Actuarial___Production[[#This Row],[Kor1]],$AI$3:$AK$105,3,FALSE)</f>
        <v>Misc. Expense</v>
      </c>
      <c r="X1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259"/>
      <c r="Z1259" t="s">
        <v>10</v>
      </c>
      <c r="AA1259" t="s">
        <v>253</v>
      </c>
      <c r="AB1259" t="s">
        <v>351</v>
      </c>
      <c r="AC1259" s="21">
        <v>293.2</v>
      </c>
      <c r="AD1259" s="21" t="s">
        <v>368</v>
      </c>
      <c r="AE1259" t="str">
        <f>VLOOKUP(Table_Query_from_Actuarial___Production3[[#This Row],[Kor1]],$AI$3:$AK$105,3,FALSE)</f>
        <v>Commissions</v>
      </c>
      <c r="AF1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0" spans="18:32" x14ac:dyDescent="0.2">
      <c r="R1260" t="s">
        <v>41</v>
      </c>
      <c r="S1260" t="s">
        <v>252</v>
      </c>
      <c r="T1260" t="s">
        <v>441</v>
      </c>
      <c r="U1260" s="21">
        <v>575.28</v>
      </c>
      <c r="V1260" s="21" t="s">
        <v>368</v>
      </c>
      <c r="W1260" t="str">
        <f>VLOOKUP(Table_Query_from_Actuarial___Production[[#This Row],[Kor1]],$AI$3:$AK$105,3,FALSE)</f>
        <v>Misc. Income</v>
      </c>
      <c r="X1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0"/>
      <c r="Z1260" t="s">
        <v>39</v>
      </c>
      <c r="AA1260" t="s">
        <v>263</v>
      </c>
      <c r="AB1260" t="s">
        <v>441</v>
      </c>
      <c r="AC1260" s="21">
        <v>536.92999999999995</v>
      </c>
      <c r="AD1260" s="21" t="s">
        <v>368</v>
      </c>
      <c r="AE1260" t="str">
        <f>VLOOKUP(Table_Query_from_Actuarial___Production3[[#This Row],[Kor1]],$AI$3:$AK$105,3,FALSE)</f>
        <v>Misc. Income for Insolvent Companies</v>
      </c>
      <c r="AF1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1" spans="18:32" x14ac:dyDescent="0.2">
      <c r="R1261" t="s">
        <v>32</v>
      </c>
      <c r="S1261" t="s">
        <v>252</v>
      </c>
      <c r="T1261" t="s">
        <v>9</v>
      </c>
      <c r="U1261" s="21">
        <v>116400.75</v>
      </c>
      <c r="V1261" s="21" t="s">
        <v>368</v>
      </c>
      <c r="W1261" t="str">
        <f>VLOOKUP(Table_Query_from_Actuarial___Production[[#This Row],[Kor1]],$AI$3:$AK$105,3,FALSE)</f>
        <v>Misc. Expense</v>
      </c>
      <c r="X1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1"/>
      <c r="Z1261" t="s">
        <v>41</v>
      </c>
      <c r="AA1261" t="s">
        <v>249</v>
      </c>
      <c r="AB1261" t="s">
        <v>8</v>
      </c>
      <c r="AC1261" s="21">
        <v>250</v>
      </c>
      <c r="AD1261" s="21" t="s">
        <v>368</v>
      </c>
      <c r="AE1261" t="str">
        <f>VLOOKUP(Table_Query_from_Actuarial___Production3[[#This Row],[Kor1]],$AI$3:$AK$105,3,FALSE)</f>
        <v>Misc. Income</v>
      </c>
      <c r="AF1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2" spans="18:32" x14ac:dyDescent="0.2">
      <c r="R1262" t="s">
        <v>39</v>
      </c>
      <c r="S1262" t="s">
        <v>267</v>
      </c>
      <c r="T1262" t="s">
        <v>445</v>
      </c>
      <c r="U1262" s="21">
        <v>7195.81</v>
      </c>
      <c r="V1262" s="21" t="s">
        <v>368</v>
      </c>
      <c r="W1262" t="str">
        <f>VLOOKUP(Table_Query_from_Actuarial___Production[[#This Row],[Kor1]],$AI$3:$AK$105,3,FALSE)</f>
        <v>Misc. Income for Insolvent Companies</v>
      </c>
      <c r="X1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2"/>
      <c r="Z1262" t="s">
        <v>41</v>
      </c>
      <c r="AA1262" t="s">
        <v>254</v>
      </c>
      <c r="AB1262" t="s">
        <v>443</v>
      </c>
      <c r="AC1262" s="21">
        <v>100.1</v>
      </c>
      <c r="AD1262" s="21" t="s">
        <v>368</v>
      </c>
      <c r="AE1262" t="str">
        <f>VLOOKUP(Table_Query_from_Actuarial___Production3[[#This Row],[Kor1]],$AI$3:$AK$105,3,FALSE)</f>
        <v>Misc. Income</v>
      </c>
      <c r="AF1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3" spans="18:32" x14ac:dyDescent="0.2">
      <c r="R1263" t="s">
        <v>48</v>
      </c>
      <c r="S1263" t="s">
        <v>354</v>
      </c>
      <c r="T1263" t="s">
        <v>442</v>
      </c>
      <c r="U1263" s="21">
        <v>1733222.59</v>
      </c>
      <c r="V1263" s="21" t="s">
        <v>369</v>
      </c>
      <c r="W1263" t="str">
        <f>VLOOKUP(Table_Query_from_Actuarial___Production[[#This Row],[Kor1]],$AI$3:$AK$105,3,FALSE)</f>
        <v>Anticipated Salvage</v>
      </c>
      <c r="X1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263"/>
      <c r="Z1263" t="s">
        <v>43</v>
      </c>
      <c r="AA1263" t="s">
        <v>4</v>
      </c>
      <c r="AB1263" t="s">
        <v>8</v>
      </c>
      <c r="AC1263" s="21">
        <v>-1932.48</v>
      </c>
      <c r="AD1263" s="21" t="s">
        <v>368</v>
      </c>
      <c r="AE1263" t="str">
        <f>VLOOKUP(Table_Query_from_Actuarial___Production3[[#This Row],[Kor1]],$AI$3:$AK$105,3,FALSE)</f>
        <v>Charge-offs</v>
      </c>
      <c r="AF1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4" spans="18:32" x14ac:dyDescent="0.2">
      <c r="R1264" t="s">
        <v>11</v>
      </c>
      <c r="S1264" t="s">
        <v>227</v>
      </c>
      <c r="T1264" t="s">
        <v>6</v>
      </c>
      <c r="U1264" s="21">
        <v>2181445.38</v>
      </c>
      <c r="V1264" s="21" t="s">
        <v>368</v>
      </c>
      <c r="W1264" t="str">
        <f>VLOOKUP(Table_Query_from_Actuarial___Production[[#This Row],[Kor1]],$AI$3:$AK$105,3,FALSE)</f>
        <v>Losses Paid</v>
      </c>
      <c r="X1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4"/>
      <c r="Z1264" t="s">
        <v>49</v>
      </c>
      <c r="AA1264" t="s">
        <v>242</v>
      </c>
      <c r="AB1264" t="s">
        <v>427</v>
      </c>
      <c r="AC1264" s="21">
        <v>30417.67</v>
      </c>
      <c r="AD1264" s="21" t="s">
        <v>368</v>
      </c>
      <c r="AE1264" t="str">
        <f>VLOOKUP(Table_Query_from_Actuarial___Production3[[#This Row],[Kor1]],$AI$3:$AK$105,3,FALSE)</f>
        <v>ALAE Paid</v>
      </c>
      <c r="AF1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5" spans="18:32" x14ac:dyDescent="0.2">
      <c r="R1265" t="s">
        <v>40</v>
      </c>
      <c r="S1265" t="s">
        <v>232</v>
      </c>
      <c r="T1265" t="s">
        <v>443</v>
      </c>
      <c r="U1265" s="21">
        <v>165.99</v>
      </c>
      <c r="V1265" s="21" t="s">
        <v>368</v>
      </c>
      <c r="W1265" t="str">
        <f>VLOOKUP(Table_Query_from_Actuarial___Production[[#This Row],[Kor1]],$AI$3:$AK$105,3,FALSE)</f>
        <v>Misc. Income</v>
      </c>
      <c r="X1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5"/>
      <c r="Z1265" t="s">
        <v>12</v>
      </c>
      <c r="AA1265" t="s">
        <v>238</v>
      </c>
      <c r="AB1265" t="s">
        <v>5</v>
      </c>
      <c r="AC1265" s="21">
        <v>862.96</v>
      </c>
      <c r="AD1265" s="21" t="s">
        <v>368</v>
      </c>
      <c r="AE1265" t="str">
        <f>VLOOKUP(Table_Query_from_Actuarial___Production3[[#This Row],[Kor1]],$AI$3:$AK$105,3,FALSE)</f>
        <v>Premium Tax</v>
      </c>
      <c r="AF1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6" spans="18:32" x14ac:dyDescent="0.2">
      <c r="R1266" t="s">
        <v>10</v>
      </c>
      <c r="S1266" t="s">
        <v>260</v>
      </c>
      <c r="T1266" t="s">
        <v>445</v>
      </c>
      <c r="U1266" s="21">
        <v>6227.2</v>
      </c>
      <c r="V1266" s="21" t="s">
        <v>368</v>
      </c>
      <c r="W1266" t="str">
        <f>VLOOKUP(Table_Query_from_Actuarial___Production[[#This Row],[Kor1]],$AI$3:$AK$105,3,FALSE)</f>
        <v>Commissions</v>
      </c>
      <c r="X1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6"/>
      <c r="Z1266" t="s">
        <v>39</v>
      </c>
      <c r="AA1266" t="s">
        <v>259</v>
      </c>
      <c r="AB1266" t="s">
        <v>351</v>
      </c>
      <c r="AC1266" s="21">
        <v>6409.03</v>
      </c>
      <c r="AD1266" s="21" t="s">
        <v>368</v>
      </c>
      <c r="AE1266" t="str">
        <f>VLOOKUP(Table_Query_from_Actuarial___Production3[[#This Row],[Kor1]],$AI$3:$AK$105,3,FALSE)</f>
        <v>Misc. Income for Insolvent Companies</v>
      </c>
      <c r="AF1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7" spans="18:32" x14ac:dyDescent="0.2">
      <c r="R1267" t="s">
        <v>37</v>
      </c>
      <c r="S1267" t="s">
        <v>259</v>
      </c>
      <c r="T1267" t="s">
        <v>356</v>
      </c>
      <c r="U1267" s="21">
        <v>4269.05</v>
      </c>
      <c r="V1267" s="21" t="s">
        <v>368</v>
      </c>
      <c r="W1267" t="str">
        <f>VLOOKUP(Table_Query_from_Actuarial___Production[[#This Row],[Kor1]],$AI$3:$AK$105,3,FALSE)</f>
        <v>Misc. Expense</v>
      </c>
      <c r="X1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7"/>
      <c r="Z1267" t="s">
        <v>13</v>
      </c>
      <c r="AA1267" t="s">
        <v>254</v>
      </c>
      <c r="AB1267" t="s">
        <v>351</v>
      </c>
      <c r="AC1267" s="21">
        <v>477644.76</v>
      </c>
      <c r="AD1267" s="21" t="s">
        <v>368</v>
      </c>
      <c r="AE1267" t="str">
        <f>VLOOKUP(Table_Query_from_Actuarial___Production3[[#This Row],[Kor1]],$AI$3:$AK$105,3,FALSE)</f>
        <v>Operating Service Fees</v>
      </c>
      <c r="AF1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8" spans="18:32" x14ac:dyDescent="0.2">
      <c r="R1268" t="s">
        <v>12</v>
      </c>
      <c r="S1268" t="s">
        <v>247</v>
      </c>
      <c r="T1268" t="s">
        <v>442</v>
      </c>
      <c r="U1268" s="21">
        <v>180.78</v>
      </c>
      <c r="V1268" s="21" t="s">
        <v>368</v>
      </c>
      <c r="W1268" t="str">
        <f>VLOOKUP(Table_Query_from_Actuarial___Production[[#This Row],[Kor1]],$AI$3:$AK$105,3,FALSE)</f>
        <v>Premium Tax</v>
      </c>
      <c r="X1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8"/>
      <c r="Z1268" t="s">
        <v>41</v>
      </c>
      <c r="AA1268" t="s">
        <v>268</v>
      </c>
      <c r="AB1268" t="s">
        <v>356</v>
      </c>
      <c r="AC1268" s="21">
        <v>150</v>
      </c>
      <c r="AD1268" s="21" t="s">
        <v>368</v>
      </c>
      <c r="AE1268" t="str">
        <f>VLOOKUP(Table_Query_from_Actuarial___Production3[[#This Row],[Kor1]],$AI$3:$AK$105,3,FALSE)</f>
        <v>Misc. Income</v>
      </c>
      <c r="AF1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69" spans="18:32" x14ac:dyDescent="0.2">
      <c r="R1269" t="s">
        <v>16</v>
      </c>
      <c r="S1269" t="s">
        <v>4</v>
      </c>
      <c r="T1269" t="s">
        <v>445</v>
      </c>
      <c r="U1269" s="21">
        <v>198744.45</v>
      </c>
      <c r="V1269" s="21" t="s">
        <v>368</v>
      </c>
      <c r="W1269" t="str">
        <f>VLOOKUP(Table_Query_from_Actuarial___Production[[#This Row],[Kor1]],$AI$3:$AK$105,3,FALSE)</f>
        <v>Losses Outstanding</v>
      </c>
      <c r="X1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69"/>
      <c r="Z1269" t="s">
        <v>21</v>
      </c>
      <c r="AA1269" t="s">
        <v>263</v>
      </c>
      <c r="AB1269" t="s">
        <v>443</v>
      </c>
      <c r="AC1269" s="21">
        <v>95</v>
      </c>
      <c r="AD1269" s="21" t="s">
        <v>368</v>
      </c>
      <c r="AE1269" t="str">
        <f>VLOOKUP(Table_Query_from_Actuarial___Production3[[#This Row],[Kor1]],$AI$3:$AK$105,3,FALSE)</f>
        <v>Misc. Expense</v>
      </c>
      <c r="AF1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0" spans="18:32" x14ac:dyDescent="0.2">
      <c r="R1270" t="s">
        <v>3</v>
      </c>
      <c r="S1270" t="s">
        <v>352</v>
      </c>
      <c r="T1270" t="s">
        <v>6</v>
      </c>
      <c r="U1270" s="21">
        <v>14302</v>
      </c>
      <c r="V1270" s="21" t="s">
        <v>368</v>
      </c>
      <c r="W1270" t="str">
        <f>VLOOKUP(Table_Query_from_Actuarial___Production[[#This Row],[Kor1]],$AI$3:$AK$105,3,FALSE)</f>
        <v>Premiums Written</v>
      </c>
      <c r="X1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270"/>
      <c r="Z1270" t="s">
        <v>33</v>
      </c>
      <c r="AA1270" t="s">
        <v>261</v>
      </c>
      <c r="AB1270" t="s">
        <v>443</v>
      </c>
      <c r="AC1270" s="21">
        <v>8346.25</v>
      </c>
      <c r="AD1270" s="21" t="s">
        <v>368</v>
      </c>
      <c r="AE1270" t="str">
        <f>VLOOKUP(Table_Query_from_Actuarial___Production3[[#This Row],[Kor1]],$AI$3:$AK$105,3,FALSE)</f>
        <v>Misc. Expense</v>
      </c>
      <c r="AF1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1" spans="18:32" x14ac:dyDescent="0.2">
      <c r="R1271" t="s">
        <v>13</v>
      </c>
      <c r="S1271" t="s">
        <v>230</v>
      </c>
      <c r="T1271" t="s">
        <v>427</v>
      </c>
      <c r="U1271" s="21">
        <v>4109619.07</v>
      </c>
      <c r="V1271" s="21" t="s">
        <v>368</v>
      </c>
      <c r="W1271" t="str">
        <f>VLOOKUP(Table_Query_from_Actuarial___Production[[#This Row],[Kor1]],$AI$3:$AK$105,3,FALSE)</f>
        <v>Operating Service Fees</v>
      </c>
      <c r="X1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1"/>
      <c r="Z1271" t="s">
        <v>39</v>
      </c>
      <c r="AA1271" t="s">
        <v>258</v>
      </c>
      <c r="AB1271" t="s">
        <v>443</v>
      </c>
      <c r="AC1271" s="21">
        <v>17607.38</v>
      </c>
      <c r="AD1271" s="21" t="s">
        <v>368</v>
      </c>
      <c r="AE1271" t="str">
        <f>VLOOKUP(Table_Query_from_Actuarial___Production3[[#This Row],[Kor1]],$AI$3:$AK$105,3,FALSE)</f>
        <v>Misc. Income for Insolvent Companies</v>
      </c>
      <c r="AF1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2" spans="18:32" x14ac:dyDescent="0.2">
      <c r="R1272" t="s">
        <v>19</v>
      </c>
      <c r="S1272" t="s">
        <v>4</v>
      </c>
      <c r="T1272" t="s">
        <v>427</v>
      </c>
      <c r="U1272" s="21">
        <v>115237.98</v>
      </c>
      <c r="V1272" s="21" t="s">
        <v>368</v>
      </c>
      <c r="W1272" t="str">
        <f>VLOOKUP(Table_Query_from_Actuarial___Production[[#This Row],[Kor1]],$AI$3:$AK$105,3,FALSE)</f>
        <v>Misc. Expense for Insolvent Companies</v>
      </c>
      <c r="X1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2"/>
      <c r="Z1272" t="s">
        <v>13</v>
      </c>
      <c r="AA1272" t="s">
        <v>352</v>
      </c>
      <c r="AB1272" t="s">
        <v>5</v>
      </c>
      <c r="AC1272" s="21">
        <v>1695.4</v>
      </c>
      <c r="AD1272" s="21" t="s">
        <v>368</v>
      </c>
      <c r="AE1272" t="str">
        <f>VLOOKUP(Table_Query_from_Actuarial___Production3[[#This Row],[Kor1]],$AI$3:$AK$105,3,FALSE)</f>
        <v>Operating Service Fees</v>
      </c>
      <c r="AF1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273" spans="18:32" x14ac:dyDescent="0.2">
      <c r="R1273" t="s">
        <v>37</v>
      </c>
      <c r="S1273" t="s">
        <v>237</v>
      </c>
      <c r="T1273" t="s">
        <v>433</v>
      </c>
      <c r="U1273" s="21">
        <v>53834.41</v>
      </c>
      <c r="V1273" s="21" t="s">
        <v>368</v>
      </c>
      <c r="W1273" t="str">
        <f>VLOOKUP(Table_Query_from_Actuarial___Production[[#This Row],[Kor1]],$AI$3:$AK$105,3,FALSE)</f>
        <v>Misc. Expense</v>
      </c>
      <c r="X1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3"/>
      <c r="Z1273" t="s">
        <v>49</v>
      </c>
      <c r="AA1273" t="s">
        <v>252</v>
      </c>
      <c r="AB1273" t="s">
        <v>356</v>
      </c>
      <c r="AC1273" s="21">
        <v>1093130.33</v>
      </c>
      <c r="AD1273" s="21" t="s">
        <v>368</v>
      </c>
      <c r="AE1273" t="str">
        <f>VLOOKUP(Table_Query_from_Actuarial___Production3[[#This Row],[Kor1]],$AI$3:$AK$105,3,FALSE)</f>
        <v>ALAE Paid</v>
      </c>
      <c r="AF1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4" spans="18:32" x14ac:dyDescent="0.2">
      <c r="R1274" t="s">
        <v>17</v>
      </c>
      <c r="S1274" t="s">
        <v>248</v>
      </c>
      <c r="T1274" t="s">
        <v>433</v>
      </c>
      <c r="U1274" s="21">
        <v>41436.5</v>
      </c>
      <c r="V1274" s="21" t="s">
        <v>368</v>
      </c>
      <c r="W1274" t="str">
        <f>VLOOKUP(Table_Query_from_Actuarial___Production[[#This Row],[Kor1]],$AI$3:$AK$105,3,FALSE)</f>
        <v>IBNR</v>
      </c>
      <c r="X1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4"/>
      <c r="Z1274" t="s">
        <v>38</v>
      </c>
      <c r="AA1274" t="s">
        <v>225</v>
      </c>
      <c r="AB1274" t="s">
        <v>356</v>
      </c>
      <c r="AC1274" s="21">
        <v>937075.86</v>
      </c>
      <c r="AD1274" s="21" t="s">
        <v>369</v>
      </c>
      <c r="AE1274" t="str">
        <f>VLOOKUP(Table_Query_from_Actuarial___Production3[[#This Row],[Kor1]],$AI$3:$AK$105,3,FALSE)</f>
        <v>Misc. Income</v>
      </c>
      <c r="AF1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275" spans="18:32" x14ac:dyDescent="0.2">
      <c r="R1275" t="s">
        <v>19</v>
      </c>
      <c r="S1275" t="s">
        <v>264</v>
      </c>
      <c r="T1275" t="s">
        <v>427</v>
      </c>
      <c r="U1275" s="21">
        <v>41475</v>
      </c>
      <c r="V1275" s="21" t="s">
        <v>368</v>
      </c>
      <c r="W1275" t="str">
        <f>VLOOKUP(Table_Query_from_Actuarial___Production[[#This Row],[Kor1]],$AI$3:$AK$105,3,FALSE)</f>
        <v>Misc. Expense for Insolvent Companies</v>
      </c>
      <c r="X1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5"/>
      <c r="Z1275" t="s">
        <v>12</v>
      </c>
      <c r="AA1275" t="s">
        <v>254</v>
      </c>
      <c r="AB1275" t="s">
        <v>7</v>
      </c>
      <c r="AC1275" s="21">
        <v>7654.96</v>
      </c>
      <c r="AD1275" s="21" t="s">
        <v>368</v>
      </c>
      <c r="AE1275" t="str">
        <f>VLOOKUP(Table_Query_from_Actuarial___Production3[[#This Row],[Kor1]],$AI$3:$AK$105,3,FALSE)</f>
        <v>Premium Tax</v>
      </c>
      <c r="AF1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6" spans="18:32" x14ac:dyDescent="0.2">
      <c r="R1276" t="s">
        <v>33</v>
      </c>
      <c r="S1276" t="s">
        <v>233</v>
      </c>
      <c r="T1276" t="s">
        <v>433</v>
      </c>
      <c r="U1276" s="21">
        <v>14215.25</v>
      </c>
      <c r="V1276" s="21" t="s">
        <v>368</v>
      </c>
      <c r="W1276" t="str">
        <f>VLOOKUP(Table_Query_from_Actuarial___Production[[#This Row],[Kor1]],$AI$3:$AK$105,3,FALSE)</f>
        <v>Misc. Expense</v>
      </c>
      <c r="X1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6"/>
      <c r="Z1276" t="s">
        <v>30</v>
      </c>
      <c r="AA1276" t="s">
        <v>259</v>
      </c>
      <c r="AB1276" t="s">
        <v>6</v>
      </c>
      <c r="AC1276" s="21">
        <v>334.45</v>
      </c>
      <c r="AD1276" s="21" t="s">
        <v>368</v>
      </c>
      <c r="AE1276" t="str">
        <f>VLOOKUP(Table_Query_from_Actuarial___Production3[[#This Row],[Kor1]],$AI$3:$AK$105,3,FALSE)</f>
        <v>Misc. Expense</v>
      </c>
      <c r="AF1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7" spans="18:32" x14ac:dyDescent="0.2">
      <c r="R1277" t="s">
        <v>48</v>
      </c>
      <c r="S1277" t="s">
        <v>354</v>
      </c>
      <c r="T1277" t="s">
        <v>351</v>
      </c>
      <c r="U1277" s="21">
        <v>8163.75</v>
      </c>
      <c r="V1277" s="21" t="s">
        <v>368</v>
      </c>
      <c r="W1277" t="str">
        <f>VLOOKUP(Table_Query_from_Actuarial___Production[[#This Row],[Kor1]],$AI$3:$AK$105,3,FALSE)</f>
        <v>Anticipated Salvage</v>
      </c>
      <c r="X1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277"/>
      <c r="Z1277" t="s">
        <v>41</v>
      </c>
      <c r="AA1277" t="s">
        <v>253</v>
      </c>
      <c r="AB1277" t="s">
        <v>8</v>
      </c>
      <c r="AC1277" s="21">
        <v>400</v>
      </c>
      <c r="AD1277" s="21" t="s">
        <v>368</v>
      </c>
      <c r="AE1277" t="str">
        <f>VLOOKUP(Table_Query_from_Actuarial___Production3[[#This Row],[Kor1]],$AI$3:$AK$105,3,FALSE)</f>
        <v>Misc. Income</v>
      </c>
      <c r="AF1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8" spans="18:32" x14ac:dyDescent="0.2">
      <c r="R1278" t="s">
        <v>34</v>
      </c>
      <c r="S1278" t="s">
        <v>267</v>
      </c>
      <c r="T1278" t="s">
        <v>445</v>
      </c>
      <c r="U1278" s="21">
        <v>5399.78</v>
      </c>
      <c r="V1278" s="21" t="s">
        <v>368</v>
      </c>
      <c r="W1278" t="str">
        <f>VLOOKUP(Table_Query_from_Actuarial___Production[[#This Row],[Kor1]],$AI$3:$AK$105,3,FALSE)</f>
        <v>Misc. Expense</v>
      </c>
      <c r="X1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8"/>
      <c r="Z1278" t="s">
        <v>10</v>
      </c>
      <c r="AA1278" t="s">
        <v>236</v>
      </c>
      <c r="AB1278" t="s">
        <v>443</v>
      </c>
      <c r="AC1278" s="21">
        <v>848.8</v>
      </c>
      <c r="AD1278" s="21" t="s">
        <v>368</v>
      </c>
      <c r="AE1278" t="str">
        <f>VLOOKUP(Table_Query_from_Actuarial___Production3[[#This Row],[Kor1]],$AI$3:$AK$105,3,FALSE)</f>
        <v>Commissions</v>
      </c>
      <c r="AF1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79" spans="18:32" x14ac:dyDescent="0.2">
      <c r="R1279" t="s">
        <v>33</v>
      </c>
      <c r="S1279" t="s">
        <v>257</v>
      </c>
      <c r="T1279" t="s">
        <v>445</v>
      </c>
      <c r="U1279" s="21">
        <v>10096.27</v>
      </c>
      <c r="V1279" s="21" t="s">
        <v>368</v>
      </c>
      <c r="W1279" t="str">
        <f>VLOOKUP(Table_Query_from_Actuarial___Production[[#This Row],[Kor1]],$AI$3:$AK$105,3,FALSE)</f>
        <v>Misc. Expense</v>
      </c>
      <c r="X1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79"/>
      <c r="Z1279" t="s">
        <v>14</v>
      </c>
      <c r="AA1279" t="s">
        <v>253</v>
      </c>
      <c r="AB1279" t="s">
        <v>433</v>
      </c>
      <c r="AC1279" s="21">
        <v>2101.8000000000002</v>
      </c>
      <c r="AD1279" s="21" t="s">
        <v>368</v>
      </c>
      <c r="AE1279" t="str">
        <f>VLOOKUP(Table_Query_from_Actuarial___Production3[[#This Row],[Kor1]],$AI$3:$AK$105,3,FALSE)</f>
        <v>Claims Expense</v>
      </c>
      <c r="AF1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0" spans="18:32" x14ac:dyDescent="0.2">
      <c r="R1280" t="s">
        <v>43</v>
      </c>
      <c r="S1280" t="s">
        <v>248</v>
      </c>
      <c r="T1280" t="s">
        <v>9</v>
      </c>
      <c r="U1280" s="21">
        <v>-0.7</v>
      </c>
      <c r="V1280" s="21" t="s">
        <v>368</v>
      </c>
      <c r="W1280" t="str">
        <f>VLOOKUP(Table_Query_from_Actuarial___Production[[#This Row],[Kor1]],$AI$3:$AK$105,3,FALSE)</f>
        <v>Charge-offs</v>
      </c>
      <c r="X1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0"/>
      <c r="Z1280" t="s">
        <v>17</v>
      </c>
      <c r="AA1280" t="s">
        <v>232</v>
      </c>
      <c r="AB1280" t="s">
        <v>441</v>
      </c>
      <c r="AC1280" s="21">
        <v>128653.62</v>
      </c>
      <c r="AD1280" s="21" t="s">
        <v>368</v>
      </c>
      <c r="AE1280" t="str">
        <f>VLOOKUP(Table_Query_from_Actuarial___Production3[[#This Row],[Kor1]],$AI$3:$AK$105,3,FALSE)</f>
        <v>IBNR</v>
      </c>
      <c r="AF1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1" spans="18:32" x14ac:dyDescent="0.2">
      <c r="R1281" t="s">
        <v>14</v>
      </c>
      <c r="S1281" t="s">
        <v>228</v>
      </c>
      <c r="T1281" t="s">
        <v>443</v>
      </c>
      <c r="U1281" s="21">
        <v>19441.7</v>
      </c>
      <c r="V1281" s="21" t="s">
        <v>368</v>
      </c>
      <c r="W1281" t="str">
        <f>VLOOKUP(Table_Query_from_Actuarial___Production[[#This Row],[Kor1]],$AI$3:$AK$105,3,FALSE)</f>
        <v>Claims Expense</v>
      </c>
      <c r="X1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1"/>
      <c r="Z1281" t="s">
        <v>20</v>
      </c>
      <c r="AA1281" t="s">
        <v>246</v>
      </c>
      <c r="AB1281" t="s">
        <v>356</v>
      </c>
      <c r="AC1281" s="21">
        <v>154.52000000000001</v>
      </c>
      <c r="AD1281" s="21" t="s">
        <v>368</v>
      </c>
      <c r="AE1281" t="str">
        <f>VLOOKUP(Table_Query_from_Actuarial___Production3[[#This Row],[Kor1]],$AI$3:$AK$105,3,FALSE)</f>
        <v>Misc. Expense</v>
      </c>
      <c r="AF1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2" spans="18:32" x14ac:dyDescent="0.2">
      <c r="R1282" t="s">
        <v>43</v>
      </c>
      <c r="S1282" t="s">
        <v>243</v>
      </c>
      <c r="T1282" t="s">
        <v>443</v>
      </c>
      <c r="U1282" s="21">
        <v>-168.57</v>
      </c>
      <c r="V1282" s="21" t="s">
        <v>368</v>
      </c>
      <c r="W1282" t="str">
        <f>VLOOKUP(Table_Query_from_Actuarial___Production[[#This Row],[Kor1]],$AI$3:$AK$105,3,FALSE)</f>
        <v>Charge-offs</v>
      </c>
      <c r="X1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2"/>
      <c r="Z1282" t="s">
        <v>39</v>
      </c>
      <c r="AA1282" t="s">
        <v>251</v>
      </c>
      <c r="AB1282" t="s">
        <v>5</v>
      </c>
      <c r="AC1282" s="21">
        <v>1867.85</v>
      </c>
      <c r="AD1282" s="21" t="s">
        <v>368</v>
      </c>
      <c r="AE1282" t="str">
        <f>VLOOKUP(Table_Query_from_Actuarial___Production3[[#This Row],[Kor1]],$AI$3:$AK$105,3,FALSE)</f>
        <v>Misc. Income for Insolvent Companies</v>
      </c>
      <c r="AF1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3" spans="18:32" x14ac:dyDescent="0.2">
      <c r="R1283" t="s">
        <v>3</v>
      </c>
      <c r="S1283" t="s">
        <v>234</v>
      </c>
      <c r="T1283" t="s">
        <v>443</v>
      </c>
      <c r="U1283" s="21">
        <v>1760167</v>
      </c>
      <c r="V1283" s="21" t="s">
        <v>368</v>
      </c>
      <c r="W1283" t="str">
        <f>VLOOKUP(Table_Query_from_Actuarial___Production[[#This Row],[Kor1]],$AI$3:$AK$105,3,FALSE)</f>
        <v>Premiums Written</v>
      </c>
      <c r="X1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3"/>
      <c r="Z1283" t="s">
        <v>48</v>
      </c>
      <c r="AA1283" t="s">
        <v>241</v>
      </c>
      <c r="AB1283" t="s">
        <v>427</v>
      </c>
      <c r="AC1283" s="21">
        <v>1661.16</v>
      </c>
      <c r="AD1283" s="21" t="s">
        <v>368</v>
      </c>
      <c r="AE1283" t="str">
        <f>VLOOKUP(Table_Query_from_Actuarial___Production3[[#This Row],[Kor1]],$AI$3:$AK$105,3,FALSE)</f>
        <v>Anticipated Salvage</v>
      </c>
      <c r="AF1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4" spans="18:32" x14ac:dyDescent="0.2">
      <c r="R1284" t="s">
        <v>31</v>
      </c>
      <c r="S1284" t="s">
        <v>262</v>
      </c>
      <c r="T1284" t="s">
        <v>356</v>
      </c>
      <c r="U1284" s="21">
        <v>775.58</v>
      </c>
      <c r="V1284" s="21" t="s">
        <v>368</v>
      </c>
      <c r="W1284" t="str">
        <f>VLOOKUP(Table_Query_from_Actuarial___Production[[#This Row],[Kor1]],$AI$3:$AK$105,3,FALSE)</f>
        <v>Misc. Expense</v>
      </c>
      <c r="X1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4"/>
      <c r="Z1284" t="s">
        <v>10</v>
      </c>
      <c r="AA1284" t="s">
        <v>247</v>
      </c>
      <c r="AB1284" t="s">
        <v>6</v>
      </c>
      <c r="AC1284" s="21">
        <v>643.6</v>
      </c>
      <c r="AD1284" s="21" t="s">
        <v>368</v>
      </c>
      <c r="AE1284" t="str">
        <f>VLOOKUP(Table_Query_from_Actuarial___Production3[[#This Row],[Kor1]],$AI$3:$AK$105,3,FALSE)</f>
        <v>Commissions</v>
      </c>
      <c r="AF1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5" spans="18:32" x14ac:dyDescent="0.2">
      <c r="R1285" t="s">
        <v>37</v>
      </c>
      <c r="S1285" t="s">
        <v>244</v>
      </c>
      <c r="T1285" t="s">
        <v>442</v>
      </c>
      <c r="U1285" s="21">
        <v>6398.61</v>
      </c>
      <c r="V1285" s="21" t="s">
        <v>368</v>
      </c>
      <c r="W1285" t="str">
        <f>VLOOKUP(Table_Query_from_Actuarial___Production[[#This Row],[Kor1]],$AI$3:$AK$105,3,FALSE)</f>
        <v>Misc. Expense</v>
      </c>
      <c r="X1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5"/>
      <c r="Z1285" t="s">
        <v>20</v>
      </c>
      <c r="AA1285" t="s">
        <v>233</v>
      </c>
      <c r="AB1285" t="s">
        <v>356</v>
      </c>
      <c r="AC1285" s="21">
        <v>164.45</v>
      </c>
      <c r="AD1285" s="21" t="s">
        <v>368</v>
      </c>
      <c r="AE1285" t="str">
        <f>VLOOKUP(Table_Query_from_Actuarial___Production3[[#This Row],[Kor1]],$AI$3:$AK$105,3,FALSE)</f>
        <v>Misc. Expense</v>
      </c>
      <c r="AF1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6" spans="18:32" x14ac:dyDescent="0.2">
      <c r="R1286" t="s">
        <v>46</v>
      </c>
      <c r="S1286" t="s">
        <v>224</v>
      </c>
      <c r="T1286" t="s">
        <v>442</v>
      </c>
      <c r="U1286" s="21">
        <v>16002.9</v>
      </c>
      <c r="V1286" s="21" t="s">
        <v>370</v>
      </c>
      <c r="W1286" t="str">
        <f>VLOOKUP(Table_Query_from_Actuarial___Production[[#This Row],[Kor1]],$AI$3:$AK$105,3,FALSE)</f>
        <v>Investment Income</v>
      </c>
      <c r="X1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286"/>
      <c r="Z1286" t="s">
        <v>31</v>
      </c>
      <c r="AA1286" t="s">
        <v>268</v>
      </c>
      <c r="AB1286" t="s">
        <v>443</v>
      </c>
      <c r="AC1286" s="21">
        <v>743.1</v>
      </c>
      <c r="AD1286" s="21" t="s">
        <v>368</v>
      </c>
      <c r="AE1286" t="str">
        <f>VLOOKUP(Table_Query_from_Actuarial___Production3[[#This Row],[Kor1]],$AI$3:$AK$105,3,FALSE)</f>
        <v>Misc. Expense</v>
      </c>
      <c r="AF1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7" spans="18:32" x14ac:dyDescent="0.2">
      <c r="R1287" t="s">
        <v>439</v>
      </c>
      <c r="S1287" t="s">
        <v>251</v>
      </c>
      <c r="T1287" t="s">
        <v>433</v>
      </c>
      <c r="U1287" s="21">
        <v>10920</v>
      </c>
      <c r="V1287" s="21" t="s">
        <v>368</v>
      </c>
      <c r="W1287" t="str">
        <f>VLOOKUP(Table_Query_from_Actuarial___Production[[#This Row],[Kor1]],$AI$3:$AK$105,3,FALSE)</f>
        <v>Operating Service Fees</v>
      </c>
      <c r="X1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7"/>
      <c r="Z1287" t="s">
        <v>31</v>
      </c>
      <c r="AA1287" t="s">
        <v>245</v>
      </c>
      <c r="AB1287" t="s">
        <v>8</v>
      </c>
      <c r="AC1287" s="21">
        <v>1919.52</v>
      </c>
      <c r="AD1287" s="21" t="s">
        <v>368</v>
      </c>
      <c r="AE1287" t="str">
        <f>VLOOKUP(Table_Query_from_Actuarial___Production3[[#This Row],[Kor1]],$AI$3:$AK$105,3,FALSE)</f>
        <v>Misc. Expense</v>
      </c>
      <c r="AF1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8" spans="18:32" x14ac:dyDescent="0.2">
      <c r="R1288" t="s">
        <v>3</v>
      </c>
      <c r="S1288" t="s">
        <v>234</v>
      </c>
      <c r="T1288" t="s">
        <v>9</v>
      </c>
      <c r="U1288" s="21">
        <v>572559</v>
      </c>
      <c r="V1288" s="21" t="s">
        <v>368</v>
      </c>
      <c r="W1288" t="str">
        <f>VLOOKUP(Table_Query_from_Actuarial___Production[[#This Row],[Kor1]],$AI$3:$AK$105,3,FALSE)</f>
        <v>Premiums Written</v>
      </c>
      <c r="X1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8"/>
      <c r="Z1288" t="s">
        <v>10</v>
      </c>
      <c r="AA1288" t="s">
        <v>256</v>
      </c>
      <c r="AB1288" t="s">
        <v>8</v>
      </c>
      <c r="AC1288" s="21">
        <v>8510.2999999999993</v>
      </c>
      <c r="AD1288" s="21" t="s">
        <v>368</v>
      </c>
      <c r="AE1288" t="str">
        <f>VLOOKUP(Table_Query_from_Actuarial___Production3[[#This Row],[Kor1]],$AI$3:$AK$105,3,FALSE)</f>
        <v>Commissions</v>
      </c>
      <c r="AF1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89" spans="18:32" x14ac:dyDescent="0.2">
      <c r="R1289" t="s">
        <v>43</v>
      </c>
      <c r="S1289" t="s">
        <v>236</v>
      </c>
      <c r="T1289" t="s">
        <v>9</v>
      </c>
      <c r="U1289" s="21">
        <v>125.41</v>
      </c>
      <c r="V1289" s="21" t="s">
        <v>368</v>
      </c>
      <c r="W1289" t="str">
        <f>VLOOKUP(Table_Query_from_Actuarial___Production[[#This Row],[Kor1]],$AI$3:$AK$105,3,FALSE)</f>
        <v>Charge-offs</v>
      </c>
      <c r="X1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89"/>
      <c r="Z1289" t="s">
        <v>13</v>
      </c>
      <c r="AA1289" t="s">
        <v>232</v>
      </c>
      <c r="AB1289" t="s">
        <v>433</v>
      </c>
      <c r="AC1289" s="21">
        <v>249193.88</v>
      </c>
      <c r="AD1289" s="21" t="s">
        <v>368</v>
      </c>
      <c r="AE1289" t="str">
        <f>VLOOKUP(Table_Query_from_Actuarial___Production3[[#This Row],[Kor1]],$AI$3:$AK$105,3,FALSE)</f>
        <v>Operating Service Fees</v>
      </c>
      <c r="AF1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0" spans="18:32" x14ac:dyDescent="0.2">
      <c r="R1290" t="s">
        <v>33</v>
      </c>
      <c r="S1290" t="s">
        <v>235</v>
      </c>
      <c r="T1290" t="s">
        <v>8</v>
      </c>
      <c r="U1290" s="21">
        <v>15947.59</v>
      </c>
      <c r="V1290" s="21" t="s">
        <v>368</v>
      </c>
      <c r="W1290" t="str">
        <f>VLOOKUP(Table_Query_from_Actuarial___Production[[#This Row],[Kor1]],$AI$3:$AK$105,3,FALSE)</f>
        <v>Misc. Expense</v>
      </c>
      <c r="X1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0"/>
      <c r="Z1290" t="s">
        <v>16</v>
      </c>
      <c r="AA1290" t="s">
        <v>250</v>
      </c>
      <c r="AB1290" t="s">
        <v>443</v>
      </c>
      <c r="AC1290" s="21">
        <v>9939.15</v>
      </c>
      <c r="AD1290" s="21" t="s">
        <v>368</v>
      </c>
      <c r="AE1290" t="str">
        <f>VLOOKUP(Table_Query_from_Actuarial___Production3[[#This Row],[Kor1]],$AI$3:$AK$105,3,FALSE)</f>
        <v>Losses Outstanding</v>
      </c>
      <c r="AF1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1" spans="18:32" x14ac:dyDescent="0.2">
      <c r="R1291" t="s">
        <v>10</v>
      </c>
      <c r="S1291" t="s">
        <v>231</v>
      </c>
      <c r="T1291" t="s">
        <v>445</v>
      </c>
      <c r="U1291" s="21">
        <v>64132.25</v>
      </c>
      <c r="V1291" s="21" t="s">
        <v>368</v>
      </c>
      <c r="W1291" t="str">
        <f>VLOOKUP(Table_Query_from_Actuarial___Production[[#This Row],[Kor1]],$AI$3:$AK$105,3,FALSE)</f>
        <v>Commissions</v>
      </c>
      <c r="X1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1"/>
      <c r="Z1291" t="s">
        <v>37</v>
      </c>
      <c r="AA1291" t="s">
        <v>258</v>
      </c>
      <c r="AB1291" t="s">
        <v>351</v>
      </c>
      <c r="AC1291" s="21">
        <v>1417.89</v>
      </c>
      <c r="AD1291" s="21" t="s">
        <v>368</v>
      </c>
      <c r="AE1291" t="str">
        <f>VLOOKUP(Table_Query_from_Actuarial___Production3[[#This Row],[Kor1]],$AI$3:$AK$105,3,FALSE)</f>
        <v>Misc. Expense</v>
      </c>
      <c r="AF1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2" spans="18:32" x14ac:dyDescent="0.2">
      <c r="R1292" t="s">
        <v>37</v>
      </c>
      <c r="S1292" t="s">
        <v>267</v>
      </c>
      <c r="T1292" t="s">
        <v>427</v>
      </c>
      <c r="U1292" s="21">
        <v>582.41999999999996</v>
      </c>
      <c r="V1292" s="21" t="s">
        <v>368</v>
      </c>
      <c r="W1292" t="str">
        <f>VLOOKUP(Table_Query_from_Actuarial___Production[[#This Row],[Kor1]],$AI$3:$AK$105,3,FALSE)</f>
        <v>Misc. Expense</v>
      </c>
      <c r="X1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2"/>
      <c r="Z1292" t="s">
        <v>50</v>
      </c>
      <c r="AA1292" t="s">
        <v>237</v>
      </c>
      <c r="AB1292" t="s">
        <v>441</v>
      </c>
      <c r="AC1292" s="21">
        <v>1930655.92</v>
      </c>
      <c r="AD1292" s="21" t="s">
        <v>368</v>
      </c>
      <c r="AE1292" t="str">
        <f>VLOOKUP(Table_Query_from_Actuarial___Production3[[#This Row],[Kor1]],$AI$3:$AK$105,3,FALSE)</f>
        <v>ALAE Reserve</v>
      </c>
      <c r="AF1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3" spans="18:32" x14ac:dyDescent="0.2">
      <c r="R1293" t="s">
        <v>39</v>
      </c>
      <c r="S1293" t="s">
        <v>259</v>
      </c>
      <c r="T1293" t="s">
        <v>441</v>
      </c>
      <c r="U1293" s="21">
        <v>386.65</v>
      </c>
      <c r="V1293" s="21" t="s">
        <v>368</v>
      </c>
      <c r="W1293" t="str">
        <f>VLOOKUP(Table_Query_from_Actuarial___Production[[#This Row],[Kor1]],$AI$3:$AK$105,3,FALSE)</f>
        <v>Misc. Income for Insolvent Companies</v>
      </c>
      <c r="X1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3"/>
      <c r="Z1293" t="s">
        <v>18</v>
      </c>
      <c r="AA1293" t="s">
        <v>225</v>
      </c>
      <c r="AB1293" t="s">
        <v>433</v>
      </c>
      <c r="AC1293" s="21">
        <v>481664.56</v>
      </c>
      <c r="AD1293" s="21" t="s">
        <v>369</v>
      </c>
      <c r="AE1293" t="str">
        <f>VLOOKUP(Table_Query_from_Actuarial___Production3[[#This Row],[Kor1]],$AI$3:$AK$105,3,FALSE)</f>
        <v>Misc. Expense</v>
      </c>
      <c r="AF1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294" spans="18:32" x14ac:dyDescent="0.2">
      <c r="R1294" t="s">
        <v>11</v>
      </c>
      <c r="S1294" t="s">
        <v>226</v>
      </c>
      <c r="T1294" t="s">
        <v>356</v>
      </c>
      <c r="U1294" s="21">
        <v>2998695.21</v>
      </c>
      <c r="V1294" s="21" t="s">
        <v>368</v>
      </c>
      <c r="W1294" t="str">
        <f>VLOOKUP(Table_Query_from_Actuarial___Production[[#This Row],[Kor1]],$AI$3:$AK$105,3,FALSE)</f>
        <v>Losses Paid</v>
      </c>
      <c r="X1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294"/>
      <c r="Z1294" t="s">
        <v>41</v>
      </c>
      <c r="AA1294" t="s">
        <v>252</v>
      </c>
      <c r="AB1294" t="s">
        <v>441</v>
      </c>
      <c r="AC1294" s="21">
        <v>575.28</v>
      </c>
      <c r="AD1294" s="21" t="s">
        <v>368</v>
      </c>
      <c r="AE1294" t="str">
        <f>VLOOKUP(Table_Query_from_Actuarial___Production3[[#This Row],[Kor1]],$AI$3:$AK$105,3,FALSE)</f>
        <v>Misc. Income</v>
      </c>
      <c r="AF1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5" spans="18:32" x14ac:dyDescent="0.2">
      <c r="R1295" t="s">
        <v>18</v>
      </c>
      <c r="S1295" t="s">
        <v>224</v>
      </c>
      <c r="T1295" t="s">
        <v>356</v>
      </c>
      <c r="U1295" s="21">
        <v>2586.15</v>
      </c>
      <c r="V1295" s="21" t="s">
        <v>425</v>
      </c>
      <c r="W1295" t="str">
        <f>VLOOKUP(Table_Query_from_Actuarial___Production[[#This Row],[Kor1]],$AI$3:$AK$105,3,FALSE)</f>
        <v>Misc. Expense</v>
      </c>
      <c r="X1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295"/>
      <c r="Z1295" t="s">
        <v>32</v>
      </c>
      <c r="AA1295" t="s">
        <v>252</v>
      </c>
      <c r="AB1295" t="s">
        <v>9</v>
      </c>
      <c r="AC1295" s="21">
        <v>116400.75</v>
      </c>
      <c r="AD1295" s="21" t="s">
        <v>368</v>
      </c>
      <c r="AE1295" t="str">
        <f>VLOOKUP(Table_Query_from_Actuarial___Production3[[#This Row],[Kor1]],$AI$3:$AK$105,3,FALSE)</f>
        <v>Misc. Expense</v>
      </c>
      <c r="AF1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6" spans="18:32" x14ac:dyDescent="0.2">
      <c r="R1296" t="s">
        <v>10</v>
      </c>
      <c r="S1296" t="s">
        <v>252</v>
      </c>
      <c r="T1296" t="s">
        <v>6</v>
      </c>
      <c r="U1296" s="21">
        <v>601057.31999999995</v>
      </c>
      <c r="V1296" s="21" t="s">
        <v>368</v>
      </c>
      <c r="W1296" t="str">
        <f>VLOOKUP(Table_Query_from_Actuarial___Production[[#This Row],[Kor1]],$AI$3:$AK$105,3,FALSE)</f>
        <v>Commissions</v>
      </c>
      <c r="X1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6"/>
      <c r="Z1296" t="s">
        <v>48</v>
      </c>
      <c r="AA1296" t="s">
        <v>354</v>
      </c>
      <c r="AB1296" t="s">
        <v>442</v>
      </c>
      <c r="AC1296" s="21">
        <v>6524002.2599999998</v>
      </c>
      <c r="AD1296" s="21" t="s">
        <v>369</v>
      </c>
      <c r="AE1296" t="str">
        <f>VLOOKUP(Table_Query_from_Actuarial___Production3[[#This Row],[Kor1]],$AI$3:$AK$105,3,FALSE)</f>
        <v>Anticipated Salvage</v>
      </c>
      <c r="AF1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297" spans="18:32" x14ac:dyDescent="0.2">
      <c r="R1297" t="s">
        <v>11</v>
      </c>
      <c r="S1297" t="s">
        <v>261</v>
      </c>
      <c r="T1297" t="s">
        <v>9</v>
      </c>
      <c r="U1297" s="21">
        <v>207216.07</v>
      </c>
      <c r="V1297" s="21" t="s">
        <v>368</v>
      </c>
      <c r="W1297" t="str">
        <f>VLOOKUP(Table_Query_from_Actuarial___Production[[#This Row],[Kor1]],$AI$3:$AK$105,3,FALSE)</f>
        <v>Losses Paid</v>
      </c>
      <c r="X1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7"/>
      <c r="Z1297" t="s">
        <v>11</v>
      </c>
      <c r="AA1297" t="s">
        <v>227</v>
      </c>
      <c r="AB1297" t="s">
        <v>6</v>
      </c>
      <c r="AC1297" s="21">
        <v>2181445.38</v>
      </c>
      <c r="AD1297" s="21" t="s">
        <v>368</v>
      </c>
      <c r="AE1297" t="str">
        <f>VLOOKUP(Table_Query_from_Actuarial___Production3[[#This Row],[Kor1]],$AI$3:$AK$105,3,FALSE)</f>
        <v>Losses Paid</v>
      </c>
      <c r="AF1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8" spans="18:32" x14ac:dyDescent="0.2">
      <c r="R1298" t="s">
        <v>19</v>
      </c>
      <c r="S1298" t="s">
        <v>235</v>
      </c>
      <c r="T1298" t="s">
        <v>427</v>
      </c>
      <c r="U1298" s="21">
        <v>1804</v>
      </c>
      <c r="V1298" s="21" t="s">
        <v>368</v>
      </c>
      <c r="W1298" t="str">
        <f>VLOOKUP(Table_Query_from_Actuarial___Production[[#This Row],[Kor1]],$AI$3:$AK$105,3,FALSE)</f>
        <v>Misc. Expense for Insolvent Companies</v>
      </c>
      <c r="X1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8"/>
      <c r="Z1298" t="s">
        <v>37</v>
      </c>
      <c r="AA1298" t="s">
        <v>259</v>
      </c>
      <c r="AB1298" t="s">
        <v>356</v>
      </c>
      <c r="AC1298" s="21">
        <v>4269.05</v>
      </c>
      <c r="AD1298" s="21" t="s">
        <v>368</v>
      </c>
      <c r="AE1298" t="str">
        <f>VLOOKUP(Table_Query_from_Actuarial___Production3[[#This Row],[Kor1]],$AI$3:$AK$105,3,FALSE)</f>
        <v>Misc. Expense</v>
      </c>
      <c r="AF1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299" spans="18:32" x14ac:dyDescent="0.2">
      <c r="R1299" t="s">
        <v>31</v>
      </c>
      <c r="S1299" t="s">
        <v>239</v>
      </c>
      <c r="T1299" t="s">
        <v>7</v>
      </c>
      <c r="U1299" s="21">
        <v>1077.25</v>
      </c>
      <c r="V1299" s="21" t="s">
        <v>368</v>
      </c>
      <c r="W1299" t="str">
        <f>VLOOKUP(Table_Query_from_Actuarial___Production[[#This Row],[Kor1]],$AI$3:$AK$105,3,FALSE)</f>
        <v>Misc. Expense</v>
      </c>
      <c r="X1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299"/>
      <c r="Z1299" t="s">
        <v>12</v>
      </c>
      <c r="AA1299" t="s">
        <v>247</v>
      </c>
      <c r="AB1299" t="s">
        <v>442</v>
      </c>
      <c r="AC1299" s="21">
        <v>180.78</v>
      </c>
      <c r="AD1299" s="21" t="s">
        <v>368</v>
      </c>
      <c r="AE1299" t="str">
        <f>VLOOKUP(Table_Query_from_Actuarial___Production3[[#This Row],[Kor1]],$AI$3:$AK$105,3,FALSE)</f>
        <v>Premium Tax</v>
      </c>
      <c r="AF1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0" spans="18:32" x14ac:dyDescent="0.2">
      <c r="R1300" t="s">
        <v>39</v>
      </c>
      <c r="S1300" t="s">
        <v>264</v>
      </c>
      <c r="T1300" t="s">
        <v>356</v>
      </c>
      <c r="U1300" s="21">
        <v>682</v>
      </c>
      <c r="V1300" s="21" t="s">
        <v>368</v>
      </c>
      <c r="W1300" t="str">
        <f>VLOOKUP(Table_Query_from_Actuarial___Production[[#This Row],[Kor1]],$AI$3:$AK$105,3,FALSE)</f>
        <v>Misc. Income for Insolvent Companies</v>
      </c>
      <c r="X1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0"/>
      <c r="Z1300" t="s">
        <v>50</v>
      </c>
      <c r="AA1300" t="s">
        <v>251</v>
      </c>
      <c r="AB1300" t="s">
        <v>427</v>
      </c>
      <c r="AC1300" s="21">
        <v>8344.2999999999993</v>
      </c>
      <c r="AD1300" s="21" t="s">
        <v>368</v>
      </c>
      <c r="AE1300" t="str">
        <f>VLOOKUP(Table_Query_from_Actuarial___Production3[[#This Row],[Kor1]],$AI$3:$AK$105,3,FALSE)</f>
        <v>ALAE Reserve</v>
      </c>
      <c r="AF1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1" spans="18:32" x14ac:dyDescent="0.2">
      <c r="R1301" t="s">
        <v>3</v>
      </c>
      <c r="S1301" t="s">
        <v>252</v>
      </c>
      <c r="T1301" t="s">
        <v>443</v>
      </c>
      <c r="U1301" s="21">
        <v>24653965</v>
      </c>
      <c r="V1301" s="21" t="s">
        <v>368</v>
      </c>
      <c r="W1301" t="str">
        <f>VLOOKUP(Table_Query_from_Actuarial___Production[[#This Row],[Kor1]],$AI$3:$AK$105,3,FALSE)</f>
        <v>Premiums Written</v>
      </c>
      <c r="X1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1"/>
      <c r="Z1301" t="s">
        <v>3</v>
      </c>
      <c r="AA1301" t="s">
        <v>352</v>
      </c>
      <c r="AB1301" t="s">
        <v>6</v>
      </c>
      <c r="AC1301" s="21">
        <v>14302</v>
      </c>
      <c r="AD1301" s="21" t="s">
        <v>368</v>
      </c>
      <c r="AE1301" t="str">
        <f>VLOOKUP(Table_Query_from_Actuarial___Production3[[#This Row],[Kor1]],$AI$3:$AK$105,3,FALSE)</f>
        <v>Premiums Written</v>
      </c>
      <c r="AF1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302" spans="18:32" x14ac:dyDescent="0.2">
      <c r="R1302" t="s">
        <v>3</v>
      </c>
      <c r="S1302" t="s">
        <v>260</v>
      </c>
      <c r="T1302" t="s">
        <v>445</v>
      </c>
      <c r="U1302" s="21">
        <v>62272</v>
      </c>
      <c r="V1302" s="21" t="s">
        <v>368</v>
      </c>
      <c r="W1302" t="str">
        <f>VLOOKUP(Table_Query_from_Actuarial___Production[[#This Row],[Kor1]],$AI$3:$AK$105,3,FALSE)</f>
        <v>Premiums Written</v>
      </c>
      <c r="X1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2"/>
      <c r="Z1302" t="s">
        <v>13</v>
      </c>
      <c r="AA1302" t="s">
        <v>230</v>
      </c>
      <c r="AB1302" t="s">
        <v>427</v>
      </c>
      <c r="AC1302" s="21">
        <v>4109619.07</v>
      </c>
      <c r="AD1302" s="21" t="s">
        <v>368</v>
      </c>
      <c r="AE1302" t="str">
        <f>VLOOKUP(Table_Query_from_Actuarial___Production3[[#This Row],[Kor1]],$AI$3:$AK$105,3,FALSE)</f>
        <v>Operating Service Fees</v>
      </c>
      <c r="AF1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3" spans="18:32" x14ac:dyDescent="0.2">
      <c r="R1303" t="s">
        <v>10</v>
      </c>
      <c r="S1303" t="s">
        <v>260</v>
      </c>
      <c r="T1303" t="s">
        <v>6</v>
      </c>
      <c r="U1303" s="21">
        <v>384.65</v>
      </c>
      <c r="V1303" s="21" t="s">
        <v>368</v>
      </c>
      <c r="W1303" t="str">
        <f>VLOOKUP(Table_Query_from_Actuarial___Production[[#This Row],[Kor1]],$AI$3:$AK$105,3,FALSE)</f>
        <v>Commissions</v>
      </c>
      <c r="X1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3"/>
      <c r="Z1303" t="s">
        <v>19</v>
      </c>
      <c r="AA1303" t="s">
        <v>4</v>
      </c>
      <c r="AB1303" t="s">
        <v>427</v>
      </c>
      <c r="AC1303" s="21">
        <v>115237.98</v>
      </c>
      <c r="AD1303" s="21" t="s">
        <v>368</v>
      </c>
      <c r="AE1303" t="str">
        <f>VLOOKUP(Table_Query_from_Actuarial___Production3[[#This Row],[Kor1]],$AI$3:$AK$105,3,FALSE)</f>
        <v>Misc. Expense for Insolvent Companies</v>
      </c>
      <c r="AF1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4" spans="18:32" x14ac:dyDescent="0.2">
      <c r="R1304" t="s">
        <v>11</v>
      </c>
      <c r="S1304" t="s">
        <v>239</v>
      </c>
      <c r="T1304" t="s">
        <v>6</v>
      </c>
      <c r="U1304" s="21">
        <v>144164.79</v>
      </c>
      <c r="V1304" s="21" t="s">
        <v>368</v>
      </c>
      <c r="W1304" t="str">
        <f>VLOOKUP(Table_Query_from_Actuarial___Production[[#This Row],[Kor1]],$AI$3:$AK$105,3,FALSE)</f>
        <v>Losses Paid</v>
      </c>
      <c r="X1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4"/>
      <c r="Z1304" t="s">
        <v>37</v>
      </c>
      <c r="AA1304" t="s">
        <v>237</v>
      </c>
      <c r="AB1304" t="s">
        <v>433</v>
      </c>
      <c r="AC1304" s="21">
        <v>53834.41</v>
      </c>
      <c r="AD1304" s="21" t="s">
        <v>368</v>
      </c>
      <c r="AE1304" t="str">
        <f>VLOOKUP(Table_Query_from_Actuarial___Production3[[#This Row],[Kor1]],$AI$3:$AK$105,3,FALSE)</f>
        <v>Misc. Expense</v>
      </c>
      <c r="AF1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5" spans="18:32" x14ac:dyDescent="0.2">
      <c r="R1305" t="s">
        <v>21</v>
      </c>
      <c r="S1305" t="s">
        <v>250</v>
      </c>
      <c r="T1305" t="s">
        <v>351</v>
      </c>
      <c r="U1305" s="21">
        <v>1130.03</v>
      </c>
      <c r="V1305" s="21" t="s">
        <v>368</v>
      </c>
      <c r="W1305" t="str">
        <f>VLOOKUP(Table_Query_from_Actuarial___Production[[#This Row],[Kor1]],$AI$3:$AK$105,3,FALSE)</f>
        <v>Misc. Expense</v>
      </c>
      <c r="X1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5"/>
      <c r="Z1305" t="s">
        <v>17</v>
      </c>
      <c r="AA1305" t="s">
        <v>248</v>
      </c>
      <c r="AB1305" t="s">
        <v>433</v>
      </c>
      <c r="AC1305" s="21">
        <v>38625.089999999997</v>
      </c>
      <c r="AD1305" s="21" t="s">
        <v>368</v>
      </c>
      <c r="AE1305" t="str">
        <f>VLOOKUP(Table_Query_from_Actuarial___Production3[[#This Row],[Kor1]],$AI$3:$AK$105,3,FALSE)</f>
        <v>IBNR</v>
      </c>
      <c r="AF1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6" spans="18:32" x14ac:dyDescent="0.2">
      <c r="R1306" t="s">
        <v>39</v>
      </c>
      <c r="S1306" t="s">
        <v>257</v>
      </c>
      <c r="T1306" t="s">
        <v>351</v>
      </c>
      <c r="U1306" s="21">
        <v>-0.02</v>
      </c>
      <c r="V1306" s="21" t="s">
        <v>368</v>
      </c>
      <c r="W1306" t="str">
        <f>VLOOKUP(Table_Query_from_Actuarial___Production[[#This Row],[Kor1]],$AI$3:$AK$105,3,FALSE)</f>
        <v>Misc. Income for Insolvent Companies</v>
      </c>
      <c r="X1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6"/>
      <c r="Z1306" t="s">
        <v>19</v>
      </c>
      <c r="AA1306" t="s">
        <v>264</v>
      </c>
      <c r="AB1306" t="s">
        <v>427</v>
      </c>
      <c r="AC1306" s="21">
        <v>41475</v>
      </c>
      <c r="AD1306" s="21" t="s">
        <v>368</v>
      </c>
      <c r="AE1306" t="str">
        <f>VLOOKUP(Table_Query_from_Actuarial___Production3[[#This Row],[Kor1]],$AI$3:$AK$105,3,FALSE)</f>
        <v>Misc. Expense for Insolvent Companies</v>
      </c>
      <c r="AF1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7" spans="18:32" x14ac:dyDescent="0.2">
      <c r="R1307" t="s">
        <v>34</v>
      </c>
      <c r="S1307" t="s">
        <v>263</v>
      </c>
      <c r="T1307" t="s">
        <v>8</v>
      </c>
      <c r="U1307" s="21">
        <v>0.84</v>
      </c>
      <c r="V1307" s="21" t="s">
        <v>368</v>
      </c>
      <c r="W1307" t="str">
        <f>VLOOKUP(Table_Query_from_Actuarial___Production[[#This Row],[Kor1]],$AI$3:$AK$105,3,FALSE)</f>
        <v>Misc. Expense</v>
      </c>
      <c r="X1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7"/>
      <c r="Z1307" t="s">
        <v>33</v>
      </c>
      <c r="AA1307" t="s">
        <v>233</v>
      </c>
      <c r="AB1307" t="s">
        <v>433</v>
      </c>
      <c r="AC1307" s="21">
        <v>14215.25</v>
      </c>
      <c r="AD1307" s="21" t="s">
        <v>368</v>
      </c>
      <c r="AE1307" t="str">
        <f>VLOOKUP(Table_Query_from_Actuarial___Production3[[#This Row],[Kor1]],$AI$3:$AK$105,3,FALSE)</f>
        <v>Misc. Expense</v>
      </c>
      <c r="AF1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08" spans="18:32" x14ac:dyDescent="0.2">
      <c r="R1308" t="s">
        <v>39</v>
      </c>
      <c r="S1308" t="s">
        <v>229</v>
      </c>
      <c r="T1308" t="s">
        <v>7</v>
      </c>
      <c r="U1308" s="21">
        <v>60</v>
      </c>
      <c r="V1308" s="21" t="s">
        <v>368</v>
      </c>
      <c r="W1308" t="str">
        <f>VLOOKUP(Table_Query_from_Actuarial___Production[[#This Row],[Kor1]],$AI$3:$AK$105,3,FALSE)</f>
        <v>Misc. Income for Insolvent Companies</v>
      </c>
      <c r="X1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8"/>
      <c r="Z1308" t="s">
        <v>48</v>
      </c>
      <c r="AA1308" t="s">
        <v>354</v>
      </c>
      <c r="AB1308" t="s">
        <v>351</v>
      </c>
      <c r="AC1308" s="21">
        <v>14593.74</v>
      </c>
      <c r="AD1308" s="21" t="s">
        <v>368</v>
      </c>
      <c r="AE1308" t="str">
        <f>VLOOKUP(Table_Query_from_Actuarial___Production3[[#This Row],[Kor1]],$AI$3:$AK$105,3,FALSE)</f>
        <v>Anticipated Salvage</v>
      </c>
      <c r="AF1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309" spans="18:32" x14ac:dyDescent="0.2">
      <c r="R1309" t="s">
        <v>44</v>
      </c>
      <c r="S1309" t="s">
        <v>265</v>
      </c>
      <c r="T1309" t="s">
        <v>8</v>
      </c>
      <c r="U1309" s="21">
        <v>14778.25</v>
      </c>
      <c r="V1309" s="21" t="s">
        <v>368</v>
      </c>
      <c r="W1309" t="str">
        <f>VLOOKUP(Table_Query_from_Actuarial___Production[[#This Row],[Kor1]],$AI$3:$AK$105,3,FALSE)</f>
        <v>Charge-offs</v>
      </c>
      <c r="X1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09"/>
      <c r="Z1309" t="s">
        <v>49</v>
      </c>
      <c r="AA1309" t="s">
        <v>228</v>
      </c>
      <c r="AB1309" t="s">
        <v>5</v>
      </c>
      <c r="AC1309" s="21">
        <v>780</v>
      </c>
      <c r="AD1309" s="21" t="s">
        <v>368</v>
      </c>
      <c r="AE1309" t="str">
        <f>VLOOKUP(Table_Query_from_Actuarial___Production3[[#This Row],[Kor1]],$AI$3:$AK$105,3,FALSE)</f>
        <v>ALAE Paid</v>
      </c>
      <c r="AF1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0" spans="18:32" x14ac:dyDescent="0.2">
      <c r="R1310" t="s">
        <v>167</v>
      </c>
      <c r="S1310" t="s">
        <v>354</v>
      </c>
      <c r="T1310" t="s">
        <v>6</v>
      </c>
      <c r="U1310" s="21">
        <v>14122737</v>
      </c>
      <c r="V1310" s="21" t="s">
        <v>368</v>
      </c>
      <c r="W1310" t="str">
        <f>VLOOKUP(Table_Query_from_Actuarial___Production[[#This Row],[Kor1]],$AI$3:$AK$105,3,FALSE)</f>
        <v>Recoupment</v>
      </c>
      <c r="X1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310"/>
      <c r="Z1310" t="s">
        <v>43</v>
      </c>
      <c r="AA1310" t="s">
        <v>248</v>
      </c>
      <c r="AB1310" t="s">
        <v>9</v>
      </c>
      <c r="AC1310" s="21">
        <v>-0.7</v>
      </c>
      <c r="AD1310" s="21" t="s">
        <v>368</v>
      </c>
      <c r="AE1310" t="str">
        <f>VLOOKUP(Table_Query_from_Actuarial___Production3[[#This Row],[Kor1]],$AI$3:$AK$105,3,FALSE)</f>
        <v>Charge-offs</v>
      </c>
      <c r="AF1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1" spans="18:32" x14ac:dyDescent="0.2">
      <c r="R1311" t="s">
        <v>37</v>
      </c>
      <c r="S1311" t="s">
        <v>250</v>
      </c>
      <c r="T1311" t="s">
        <v>442</v>
      </c>
      <c r="U1311" s="21">
        <v>76.23</v>
      </c>
      <c r="V1311" s="21" t="s">
        <v>368</v>
      </c>
      <c r="W1311" t="str">
        <f>VLOOKUP(Table_Query_from_Actuarial___Production[[#This Row],[Kor1]],$AI$3:$AK$105,3,FALSE)</f>
        <v>Misc. Expense</v>
      </c>
      <c r="X1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1"/>
      <c r="Z1311" t="s">
        <v>14</v>
      </c>
      <c r="AA1311" t="s">
        <v>228</v>
      </c>
      <c r="AB1311" t="s">
        <v>443</v>
      </c>
      <c r="AC1311" s="21">
        <v>3933.7</v>
      </c>
      <c r="AD1311" s="21" t="s">
        <v>368</v>
      </c>
      <c r="AE1311" t="str">
        <f>VLOOKUP(Table_Query_from_Actuarial___Production3[[#This Row],[Kor1]],$AI$3:$AK$105,3,FALSE)</f>
        <v>Claims Expense</v>
      </c>
      <c r="AF1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2" spans="18:32" x14ac:dyDescent="0.2">
      <c r="R1312" t="s">
        <v>39</v>
      </c>
      <c r="S1312" t="s">
        <v>229</v>
      </c>
      <c r="T1312" t="s">
        <v>433</v>
      </c>
      <c r="U1312" s="21">
        <v>757</v>
      </c>
      <c r="V1312" s="21" t="s">
        <v>368</v>
      </c>
      <c r="W1312" t="str">
        <f>VLOOKUP(Table_Query_from_Actuarial___Production[[#This Row],[Kor1]],$AI$3:$AK$105,3,FALSE)</f>
        <v>Misc. Income for Insolvent Companies</v>
      </c>
      <c r="X1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2"/>
      <c r="Z1312" t="s">
        <v>3</v>
      </c>
      <c r="AA1312" t="s">
        <v>234</v>
      </c>
      <c r="AB1312" t="s">
        <v>443</v>
      </c>
      <c r="AC1312" s="21">
        <v>233392</v>
      </c>
      <c r="AD1312" s="21" t="s">
        <v>368</v>
      </c>
      <c r="AE1312" t="str">
        <f>VLOOKUP(Table_Query_from_Actuarial___Production3[[#This Row],[Kor1]],$AI$3:$AK$105,3,FALSE)</f>
        <v>Premiums Written</v>
      </c>
      <c r="AF1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3" spans="18:32" x14ac:dyDescent="0.2">
      <c r="R1313" t="s">
        <v>49</v>
      </c>
      <c r="S1313" t="s">
        <v>257</v>
      </c>
      <c r="T1313" t="s">
        <v>433</v>
      </c>
      <c r="U1313" s="21">
        <v>104662.09</v>
      </c>
      <c r="V1313" s="21" t="s">
        <v>368</v>
      </c>
      <c r="W1313" t="str">
        <f>VLOOKUP(Table_Query_from_Actuarial___Production[[#This Row],[Kor1]],$AI$3:$AK$105,3,FALSE)</f>
        <v>ALAE Paid</v>
      </c>
      <c r="X1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3"/>
      <c r="Z1313" t="s">
        <v>31</v>
      </c>
      <c r="AA1313" t="s">
        <v>262</v>
      </c>
      <c r="AB1313" t="s">
        <v>356</v>
      </c>
      <c r="AC1313" s="21">
        <v>775.58</v>
      </c>
      <c r="AD1313" s="21" t="s">
        <v>368</v>
      </c>
      <c r="AE1313" t="str">
        <f>VLOOKUP(Table_Query_from_Actuarial___Production3[[#This Row],[Kor1]],$AI$3:$AK$105,3,FALSE)</f>
        <v>Misc. Expense</v>
      </c>
      <c r="AF1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4" spans="18:32" x14ac:dyDescent="0.2">
      <c r="R1314" t="s">
        <v>14</v>
      </c>
      <c r="S1314" t="s">
        <v>225</v>
      </c>
      <c r="T1314" t="s">
        <v>441</v>
      </c>
      <c r="U1314" s="21">
        <v>20980</v>
      </c>
      <c r="V1314" s="21" t="s">
        <v>369</v>
      </c>
      <c r="W1314" t="str">
        <f>VLOOKUP(Table_Query_from_Actuarial___Production[[#This Row],[Kor1]],$AI$3:$AK$105,3,FALSE)</f>
        <v>Claims Expense</v>
      </c>
      <c r="X1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314"/>
      <c r="Z1314" t="s">
        <v>37</v>
      </c>
      <c r="AA1314" t="s">
        <v>244</v>
      </c>
      <c r="AB1314" t="s">
        <v>442</v>
      </c>
      <c r="AC1314" s="21">
        <v>302.54000000000002</v>
      </c>
      <c r="AD1314" s="21" t="s">
        <v>368</v>
      </c>
      <c r="AE1314" t="str">
        <f>VLOOKUP(Table_Query_from_Actuarial___Production3[[#This Row],[Kor1]],$AI$3:$AK$105,3,FALSE)</f>
        <v>Misc. Expense</v>
      </c>
      <c r="AF1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5" spans="18:32" x14ac:dyDescent="0.2">
      <c r="R1315" t="s">
        <v>19</v>
      </c>
      <c r="S1315" t="s">
        <v>4</v>
      </c>
      <c r="T1315" t="s">
        <v>7</v>
      </c>
      <c r="U1315" s="21">
        <v>7.97</v>
      </c>
      <c r="V1315" s="21" t="s">
        <v>368</v>
      </c>
      <c r="W1315" t="str">
        <f>VLOOKUP(Table_Query_from_Actuarial___Production[[#This Row],[Kor1]],$AI$3:$AK$105,3,FALSE)</f>
        <v>Misc. Expense for Insolvent Companies</v>
      </c>
      <c r="X1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5"/>
      <c r="Z1315" t="s">
        <v>46</v>
      </c>
      <c r="AA1315" t="s">
        <v>224</v>
      </c>
      <c r="AB1315" t="s">
        <v>442</v>
      </c>
      <c r="AC1315" s="21">
        <v>16002.9</v>
      </c>
      <c r="AD1315" s="21" t="s">
        <v>370</v>
      </c>
      <c r="AE1315" t="str">
        <f>VLOOKUP(Table_Query_from_Actuarial___Production3[[#This Row],[Kor1]],$AI$3:$AK$105,3,FALSE)</f>
        <v>Investment Income</v>
      </c>
      <c r="AF1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316" spans="18:32" x14ac:dyDescent="0.2">
      <c r="R1316" t="s">
        <v>33</v>
      </c>
      <c r="S1316" t="s">
        <v>262</v>
      </c>
      <c r="T1316" t="s">
        <v>445</v>
      </c>
      <c r="U1316" s="21">
        <v>8631.27</v>
      </c>
      <c r="V1316" s="21" t="s">
        <v>368</v>
      </c>
      <c r="W1316" t="str">
        <f>VLOOKUP(Table_Query_from_Actuarial___Production[[#This Row],[Kor1]],$AI$3:$AK$105,3,FALSE)</f>
        <v>Misc. Expense</v>
      </c>
      <c r="X1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6"/>
      <c r="Z1316" t="s">
        <v>439</v>
      </c>
      <c r="AA1316" t="s">
        <v>251</v>
      </c>
      <c r="AB1316" t="s">
        <v>433</v>
      </c>
      <c r="AC1316" s="21">
        <v>10920</v>
      </c>
      <c r="AD1316" s="21" t="s">
        <v>368</v>
      </c>
      <c r="AE1316" t="str">
        <f>VLOOKUP(Table_Query_from_Actuarial___Production3[[#This Row],[Kor1]],$AI$3:$AK$105,3,FALSE)</f>
        <v>Operating Service Fees</v>
      </c>
      <c r="AF1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7" spans="18:32" x14ac:dyDescent="0.2">
      <c r="R1317" t="s">
        <v>40</v>
      </c>
      <c r="S1317" t="s">
        <v>260</v>
      </c>
      <c r="T1317" t="s">
        <v>356</v>
      </c>
      <c r="U1317" s="21">
        <v>1</v>
      </c>
      <c r="V1317" s="21" t="s">
        <v>368</v>
      </c>
      <c r="W1317" t="str">
        <f>VLOOKUP(Table_Query_from_Actuarial___Production[[#This Row],[Kor1]],$AI$3:$AK$105,3,FALSE)</f>
        <v>Misc. Income</v>
      </c>
      <c r="X1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7"/>
      <c r="Z1317" t="s">
        <v>3</v>
      </c>
      <c r="AA1317" t="s">
        <v>234</v>
      </c>
      <c r="AB1317" t="s">
        <v>9</v>
      </c>
      <c r="AC1317" s="21">
        <v>572559</v>
      </c>
      <c r="AD1317" s="21" t="s">
        <v>368</v>
      </c>
      <c r="AE1317" t="str">
        <f>VLOOKUP(Table_Query_from_Actuarial___Production3[[#This Row],[Kor1]],$AI$3:$AK$105,3,FALSE)</f>
        <v>Premiums Written</v>
      </c>
      <c r="AF1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8" spans="18:32" x14ac:dyDescent="0.2">
      <c r="R1318" t="s">
        <v>40</v>
      </c>
      <c r="S1318" t="s">
        <v>249</v>
      </c>
      <c r="T1318" t="s">
        <v>8</v>
      </c>
      <c r="U1318" s="21">
        <v>142.99</v>
      </c>
      <c r="V1318" s="21" t="s">
        <v>368</v>
      </c>
      <c r="W1318" t="str">
        <f>VLOOKUP(Table_Query_from_Actuarial___Production[[#This Row],[Kor1]],$AI$3:$AK$105,3,FALSE)</f>
        <v>Misc. Income</v>
      </c>
      <c r="X1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8"/>
      <c r="Z1318" t="s">
        <v>43</v>
      </c>
      <c r="AA1318" t="s">
        <v>236</v>
      </c>
      <c r="AB1318" t="s">
        <v>9</v>
      </c>
      <c r="AC1318" s="21">
        <v>125.41</v>
      </c>
      <c r="AD1318" s="21" t="s">
        <v>368</v>
      </c>
      <c r="AE1318" t="str">
        <f>VLOOKUP(Table_Query_from_Actuarial___Production3[[#This Row],[Kor1]],$AI$3:$AK$105,3,FALSE)</f>
        <v>Charge-offs</v>
      </c>
      <c r="AF1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19" spans="18:32" x14ac:dyDescent="0.2">
      <c r="R1319" t="s">
        <v>44</v>
      </c>
      <c r="S1319" t="s">
        <v>237</v>
      </c>
      <c r="T1319" t="s">
        <v>442</v>
      </c>
      <c r="U1319" s="21">
        <v>2434951.7599999998</v>
      </c>
      <c r="V1319" s="21" t="s">
        <v>368</v>
      </c>
      <c r="W1319" t="str">
        <f>VLOOKUP(Table_Query_from_Actuarial___Production[[#This Row],[Kor1]],$AI$3:$AK$105,3,FALSE)</f>
        <v>Charge-offs</v>
      </c>
      <c r="X1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19"/>
      <c r="Z1319" t="s">
        <v>33</v>
      </c>
      <c r="AA1319" t="s">
        <v>235</v>
      </c>
      <c r="AB1319" t="s">
        <v>8</v>
      </c>
      <c r="AC1319" s="21">
        <v>15947.59</v>
      </c>
      <c r="AD1319" s="21" t="s">
        <v>368</v>
      </c>
      <c r="AE1319" t="str">
        <f>VLOOKUP(Table_Query_from_Actuarial___Production3[[#This Row],[Kor1]],$AI$3:$AK$105,3,FALSE)</f>
        <v>Misc. Expense</v>
      </c>
      <c r="AF1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0" spans="18:32" x14ac:dyDescent="0.2">
      <c r="R1320" t="s">
        <v>13</v>
      </c>
      <c r="S1320" t="s">
        <v>352</v>
      </c>
      <c r="T1320" t="s">
        <v>8</v>
      </c>
      <c r="U1320" s="21">
        <v>1611.35</v>
      </c>
      <c r="V1320" s="21" t="s">
        <v>368</v>
      </c>
      <c r="W1320" t="str">
        <f>VLOOKUP(Table_Query_from_Actuarial___Production[[#This Row],[Kor1]],$AI$3:$AK$105,3,FALSE)</f>
        <v>Operating Service Fees</v>
      </c>
      <c r="X1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320"/>
      <c r="Z1320" t="s">
        <v>37</v>
      </c>
      <c r="AA1320" t="s">
        <v>267</v>
      </c>
      <c r="AB1320" t="s">
        <v>427</v>
      </c>
      <c r="AC1320" s="21">
        <v>582.41999999999996</v>
      </c>
      <c r="AD1320" s="21" t="s">
        <v>368</v>
      </c>
      <c r="AE1320" t="str">
        <f>VLOOKUP(Table_Query_from_Actuarial___Production3[[#This Row],[Kor1]],$AI$3:$AK$105,3,FALSE)</f>
        <v>Misc. Expense</v>
      </c>
      <c r="AF1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1" spans="18:32" x14ac:dyDescent="0.2">
      <c r="R1321" t="s">
        <v>10</v>
      </c>
      <c r="S1321" t="s">
        <v>244</v>
      </c>
      <c r="T1321" t="s">
        <v>433</v>
      </c>
      <c r="U1321" s="21">
        <v>169072.72</v>
      </c>
      <c r="V1321" s="21" t="s">
        <v>368</v>
      </c>
      <c r="W1321" t="str">
        <f>VLOOKUP(Table_Query_from_Actuarial___Production[[#This Row],[Kor1]],$AI$3:$AK$105,3,FALSE)</f>
        <v>Commissions</v>
      </c>
      <c r="X1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1"/>
      <c r="Z1321" t="s">
        <v>39</v>
      </c>
      <c r="AA1321" t="s">
        <v>259</v>
      </c>
      <c r="AB1321" t="s">
        <v>441</v>
      </c>
      <c r="AC1321" s="21">
        <v>386.65</v>
      </c>
      <c r="AD1321" s="21" t="s">
        <v>368</v>
      </c>
      <c r="AE1321" t="str">
        <f>VLOOKUP(Table_Query_from_Actuarial___Production3[[#This Row],[Kor1]],$AI$3:$AK$105,3,FALSE)</f>
        <v>Misc. Income for Insolvent Companies</v>
      </c>
      <c r="AF1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2" spans="18:32" x14ac:dyDescent="0.2">
      <c r="R1322" t="s">
        <v>34</v>
      </c>
      <c r="S1322" t="s">
        <v>257</v>
      </c>
      <c r="T1322" t="s">
        <v>442</v>
      </c>
      <c r="U1322" s="21">
        <v>49</v>
      </c>
      <c r="V1322" s="21" t="s">
        <v>368</v>
      </c>
      <c r="W1322" t="str">
        <f>VLOOKUP(Table_Query_from_Actuarial___Production[[#This Row],[Kor1]],$AI$3:$AK$105,3,FALSE)</f>
        <v>Misc. Expense</v>
      </c>
      <c r="X1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2"/>
      <c r="Z1322" t="s">
        <v>50</v>
      </c>
      <c r="AA1322" t="s">
        <v>267</v>
      </c>
      <c r="AB1322" t="s">
        <v>356</v>
      </c>
      <c r="AC1322" s="21">
        <v>10793.46</v>
      </c>
      <c r="AD1322" s="21" t="s">
        <v>368</v>
      </c>
      <c r="AE1322" t="str">
        <f>VLOOKUP(Table_Query_from_Actuarial___Production3[[#This Row],[Kor1]],$AI$3:$AK$105,3,FALSE)</f>
        <v>ALAE Reserve</v>
      </c>
      <c r="AF1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3" spans="18:32" x14ac:dyDescent="0.2">
      <c r="R1323" t="s">
        <v>47</v>
      </c>
      <c r="S1323" t="s">
        <v>243</v>
      </c>
      <c r="T1323" t="s">
        <v>433</v>
      </c>
      <c r="U1323" s="21">
        <v>994.21</v>
      </c>
      <c r="V1323" s="21" t="s">
        <v>368</v>
      </c>
      <c r="W1323" t="str">
        <f>VLOOKUP(Table_Query_from_Actuarial___Production[[#This Row],[Kor1]],$AI$3:$AK$105,3,FALSE)</f>
        <v>Investment Income</v>
      </c>
      <c r="X1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3"/>
      <c r="Z1323" t="s">
        <v>11</v>
      </c>
      <c r="AA1323" t="s">
        <v>226</v>
      </c>
      <c r="AB1323" t="s">
        <v>356</v>
      </c>
      <c r="AC1323" s="21">
        <v>2956787.38</v>
      </c>
      <c r="AD1323" s="21" t="s">
        <v>368</v>
      </c>
      <c r="AE1323" t="str">
        <f>VLOOKUP(Table_Query_from_Actuarial___Production3[[#This Row],[Kor1]],$AI$3:$AK$105,3,FALSE)</f>
        <v>Losses Paid</v>
      </c>
      <c r="AF1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324" spans="18:32" x14ac:dyDescent="0.2">
      <c r="R1324" t="s">
        <v>10</v>
      </c>
      <c r="S1324" t="s">
        <v>250</v>
      </c>
      <c r="T1324" t="s">
        <v>433</v>
      </c>
      <c r="U1324" s="21">
        <v>99989.95</v>
      </c>
      <c r="V1324" s="21" t="s">
        <v>368</v>
      </c>
      <c r="W1324" t="str">
        <f>VLOOKUP(Table_Query_from_Actuarial___Production[[#This Row],[Kor1]],$AI$3:$AK$105,3,FALSE)</f>
        <v>Commissions</v>
      </c>
      <c r="X1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4"/>
      <c r="Z1324" t="s">
        <v>18</v>
      </c>
      <c r="AA1324" t="s">
        <v>224</v>
      </c>
      <c r="AB1324" t="s">
        <v>356</v>
      </c>
      <c r="AC1324" s="21">
        <v>2586.15</v>
      </c>
      <c r="AD1324" s="21" t="s">
        <v>425</v>
      </c>
      <c r="AE1324" t="str">
        <f>VLOOKUP(Table_Query_from_Actuarial___Production3[[#This Row],[Kor1]],$AI$3:$AK$105,3,FALSE)</f>
        <v>Misc. Expense</v>
      </c>
      <c r="AF1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325" spans="18:32" x14ac:dyDescent="0.2">
      <c r="R1325" t="s">
        <v>16</v>
      </c>
      <c r="S1325" t="s">
        <v>233</v>
      </c>
      <c r="T1325" t="s">
        <v>442</v>
      </c>
      <c r="U1325" s="21">
        <v>379796.1</v>
      </c>
      <c r="V1325" s="21" t="s">
        <v>368</v>
      </c>
      <c r="W1325" t="str">
        <f>VLOOKUP(Table_Query_from_Actuarial___Production[[#This Row],[Kor1]],$AI$3:$AK$105,3,FALSE)</f>
        <v>Losses Outstanding</v>
      </c>
      <c r="X1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5"/>
      <c r="Z1325" t="s">
        <v>10</v>
      </c>
      <c r="AA1325" t="s">
        <v>252</v>
      </c>
      <c r="AB1325" t="s">
        <v>6</v>
      </c>
      <c r="AC1325" s="21">
        <v>601057.31999999995</v>
      </c>
      <c r="AD1325" s="21" t="s">
        <v>368</v>
      </c>
      <c r="AE1325" t="str">
        <f>VLOOKUP(Table_Query_from_Actuarial___Production3[[#This Row],[Kor1]],$AI$3:$AK$105,3,FALSE)</f>
        <v>Commissions</v>
      </c>
      <c r="AF1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6" spans="18:32" x14ac:dyDescent="0.2">
      <c r="R1326" t="s">
        <v>33</v>
      </c>
      <c r="S1326" t="s">
        <v>237</v>
      </c>
      <c r="T1326" t="s">
        <v>443</v>
      </c>
      <c r="U1326" s="21">
        <v>23062.13</v>
      </c>
      <c r="V1326" s="21" t="s">
        <v>368</v>
      </c>
      <c r="W1326" t="str">
        <f>VLOOKUP(Table_Query_from_Actuarial___Production[[#This Row],[Kor1]],$AI$3:$AK$105,3,FALSE)</f>
        <v>Misc. Expense</v>
      </c>
      <c r="X1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6"/>
      <c r="Z1326" t="s">
        <v>11</v>
      </c>
      <c r="AA1326" t="s">
        <v>261</v>
      </c>
      <c r="AB1326" t="s">
        <v>9</v>
      </c>
      <c r="AC1326" s="21">
        <v>207216.07</v>
      </c>
      <c r="AD1326" s="21" t="s">
        <v>368</v>
      </c>
      <c r="AE1326" t="str">
        <f>VLOOKUP(Table_Query_from_Actuarial___Production3[[#This Row],[Kor1]],$AI$3:$AK$105,3,FALSE)</f>
        <v>Losses Paid</v>
      </c>
      <c r="AF1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7" spans="18:32" x14ac:dyDescent="0.2">
      <c r="R1327" t="s">
        <v>12</v>
      </c>
      <c r="S1327" t="s">
        <v>258</v>
      </c>
      <c r="T1327" t="s">
        <v>351</v>
      </c>
      <c r="U1327" s="21">
        <v>55277.279999999999</v>
      </c>
      <c r="V1327" s="21" t="s">
        <v>368</v>
      </c>
      <c r="W1327" t="str">
        <f>VLOOKUP(Table_Query_from_Actuarial___Production[[#This Row],[Kor1]],$AI$3:$AK$105,3,FALSE)</f>
        <v>Premium Tax</v>
      </c>
      <c r="X1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7"/>
      <c r="Z1327" t="s">
        <v>19</v>
      </c>
      <c r="AA1327" t="s">
        <v>235</v>
      </c>
      <c r="AB1327" t="s">
        <v>427</v>
      </c>
      <c r="AC1327" s="21">
        <v>1804</v>
      </c>
      <c r="AD1327" s="21" t="s">
        <v>368</v>
      </c>
      <c r="AE1327" t="str">
        <f>VLOOKUP(Table_Query_from_Actuarial___Production3[[#This Row],[Kor1]],$AI$3:$AK$105,3,FALSE)</f>
        <v>Misc. Expense for Insolvent Companies</v>
      </c>
      <c r="AF1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8" spans="18:32" x14ac:dyDescent="0.2">
      <c r="R1328" t="s">
        <v>39</v>
      </c>
      <c r="S1328" t="s">
        <v>241</v>
      </c>
      <c r="T1328" t="s">
        <v>427</v>
      </c>
      <c r="U1328" s="21">
        <v>4554.29</v>
      </c>
      <c r="V1328" s="21" t="s">
        <v>368</v>
      </c>
      <c r="W1328" t="str">
        <f>VLOOKUP(Table_Query_from_Actuarial___Production[[#This Row],[Kor1]],$AI$3:$AK$105,3,FALSE)</f>
        <v>Misc. Income for Insolvent Companies</v>
      </c>
      <c r="X1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8"/>
      <c r="Z1328" t="s">
        <v>31</v>
      </c>
      <c r="AA1328" t="s">
        <v>239</v>
      </c>
      <c r="AB1328" t="s">
        <v>7</v>
      </c>
      <c r="AC1328" s="21">
        <v>1077.25</v>
      </c>
      <c r="AD1328" s="21" t="s">
        <v>368</v>
      </c>
      <c r="AE1328" t="str">
        <f>VLOOKUP(Table_Query_from_Actuarial___Production3[[#This Row],[Kor1]],$AI$3:$AK$105,3,FALSE)</f>
        <v>Misc. Expense</v>
      </c>
      <c r="AF1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29" spans="18:32" x14ac:dyDescent="0.2">
      <c r="R1329" t="s">
        <v>14</v>
      </c>
      <c r="S1329" t="s">
        <v>228</v>
      </c>
      <c r="T1329" t="s">
        <v>427</v>
      </c>
      <c r="U1329" s="21">
        <v>419473.46</v>
      </c>
      <c r="V1329" s="21" t="s">
        <v>368</v>
      </c>
      <c r="W1329" t="str">
        <f>VLOOKUP(Table_Query_from_Actuarial___Production[[#This Row],[Kor1]],$AI$3:$AK$105,3,FALSE)</f>
        <v>Claims Expense</v>
      </c>
      <c r="X1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29"/>
      <c r="Z1329" t="s">
        <v>39</v>
      </c>
      <c r="AA1329" t="s">
        <v>264</v>
      </c>
      <c r="AB1329" t="s">
        <v>356</v>
      </c>
      <c r="AC1329" s="21">
        <v>682</v>
      </c>
      <c r="AD1329" s="21" t="s">
        <v>368</v>
      </c>
      <c r="AE1329" t="str">
        <f>VLOOKUP(Table_Query_from_Actuarial___Production3[[#This Row],[Kor1]],$AI$3:$AK$105,3,FALSE)</f>
        <v>Misc. Income for Insolvent Companies</v>
      </c>
      <c r="AF1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0" spans="18:32" x14ac:dyDescent="0.2">
      <c r="R1330" t="s">
        <v>47</v>
      </c>
      <c r="S1330" t="s">
        <v>233</v>
      </c>
      <c r="T1330" t="s">
        <v>443</v>
      </c>
      <c r="U1330" s="21">
        <v>7188.66</v>
      </c>
      <c r="V1330" s="21" t="s">
        <v>368</v>
      </c>
      <c r="W1330" t="str">
        <f>VLOOKUP(Table_Query_from_Actuarial___Production[[#This Row],[Kor1]],$AI$3:$AK$105,3,FALSE)</f>
        <v>Investment Income</v>
      </c>
      <c r="X1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0"/>
      <c r="Z1330" t="s">
        <v>3</v>
      </c>
      <c r="AA1330" t="s">
        <v>252</v>
      </c>
      <c r="AB1330" t="s">
        <v>443</v>
      </c>
      <c r="AC1330" s="21">
        <v>11403302</v>
      </c>
      <c r="AD1330" s="21" t="s">
        <v>368</v>
      </c>
      <c r="AE1330" t="str">
        <f>VLOOKUP(Table_Query_from_Actuarial___Production3[[#This Row],[Kor1]],$AI$3:$AK$105,3,FALSE)</f>
        <v>Premiums Written</v>
      </c>
      <c r="AF1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1" spans="18:32" x14ac:dyDescent="0.2">
      <c r="R1331" t="s">
        <v>11</v>
      </c>
      <c r="S1331" t="s">
        <v>224</v>
      </c>
      <c r="T1331" t="s">
        <v>443</v>
      </c>
      <c r="U1331" s="21">
        <v>46552.23</v>
      </c>
      <c r="V1331" s="21" t="s">
        <v>425</v>
      </c>
      <c r="W1331" t="str">
        <f>VLOOKUP(Table_Query_from_Actuarial___Production[[#This Row],[Kor1]],$AI$3:$AK$105,3,FALSE)</f>
        <v>Losses Paid</v>
      </c>
      <c r="X1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331"/>
      <c r="Z1331" t="s">
        <v>10</v>
      </c>
      <c r="AA1331" t="s">
        <v>260</v>
      </c>
      <c r="AB1331" t="s">
        <v>6</v>
      </c>
      <c r="AC1331" s="21">
        <v>384.65</v>
      </c>
      <c r="AD1331" s="21" t="s">
        <v>368</v>
      </c>
      <c r="AE1331" t="str">
        <f>VLOOKUP(Table_Query_from_Actuarial___Production3[[#This Row],[Kor1]],$AI$3:$AK$105,3,FALSE)</f>
        <v>Commissions</v>
      </c>
      <c r="AF1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2" spans="18:32" x14ac:dyDescent="0.2">
      <c r="R1332" t="s">
        <v>20</v>
      </c>
      <c r="S1332" t="s">
        <v>239</v>
      </c>
      <c r="T1332" t="s">
        <v>445</v>
      </c>
      <c r="U1332" s="21">
        <v>28.3</v>
      </c>
      <c r="V1332" s="21" t="s">
        <v>368</v>
      </c>
      <c r="W1332" t="str">
        <f>VLOOKUP(Table_Query_from_Actuarial___Production[[#This Row],[Kor1]],$AI$3:$AK$105,3,FALSE)</f>
        <v>Misc. Expense</v>
      </c>
      <c r="X1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2"/>
      <c r="Z1332" t="s">
        <v>11</v>
      </c>
      <c r="AA1332" t="s">
        <v>239</v>
      </c>
      <c r="AB1332" t="s">
        <v>6</v>
      </c>
      <c r="AC1332" s="21">
        <v>144164.79</v>
      </c>
      <c r="AD1332" s="21" t="s">
        <v>368</v>
      </c>
      <c r="AE1332" t="str">
        <f>VLOOKUP(Table_Query_from_Actuarial___Production3[[#This Row],[Kor1]],$AI$3:$AK$105,3,FALSE)</f>
        <v>Losses Paid</v>
      </c>
      <c r="AF1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3" spans="18:32" x14ac:dyDescent="0.2">
      <c r="R1333" t="s">
        <v>49</v>
      </c>
      <c r="S1333" t="s">
        <v>231</v>
      </c>
      <c r="T1333" t="s">
        <v>7</v>
      </c>
      <c r="U1333" s="21">
        <v>25197</v>
      </c>
      <c r="V1333" s="21" t="s">
        <v>368</v>
      </c>
      <c r="W1333" t="str">
        <f>VLOOKUP(Table_Query_from_Actuarial___Production[[#This Row],[Kor1]],$AI$3:$AK$105,3,FALSE)</f>
        <v>ALAE Paid</v>
      </c>
      <c r="X1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3"/>
      <c r="Z1333" t="s">
        <v>21</v>
      </c>
      <c r="AA1333" t="s">
        <v>250</v>
      </c>
      <c r="AB1333" t="s">
        <v>351</v>
      </c>
      <c r="AC1333" s="21">
        <v>1130.03</v>
      </c>
      <c r="AD1333" s="21" t="s">
        <v>368</v>
      </c>
      <c r="AE1333" t="str">
        <f>VLOOKUP(Table_Query_from_Actuarial___Production3[[#This Row],[Kor1]],$AI$3:$AK$105,3,FALSE)</f>
        <v>Misc. Expense</v>
      </c>
      <c r="AF1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4" spans="18:32" x14ac:dyDescent="0.2">
      <c r="R1334" t="s">
        <v>44</v>
      </c>
      <c r="S1334" t="s">
        <v>266</v>
      </c>
      <c r="T1334" t="s">
        <v>433</v>
      </c>
      <c r="U1334" s="21">
        <v>30439.13</v>
      </c>
      <c r="V1334" s="21" t="s">
        <v>368</v>
      </c>
      <c r="W1334" t="str">
        <f>VLOOKUP(Table_Query_from_Actuarial___Production[[#This Row],[Kor1]],$AI$3:$AK$105,3,FALSE)</f>
        <v>Charge-offs</v>
      </c>
      <c r="X1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4"/>
      <c r="Z1334" t="s">
        <v>39</v>
      </c>
      <c r="AA1334" t="s">
        <v>257</v>
      </c>
      <c r="AB1334" t="s">
        <v>351</v>
      </c>
      <c r="AC1334" s="21">
        <v>-0.02</v>
      </c>
      <c r="AD1334" s="21" t="s">
        <v>368</v>
      </c>
      <c r="AE1334" t="str">
        <f>VLOOKUP(Table_Query_from_Actuarial___Production3[[#This Row],[Kor1]],$AI$3:$AK$105,3,FALSE)</f>
        <v>Misc. Income for Insolvent Companies</v>
      </c>
      <c r="AF1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5" spans="18:32" x14ac:dyDescent="0.2">
      <c r="R1335" t="s">
        <v>3</v>
      </c>
      <c r="S1335" t="s">
        <v>230</v>
      </c>
      <c r="T1335" t="s">
        <v>6</v>
      </c>
      <c r="U1335" s="21">
        <v>12736730</v>
      </c>
      <c r="V1335" s="21" t="s">
        <v>368</v>
      </c>
      <c r="W1335" t="str">
        <f>VLOOKUP(Table_Query_from_Actuarial___Production[[#This Row],[Kor1]],$AI$3:$AK$105,3,FALSE)</f>
        <v>Premiums Written</v>
      </c>
      <c r="X1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5"/>
      <c r="Z1335" t="s">
        <v>34</v>
      </c>
      <c r="AA1335" t="s">
        <v>263</v>
      </c>
      <c r="AB1335" t="s">
        <v>8</v>
      </c>
      <c r="AC1335" s="21">
        <v>0.84</v>
      </c>
      <c r="AD1335" s="21" t="s">
        <v>368</v>
      </c>
      <c r="AE1335" t="str">
        <f>VLOOKUP(Table_Query_from_Actuarial___Production3[[#This Row],[Kor1]],$AI$3:$AK$105,3,FALSE)</f>
        <v>Misc. Expense</v>
      </c>
      <c r="AF1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6" spans="18:32" x14ac:dyDescent="0.2">
      <c r="R1336" t="s">
        <v>10</v>
      </c>
      <c r="S1336" t="s">
        <v>228</v>
      </c>
      <c r="T1336" t="s">
        <v>9</v>
      </c>
      <c r="U1336" s="21">
        <v>701.95</v>
      </c>
      <c r="V1336" s="21" t="s">
        <v>368</v>
      </c>
      <c r="W1336" t="str">
        <f>VLOOKUP(Table_Query_from_Actuarial___Production[[#This Row],[Kor1]],$AI$3:$AK$105,3,FALSE)</f>
        <v>Commissions</v>
      </c>
      <c r="X1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6"/>
      <c r="Z1336" t="s">
        <v>39</v>
      </c>
      <c r="AA1336" t="s">
        <v>229</v>
      </c>
      <c r="AB1336" t="s">
        <v>7</v>
      </c>
      <c r="AC1336" s="21">
        <v>53</v>
      </c>
      <c r="AD1336" s="21" t="s">
        <v>368</v>
      </c>
      <c r="AE1336" t="str">
        <f>VLOOKUP(Table_Query_from_Actuarial___Production3[[#This Row],[Kor1]],$AI$3:$AK$105,3,FALSE)</f>
        <v>Misc. Income for Insolvent Companies</v>
      </c>
      <c r="AF1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7" spans="18:32" x14ac:dyDescent="0.2">
      <c r="R1337" t="s">
        <v>36</v>
      </c>
      <c r="S1337" t="s">
        <v>4</v>
      </c>
      <c r="T1337" t="s">
        <v>9</v>
      </c>
      <c r="U1337" s="21">
        <v>266890.42</v>
      </c>
      <c r="V1337" s="21" t="s">
        <v>368</v>
      </c>
      <c r="W1337" t="str">
        <f>VLOOKUP(Table_Query_from_Actuarial___Production[[#This Row],[Kor1]],$AI$3:$AK$105,3,FALSE)</f>
        <v>Misc. Expense</v>
      </c>
      <c r="X1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7"/>
      <c r="Z1337" t="s">
        <v>44</v>
      </c>
      <c r="AA1337" t="s">
        <v>265</v>
      </c>
      <c r="AB1337" t="s">
        <v>8</v>
      </c>
      <c r="AC1337" s="21">
        <v>14778.25</v>
      </c>
      <c r="AD1337" s="21" t="s">
        <v>368</v>
      </c>
      <c r="AE1337" t="str">
        <f>VLOOKUP(Table_Query_from_Actuarial___Production3[[#This Row],[Kor1]],$AI$3:$AK$105,3,FALSE)</f>
        <v>Charge-offs</v>
      </c>
      <c r="AF1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38" spans="18:32" x14ac:dyDescent="0.2">
      <c r="R1338" t="s">
        <v>48</v>
      </c>
      <c r="S1338" t="s">
        <v>226</v>
      </c>
      <c r="T1338" t="s">
        <v>445</v>
      </c>
      <c r="U1338" s="21">
        <v>104426.01</v>
      </c>
      <c r="V1338" s="21" t="s">
        <v>368</v>
      </c>
      <c r="W1338" t="str">
        <f>VLOOKUP(Table_Query_from_Actuarial___Production[[#This Row],[Kor1]],$AI$3:$AK$105,3,FALSE)</f>
        <v>Anticipated Salvage</v>
      </c>
      <c r="X1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338"/>
      <c r="Z1338" t="s">
        <v>167</v>
      </c>
      <c r="AA1338" t="s">
        <v>354</v>
      </c>
      <c r="AB1338" t="s">
        <v>6</v>
      </c>
      <c r="AC1338" s="21">
        <v>14163323</v>
      </c>
      <c r="AD1338" s="21" t="s">
        <v>368</v>
      </c>
      <c r="AE1338" t="str">
        <f>VLOOKUP(Table_Query_from_Actuarial___Production3[[#This Row],[Kor1]],$AI$3:$AK$105,3,FALSE)</f>
        <v>Recoupment</v>
      </c>
      <c r="AF1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339" spans="18:32" x14ac:dyDescent="0.2">
      <c r="R1339" t="s">
        <v>3</v>
      </c>
      <c r="S1339" t="s">
        <v>243</v>
      </c>
      <c r="T1339" t="s">
        <v>441</v>
      </c>
      <c r="U1339" s="21">
        <v>546162</v>
      </c>
      <c r="V1339" s="21" t="s">
        <v>368</v>
      </c>
      <c r="W1339" t="str">
        <f>VLOOKUP(Table_Query_from_Actuarial___Production[[#This Row],[Kor1]],$AI$3:$AK$105,3,FALSE)</f>
        <v>Premiums Written</v>
      </c>
      <c r="X1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39"/>
      <c r="Z1339" t="s">
        <v>21</v>
      </c>
      <c r="AA1339" t="s">
        <v>237</v>
      </c>
      <c r="AB1339" t="s">
        <v>5</v>
      </c>
      <c r="AC1339" s="21">
        <v>1725.83</v>
      </c>
      <c r="AD1339" s="21" t="s">
        <v>368</v>
      </c>
      <c r="AE1339" t="str">
        <f>VLOOKUP(Table_Query_from_Actuarial___Production3[[#This Row],[Kor1]],$AI$3:$AK$105,3,FALSE)</f>
        <v>Misc. Expense</v>
      </c>
      <c r="AF1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0" spans="18:32" x14ac:dyDescent="0.2">
      <c r="R1340" t="s">
        <v>19</v>
      </c>
      <c r="S1340" t="s">
        <v>240</v>
      </c>
      <c r="T1340" t="s">
        <v>427</v>
      </c>
      <c r="U1340" s="21">
        <v>13139.98</v>
      </c>
      <c r="V1340" s="21" t="s">
        <v>368</v>
      </c>
      <c r="W1340" t="str">
        <f>VLOOKUP(Table_Query_from_Actuarial___Production[[#This Row],[Kor1]],$AI$3:$AK$105,3,FALSE)</f>
        <v>Misc. Expense for Insolvent Companies</v>
      </c>
      <c r="X1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0"/>
      <c r="Z1340" t="s">
        <v>37</v>
      </c>
      <c r="AA1340" t="s">
        <v>250</v>
      </c>
      <c r="AB1340" t="s">
        <v>442</v>
      </c>
      <c r="AC1340" s="21">
        <v>76.23</v>
      </c>
      <c r="AD1340" s="21" t="s">
        <v>368</v>
      </c>
      <c r="AE1340" t="str">
        <f>VLOOKUP(Table_Query_from_Actuarial___Production3[[#This Row],[Kor1]],$AI$3:$AK$105,3,FALSE)</f>
        <v>Misc. Expense</v>
      </c>
      <c r="AF1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1" spans="18:32" x14ac:dyDescent="0.2">
      <c r="R1341" t="s">
        <v>43</v>
      </c>
      <c r="S1341" t="s">
        <v>228</v>
      </c>
      <c r="T1341" t="s">
        <v>441</v>
      </c>
      <c r="U1341" s="21">
        <v>-367.49</v>
      </c>
      <c r="V1341" s="21" t="s">
        <v>368</v>
      </c>
      <c r="W1341" t="str">
        <f>VLOOKUP(Table_Query_from_Actuarial___Production[[#This Row],[Kor1]],$AI$3:$AK$105,3,FALSE)</f>
        <v>Charge-offs</v>
      </c>
      <c r="X1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1"/>
      <c r="Z1341" t="s">
        <v>39</v>
      </c>
      <c r="AA1341" t="s">
        <v>229</v>
      </c>
      <c r="AB1341" t="s">
        <v>433</v>
      </c>
      <c r="AC1341" s="21">
        <v>757</v>
      </c>
      <c r="AD1341" s="21" t="s">
        <v>368</v>
      </c>
      <c r="AE1341" t="str">
        <f>VLOOKUP(Table_Query_from_Actuarial___Production3[[#This Row],[Kor1]],$AI$3:$AK$105,3,FALSE)</f>
        <v>Misc. Income for Insolvent Companies</v>
      </c>
      <c r="AF1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2" spans="18:32" x14ac:dyDescent="0.2">
      <c r="R1342" t="s">
        <v>32</v>
      </c>
      <c r="S1342" t="s">
        <v>4</v>
      </c>
      <c r="T1342" t="s">
        <v>433</v>
      </c>
      <c r="U1342" s="21">
        <v>217656.67</v>
      </c>
      <c r="V1342" s="21" t="s">
        <v>368</v>
      </c>
      <c r="W1342" t="str">
        <f>VLOOKUP(Table_Query_from_Actuarial___Production[[#This Row],[Kor1]],$AI$3:$AK$105,3,FALSE)</f>
        <v>Misc. Expense</v>
      </c>
      <c r="X1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2"/>
      <c r="Z1342" t="s">
        <v>49</v>
      </c>
      <c r="AA1342" t="s">
        <v>257</v>
      </c>
      <c r="AB1342" t="s">
        <v>433</v>
      </c>
      <c r="AC1342" s="21">
        <v>87122.91</v>
      </c>
      <c r="AD1342" s="21" t="s">
        <v>368</v>
      </c>
      <c r="AE1342" t="str">
        <f>VLOOKUP(Table_Query_from_Actuarial___Production3[[#This Row],[Kor1]],$AI$3:$AK$105,3,FALSE)</f>
        <v>ALAE Paid</v>
      </c>
      <c r="AF1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3" spans="18:32" x14ac:dyDescent="0.2">
      <c r="R1343" t="s">
        <v>48</v>
      </c>
      <c r="S1343" t="s">
        <v>224</v>
      </c>
      <c r="T1343" t="s">
        <v>442</v>
      </c>
      <c r="U1343" s="21">
        <v>34.51</v>
      </c>
      <c r="V1343" s="21" t="s">
        <v>425</v>
      </c>
      <c r="W1343" t="str">
        <f>VLOOKUP(Table_Query_from_Actuarial___Production[[#This Row],[Kor1]],$AI$3:$AK$105,3,FALSE)</f>
        <v>Anticipated Salvage</v>
      </c>
      <c r="X1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343"/>
      <c r="Z1343" t="s">
        <v>14</v>
      </c>
      <c r="AA1343" t="s">
        <v>225</v>
      </c>
      <c r="AB1343" t="s">
        <v>441</v>
      </c>
      <c r="AC1343" s="21">
        <v>21005</v>
      </c>
      <c r="AD1343" s="21" t="s">
        <v>369</v>
      </c>
      <c r="AE1343" t="str">
        <f>VLOOKUP(Table_Query_from_Actuarial___Production3[[#This Row],[Kor1]],$AI$3:$AK$105,3,FALSE)</f>
        <v>Claims Expense</v>
      </c>
      <c r="AF1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344" spans="18:32" x14ac:dyDescent="0.2">
      <c r="R1344" t="s">
        <v>12</v>
      </c>
      <c r="S1344" t="s">
        <v>260</v>
      </c>
      <c r="T1344" t="s">
        <v>6</v>
      </c>
      <c r="U1344" s="21">
        <v>104.36</v>
      </c>
      <c r="V1344" s="21" t="s">
        <v>368</v>
      </c>
      <c r="W1344" t="str">
        <f>VLOOKUP(Table_Query_from_Actuarial___Production[[#This Row],[Kor1]],$AI$3:$AK$105,3,FALSE)</f>
        <v>Premium Tax</v>
      </c>
      <c r="X1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4"/>
      <c r="Z1344" t="s">
        <v>19</v>
      </c>
      <c r="AA1344" t="s">
        <v>4</v>
      </c>
      <c r="AB1344" t="s">
        <v>7</v>
      </c>
      <c r="AC1344" s="21">
        <v>7.97</v>
      </c>
      <c r="AD1344" s="21" t="s">
        <v>368</v>
      </c>
      <c r="AE1344" t="str">
        <f>VLOOKUP(Table_Query_from_Actuarial___Production3[[#This Row],[Kor1]],$AI$3:$AK$105,3,FALSE)</f>
        <v>Misc. Expense for Insolvent Companies</v>
      </c>
      <c r="AF1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5" spans="18:32" x14ac:dyDescent="0.2">
      <c r="R1345" t="s">
        <v>3</v>
      </c>
      <c r="S1345" t="s">
        <v>256</v>
      </c>
      <c r="T1345" t="s">
        <v>8</v>
      </c>
      <c r="U1345" s="21">
        <v>136546</v>
      </c>
      <c r="V1345" s="21" t="s">
        <v>368</v>
      </c>
      <c r="W1345" t="str">
        <f>VLOOKUP(Table_Query_from_Actuarial___Production[[#This Row],[Kor1]],$AI$3:$AK$105,3,FALSE)</f>
        <v>Premiums Written</v>
      </c>
      <c r="X1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5"/>
      <c r="Z1345" t="s">
        <v>40</v>
      </c>
      <c r="AA1345" t="s">
        <v>260</v>
      </c>
      <c r="AB1345" t="s">
        <v>356</v>
      </c>
      <c r="AC1345" s="21">
        <v>1</v>
      </c>
      <c r="AD1345" s="21" t="s">
        <v>368</v>
      </c>
      <c r="AE1345" t="str">
        <f>VLOOKUP(Table_Query_from_Actuarial___Production3[[#This Row],[Kor1]],$AI$3:$AK$105,3,FALSE)</f>
        <v>Misc. Income</v>
      </c>
      <c r="AF1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6" spans="18:32" x14ac:dyDescent="0.2">
      <c r="R1346" t="s">
        <v>31</v>
      </c>
      <c r="S1346" t="s">
        <v>240</v>
      </c>
      <c r="T1346" t="s">
        <v>441</v>
      </c>
      <c r="U1346" s="21">
        <v>957.45</v>
      </c>
      <c r="V1346" s="21" t="s">
        <v>368</v>
      </c>
      <c r="W1346" t="str">
        <f>VLOOKUP(Table_Query_from_Actuarial___Production[[#This Row],[Kor1]],$AI$3:$AK$105,3,FALSE)</f>
        <v>Misc. Expense</v>
      </c>
      <c r="X1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6"/>
      <c r="Z1346" t="s">
        <v>40</v>
      </c>
      <c r="AA1346" t="s">
        <v>249</v>
      </c>
      <c r="AB1346" t="s">
        <v>8</v>
      </c>
      <c r="AC1346" s="21">
        <v>142.99</v>
      </c>
      <c r="AD1346" s="21" t="s">
        <v>368</v>
      </c>
      <c r="AE1346" t="str">
        <f>VLOOKUP(Table_Query_from_Actuarial___Production3[[#This Row],[Kor1]],$AI$3:$AK$105,3,FALSE)</f>
        <v>Misc. Income</v>
      </c>
      <c r="AF1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7" spans="18:32" x14ac:dyDescent="0.2">
      <c r="R1347" t="s">
        <v>31</v>
      </c>
      <c r="S1347" t="s">
        <v>268</v>
      </c>
      <c r="T1347" t="s">
        <v>7</v>
      </c>
      <c r="U1347" s="21">
        <v>1073.99</v>
      </c>
      <c r="V1347" s="21" t="s">
        <v>368</v>
      </c>
      <c r="W1347" t="str">
        <f>VLOOKUP(Table_Query_from_Actuarial___Production[[#This Row],[Kor1]],$AI$3:$AK$105,3,FALSE)</f>
        <v>Misc. Expense</v>
      </c>
      <c r="X1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7"/>
      <c r="Z1347" t="s">
        <v>44</v>
      </c>
      <c r="AA1347" t="s">
        <v>237</v>
      </c>
      <c r="AB1347" t="s">
        <v>442</v>
      </c>
      <c r="AC1347" s="21">
        <v>142979.76</v>
      </c>
      <c r="AD1347" s="21" t="s">
        <v>368</v>
      </c>
      <c r="AE1347" t="str">
        <f>VLOOKUP(Table_Query_from_Actuarial___Production3[[#This Row],[Kor1]],$AI$3:$AK$105,3,FALSE)</f>
        <v>Charge-offs</v>
      </c>
      <c r="AF1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48" spans="18:32" x14ac:dyDescent="0.2">
      <c r="R1348" t="s">
        <v>11</v>
      </c>
      <c r="S1348" t="s">
        <v>233</v>
      </c>
      <c r="T1348" t="s">
        <v>8</v>
      </c>
      <c r="U1348" s="21">
        <v>733896.92</v>
      </c>
      <c r="V1348" s="21" t="s">
        <v>368</v>
      </c>
      <c r="W1348" t="str">
        <f>VLOOKUP(Table_Query_from_Actuarial___Production[[#This Row],[Kor1]],$AI$3:$AK$105,3,FALSE)</f>
        <v>Losses Paid</v>
      </c>
      <c r="X1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8"/>
      <c r="Z1348" t="s">
        <v>13</v>
      </c>
      <c r="AA1348" t="s">
        <v>352</v>
      </c>
      <c r="AB1348" t="s">
        <v>8</v>
      </c>
      <c r="AC1348" s="21">
        <v>1611.35</v>
      </c>
      <c r="AD1348" s="21" t="s">
        <v>368</v>
      </c>
      <c r="AE1348" t="str">
        <f>VLOOKUP(Table_Query_from_Actuarial___Production3[[#This Row],[Kor1]],$AI$3:$AK$105,3,FALSE)</f>
        <v>Operating Service Fees</v>
      </c>
      <c r="AF1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349" spans="18:32" x14ac:dyDescent="0.2">
      <c r="R1349" t="s">
        <v>31</v>
      </c>
      <c r="S1349" t="s">
        <v>266</v>
      </c>
      <c r="T1349" t="s">
        <v>9</v>
      </c>
      <c r="U1349" s="21">
        <v>574.21</v>
      </c>
      <c r="V1349" s="21" t="s">
        <v>368</v>
      </c>
      <c r="W1349" t="str">
        <f>VLOOKUP(Table_Query_from_Actuarial___Production[[#This Row],[Kor1]],$AI$3:$AK$105,3,FALSE)</f>
        <v>Misc. Expense</v>
      </c>
      <c r="X1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49"/>
      <c r="Z1349" t="s">
        <v>10</v>
      </c>
      <c r="AA1349" t="s">
        <v>244</v>
      </c>
      <c r="AB1349" t="s">
        <v>433</v>
      </c>
      <c r="AC1349" s="21">
        <v>169072.72</v>
      </c>
      <c r="AD1349" s="21" t="s">
        <v>368</v>
      </c>
      <c r="AE1349" t="str">
        <f>VLOOKUP(Table_Query_from_Actuarial___Production3[[#This Row],[Kor1]],$AI$3:$AK$105,3,FALSE)</f>
        <v>Commissions</v>
      </c>
      <c r="AF1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0" spans="18:32" x14ac:dyDescent="0.2">
      <c r="R1350" t="s">
        <v>43</v>
      </c>
      <c r="S1350" t="s">
        <v>232</v>
      </c>
      <c r="T1350" t="s">
        <v>443</v>
      </c>
      <c r="U1350" s="21">
        <v>9157.9599999999991</v>
      </c>
      <c r="V1350" s="21" t="s">
        <v>368</v>
      </c>
      <c r="W1350" t="str">
        <f>VLOOKUP(Table_Query_from_Actuarial___Production[[#This Row],[Kor1]],$AI$3:$AK$105,3,FALSE)</f>
        <v>Charge-offs</v>
      </c>
      <c r="X1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0"/>
      <c r="Z1350" t="s">
        <v>34</v>
      </c>
      <c r="AA1350" t="s">
        <v>257</v>
      </c>
      <c r="AB1350" t="s">
        <v>442</v>
      </c>
      <c r="AC1350" s="21">
        <v>49</v>
      </c>
      <c r="AD1350" s="21" t="s">
        <v>368</v>
      </c>
      <c r="AE1350" t="str">
        <f>VLOOKUP(Table_Query_from_Actuarial___Production3[[#This Row],[Kor1]],$AI$3:$AK$105,3,FALSE)</f>
        <v>Misc. Expense</v>
      </c>
      <c r="AF1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1" spans="18:32" x14ac:dyDescent="0.2">
      <c r="R1351" t="s">
        <v>40</v>
      </c>
      <c r="S1351" t="s">
        <v>232</v>
      </c>
      <c r="T1351" t="s">
        <v>7</v>
      </c>
      <c r="U1351" s="21">
        <v>153.97</v>
      </c>
      <c r="V1351" s="21" t="s">
        <v>368</v>
      </c>
      <c r="W1351" t="str">
        <f>VLOOKUP(Table_Query_from_Actuarial___Production[[#This Row],[Kor1]],$AI$3:$AK$105,3,FALSE)</f>
        <v>Misc. Income</v>
      </c>
      <c r="X1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1"/>
      <c r="Z1351" t="s">
        <v>47</v>
      </c>
      <c r="AA1351" t="s">
        <v>243</v>
      </c>
      <c r="AB1351" t="s">
        <v>433</v>
      </c>
      <c r="AC1351" s="21">
        <v>994.21</v>
      </c>
      <c r="AD1351" s="21" t="s">
        <v>368</v>
      </c>
      <c r="AE1351" t="str">
        <f>VLOOKUP(Table_Query_from_Actuarial___Production3[[#This Row],[Kor1]],$AI$3:$AK$105,3,FALSE)</f>
        <v>Investment Income</v>
      </c>
      <c r="AF1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2" spans="18:32" x14ac:dyDescent="0.2">
      <c r="R1352" t="s">
        <v>12</v>
      </c>
      <c r="S1352" t="s">
        <v>232</v>
      </c>
      <c r="T1352" t="s">
        <v>441</v>
      </c>
      <c r="U1352" s="21">
        <v>25278.32</v>
      </c>
      <c r="V1352" s="21" t="s">
        <v>368</v>
      </c>
      <c r="W1352" t="str">
        <f>VLOOKUP(Table_Query_from_Actuarial___Production[[#This Row],[Kor1]],$AI$3:$AK$105,3,FALSE)</f>
        <v>Premium Tax</v>
      </c>
      <c r="X1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2"/>
      <c r="Z1352" t="s">
        <v>10</v>
      </c>
      <c r="AA1352" t="s">
        <v>250</v>
      </c>
      <c r="AB1352" t="s">
        <v>433</v>
      </c>
      <c r="AC1352" s="21">
        <v>99989.95</v>
      </c>
      <c r="AD1352" s="21" t="s">
        <v>368</v>
      </c>
      <c r="AE1352" t="str">
        <f>VLOOKUP(Table_Query_from_Actuarial___Production3[[#This Row],[Kor1]],$AI$3:$AK$105,3,FALSE)</f>
        <v>Commissions</v>
      </c>
      <c r="AF1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3" spans="18:32" x14ac:dyDescent="0.2">
      <c r="R1353" t="s">
        <v>19</v>
      </c>
      <c r="S1353" t="s">
        <v>264</v>
      </c>
      <c r="T1353" t="s">
        <v>9</v>
      </c>
      <c r="U1353" s="21">
        <v>19697.97</v>
      </c>
      <c r="V1353" s="21" t="s">
        <v>368</v>
      </c>
      <c r="W1353" t="str">
        <f>VLOOKUP(Table_Query_from_Actuarial___Production[[#This Row],[Kor1]],$AI$3:$AK$105,3,FALSE)</f>
        <v>Misc. Expense for Insolvent Companies</v>
      </c>
      <c r="X1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3"/>
      <c r="Z1353" t="s">
        <v>16</v>
      </c>
      <c r="AA1353" t="s">
        <v>233</v>
      </c>
      <c r="AB1353" t="s">
        <v>442</v>
      </c>
      <c r="AC1353" s="21">
        <v>128505.98</v>
      </c>
      <c r="AD1353" s="21" t="s">
        <v>368</v>
      </c>
      <c r="AE1353" t="str">
        <f>VLOOKUP(Table_Query_from_Actuarial___Production3[[#This Row],[Kor1]],$AI$3:$AK$105,3,FALSE)</f>
        <v>Losses Outstanding</v>
      </c>
      <c r="AF1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4" spans="18:32" x14ac:dyDescent="0.2">
      <c r="R1354" t="s">
        <v>19</v>
      </c>
      <c r="S1354" t="s">
        <v>263</v>
      </c>
      <c r="T1354" t="s">
        <v>6</v>
      </c>
      <c r="U1354" s="21">
        <v>951</v>
      </c>
      <c r="V1354" s="21" t="s">
        <v>368</v>
      </c>
      <c r="W1354" t="str">
        <f>VLOOKUP(Table_Query_from_Actuarial___Production[[#This Row],[Kor1]],$AI$3:$AK$105,3,FALSE)</f>
        <v>Misc. Expense for Insolvent Companies</v>
      </c>
      <c r="X1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4"/>
      <c r="Z1354" t="s">
        <v>33</v>
      </c>
      <c r="AA1354" t="s">
        <v>237</v>
      </c>
      <c r="AB1354" t="s">
        <v>443</v>
      </c>
      <c r="AC1354" s="21">
        <v>11262.61</v>
      </c>
      <c r="AD1354" s="21" t="s">
        <v>368</v>
      </c>
      <c r="AE1354" t="str">
        <f>VLOOKUP(Table_Query_from_Actuarial___Production3[[#This Row],[Kor1]],$AI$3:$AK$105,3,FALSE)</f>
        <v>Misc. Expense</v>
      </c>
      <c r="AF1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5" spans="18:32" x14ac:dyDescent="0.2">
      <c r="R1355" t="s">
        <v>31</v>
      </c>
      <c r="S1355" t="s">
        <v>237</v>
      </c>
      <c r="T1355" t="s">
        <v>442</v>
      </c>
      <c r="U1355" s="21">
        <v>1223.19</v>
      </c>
      <c r="V1355" s="21" t="s">
        <v>368</v>
      </c>
      <c r="W1355" t="str">
        <f>VLOOKUP(Table_Query_from_Actuarial___Production[[#This Row],[Kor1]],$AI$3:$AK$105,3,FALSE)</f>
        <v>Misc. Expense</v>
      </c>
      <c r="X1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5"/>
      <c r="Z1355" t="s">
        <v>12</v>
      </c>
      <c r="AA1355" t="s">
        <v>258</v>
      </c>
      <c r="AB1355" t="s">
        <v>351</v>
      </c>
      <c r="AC1355" s="21">
        <v>55277.279999999999</v>
      </c>
      <c r="AD1355" s="21" t="s">
        <v>368</v>
      </c>
      <c r="AE1355" t="str">
        <f>VLOOKUP(Table_Query_from_Actuarial___Production3[[#This Row],[Kor1]],$AI$3:$AK$105,3,FALSE)</f>
        <v>Premium Tax</v>
      </c>
      <c r="AF1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6" spans="18:32" x14ac:dyDescent="0.2">
      <c r="R1356" t="s">
        <v>49</v>
      </c>
      <c r="S1356" t="s">
        <v>244</v>
      </c>
      <c r="T1356" t="s">
        <v>441</v>
      </c>
      <c r="U1356" s="21">
        <v>1927.5</v>
      </c>
      <c r="V1356" s="21" t="s">
        <v>368</v>
      </c>
      <c r="W1356" t="str">
        <f>VLOOKUP(Table_Query_from_Actuarial___Production[[#This Row],[Kor1]],$AI$3:$AK$105,3,FALSE)</f>
        <v>ALAE Paid</v>
      </c>
      <c r="X1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6"/>
      <c r="Z1356" t="s">
        <v>39</v>
      </c>
      <c r="AA1356" t="s">
        <v>241</v>
      </c>
      <c r="AB1356" t="s">
        <v>427</v>
      </c>
      <c r="AC1356" s="21">
        <v>4554.29</v>
      </c>
      <c r="AD1356" s="21" t="s">
        <v>368</v>
      </c>
      <c r="AE1356" t="str">
        <f>VLOOKUP(Table_Query_from_Actuarial___Production3[[#This Row],[Kor1]],$AI$3:$AK$105,3,FALSE)</f>
        <v>Misc. Income for Insolvent Companies</v>
      </c>
      <c r="AF1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7" spans="18:32" x14ac:dyDescent="0.2">
      <c r="R1357" t="s">
        <v>13</v>
      </c>
      <c r="S1357" t="s">
        <v>225</v>
      </c>
      <c r="T1357" t="s">
        <v>441</v>
      </c>
      <c r="U1357" s="21">
        <v>124877.68</v>
      </c>
      <c r="V1357" s="21" t="s">
        <v>369</v>
      </c>
      <c r="W1357" t="str">
        <f>VLOOKUP(Table_Query_from_Actuarial___Production[[#This Row],[Kor1]],$AI$3:$AK$105,3,FALSE)</f>
        <v>Operating Service Fees</v>
      </c>
      <c r="X1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357"/>
      <c r="Z1357" t="s">
        <v>14</v>
      </c>
      <c r="AA1357" t="s">
        <v>228</v>
      </c>
      <c r="AB1357" t="s">
        <v>427</v>
      </c>
      <c r="AC1357" s="21">
        <v>419473.46</v>
      </c>
      <c r="AD1357" s="21" t="s">
        <v>368</v>
      </c>
      <c r="AE1357" t="str">
        <f>VLOOKUP(Table_Query_from_Actuarial___Production3[[#This Row],[Kor1]],$AI$3:$AK$105,3,FALSE)</f>
        <v>Claims Expense</v>
      </c>
      <c r="AF1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8" spans="18:32" x14ac:dyDescent="0.2">
      <c r="R1358" t="s">
        <v>48</v>
      </c>
      <c r="S1358" t="s">
        <v>239</v>
      </c>
      <c r="T1358" t="s">
        <v>433</v>
      </c>
      <c r="U1358" s="21">
        <v>17506.41</v>
      </c>
      <c r="V1358" s="21" t="s">
        <v>368</v>
      </c>
      <c r="W1358" t="str">
        <f>VLOOKUP(Table_Query_from_Actuarial___Production[[#This Row],[Kor1]],$AI$3:$AK$105,3,FALSE)</f>
        <v>Anticipated Salvage</v>
      </c>
      <c r="X1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8"/>
      <c r="Z1358" t="s">
        <v>47</v>
      </c>
      <c r="AA1358" t="s">
        <v>233</v>
      </c>
      <c r="AB1358" t="s">
        <v>443</v>
      </c>
      <c r="AC1358" s="21">
        <v>2415.27</v>
      </c>
      <c r="AD1358" s="21" t="s">
        <v>368</v>
      </c>
      <c r="AE1358" t="str">
        <f>VLOOKUP(Table_Query_from_Actuarial___Production3[[#This Row],[Kor1]],$AI$3:$AK$105,3,FALSE)</f>
        <v>Investment Income</v>
      </c>
      <c r="AF1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59" spans="18:32" x14ac:dyDescent="0.2">
      <c r="R1359" t="s">
        <v>43</v>
      </c>
      <c r="S1359" t="s">
        <v>238</v>
      </c>
      <c r="T1359" t="s">
        <v>7</v>
      </c>
      <c r="U1359" s="21">
        <v>350.7</v>
      </c>
      <c r="V1359" s="21" t="s">
        <v>368</v>
      </c>
      <c r="W1359" t="str">
        <f>VLOOKUP(Table_Query_from_Actuarial___Production[[#This Row],[Kor1]],$AI$3:$AK$105,3,FALSE)</f>
        <v>Charge-offs</v>
      </c>
      <c r="X1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59"/>
      <c r="Z1359" t="s">
        <v>11</v>
      </c>
      <c r="AA1359" t="s">
        <v>224</v>
      </c>
      <c r="AB1359" t="s">
        <v>443</v>
      </c>
      <c r="AC1359" s="21">
        <v>350</v>
      </c>
      <c r="AD1359" s="21" t="s">
        <v>425</v>
      </c>
      <c r="AE1359" t="str">
        <f>VLOOKUP(Table_Query_from_Actuarial___Production3[[#This Row],[Kor1]],$AI$3:$AK$105,3,FALSE)</f>
        <v>Losses Paid</v>
      </c>
      <c r="AF1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360" spans="18:32" x14ac:dyDescent="0.2">
      <c r="R1360" t="s">
        <v>31</v>
      </c>
      <c r="S1360" t="s">
        <v>261</v>
      </c>
      <c r="T1360" t="s">
        <v>356</v>
      </c>
      <c r="U1360" s="21">
        <v>981.43</v>
      </c>
      <c r="V1360" s="21" t="s">
        <v>368</v>
      </c>
      <c r="W1360" t="str">
        <f>VLOOKUP(Table_Query_from_Actuarial___Production[[#This Row],[Kor1]],$AI$3:$AK$105,3,FALSE)</f>
        <v>Misc. Expense</v>
      </c>
      <c r="X1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0"/>
      <c r="Z1360" t="s">
        <v>49</v>
      </c>
      <c r="AA1360" t="s">
        <v>231</v>
      </c>
      <c r="AB1360" t="s">
        <v>7</v>
      </c>
      <c r="AC1360" s="21">
        <v>25197</v>
      </c>
      <c r="AD1360" s="21" t="s">
        <v>368</v>
      </c>
      <c r="AE1360" t="str">
        <f>VLOOKUP(Table_Query_from_Actuarial___Production3[[#This Row],[Kor1]],$AI$3:$AK$105,3,FALSE)</f>
        <v>ALAE Paid</v>
      </c>
      <c r="AF1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1" spans="18:32" x14ac:dyDescent="0.2">
      <c r="R1361" t="s">
        <v>12</v>
      </c>
      <c r="S1361" t="s">
        <v>234</v>
      </c>
      <c r="T1361" t="s">
        <v>445</v>
      </c>
      <c r="U1361" s="21">
        <v>7126.18</v>
      </c>
      <c r="V1361" s="21" t="s">
        <v>368</v>
      </c>
      <c r="W1361" t="str">
        <f>VLOOKUP(Table_Query_from_Actuarial___Production[[#This Row],[Kor1]],$AI$3:$AK$105,3,FALSE)</f>
        <v>Premium Tax</v>
      </c>
      <c r="X1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1"/>
      <c r="Z1361" t="s">
        <v>44</v>
      </c>
      <c r="AA1361" t="s">
        <v>266</v>
      </c>
      <c r="AB1361" t="s">
        <v>433</v>
      </c>
      <c r="AC1361" s="21">
        <v>30499.57</v>
      </c>
      <c r="AD1361" s="21" t="s">
        <v>368</v>
      </c>
      <c r="AE1361" t="str">
        <f>VLOOKUP(Table_Query_from_Actuarial___Production3[[#This Row],[Kor1]],$AI$3:$AK$105,3,FALSE)</f>
        <v>Charge-offs</v>
      </c>
      <c r="AF1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2" spans="18:32" x14ac:dyDescent="0.2">
      <c r="R1362" t="s">
        <v>43</v>
      </c>
      <c r="S1362" t="s">
        <v>258</v>
      </c>
      <c r="T1362" t="s">
        <v>427</v>
      </c>
      <c r="U1362" s="21">
        <v>2944.74</v>
      </c>
      <c r="V1362" s="21" t="s">
        <v>368</v>
      </c>
      <c r="W1362" t="str">
        <f>VLOOKUP(Table_Query_from_Actuarial___Production[[#This Row],[Kor1]],$AI$3:$AK$105,3,FALSE)</f>
        <v>Charge-offs</v>
      </c>
      <c r="X1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2"/>
      <c r="Z1362" t="s">
        <v>3</v>
      </c>
      <c r="AA1362" t="s">
        <v>230</v>
      </c>
      <c r="AB1362" t="s">
        <v>6</v>
      </c>
      <c r="AC1362" s="21">
        <v>12736730</v>
      </c>
      <c r="AD1362" s="21" t="s">
        <v>368</v>
      </c>
      <c r="AE1362" t="str">
        <f>VLOOKUP(Table_Query_from_Actuarial___Production3[[#This Row],[Kor1]],$AI$3:$AK$105,3,FALSE)</f>
        <v>Premiums Written</v>
      </c>
      <c r="AF1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3" spans="18:32" x14ac:dyDescent="0.2">
      <c r="R1363" t="s">
        <v>49</v>
      </c>
      <c r="S1363" t="s">
        <v>258</v>
      </c>
      <c r="T1363" t="s">
        <v>427</v>
      </c>
      <c r="U1363" s="21">
        <v>94509.7</v>
      </c>
      <c r="V1363" s="21" t="s">
        <v>368</v>
      </c>
      <c r="W1363" t="str">
        <f>VLOOKUP(Table_Query_from_Actuarial___Production[[#This Row],[Kor1]],$AI$3:$AK$105,3,FALSE)</f>
        <v>ALAE Paid</v>
      </c>
      <c r="X1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3"/>
      <c r="Z1363" t="s">
        <v>10</v>
      </c>
      <c r="AA1363" t="s">
        <v>228</v>
      </c>
      <c r="AB1363" t="s">
        <v>9</v>
      </c>
      <c r="AC1363" s="21">
        <v>701.95</v>
      </c>
      <c r="AD1363" s="21" t="s">
        <v>368</v>
      </c>
      <c r="AE1363" t="str">
        <f>VLOOKUP(Table_Query_from_Actuarial___Production3[[#This Row],[Kor1]],$AI$3:$AK$105,3,FALSE)</f>
        <v>Commissions</v>
      </c>
      <c r="AF1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4" spans="18:32" x14ac:dyDescent="0.2">
      <c r="R1364" t="s">
        <v>20</v>
      </c>
      <c r="S1364" t="s">
        <v>245</v>
      </c>
      <c r="T1364" t="s">
        <v>7</v>
      </c>
      <c r="U1364" s="21">
        <v>113.37</v>
      </c>
      <c r="V1364" s="21" t="s">
        <v>368</v>
      </c>
      <c r="W1364" t="str">
        <f>VLOOKUP(Table_Query_from_Actuarial___Production[[#This Row],[Kor1]],$AI$3:$AK$105,3,FALSE)</f>
        <v>Misc. Expense</v>
      </c>
      <c r="X1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4"/>
      <c r="Z1364" t="s">
        <v>20</v>
      </c>
      <c r="AA1364" t="s">
        <v>241</v>
      </c>
      <c r="AB1364" t="s">
        <v>5</v>
      </c>
      <c r="AC1364" s="21">
        <v>5.25</v>
      </c>
      <c r="AD1364" s="21" t="s">
        <v>368</v>
      </c>
      <c r="AE1364" t="str">
        <f>VLOOKUP(Table_Query_from_Actuarial___Production3[[#This Row],[Kor1]],$AI$3:$AK$105,3,FALSE)</f>
        <v>Misc. Expense</v>
      </c>
      <c r="AF1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5" spans="18:32" x14ac:dyDescent="0.2">
      <c r="R1365" t="s">
        <v>14</v>
      </c>
      <c r="S1365" t="s">
        <v>249</v>
      </c>
      <c r="T1365" t="s">
        <v>441</v>
      </c>
      <c r="U1365" s="21">
        <v>80425.3</v>
      </c>
      <c r="V1365" s="21" t="s">
        <v>368</v>
      </c>
      <c r="W1365" t="str">
        <f>VLOOKUP(Table_Query_from_Actuarial___Production[[#This Row],[Kor1]],$AI$3:$AK$105,3,FALSE)</f>
        <v>Claims Expense</v>
      </c>
      <c r="X1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5"/>
      <c r="Z1365" t="s">
        <v>36</v>
      </c>
      <c r="AA1365" t="s">
        <v>4</v>
      </c>
      <c r="AB1365" t="s">
        <v>9</v>
      </c>
      <c r="AC1365" s="21">
        <v>266890.42</v>
      </c>
      <c r="AD1365" s="21" t="s">
        <v>368</v>
      </c>
      <c r="AE1365" t="str">
        <f>VLOOKUP(Table_Query_from_Actuarial___Production3[[#This Row],[Kor1]],$AI$3:$AK$105,3,FALSE)</f>
        <v>Misc. Expense</v>
      </c>
      <c r="AF1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6" spans="18:32" x14ac:dyDescent="0.2">
      <c r="R1366" t="s">
        <v>17</v>
      </c>
      <c r="S1366" t="s">
        <v>260</v>
      </c>
      <c r="T1366" t="s">
        <v>433</v>
      </c>
      <c r="U1366" s="21">
        <v>616.1</v>
      </c>
      <c r="V1366" s="21" t="s">
        <v>368</v>
      </c>
      <c r="W1366" t="str">
        <f>VLOOKUP(Table_Query_from_Actuarial___Production[[#This Row],[Kor1]],$AI$3:$AK$105,3,FALSE)</f>
        <v>IBNR</v>
      </c>
      <c r="X1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6"/>
      <c r="Z1366" t="s">
        <v>3</v>
      </c>
      <c r="AA1366" t="s">
        <v>243</v>
      </c>
      <c r="AB1366" t="s">
        <v>441</v>
      </c>
      <c r="AC1366" s="21">
        <v>546162</v>
      </c>
      <c r="AD1366" s="21" t="s">
        <v>368</v>
      </c>
      <c r="AE1366" t="str">
        <f>VLOOKUP(Table_Query_from_Actuarial___Production3[[#This Row],[Kor1]],$AI$3:$AK$105,3,FALSE)</f>
        <v>Premiums Written</v>
      </c>
      <c r="AF1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7" spans="18:32" x14ac:dyDescent="0.2">
      <c r="R1367" t="s">
        <v>12</v>
      </c>
      <c r="S1367" t="s">
        <v>236</v>
      </c>
      <c r="T1367" t="s">
        <v>433</v>
      </c>
      <c r="U1367" s="21">
        <v>807.1</v>
      </c>
      <c r="V1367" s="21" t="s">
        <v>368</v>
      </c>
      <c r="W1367" t="str">
        <f>VLOOKUP(Table_Query_from_Actuarial___Production[[#This Row],[Kor1]],$AI$3:$AK$105,3,FALSE)</f>
        <v>Premium Tax</v>
      </c>
      <c r="X1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7"/>
      <c r="Z1367" t="s">
        <v>10</v>
      </c>
      <c r="AA1367" t="s">
        <v>243</v>
      </c>
      <c r="AB1367" t="s">
        <v>5</v>
      </c>
      <c r="AC1367" s="21">
        <v>8207.09</v>
      </c>
      <c r="AD1367" s="21" t="s">
        <v>368</v>
      </c>
      <c r="AE1367" t="str">
        <f>VLOOKUP(Table_Query_from_Actuarial___Production3[[#This Row],[Kor1]],$AI$3:$AK$105,3,FALSE)</f>
        <v>Commissions</v>
      </c>
      <c r="AF1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8" spans="18:32" x14ac:dyDescent="0.2">
      <c r="R1368" t="s">
        <v>15</v>
      </c>
      <c r="S1368" t="s">
        <v>250</v>
      </c>
      <c r="T1368" t="s">
        <v>443</v>
      </c>
      <c r="U1368" s="21">
        <v>159822.01</v>
      </c>
      <c r="V1368" s="21" t="s">
        <v>368</v>
      </c>
      <c r="W1368" t="str">
        <f>VLOOKUP(Table_Query_from_Actuarial___Production[[#This Row],[Kor1]],$AI$3:$AK$105,3,FALSE)</f>
        <v>Unearned Premiums</v>
      </c>
      <c r="X1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8"/>
      <c r="Z1368" t="s">
        <v>19</v>
      </c>
      <c r="AA1368" t="s">
        <v>240</v>
      </c>
      <c r="AB1368" t="s">
        <v>427</v>
      </c>
      <c r="AC1368" s="21">
        <v>13139.98</v>
      </c>
      <c r="AD1368" s="21" t="s">
        <v>368</v>
      </c>
      <c r="AE1368" t="str">
        <f>VLOOKUP(Table_Query_from_Actuarial___Production3[[#This Row],[Kor1]],$AI$3:$AK$105,3,FALSE)</f>
        <v>Misc. Expense for Insolvent Companies</v>
      </c>
      <c r="AF1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69" spans="18:32" x14ac:dyDescent="0.2">
      <c r="R1369" t="s">
        <v>37</v>
      </c>
      <c r="S1369" t="s">
        <v>248</v>
      </c>
      <c r="T1369" t="s">
        <v>356</v>
      </c>
      <c r="U1369" s="21">
        <v>-0.53</v>
      </c>
      <c r="V1369" s="21" t="s">
        <v>368</v>
      </c>
      <c r="W1369" t="str">
        <f>VLOOKUP(Table_Query_from_Actuarial___Production[[#This Row],[Kor1]],$AI$3:$AK$105,3,FALSE)</f>
        <v>Misc. Expense</v>
      </c>
      <c r="X1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69"/>
      <c r="Z1369" t="s">
        <v>43</v>
      </c>
      <c r="AA1369" t="s">
        <v>228</v>
      </c>
      <c r="AB1369" t="s">
        <v>441</v>
      </c>
      <c r="AC1369" s="21">
        <v>-367.49</v>
      </c>
      <c r="AD1369" s="21" t="s">
        <v>368</v>
      </c>
      <c r="AE1369" t="str">
        <f>VLOOKUP(Table_Query_from_Actuarial___Production3[[#This Row],[Kor1]],$AI$3:$AK$105,3,FALSE)</f>
        <v>Charge-offs</v>
      </c>
      <c r="AF1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0" spans="18:32" x14ac:dyDescent="0.2">
      <c r="R1370" t="s">
        <v>47</v>
      </c>
      <c r="S1370" t="s">
        <v>233</v>
      </c>
      <c r="T1370" t="s">
        <v>427</v>
      </c>
      <c r="U1370" s="21">
        <v>4217.96</v>
      </c>
      <c r="V1370" s="21" t="s">
        <v>368</v>
      </c>
      <c r="W1370" t="str">
        <f>VLOOKUP(Table_Query_from_Actuarial___Production[[#This Row],[Kor1]],$AI$3:$AK$105,3,FALSE)</f>
        <v>Investment Income</v>
      </c>
      <c r="X1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0"/>
      <c r="Z1370" t="s">
        <v>32</v>
      </c>
      <c r="AA1370" t="s">
        <v>4</v>
      </c>
      <c r="AB1370" t="s">
        <v>433</v>
      </c>
      <c r="AC1370" s="21">
        <v>217656.67</v>
      </c>
      <c r="AD1370" s="21" t="s">
        <v>368</v>
      </c>
      <c r="AE1370" t="str">
        <f>VLOOKUP(Table_Query_from_Actuarial___Production3[[#This Row],[Kor1]],$AI$3:$AK$105,3,FALSE)</f>
        <v>Misc. Expense</v>
      </c>
      <c r="AF1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1" spans="18:32" x14ac:dyDescent="0.2">
      <c r="R1371" t="s">
        <v>14</v>
      </c>
      <c r="S1371" t="s">
        <v>253</v>
      </c>
      <c r="T1371" t="s">
        <v>351</v>
      </c>
      <c r="U1371" s="21">
        <v>141.58000000000001</v>
      </c>
      <c r="V1371" s="21" t="s">
        <v>368</v>
      </c>
      <c r="W1371" t="str">
        <f>VLOOKUP(Table_Query_from_Actuarial___Production[[#This Row],[Kor1]],$AI$3:$AK$105,3,FALSE)</f>
        <v>Claims Expense</v>
      </c>
      <c r="X1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1"/>
      <c r="Z1371" t="s">
        <v>48</v>
      </c>
      <c r="AA1371" t="s">
        <v>224</v>
      </c>
      <c r="AB1371" t="s">
        <v>442</v>
      </c>
      <c r="AC1371" s="21">
        <v>81.400000000000006</v>
      </c>
      <c r="AD1371" s="21" t="s">
        <v>425</v>
      </c>
      <c r="AE1371" t="str">
        <f>VLOOKUP(Table_Query_from_Actuarial___Production3[[#This Row],[Kor1]],$AI$3:$AK$105,3,FALSE)</f>
        <v>Anticipated Salvage</v>
      </c>
      <c r="AF1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372" spans="18:32" x14ac:dyDescent="0.2">
      <c r="R1372" t="s">
        <v>39</v>
      </c>
      <c r="S1372" t="s">
        <v>235</v>
      </c>
      <c r="T1372" t="s">
        <v>9</v>
      </c>
      <c r="U1372" s="21">
        <v>2389</v>
      </c>
      <c r="V1372" s="21" t="s">
        <v>368</v>
      </c>
      <c r="W1372" t="str">
        <f>VLOOKUP(Table_Query_from_Actuarial___Production[[#This Row],[Kor1]],$AI$3:$AK$105,3,FALSE)</f>
        <v>Misc. Income for Insolvent Companies</v>
      </c>
      <c r="X1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2"/>
      <c r="Z1372" t="s">
        <v>12</v>
      </c>
      <c r="AA1372" t="s">
        <v>260</v>
      </c>
      <c r="AB1372" t="s">
        <v>6</v>
      </c>
      <c r="AC1372" s="21">
        <v>104.36</v>
      </c>
      <c r="AD1372" s="21" t="s">
        <v>368</v>
      </c>
      <c r="AE1372" t="str">
        <f>VLOOKUP(Table_Query_from_Actuarial___Production3[[#This Row],[Kor1]],$AI$3:$AK$105,3,FALSE)</f>
        <v>Premium Tax</v>
      </c>
      <c r="AF1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3" spans="18:32" x14ac:dyDescent="0.2">
      <c r="R1373" t="s">
        <v>40</v>
      </c>
      <c r="S1373" t="s">
        <v>268</v>
      </c>
      <c r="T1373" t="s">
        <v>8</v>
      </c>
      <c r="U1373" s="21">
        <v>55</v>
      </c>
      <c r="V1373" s="21" t="s">
        <v>368</v>
      </c>
      <c r="W1373" t="str">
        <f>VLOOKUP(Table_Query_from_Actuarial___Production[[#This Row],[Kor1]],$AI$3:$AK$105,3,FALSE)</f>
        <v>Misc. Income</v>
      </c>
      <c r="X1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3"/>
      <c r="Z1373" t="s">
        <v>3</v>
      </c>
      <c r="AA1373" t="s">
        <v>256</v>
      </c>
      <c r="AB1373" t="s">
        <v>8</v>
      </c>
      <c r="AC1373" s="21">
        <v>136546</v>
      </c>
      <c r="AD1373" s="21" t="s">
        <v>368</v>
      </c>
      <c r="AE1373" t="str">
        <f>VLOOKUP(Table_Query_from_Actuarial___Production3[[#This Row],[Kor1]],$AI$3:$AK$105,3,FALSE)</f>
        <v>Premiums Written</v>
      </c>
      <c r="AF1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4" spans="18:32" x14ac:dyDescent="0.2">
      <c r="R1374" t="s">
        <v>44</v>
      </c>
      <c r="S1374" t="s">
        <v>224</v>
      </c>
      <c r="T1374" t="s">
        <v>356</v>
      </c>
      <c r="U1374" s="21">
        <v>561.96</v>
      </c>
      <c r="V1374" s="21" t="s">
        <v>369</v>
      </c>
      <c r="W1374" t="str">
        <f>VLOOKUP(Table_Query_from_Actuarial___Production[[#This Row],[Kor1]],$AI$3:$AK$105,3,FALSE)</f>
        <v>Charge-offs</v>
      </c>
      <c r="X1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374"/>
      <c r="Z1374" t="s">
        <v>31</v>
      </c>
      <c r="AA1374" t="s">
        <v>240</v>
      </c>
      <c r="AB1374" t="s">
        <v>441</v>
      </c>
      <c r="AC1374" s="21">
        <v>957.45</v>
      </c>
      <c r="AD1374" s="21" t="s">
        <v>368</v>
      </c>
      <c r="AE1374" t="str">
        <f>VLOOKUP(Table_Query_from_Actuarial___Production3[[#This Row],[Kor1]],$AI$3:$AK$105,3,FALSE)</f>
        <v>Misc. Expense</v>
      </c>
      <c r="AF1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5" spans="18:32" x14ac:dyDescent="0.2">
      <c r="R1375" t="s">
        <v>12</v>
      </c>
      <c r="S1375" t="s">
        <v>236</v>
      </c>
      <c r="T1375" t="s">
        <v>7</v>
      </c>
      <c r="U1375" s="21">
        <v>472.96</v>
      </c>
      <c r="V1375" s="21" t="s">
        <v>368</v>
      </c>
      <c r="W1375" t="str">
        <f>VLOOKUP(Table_Query_from_Actuarial___Production[[#This Row],[Kor1]],$AI$3:$AK$105,3,FALSE)</f>
        <v>Premium Tax</v>
      </c>
      <c r="X1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5"/>
      <c r="Z1375" t="s">
        <v>31</v>
      </c>
      <c r="AA1375" t="s">
        <v>268</v>
      </c>
      <c r="AB1375" t="s">
        <v>7</v>
      </c>
      <c r="AC1375" s="21">
        <v>1073.99</v>
      </c>
      <c r="AD1375" s="21" t="s">
        <v>368</v>
      </c>
      <c r="AE1375" t="str">
        <f>VLOOKUP(Table_Query_from_Actuarial___Production3[[#This Row],[Kor1]],$AI$3:$AK$105,3,FALSE)</f>
        <v>Misc. Expense</v>
      </c>
      <c r="AF1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6" spans="18:32" x14ac:dyDescent="0.2">
      <c r="R1376" t="s">
        <v>3</v>
      </c>
      <c r="S1376" t="s">
        <v>243</v>
      </c>
      <c r="T1376" t="s">
        <v>351</v>
      </c>
      <c r="U1376" s="21">
        <v>366227</v>
      </c>
      <c r="V1376" s="21" t="s">
        <v>368</v>
      </c>
      <c r="W1376" t="str">
        <f>VLOOKUP(Table_Query_from_Actuarial___Production[[#This Row],[Kor1]],$AI$3:$AK$105,3,FALSE)</f>
        <v>Premiums Written</v>
      </c>
      <c r="X1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6"/>
      <c r="Z1376" t="s">
        <v>11</v>
      </c>
      <c r="AA1376" t="s">
        <v>233</v>
      </c>
      <c r="AB1376" t="s">
        <v>8</v>
      </c>
      <c r="AC1376" s="21">
        <v>733896.92</v>
      </c>
      <c r="AD1376" s="21" t="s">
        <v>368</v>
      </c>
      <c r="AE1376" t="str">
        <f>VLOOKUP(Table_Query_from_Actuarial___Production3[[#This Row],[Kor1]],$AI$3:$AK$105,3,FALSE)</f>
        <v>Losses Paid</v>
      </c>
      <c r="AF1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7" spans="18:32" x14ac:dyDescent="0.2">
      <c r="R1377" t="s">
        <v>34</v>
      </c>
      <c r="S1377" t="s">
        <v>266</v>
      </c>
      <c r="T1377" t="s">
        <v>9</v>
      </c>
      <c r="U1377" s="21">
        <v>3.42</v>
      </c>
      <c r="V1377" s="21" t="s">
        <v>368</v>
      </c>
      <c r="W1377" t="str">
        <f>VLOOKUP(Table_Query_from_Actuarial___Production[[#This Row],[Kor1]],$AI$3:$AK$105,3,FALSE)</f>
        <v>Misc. Expense</v>
      </c>
      <c r="X1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7"/>
      <c r="Z1377" t="s">
        <v>31</v>
      </c>
      <c r="AA1377" t="s">
        <v>266</v>
      </c>
      <c r="AB1377" t="s">
        <v>9</v>
      </c>
      <c r="AC1377" s="21">
        <v>574.21</v>
      </c>
      <c r="AD1377" s="21" t="s">
        <v>368</v>
      </c>
      <c r="AE1377" t="str">
        <f>VLOOKUP(Table_Query_from_Actuarial___Production3[[#This Row],[Kor1]],$AI$3:$AK$105,3,FALSE)</f>
        <v>Misc. Expense</v>
      </c>
      <c r="AF1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8" spans="18:32" x14ac:dyDescent="0.2">
      <c r="R1378" t="s">
        <v>39</v>
      </c>
      <c r="S1378" t="s">
        <v>261</v>
      </c>
      <c r="T1378" t="s">
        <v>433</v>
      </c>
      <c r="U1378" s="21">
        <v>674</v>
      </c>
      <c r="V1378" s="21" t="s">
        <v>368</v>
      </c>
      <c r="W1378" t="str">
        <f>VLOOKUP(Table_Query_from_Actuarial___Production[[#This Row],[Kor1]],$AI$3:$AK$105,3,FALSE)</f>
        <v>Misc. Income for Insolvent Companies</v>
      </c>
      <c r="X1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8"/>
      <c r="Z1378" t="s">
        <v>43</v>
      </c>
      <c r="AA1378" t="s">
        <v>232</v>
      </c>
      <c r="AB1378" t="s">
        <v>443</v>
      </c>
      <c r="AC1378" s="21">
        <v>-642.59</v>
      </c>
      <c r="AD1378" s="21" t="s">
        <v>368</v>
      </c>
      <c r="AE1378" t="str">
        <f>VLOOKUP(Table_Query_from_Actuarial___Production3[[#This Row],[Kor1]],$AI$3:$AK$105,3,FALSE)</f>
        <v>Charge-offs</v>
      </c>
      <c r="AF1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79" spans="18:32" x14ac:dyDescent="0.2">
      <c r="R1379" t="s">
        <v>10</v>
      </c>
      <c r="S1379" t="s">
        <v>236</v>
      </c>
      <c r="T1379" t="s">
        <v>7</v>
      </c>
      <c r="U1379" s="21">
        <v>2364.8000000000002</v>
      </c>
      <c r="V1379" s="21" t="s">
        <v>368</v>
      </c>
      <c r="W1379" t="str">
        <f>VLOOKUP(Table_Query_from_Actuarial___Production[[#This Row],[Kor1]],$AI$3:$AK$105,3,FALSE)</f>
        <v>Commissions</v>
      </c>
      <c r="X1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79"/>
      <c r="Z1379" t="s">
        <v>40</v>
      </c>
      <c r="AA1379" t="s">
        <v>232</v>
      </c>
      <c r="AB1379" t="s">
        <v>7</v>
      </c>
      <c r="AC1379" s="21">
        <v>153.97</v>
      </c>
      <c r="AD1379" s="21" t="s">
        <v>368</v>
      </c>
      <c r="AE1379" t="str">
        <f>VLOOKUP(Table_Query_from_Actuarial___Production3[[#This Row],[Kor1]],$AI$3:$AK$105,3,FALSE)</f>
        <v>Misc. Income</v>
      </c>
      <c r="AF1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0" spans="18:32" x14ac:dyDescent="0.2">
      <c r="R1380" t="s">
        <v>12</v>
      </c>
      <c r="S1380" t="s">
        <v>230</v>
      </c>
      <c r="T1380" t="s">
        <v>427</v>
      </c>
      <c r="U1380" s="21">
        <v>524376.02</v>
      </c>
      <c r="V1380" s="21" t="s">
        <v>368</v>
      </c>
      <c r="W1380" t="str">
        <f>VLOOKUP(Table_Query_from_Actuarial___Production[[#This Row],[Kor1]],$AI$3:$AK$105,3,FALSE)</f>
        <v>Premium Tax</v>
      </c>
      <c r="X1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0"/>
      <c r="Z1380" t="s">
        <v>12</v>
      </c>
      <c r="AA1380" t="s">
        <v>232</v>
      </c>
      <c r="AB1380" t="s">
        <v>441</v>
      </c>
      <c r="AC1380" s="21">
        <v>25278.32</v>
      </c>
      <c r="AD1380" s="21" t="s">
        <v>368</v>
      </c>
      <c r="AE1380" t="str">
        <f>VLOOKUP(Table_Query_from_Actuarial___Production3[[#This Row],[Kor1]],$AI$3:$AK$105,3,FALSE)</f>
        <v>Premium Tax</v>
      </c>
      <c r="AF1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1" spans="18:32" x14ac:dyDescent="0.2">
      <c r="R1381" t="s">
        <v>16</v>
      </c>
      <c r="S1381" t="s">
        <v>263</v>
      </c>
      <c r="T1381" t="s">
        <v>427</v>
      </c>
      <c r="U1381" s="21">
        <v>-4190</v>
      </c>
      <c r="V1381" s="21" t="s">
        <v>368</v>
      </c>
      <c r="W1381" t="str">
        <f>VLOOKUP(Table_Query_from_Actuarial___Production[[#This Row],[Kor1]],$AI$3:$AK$105,3,FALSE)</f>
        <v>Losses Outstanding</v>
      </c>
      <c r="X1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1"/>
      <c r="Z1381" t="s">
        <v>19</v>
      </c>
      <c r="AA1381" t="s">
        <v>264</v>
      </c>
      <c r="AB1381" t="s">
        <v>9</v>
      </c>
      <c r="AC1381" s="21">
        <v>19697.97</v>
      </c>
      <c r="AD1381" s="21" t="s">
        <v>368</v>
      </c>
      <c r="AE1381" t="str">
        <f>VLOOKUP(Table_Query_from_Actuarial___Production3[[#This Row],[Kor1]],$AI$3:$AK$105,3,FALSE)</f>
        <v>Misc. Expense for Insolvent Companies</v>
      </c>
      <c r="AF1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2" spans="18:32" x14ac:dyDescent="0.2">
      <c r="R1382" t="s">
        <v>20</v>
      </c>
      <c r="S1382" t="s">
        <v>235</v>
      </c>
      <c r="T1382" t="s">
        <v>351</v>
      </c>
      <c r="U1382" s="21">
        <v>328.12</v>
      </c>
      <c r="V1382" s="21" t="s">
        <v>368</v>
      </c>
      <c r="W1382" t="str">
        <f>VLOOKUP(Table_Query_from_Actuarial___Production[[#This Row],[Kor1]],$AI$3:$AK$105,3,FALSE)</f>
        <v>Misc. Expense</v>
      </c>
      <c r="X1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2"/>
      <c r="Z1382" t="s">
        <v>19</v>
      </c>
      <c r="AA1382" t="s">
        <v>263</v>
      </c>
      <c r="AB1382" t="s">
        <v>6</v>
      </c>
      <c r="AC1382" s="21">
        <v>951</v>
      </c>
      <c r="AD1382" s="21" t="s">
        <v>368</v>
      </c>
      <c r="AE1382" t="str">
        <f>VLOOKUP(Table_Query_from_Actuarial___Production3[[#This Row],[Kor1]],$AI$3:$AK$105,3,FALSE)</f>
        <v>Misc. Expense for Insolvent Companies</v>
      </c>
      <c r="AF1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3" spans="18:32" x14ac:dyDescent="0.2">
      <c r="R1383" t="s">
        <v>21</v>
      </c>
      <c r="S1383" t="s">
        <v>257</v>
      </c>
      <c r="T1383" t="s">
        <v>427</v>
      </c>
      <c r="U1383" s="21">
        <v>2898.98</v>
      </c>
      <c r="V1383" s="21" t="s">
        <v>368</v>
      </c>
      <c r="W1383" t="str">
        <f>VLOOKUP(Table_Query_from_Actuarial___Production[[#This Row],[Kor1]],$AI$3:$AK$105,3,FALSE)</f>
        <v>Misc. Expense</v>
      </c>
      <c r="X1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3"/>
      <c r="Z1383" t="s">
        <v>31</v>
      </c>
      <c r="AA1383" t="s">
        <v>237</v>
      </c>
      <c r="AB1383" t="s">
        <v>442</v>
      </c>
      <c r="AC1383" s="21">
        <v>1223.19</v>
      </c>
      <c r="AD1383" s="21" t="s">
        <v>368</v>
      </c>
      <c r="AE1383" t="str">
        <f>VLOOKUP(Table_Query_from_Actuarial___Production3[[#This Row],[Kor1]],$AI$3:$AK$105,3,FALSE)</f>
        <v>Misc. Expense</v>
      </c>
      <c r="AF1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4" spans="18:32" x14ac:dyDescent="0.2">
      <c r="R1384" t="s">
        <v>39</v>
      </c>
      <c r="S1384" t="s">
        <v>263</v>
      </c>
      <c r="T1384" t="s">
        <v>351</v>
      </c>
      <c r="U1384" s="21">
        <v>1383</v>
      </c>
      <c r="V1384" s="21" t="s">
        <v>368</v>
      </c>
      <c r="W1384" t="str">
        <f>VLOOKUP(Table_Query_from_Actuarial___Production[[#This Row],[Kor1]],$AI$3:$AK$105,3,FALSE)</f>
        <v>Misc. Income for Insolvent Companies</v>
      </c>
      <c r="X1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4"/>
      <c r="Z1384" t="s">
        <v>49</v>
      </c>
      <c r="AA1384" t="s">
        <v>244</v>
      </c>
      <c r="AB1384" t="s">
        <v>441</v>
      </c>
      <c r="AC1384" s="21">
        <v>1927.5</v>
      </c>
      <c r="AD1384" s="21" t="s">
        <v>368</v>
      </c>
      <c r="AE1384" t="str">
        <f>VLOOKUP(Table_Query_from_Actuarial___Production3[[#This Row],[Kor1]],$AI$3:$AK$105,3,FALSE)</f>
        <v>ALAE Paid</v>
      </c>
      <c r="AF1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5" spans="18:32" x14ac:dyDescent="0.2">
      <c r="R1385" t="s">
        <v>38</v>
      </c>
      <c r="S1385" t="s">
        <v>225</v>
      </c>
      <c r="T1385" t="s">
        <v>351</v>
      </c>
      <c r="U1385" s="21">
        <v>592295.4</v>
      </c>
      <c r="V1385" s="21" t="s">
        <v>368</v>
      </c>
      <c r="W1385" t="str">
        <f>VLOOKUP(Table_Query_from_Actuarial___Production[[#This Row],[Kor1]],$AI$3:$AK$105,3,FALSE)</f>
        <v>Misc. Income</v>
      </c>
      <c r="X1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385"/>
      <c r="Z1385" t="s">
        <v>13</v>
      </c>
      <c r="AA1385" t="s">
        <v>225</v>
      </c>
      <c r="AB1385" t="s">
        <v>441</v>
      </c>
      <c r="AC1385" s="21">
        <v>124877.68</v>
      </c>
      <c r="AD1385" s="21" t="s">
        <v>369</v>
      </c>
      <c r="AE1385" t="str">
        <f>VLOOKUP(Table_Query_from_Actuarial___Production3[[#This Row],[Kor1]],$AI$3:$AK$105,3,FALSE)</f>
        <v>Operating Service Fees</v>
      </c>
      <c r="AF1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386" spans="18:32" x14ac:dyDescent="0.2">
      <c r="R1386" t="s">
        <v>41</v>
      </c>
      <c r="S1386" t="s">
        <v>251</v>
      </c>
      <c r="T1386" t="s">
        <v>6</v>
      </c>
      <c r="U1386" s="21">
        <v>50</v>
      </c>
      <c r="V1386" s="21" t="s">
        <v>368</v>
      </c>
      <c r="W1386" t="str">
        <f>VLOOKUP(Table_Query_from_Actuarial___Production[[#This Row],[Kor1]],$AI$3:$AK$105,3,FALSE)</f>
        <v>Misc. Income</v>
      </c>
      <c r="X1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6"/>
      <c r="Z1386" t="s">
        <v>48</v>
      </c>
      <c r="AA1386" t="s">
        <v>239</v>
      </c>
      <c r="AB1386" t="s">
        <v>433</v>
      </c>
      <c r="AC1386" s="21">
        <v>31134.53</v>
      </c>
      <c r="AD1386" s="21" t="s">
        <v>368</v>
      </c>
      <c r="AE1386" t="str">
        <f>VLOOKUP(Table_Query_from_Actuarial___Production3[[#This Row],[Kor1]],$AI$3:$AK$105,3,FALSE)</f>
        <v>Anticipated Salvage</v>
      </c>
      <c r="AF1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7" spans="18:32" x14ac:dyDescent="0.2">
      <c r="R1387" t="s">
        <v>14</v>
      </c>
      <c r="S1387" t="s">
        <v>354</v>
      </c>
      <c r="T1387" t="s">
        <v>427</v>
      </c>
      <c r="U1387" s="21">
        <v>128012646.02</v>
      </c>
      <c r="V1387" s="21" t="s">
        <v>369</v>
      </c>
      <c r="W1387" t="str">
        <f>VLOOKUP(Table_Query_from_Actuarial___Production[[#This Row],[Kor1]],$AI$3:$AK$105,3,FALSE)</f>
        <v>Claims Expense</v>
      </c>
      <c r="X1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387"/>
      <c r="Z1387" t="s">
        <v>48</v>
      </c>
      <c r="AA1387" t="s">
        <v>246</v>
      </c>
      <c r="AB1387" t="s">
        <v>427</v>
      </c>
      <c r="AC1387" s="21">
        <v>1534</v>
      </c>
      <c r="AD1387" s="21" t="s">
        <v>368</v>
      </c>
      <c r="AE1387" t="str">
        <f>VLOOKUP(Table_Query_from_Actuarial___Production3[[#This Row],[Kor1]],$AI$3:$AK$105,3,FALSE)</f>
        <v>Anticipated Salvage</v>
      </c>
      <c r="AF1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8" spans="18:32" x14ac:dyDescent="0.2">
      <c r="R1388" t="s">
        <v>3</v>
      </c>
      <c r="S1388" t="s">
        <v>224</v>
      </c>
      <c r="T1388" t="s">
        <v>9</v>
      </c>
      <c r="U1388" s="21">
        <v>2388777.02</v>
      </c>
      <c r="V1388" s="21" t="s">
        <v>370</v>
      </c>
      <c r="W1388" t="str">
        <f>VLOOKUP(Table_Query_from_Actuarial___Production[[#This Row],[Kor1]],$AI$3:$AK$105,3,FALSE)</f>
        <v>Premiums Written</v>
      </c>
      <c r="X1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388"/>
      <c r="Z1388" t="s">
        <v>43</v>
      </c>
      <c r="AA1388" t="s">
        <v>238</v>
      </c>
      <c r="AB1388" t="s">
        <v>7</v>
      </c>
      <c r="AC1388" s="21">
        <v>350.7</v>
      </c>
      <c r="AD1388" s="21" t="s">
        <v>368</v>
      </c>
      <c r="AE1388" t="str">
        <f>VLOOKUP(Table_Query_from_Actuarial___Production3[[#This Row],[Kor1]],$AI$3:$AK$105,3,FALSE)</f>
        <v>Charge-offs</v>
      </c>
      <c r="AF1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89" spans="18:32" x14ac:dyDescent="0.2">
      <c r="R1389" t="s">
        <v>21</v>
      </c>
      <c r="S1389" t="s">
        <v>268</v>
      </c>
      <c r="T1389" t="s">
        <v>442</v>
      </c>
      <c r="U1389" s="21">
        <v>805.02</v>
      </c>
      <c r="V1389" s="21" t="s">
        <v>368</v>
      </c>
      <c r="W1389" t="str">
        <f>VLOOKUP(Table_Query_from_Actuarial___Production[[#This Row],[Kor1]],$AI$3:$AK$105,3,FALSE)</f>
        <v>Misc. Expense</v>
      </c>
      <c r="X1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89"/>
      <c r="Z1389" t="s">
        <v>31</v>
      </c>
      <c r="AA1389" t="s">
        <v>261</v>
      </c>
      <c r="AB1389" t="s">
        <v>356</v>
      </c>
      <c r="AC1389" s="21">
        <v>981.43</v>
      </c>
      <c r="AD1389" s="21" t="s">
        <v>368</v>
      </c>
      <c r="AE1389" t="str">
        <f>VLOOKUP(Table_Query_from_Actuarial___Production3[[#This Row],[Kor1]],$AI$3:$AK$105,3,FALSE)</f>
        <v>Misc. Expense</v>
      </c>
      <c r="AF1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0" spans="18:32" x14ac:dyDescent="0.2">
      <c r="R1390" t="s">
        <v>167</v>
      </c>
      <c r="S1390" t="s">
        <v>354</v>
      </c>
      <c r="T1390" t="s">
        <v>427</v>
      </c>
      <c r="U1390" s="21">
        <v>20605842</v>
      </c>
      <c r="V1390" s="21" t="s">
        <v>369</v>
      </c>
      <c r="W1390" t="str">
        <f>VLOOKUP(Table_Query_from_Actuarial___Production[[#This Row],[Kor1]],$AI$3:$AK$105,3,FALSE)</f>
        <v>Recoupment</v>
      </c>
      <c r="X1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390"/>
      <c r="Z1390" t="s">
        <v>43</v>
      </c>
      <c r="AA1390" t="s">
        <v>258</v>
      </c>
      <c r="AB1390" t="s">
        <v>427</v>
      </c>
      <c r="AC1390" s="21">
        <v>2944.74</v>
      </c>
      <c r="AD1390" s="21" t="s">
        <v>368</v>
      </c>
      <c r="AE1390" t="str">
        <f>VLOOKUP(Table_Query_from_Actuarial___Production3[[#This Row],[Kor1]],$AI$3:$AK$105,3,FALSE)</f>
        <v>Charge-offs</v>
      </c>
      <c r="AF1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1" spans="18:32" x14ac:dyDescent="0.2">
      <c r="R1391" t="s">
        <v>40</v>
      </c>
      <c r="S1391" t="s">
        <v>229</v>
      </c>
      <c r="T1391" t="s">
        <v>6</v>
      </c>
      <c r="U1391" s="21">
        <v>3</v>
      </c>
      <c r="V1391" s="21" t="s">
        <v>368</v>
      </c>
      <c r="W1391" t="str">
        <f>VLOOKUP(Table_Query_from_Actuarial___Production[[#This Row],[Kor1]],$AI$3:$AK$105,3,FALSE)</f>
        <v>Misc. Income</v>
      </c>
      <c r="X1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1"/>
      <c r="Z1391" t="s">
        <v>49</v>
      </c>
      <c r="AA1391" t="s">
        <v>258</v>
      </c>
      <c r="AB1391" t="s">
        <v>427</v>
      </c>
      <c r="AC1391" s="21">
        <v>59220.55</v>
      </c>
      <c r="AD1391" s="21" t="s">
        <v>368</v>
      </c>
      <c r="AE1391" t="str">
        <f>VLOOKUP(Table_Query_from_Actuarial___Production3[[#This Row],[Kor1]],$AI$3:$AK$105,3,FALSE)</f>
        <v>ALAE Paid</v>
      </c>
      <c r="AF1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2" spans="18:32" x14ac:dyDescent="0.2">
      <c r="R1392" t="s">
        <v>10</v>
      </c>
      <c r="S1392" t="s">
        <v>231</v>
      </c>
      <c r="T1392" t="s">
        <v>6</v>
      </c>
      <c r="U1392" s="21">
        <v>5549.8</v>
      </c>
      <c r="V1392" s="21" t="s">
        <v>368</v>
      </c>
      <c r="W1392" t="str">
        <f>VLOOKUP(Table_Query_from_Actuarial___Production[[#This Row],[Kor1]],$AI$3:$AK$105,3,FALSE)</f>
        <v>Commissions</v>
      </c>
      <c r="X1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2"/>
      <c r="Z1392" t="s">
        <v>20</v>
      </c>
      <c r="AA1392" t="s">
        <v>245</v>
      </c>
      <c r="AB1392" t="s">
        <v>7</v>
      </c>
      <c r="AC1392" s="21">
        <v>113.37</v>
      </c>
      <c r="AD1392" s="21" t="s">
        <v>368</v>
      </c>
      <c r="AE1392" t="str">
        <f>VLOOKUP(Table_Query_from_Actuarial___Production3[[#This Row],[Kor1]],$AI$3:$AK$105,3,FALSE)</f>
        <v>Misc. Expense</v>
      </c>
      <c r="AF1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3" spans="18:32" x14ac:dyDescent="0.2">
      <c r="R1393" t="s">
        <v>15</v>
      </c>
      <c r="S1393" t="s">
        <v>224</v>
      </c>
      <c r="T1393" t="s">
        <v>443</v>
      </c>
      <c r="U1393" s="21">
        <v>114470.32</v>
      </c>
      <c r="V1393" s="21" t="s">
        <v>370</v>
      </c>
      <c r="W1393" t="str">
        <f>VLOOKUP(Table_Query_from_Actuarial___Production[[#This Row],[Kor1]],$AI$3:$AK$105,3,FALSE)</f>
        <v>Unearned Premiums</v>
      </c>
      <c r="X1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393"/>
      <c r="Z1393" t="s">
        <v>37</v>
      </c>
      <c r="AA1393" t="s">
        <v>232</v>
      </c>
      <c r="AB1393" t="s">
        <v>5</v>
      </c>
      <c r="AC1393" s="21">
        <v>6022.85</v>
      </c>
      <c r="AD1393" s="21" t="s">
        <v>368</v>
      </c>
      <c r="AE1393" t="str">
        <f>VLOOKUP(Table_Query_from_Actuarial___Production3[[#This Row],[Kor1]],$AI$3:$AK$105,3,FALSE)</f>
        <v>Misc. Expense</v>
      </c>
      <c r="AF1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4" spans="18:32" x14ac:dyDescent="0.2">
      <c r="R1394" t="s">
        <v>40</v>
      </c>
      <c r="S1394" t="s">
        <v>258</v>
      </c>
      <c r="T1394" t="s">
        <v>6</v>
      </c>
      <c r="U1394" s="21">
        <v>284.45</v>
      </c>
      <c r="V1394" s="21" t="s">
        <v>368</v>
      </c>
      <c r="W1394" t="str">
        <f>VLOOKUP(Table_Query_from_Actuarial___Production[[#This Row],[Kor1]],$AI$3:$AK$105,3,FALSE)</f>
        <v>Misc. Income</v>
      </c>
      <c r="X1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4"/>
      <c r="Z1394" t="s">
        <v>14</v>
      </c>
      <c r="AA1394" t="s">
        <v>249</v>
      </c>
      <c r="AB1394" t="s">
        <v>441</v>
      </c>
      <c r="AC1394" s="21">
        <v>80501.899999999994</v>
      </c>
      <c r="AD1394" s="21" t="s">
        <v>368</v>
      </c>
      <c r="AE1394" t="str">
        <f>VLOOKUP(Table_Query_from_Actuarial___Production3[[#This Row],[Kor1]],$AI$3:$AK$105,3,FALSE)</f>
        <v>Claims Expense</v>
      </c>
      <c r="AF1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5" spans="18:32" x14ac:dyDescent="0.2">
      <c r="R1395" t="s">
        <v>48</v>
      </c>
      <c r="S1395" t="s">
        <v>354</v>
      </c>
      <c r="T1395" t="s">
        <v>433</v>
      </c>
      <c r="U1395" s="21">
        <v>114471.43</v>
      </c>
      <c r="V1395" s="21" t="s">
        <v>368</v>
      </c>
      <c r="W1395" t="str">
        <f>VLOOKUP(Table_Query_from_Actuarial___Production[[#This Row],[Kor1]],$AI$3:$AK$105,3,FALSE)</f>
        <v>Anticipated Salvage</v>
      </c>
      <c r="X1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395"/>
      <c r="Z1395" t="s">
        <v>17</v>
      </c>
      <c r="AA1395" t="s">
        <v>260</v>
      </c>
      <c r="AB1395" t="s">
        <v>433</v>
      </c>
      <c r="AC1395" s="21">
        <v>777.53</v>
      </c>
      <c r="AD1395" s="21" t="s">
        <v>368</v>
      </c>
      <c r="AE1395" t="str">
        <f>VLOOKUP(Table_Query_from_Actuarial___Production3[[#This Row],[Kor1]],$AI$3:$AK$105,3,FALSE)</f>
        <v>IBNR</v>
      </c>
      <c r="AF1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6" spans="18:32" x14ac:dyDescent="0.2">
      <c r="R1396" t="s">
        <v>3</v>
      </c>
      <c r="S1396" t="s">
        <v>354</v>
      </c>
      <c r="T1396" t="s">
        <v>7</v>
      </c>
      <c r="U1396" s="21">
        <v>798974691.37</v>
      </c>
      <c r="V1396" s="21" t="s">
        <v>369</v>
      </c>
      <c r="W1396" t="str">
        <f>VLOOKUP(Table_Query_from_Actuarial___Production[[#This Row],[Kor1]],$AI$3:$AK$105,3,FALSE)</f>
        <v>Premiums Written</v>
      </c>
      <c r="X1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396"/>
      <c r="Z1396" t="s">
        <v>12</v>
      </c>
      <c r="AA1396" t="s">
        <v>236</v>
      </c>
      <c r="AB1396" t="s">
        <v>433</v>
      </c>
      <c r="AC1396" s="21">
        <v>807.1</v>
      </c>
      <c r="AD1396" s="21" t="s">
        <v>368</v>
      </c>
      <c r="AE1396" t="str">
        <f>VLOOKUP(Table_Query_from_Actuarial___Production3[[#This Row],[Kor1]],$AI$3:$AK$105,3,FALSE)</f>
        <v>Premium Tax</v>
      </c>
      <c r="AF1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7" spans="18:32" x14ac:dyDescent="0.2">
      <c r="R1397" t="s">
        <v>31</v>
      </c>
      <c r="S1397" t="s">
        <v>240</v>
      </c>
      <c r="T1397" t="s">
        <v>443</v>
      </c>
      <c r="U1397" s="21">
        <v>933.31</v>
      </c>
      <c r="V1397" s="21" t="s">
        <v>368</v>
      </c>
      <c r="W1397" t="str">
        <f>VLOOKUP(Table_Query_from_Actuarial___Production[[#This Row],[Kor1]],$AI$3:$AK$105,3,FALSE)</f>
        <v>Misc. Expense</v>
      </c>
      <c r="X1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7"/>
      <c r="Z1397" t="s">
        <v>15</v>
      </c>
      <c r="AA1397" t="s">
        <v>250</v>
      </c>
      <c r="AB1397" t="s">
        <v>443</v>
      </c>
      <c r="AC1397" s="21">
        <v>187857.36</v>
      </c>
      <c r="AD1397" s="21" t="s">
        <v>368</v>
      </c>
      <c r="AE1397" t="str">
        <f>VLOOKUP(Table_Query_from_Actuarial___Production3[[#This Row],[Kor1]],$AI$3:$AK$105,3,FALSE)</f>
        <v>Unearned Premiums</v>
      </c>
      <c r="AF1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8" spans="18:32" x14ac:dyDescent="0.2">
      <c r="R1398" t="s">
        <v>39</v>
      </c>
      <c r="S1398" t="s">
        <v>263</v>
      </c>
      <c r="T1398" t="s">
        <v>7</v>
      </c>
      <c r="U1398" s="21">
        <v>568</v>
      </c>
      <c r="V1398" s="21" t="s">
        <v>368</v>
      </c>
      <c r="W1398" t="str">
        <f>VLOOKUP(Table_Query_from_Actuarial___Production[[#This Row],[Kor1]],$AI$3:$AK$105,3,FALSE)</f>
        <v>Misc. Income for Insolvent Companies</v>
      </c>
      <c r="X1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8"/>
      <c r="Z1398" t="s">
        <v>37</v>
      </c>
      <c r="AA1398" t="s">
        <v>248</v>
      </c>
      <c r="AB1398" t="s">
        <v>356</v>
      </c>
      <c r="AC1398" s="21">
        <v>-0.53</v>
      </c>
      <c r="AD1398" s="21" t="s">
        <v>368</v>
      </c>
      <c r="AE1398" t="str">
        <f>VLOOKUP(Table_Query_from_Actuarial___Production3[[#This Row],[Kor1]],$AI$3:$AK$105,3,FALSE)</f>
        <v>Misc. Expense</v>
      </c>
      <c r="AF1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399" spans="18:32" x14ac:dyDescent="0.2">
      <c r="R1399" t="s">
        <v>34</v>
      </c>
      <c r="S1399" t="s">
        <v>268</v>
      </c>
      <c r="T1399" t="s">
        <v>443</v>
      </c>
      <c r="U1399" s="21">
        <v>2396.44</v>
      </c>
      <c r="V1399" s="21" t="s">
        <v>368</v>
      </c>
      <c r="W1399" t="str">
        <f>VLOOKUP(Table_Query_from_Actuarial___Production[[#This Row],[Kor1]],$AI$3:$AK$105,3,FALSE)</f>
        <v>Misc. Expense</v>
      </c>
      <c r="X1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399"/>
      <c r="Z1399" t="s">
        <v>47</v>
      </c>
      <c r="AA1399" t="s">
        <v>233</v>
      </c>
      <c r="AB1399" t="s">
        <v>427</v>
      </c>
      <c r="AC1399" s="21">
        <v>4217.96</v>
      </c>
      <c r="AD1399" s="21" t="s">
        <v>368</v>
      </c>
      <c r="AE1399" t="str">
        <f>VLOOKUP(Table_Query_from_Actuarial___Production3[[#This Row],[Kor1]],$AI$3:$AK$105,3,FALSE)</f>
        <v>Investment Income</v>
      </c>
      <c r="AF1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0" spans="18:32" x14ac:dyDescent="0.2">
      <c r="R1400" t="s">
        <v>40</v>
      </c>
      <c r="S1400" t="s">
        <v>252</v>
      </c>
      <c r="T1400" t="s">
        <v>6</v>
      </c>
      <c r="U1400" s="21">
        <v>13.99</v>
      </c>
      <c r="V1400" s="21" t="s">
        <v>368</v>
      </c>
      <c r="W1400" t="str">
        <f>VLOOKUP(Table_Query_from_Actuarial___Production[[#This Row],[Kor1]],$AI$3:$AK$105,3,FALSE)</f>
        <v>Misc. Income</v>
      </c>
      <c r="X1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0"/>
      <c r="Z1400" t="s">
        <v>14</v>
      </c>
      <c r="AA1400" t="s">
        <v>253</v>
      </c>
      <c r="AB1400" t="s">
        <v>351</v>
      </c>
      <c r="AC1400" s="21">
        <v>141.58000000000001</v>
      </c>
      <c r="AD1400" s="21" t="s">
        <v>368</v>
      </c>
      <c r="AE1400" t="str">
        <f>VLOOKUP(Table_Query_from_Actuarial___Production3[[#This Row],[Kor1]],$AI$3:$AK$105,3,FALSE)</f>
        <v>Claims Expense</v>
      </c>
      <c r="AF1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1" spans="18:32" x14ac:dyDescent="0.2">
      <c r="R1401" t="s">
        <v>47</v>
      </c>
      <c r="S1401" t="s">
        <v>233</v>
      </c>
      <c r="T1401" t="s">
        <v>7</v>
      </c>
      <c r="U1401" s="21">
        <v>0.01</v>
      </c>
      <c r="V1401" s="21" t="s">
        <v>368</v>
      </c>
      <c r="W1401" t="str">
        <f>VLOOKUP(Table_Query_from_Actuarial___Production[[#This Row],[Kor1]],$AI$3:$AK$105,3,FALSE)</f>
        <v>Investment Income</v>
      </c>
      <c r="X1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1"/>
      <c r="Z1401" t="s">
        <v>39</v>
      </c>
      <c r="AA1401" t="s">
        <v>235</v>
      </c>
      <c r="AB1401" t="s">
        <v>9</v>
      </c>
      <c r="AC1401" s="21">
        <v>2389</v>
      </c>
      <c r="AD1401" s="21" t="s">
        <v>368</v>
      </c>
      <c r="AE1401" t="str">
        <f>VLOOKUP(Table_Query_from_Actuarial___Production3[[#This Row],[Kor1]],$AI$3:$AK$105,3,FALSE)</f>
        <v>Misc. Income for Insolvent Companies</v>
      </c>
      <c r="AF1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2" spans="18:32" x14ac:dyDescent="0.2">
      <c r="R1402" t="s">
        <v>14</v>
      </c>
      <c r="S1402" t="s">
        <v>254</v>
      </c>
      <c r="T1402" t="s">
        <v>442</v>
      </c>
      <c r="U1402" s="21">
        <v>3975541.58</v>
      </c>
      <c r="V1402" s="21" t="s">
        <v>368</v>
      </c>
      <c r="W1402" t="str">
        <f>VLOOKUP(Table_Query_from_Actuarial___Production[[#This Row],[Kor1]],$AI$3:$AK$105,3,FALSE)</f>
        <v>Claims Expense</v>
      </c>
      <c r="X1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2"/>
      <c r="Z1402" t="s">
        <v>40</v>
      </c>
      <c r="AA1402" t="s">
        <v>268</v>
      </c>
      <c r="AB1402" t="s">
        <v>8</v>
      </c>
      <c r="AC1402" s="21">
        <v>55</v>
      </c>
      <c r="AD1402" s="21" t="s">
        <v>368</v>
      </c>
      <c r="AE1402" t="str">
        <f>VLOOKUP(Table_Query_from_Actuarial___Production3[[#This Row],[Kor1]],$AI$3:$AK$105,3,FALSE)</f>
        <v>Misc. Income</v>
      </c>
      <c r="AF1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3" spans="18:32" x14ac:dyDescent="0.2">
      <c r="R1403" t="s">
        <v>20</v>
      </c>
      <c r="S1403" t="s">
        <v>240</v>
      </c>
      <c r="T1403" t="s">
        <v>427</v>
      </c>
      <c r="U1403" s="21">
        <v>943.51</v>
      </c>
      <c r="V1403" s="21" t="s">
        <v>368</v>
      </c>
      <c r="W1403" t="str">
        <f>VLOOKUP(Table_Query_from_Actuarial___Production[[#This Row],[Kor1]],$AI$3:$AK$105,3,FALSE)</f>
        <v>Misc. Expense</v>
      </c>
      <c r="X1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3"/>
      <c r="Z1403" t="s">
        <v>44</v>
      </c>
      <c r="AA1403" t="s">
        <v>224</v>
      </c>
      <c r="AB1403" t="s">
        <v>356</v>
      </c>
      <c r="AC1403" s="21">
        <v>561.96</v>
      </c>
      <c r="AD1403" s="21" t="s">
        <v>369</v>
      </c>
      <c r="AE1403" t="str">
        <f>VLOOKUP(Table_Query_from_Actuarial___Production3[[#This Row],[Kor1]],$AI$3:$AK$105,3,FALSE)</f>
        <v>Charge-offs</v>
      </c>
      <c r="AF1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404" spans="18:32" x14ac:dyDescent="0.2">
      <c r="R1404" t="s">
        <v>33</v>
      </c>
      <c r="S1404" t="s">
        <v>259</v>
      </c>
      <c r="T1404" t="s">
        <v>9</v>
      </c>
      <c r="U1404" s="21">
        <v>26970.58</v>
      </c>
      <c r="V1404" s="21" t="s">
        <v>368</v>
      </c>
      <c r="W1404" t="str">
        <f>VLOOKUP(Table_Query_from_Actuarial___Production[[#This Row],[Kor1]],$AI$3:$AK$105,3,FALSE)</f>
        <v>Misc. Expense</v>
      </c>
      <c r="X1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4"/>
      <c r="Z1404" t="s">
        <v>12</v>
      </c>
      <c r="AA1404" t="s">
        <v>236</v>
      </c>
      <c r="AB1404" t="s">
        <v>7</v>
      </c>
      <c r="AC1404" s="21">
        <v>472.96</v>
      </c>
      <c r="AD1404" s="21" t="s">
        <v>368</v>
      </c>
      <c r="AE1404" t="str">
        <f>VLOOKUP(Table_Query_from_Actuarial___Production3[[#This Row],[Kor1]],$AI$3:$AK$105,3,FALSE)</f>
        <v>Premium Tax</v>
      </c>
      <c r="AF1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5" spans="18:32" x14ac:dyDescent="0.2">
      <c r="R1405" t="s">
        <v>34</v>
      </c>
      <c r="S1405" t="s">
        <v>252</v>
      </c>
      <c r="T1405" t="s">
        <v>9</v>
      </c>
      <c r="U1405" s="21">
        <v>461.39</v>
      </c>
      <c r="V1405" s="21" t="s">
        <v>368</v>
      </c>
      <c r="W1405" t="str">
        <f>VLOOKUP(Table_Query_from_Actuarial___Production[[#This Row],[Kor1]],$AI$3:$AK$105,3,FALSE)</f>
        <v>Misc. Expense</v>
      </c>
      <c r="X1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5"/>
      <c r="Z1405" t="s">
        <v>3</v>
      </c>
      <c r="AA1405" t="s">
        <v>243</v>
      </c>
      <c r="AB1405" t="s">
        <v>351</v>
      </c>
      <c r="AC1405" s="21">
        <v>366227</v>
      </c>
      <c r="AD1405" s="21" t="s">
        <v>368</v>
      </c>
      <c r="AE1405" t="str">
        <f>VLOOKUP(Table_Query_from_Actuarial___Production3[[#This Row],[Kor1]],$AI$3:$AK$105,3,FALSE)</f>
        <v>Premiums Written</v>
      </c>
      <c r="AF1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6" spans="18:32" x14ac:dyDescent="0.2">
      <c r="R1406" t="s">
        <v>37</v>
      </c>
      <c r="S1406" t="s">
        <v>235</v>
      </c>
      <c r="T1406" t="s">
        <v>8</v>
      </c>
      <c r="U1406" s="21">
        <v>394.49</v>
      </c>
      <c r="V1406" s="21" t="s">
        <v>368</v>
      </c>
      <c r="W1406" t="str">
        <f>VLOOKUP(Table_Query_from_Actuarial___Production[[#This Row],[Kor1]],$AI$3:$AK$105,3,FALSE)</f>
        <v>Misc. Expense</v>
      </c>
      <c r="X1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6"/>
      <c r="Z1406" t="s">
        <v>34</v>
      </c>
      <c r="AA1406" t="s">
        <v>266</v>
      </c>
      <c r="AB1406" t="s">
        <v>9</v>
      </c>
      <c r="AC1406" s="21">
        <v>3.42</v>
      </c>
      <c r="AD1406" s="21" t="s">
        <v>368</v>
      </c>
      <c r="AE1406" t="str">
        <f>VLOOKUP(Table_Query_from_Actuarial___Production3[[#This Row],[Kor1]],$AI$3:$AK$105,3,FALSE)</f>
        <v>Misc. Expense</v>
      </c>
      <c r="AF1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7" spans="18:32" x14ac:dyDescent="0.2">
      <c r="R1407" t="s">
        <v>47</v>
      </c>
      <c r="S1407" t="s">
        <v>4</v>
      </c>
      <c r="T1407" t="s">
        <v>445</v>
      </c>
      <c r="U1407" s="21">
        <v>273484.95</v>
      </c>
      <c r="V1407" s="21" t="s">
        <v>368</v>
      </c>
      <c r="W1407" t="str">
        <f>VLOOKUP(Table_Query_from_Actuarial___Production[[#This Row],[Kor1]],$AI$3:$AK$105,3,FALSE)</f>
        <v>Investment Income</v>
      </c>
      <c r="X1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7"/>
      <c r="Z1407" t="s">
        <v>39</v>
      </c>
      <c r="AA1407" t="s">
        <v>261</v>
      </c>
      <c r="AB1407" t="s">
        <v>433</v>
      </c>
      <c r="AC1407" s="21">
        <v>674</v>
      </c>
      <c r="AD1407" s="21" t="s">
        <v>368</v>
      </c>
      <c r="AE1407" t="str">
        <f>VLOOKUP(Table_Query_from_Actuarial___Production3[[#This Row],[Kor1]],$AI$3:$AK$105,3,FALSE)</f>
        <v>Misc. Income for Insolvent Companies</v>
      </c>
      <c r="AF1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8" spans="18:32" x14ac:dyDescent="0.2">
      <c r="R1408" t="s">
        <v>14</v>
      </c>
      <c r="S1408" t="s">
        <v>226</v>
      </c>
      <c r="T1408" t="s">
        <v>442</v>
      </c>
      <c r="U1408" s="21">
        <v>348595.12</v>
      </c>
      <c r="V1408" s="21" t="s">
        <v>368</v>
      </c>
      <c r="W1408" t="str">
        <f>VLOOKUP(Table_Query_from_Actuarial___Production[[#This Row],[Kor1]],$AI$3:$AK$105,3,FALSE)</f>
        <v>Claims Expense</v>
      </c>
      <c r="X1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408"/>
      <c r="Z1408" t="s">
        <v>10</v>
      </c>
      <c r="AA1408" t="s">
        <v>236</v>
      </c>
      <c r="AB1408" t="s">
        <v>7</v>
      </c>
      <c r="AC1408" s="21">
        <v>2364.8000000000002</v>
      </c>
      <c r="AD1408" s="21" t="s">
        <v>368</v>
      </c>
      <c r="AE1408" t="str">
        <f>VLOOKUP(Table_Query_from_Actuarial___Production3[[#This Row],[Kor1]],$AI$3:$AK$105,3,FALSE)</f>
        <v>Commissions</v>
      </c>
      <c r="AF1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09" spans="18:32" x14ac:dyDescent="0.2">
      <c r="R1409" t="s">
        <v>11</v>
      </c>
      <c r="S1409" t="s">
        <v>231</v>
      </c>
      <c r="T1409" t="s">
        <v>441</v>
      </c>
      <c r="U1409" s="21">
        <v>1220969.8799999999</v>
      </c>
      <c r="V1409" s="21" t="s">
        <v>368</v>
      </c>
      <c r="W1409" t="str">
        <f>VLOOKUP(Table_Query_from_Actuarial___Production[[#This Row],[Kor1]],$AI$3:$AK$105,3,FALSE)</f>
        <v>Losses Paid</v>
      </c>
      <c r="X1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09"/>
      <c r="Z1409" t="s">
        <v>12</v>
      </c>
      <c r="AA1409" t="s">
        <v>230</v>
      </c>
      <c r="AB1409" t="s">
        <v>427</v>
      </c>
      <c r="AC1409" s="21">
        <v>524376.02</v>
      </c>
      <c r="AD1409" s="21" t="s">
        <v>368</v>
      </c>
      <c r="AE1409" t="str">
        <f>VLOOKUP(Table_Query_from_Actuarial___Production3[[#This Row],[Kor1]],$AI$3:$AK$105,3,FALSE)</f>
        <v>Premium Tax</v>
      </c>
      <c r="AF1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0" spans="18:32" x14ac:dyDescent="0.2">
      <c r="R1410" t="s">
        <v>17</v>
      </c>
      <c r="S1410" t="s">
        <v>257</v>
      </c>
      <c r="T1410" t="s">
        <v>442</v>
      </c>
      <c r="U1410" s="21">
        <v>618876</v>
      </c>
      <c r="V1410" s="21" t="s">
        <v>368</v>
      </c>
      <c r="W1410" t="str">
        <f>VLOOKUP(Table_Query_from_Actuarial___Production[[#This Row],[Kor1]],$AI$3:$AK$105,3,FALSE)</f>
        <v>IBNR</v>
      </c>
      <c r="X1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0"/>
      <c r="Z1410" t="s">
        <v>16</v>
      </c>
      <c r="AA1410" t="s">
        <v>263</v>
      </c>
      <c r="AB1410" t="s">
        <v>427</v>
      </c>
      <c r="AC1410" s="21">
        <v>-6707</v>
      </c>
      <c r="AD1410" s="21" t="s">
        <v>368</v>
      </c>
      <c r="AE1410" t="str">
        <f>VLOOKUP(Table_Query_from_Actuarial___Production3[[#This Row],[Kor1]],$AI$3:$AK$105,3,FALSE)</f>
        <v>Losses Outstanding</v>
      </c>
      <c r="AF1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1" spans="18:32" x14ac:dyDescent="0.2">
      <c r="R1411" t="s">
        <v>37</v>
      </c>
      <c r="S1411" t="s">
        <v>238</v>
      </c>
      <c r="T1411" t="s">
        <v>427</v>
      </c>
      <c r="U1411" s="21">
        <v>-422.23</v>
      </c>
      <c r="V1411" s="21" t="s">
        <v>368</v>
      </c>
      <c r="W1411" t="str">
        <f>VLOOKUP(Table_Query_from_Actuarial___Production[[#This Row],[Kor1]],$AI$3:$AK$105,3,FALSE)</f>
        <v>Misc. Expense</v>
      </c>
      <c r="X1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1"/>
      <c r="Z1411" t="s">
        <v>20</v>
      </c>
      <c r="AA1411" t="s">
        <v>235</v>
      </c>
      <c r="AB1411" t="s">
        <v>351</v>
      </c>
      <c r="AC1411" s="21">
        <v>328.12</v>
      </c>
      <c r="AD1411" s="21" t="s">
        <v>368</v>
      </c>
      <c r="AE1411" t="str">
        <f>VLOOKUP(Table_Query_from_Actuarial___Production3[[#This Row],[Kor1]],$AI$3:$AK$105,3,FALSE)</f>
        <v>Misc. Expense</v>
      </c>
      <c r="AF1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2" spans="18:32" x14ac:dyDescent="0.2">
      <c r="R1412" t="s">
        <v>48</v>
      </c>
      <c r="S1412" t="s">
        <v>354</v>
      </c>
      <c r="T1412" t="s">
        <v>356</v>
      </c>
      <c r="U1412" s="21">
        <v>298275.23</v>
      </c>
      <c r="V1412" s="21" t="s">
        <v>369</v>
      </c>
      <c r="W1412" t="str">
        <f>VLOOKUP(Table_Query_from_Actuarial___Production[[#This Row],[Kor1]],$AI$3:$AK$105,3,FALSE)</f>
        <v>Anticipated Salvage</v>
      </c>
      <c r="X1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412"/>
      <c r="Z1412" t="s">
        <v>21</v>
      </c>
      <c r="AA1412" t="s">
        <v>257</v>
      </c>
      <c r="AB1412" t="s">
        <v>427</v>
      </c>
      <c r="AC1412" s="21">
        <v>2898.98</v>
      </c>
      <c r="AD1412" s="21" t="s">
        <v>368</v>
      </c>
      <c r="AE1412" t="str">
        <f>VLOOKUP(Table_Query_from_Actuarial___Production3[[#This Row],[Kor1]],$AI$3:$AK$105,3,FALSE)</f>
        <v>Misc. Expense</v>
      </c>
      <c r="AF1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3" spans="18:32" x14ac:dyDescent="0.2">
      <c r="R1413" t="s">
        <v>37</v>
      </c>
      <c r="S1413" t="s">
        <v>257</v>
      </c>
      <c r="T1413" t="s">
        <v>441</v>
      </c>
      <c r="U1413" s="21">
        <v>13984.16</v>
      </c>
      <c r="V1413" s="21" t="s">
        <v>368</v>
      </c>
      <c r="W1413" t="str">
        <f>VLOOKUP(Table_Query_from_Actuarial___Production[[#This Row],[Kor1]],$AI$3:$AK$105,3,FALSE)</f>
        <v>Misc. Expense</v>
      </c>
      <c r="X1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3"/>
      <c r="Z1413" t="s">
        <v>16</v>
      </c>
      <c r="AA1413" t="s">
        <v>4</v>
      </c>
      <c r="AB1413" t="s">
        <v>6</v>
      </c>
      <c r="AC1413" s="21">
        <v>237010.69</v>
      </c>
      <c r="AD1413" s="21" t="s">
        <v>368</v>
      </c>
      <c r="AE1413" t="str">
        <f>VLOOKUP(Table_Query_from_Actuarial___Production3[[#This Row],[Kor1]],$AI$3:$AK$105,3,FALSE)</f>
        <v>Losses Outstanding</v>
      </c>
      <c r="AF1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4" spans="18:32" x14ac:dyDescent="0.2">
      <c r="R1414" t="s">
        <v>39</v>
      </c>
      <c r="S1414" t="s">
        <v>235</v>
      </c>
      <c r="T1414" t="s">
        <v>356</v>
      </c>
      <c r="U1414" s="21">
        <v>78</v>
      </c>
      <c r="V1414" s="21" t="s">
        <v>368</v>
      </c>
      <c r="W1414" t="str">
        <f>VLOOKUP(Table_Query_from_Actuarial___Production[[#This Row],[Kor1]],$AI$3:$AK$105,3,FALSE)</f>
        <v>Misc. Income for Insolvent Companies</v>
      </c>
      <c r="X1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4"/>
      <c r="Z1414" t="s">
        <v>39</v>
      </c>
      <c r="AA1414" t="s">
        <v>263</v>
      </c>
      <c r="AB1414" t="s">
        <v>351</v>
      </c>
      <c r="AC1414" s="21">
        <v>1383</v>
      </c>
      <c r="AD1414" s="21" t="s">
        <v>368</v>
      </c>
      <c r="AE1414" t="str">
        <f>VLOOKUP(Table_Query_from_Actuarial___Production3[[#This Row],[Kor1]],$AI$3:$AK$105,3,FALSE)</f>
        <v>Misc. Income for Insolvent Companies</v>
      </c>
      <c r="AF1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5" spans="18:32" x14ac:dyDescent="0.2">
      <c r="R1415" t="s">
        <v>39</v>
      </c>
      <c r="S1415" t="s">
        <v>230</v>
      </c>
      <c r="T1415" t="s">
        <v>356</v>
      </c>
      <c r="U1415" s="21">
        <v>11302</v>
      </c>
      <c r="V1415" s="21" t="s">
        <v>368</v>
      </c>
      <c r="W1415" t="str">
        <f>VLOOKUP(Table_Query_from_Actuarial___Production[[#This Row],[Kor1]],$AI$3:$AK$105,3,FALSE)</f>
        <v>Misc. Income for Insolvent Companies</v>
      </c>
      <c r="X1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5"/>
      <c r="Z1415" t="s">
        <v>38</v>
      </c>
      <c r="AA1415" t="s">
        <v>225</v>
      </c>
      <c r="AB1415" t="s">
        <v>351</v>
      </c>
      <c r="AC1415" s="21">
        <v>592295.4</v>
      </c>
      <c r="AD1415" s="21" t="s">
        <v>368</v>
      </c>
      <c r="AE1415" t="str">
        <f>VLOOKUP(Table_Query_from_Actuarial___Production3[[#This Row],[Kor1]],$AI$3:$AK$105,3,FALSE)</f>
        <v>Misc. Income</v>
      </c>
      <c r="AF1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416" spans="18:32" x14ac:dyDescent="0.2">
      <c r="R1416" t="s">
        <v>44</v>
      </c>
      <c r="S1416" t="s">
        <v>240</v>
      </c>
      <c r="T1416" t="s">
        <v>442</v>
      </c>
      <c r="U1416" s="21">
        <v>115439.33</v>
      </c>
      <c r="V1416" s="21" t="s">
        <v>368</v>
      </c>
      <c r="W1416" t="str">
        <f>VLOOKUP(Table_Query_from_Actuarial___Production[[#This Row],[Kor1]],$AI$3:$AK$105,3,FALSE)</f>
        <v>Charge-offs</v>
      </c>
      <c r="X1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6"/>
      <c r="Z1416" t="s">
        <v>41</v>
      </c>
      <c r="AA1416" t="s">
        <v>251</v>
      </c>
      <c r="AB1416" t="s">
        <v>6</v>
      </c>
      <c r="AC1416" s="21">
        <v>50</v>
      </c>
      <c r="AD1416" s="21" t="s">
        <v>368</v>
      </c>
      <c r="AE1416" t="str">
        <f>VLOOKUP(Table_Query_from_Actuarial___Production3[[#This Row],[Kor1]],$AI$3:$AK$105,3,FALSE)</f>
        <v>Misc. Income</v>
      </c>
      <c r="AF1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17" spans="18:32" x14ac:dyDescent="0.2">
      <c r="R1417" t="s">
        <v>3</v>
      </c>
      <c r="S1417" t="s">
        <v>224</v>
      </c>
      <c r="T1417" t="s">
        <v>445</v>
      </c>
      <c r="U1417" s="21">
        <v>71090</v>
      </c>
      <c r="V1417" s="21" t="s">
        <v>369</v>
      </c>
      <c r="W1417" t="str">
        <f>VLOOKUP(Table_Query_from_Actuarial___Production[[#This Row],[Kor1]],$AI$3:$AK$105,3,FALSE)</f>
        <v>Premiums Written</v>
      </c>
      <c r="X1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417"/>
      <c r="Z1417" t="s">
        <v>14</v>
      </c>
      <c r="AA1417" t="s">
        <v>354</v>
      </c>
      <c r="AB1417" t="s">
        <v>427</v>
      </c>
      <c r="AC1417" s="21">
        <v>127974689.20999999</v>
      </c>
      <c r="AD1417" s="21" t="s">
        <v>369</v>
      </c>
      <c r="AE1417" t="str">
        <f>VLOOKUP(Table_Query_from_Actuarial___Production3[[#This Row],[Kor1]],$AI$3:$AK$105,3,FALSE)</f>
        <v>Claims Expense</v>
      </c>
      <c r="AF1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418" spans="18:32" x14ac:dyDescent="0.2">
      <c r="R1418" t="s">
        <v>14</v>
      </c>
      <c r="S1418" t="s">
        <v>261</v>
      </c>
      <c r="T1418" t="s">
        <v>7</v>
      </c>
      <c r="U1418" s="21">
        <v>92481.74</v>
      </c>
      <c r="V1418" s="21" t="s">
        <v>368</v>
      </c>
      <c r="W1418" t="str">
        <f>VLOOKUP(Table_Query_from_Actuarial___Production[[#This Row],[Kor1]],$AI$3:$AK$105,3,FALSE)</f>
        <v>Claims Expense</v>
      </c>
      <c r="X1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8"/>
      <c r="Z1418" t="s">
        <v>3</v>
      </c>
      <c r="AA1418" t="s">
        <v>224</v>
      </c>
      <c r="AB1418" t="s">
        <v>9</v>
      </c>
      <c r="AC1418" s="21">
        <v>2388777.02</v>
      </c>
      <c r="AD1418" s="21" t="s">
        <v>370</v>
      </c>
      <c r="AE1418" t="str">
        <f>VLOOKUP(Table_Query_from_Actuarial___Production3[[#This Row],[Kor1]],$AI$3:$AK$105,3,FALSE)</f>
        <v>Premiums Written</v>
      </c>
      <c r="AF1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419" spans="18:32" x14ac:dyDescent="0.2">
      <c r="R1419" t="s">
        <v>37</v>
      </c>
      <c r="S1419" t="s">
        <v>258</v>
      </c>
      <c r="T1419" t="s">
        <v>433</v>
      </c>
      <c r="U1419" s="21">
        <v>2195.27</v>
      </c>
      <c r="V1419" s="21" t="s">
        <v>368</v>
      </c>
      <c r="W1419" t="str">
        <f>VLOOKUP(Table_Query_from_Actuarial___Production[[#This Row],[Kor1]],$AI$3:$AK$105,3,FALSE)</f>
        <v>Misc. Expense</v>
      </c>
      <c r="X1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19"/>
      <c r="Z1419" t="s">
        <v>21</v>
      </c>
      <c r="AA1419" t="s">
        <v>268</v>
      </c>
      <c r="AB1419" t="s">
        <v>442</v>
      </c>
      <c r="AC1419" s="21">
        <v>805.02</v>
      </c>
      <c r="AD1419" s="21" t="s">
        <v>368</v>
      </c>
      <c r="AE1419" t="str">
        <f>VLOOKUP(Table_Query_from_Actuarial___Production3[[#This Row],[Kor1]],$AI$3:$AK$105,3,FALSE)</f>
        <v>Misc. Expense</v>
      </c>
      <c r="AF1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0" spans="18:32" x14ac:dyDescent="0.2">
      <c r="R1420" t="s">
        <v>18</v>
      </c>
      <c r="S1420" t="s">
        <v>225</v>
      </c>
      <c r="T1420" t="s">
        <v>351</v>
      </c>
      <c r="U1420" s="21">
        <v>897529</v>
      </c>
      <c r="V1420" s="21" t="s">
        <v>369</v>
      </c>
      <c r="W1420" t="str">
        <f>VLOOKUP(Table_Query_from_Actuarial___Production[[#This Row],[Kor1]],$AI$3:$AK$105,3,FALSE)</f>
        <v>Misc. Expense</v>
      </c>
      <c r="X1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420"/>
      <c r="Z1420" t="s">
        <v>167</v>
      </c>
      <c r="AA1420" t="s">
        <v>354</v>
      </c>
      <c r="AB1420" t="s">
        <v>427</v>
      </c>
      <c r="AC1420" s="21">
        <v>21638758</v>
      </c>
      <c r="AD1420" s="21" t="s">
        <v>369</v>
      </c>
      <c r="AE1420" t="str">
        <f>VLOOKUP(Table_Query_from_Actuarial___Production3[[#This Row],[Kor1]],$AI$3:$AK$105,3,FALSE)</f>
        <v>Recoupment</v>
      </c>
      <c r="AF1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421" spans="18:32" x14ac:dyDescent="0.2">
      <c r="R1421" t="s">
        <v>13</v>
      </c>
      <c r="S1421" t="s">
        <v>232</v>
      </c>
      <c r="T1421" t="s">
        <v>445</v>
      </c>
      <c r="U1421" s="21">
        <v>242219.63</v>
      </c>
      <c r="V1421" s="21" t="s">
        <v>368</v>
      </c>
      <c r="W1421" t="str">
        <f>VLOOKUP(Table_Query_from_Actuarial___Production[[#This Row],[Kor1]],$AI$3:$AK$105,3,FALSE)</f>
        <v>Operating Service Fees</v>
      </c>
      <c r="X1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1"/>
      <c r="Z1421" t="s">
        <v>18</v>
      </c>
      <c r="AA1421" t="s">
        <v>224</v>
      </c>
      <c r="AB1421" t="s">
        <v>5</v>
      </c>
      <c r="AC1421" s="21">
        <v>60619.44</v>
      </c>
      <c r="AD1421" s="21" t="s">
        <v>368</v>
      </c>
      <c r="AE1421" t="str">
        <f>VLOOKUP(Table_Query_from_Actuarial___Production3[[#This Row],[Kor1]],$AI$3:$AK$105,3,FALSE)</f>
        <v>Misc. Expense</v>
      </c>
      <c r="AF1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422" spans="18:32" x14ac:dyDescent="0.2">
      <c r="R1422" t="s">
        <v>50</v>
      </c>
      <c r="S1422" t="s">
        <v>260</v>
      </c>
      <c r="T1422" t="s">
        <v>433</v>
      </c>
      <c r="U1422" s="21">
        <v>39.729999999999997</v>
      </c>
      <c r="V1422" s="21" t="s">
        <v>368</v>
      </c>
      <c r="W1422" t="str">
        <f>VLOOKUP(Table_Query_from_Actuarial___Production[[#This Row],[Kor1]],$AI$3:$AK$105,3,FALSE)</f>
        <v>ALAE Reserve</v>
      </c>
      <c r="X1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2"/>
      <c r="Z1422" t="s">
        <v>40</v>
      </c>
      <c r="AA1422" t="s">
        <v>229</v>
      </c>
      <c r="AB1422" t="s">
        <v>6</v>
      </c>
      <c r="AC1422" s="21">
        <v>3</v>
      </c>
      <c r="AD1422" s="21" t="s">
        <v>368</v>
      </c>
      <c r="AE1422" t="str">
        <f>VLOOKUP(Table_Query_from_Actuarial___Production3[[#This Row],[Kor1]],$AI$3:$AK$105,3,FALSE)</f>
        <v>Misc. Income</v>
      </c>
      <c r="AF1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3" spans="18:32" x14ac:dyDescent="0.2">
      <c r="R1423" t="s">
        <v>13</v>
      </c>
      <c r="S1423" t="s">
        <v>252</v>
      </c>
      <c r="T1423" t="s">
        <v>8</v>
      </c>
      <c r="U1423" s="21">
        <v>2678430.86</v>
      </c>
      <c r="V1423" s="21" t="s">
        <v>368</v>
      </c>
      <c r="W1423" t="str">
        <f>VLOOKUP(Table_Query_from_Actuarial___Production[[#This Row],[Kor1]],$AI$3:$AK$105,3,FALSE)</f>
        <v>Operating Service Fees</v>
      </c>
      <c r="X1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3"/>
      <c r="Z1423" t="s">
        <v>10</v>
      </c>
      <c r="AA1423" t="s">
        <v>231</v>
      </c>
      <c r="AB1423" t="s">
        <v>6</v>
      </c>
      <c r="AC1423" s="21">
        <v>5549.8</v>
      </c>
      <c r="AD1423" s="21" t="s">
        <v>368</v>
      </c>
      <c r="AE1423" t="str">
        <f>VLOOKUP(Table_Query_from_Actuarial___Production3[[#This Row],[Kor1]],$AI$3:$AK$105,3,FALSE)</f>
        <v>Commissions</v>
      </c>
      <c r="AF1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4" spans="18:32" x14ac:dyDescent="0.2">
      <c r="R1424" t="s">
        <v>14</v>
      </c>
      <c r="S1424" t="s">
        <v>262</v>
      </c>
      <c r="T1424" t="s">
        <v>6</v>
      </c>
      <c r="U1424" s="21">
        <v>17424.45</v>
      </c>
      <c r="V1424" s="21" t="s">
        <v>368</v>
      </c>
      <c r="W1424" t="str">
        <f>VLOOKUP(Table_Query_from_Actuarial___Production[[#This Row],[Kor1]],$AI$3:$AK$105,3,FALSE)</f>
        <v>Claims Expense</v>
      </c>
      <c r="X1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4"/>
      <c r="Z1424" t="s">
        <v>15</v>
      </c>
      <c r="AA1424" t="s">
        <v>224</v>
      </c>
      <c r="AB1424" t="s">
        <v>443</v>
      </c>
      <c r="AC1424" s="21">
        <v>366832.29</v>
      </c>
      <c r="AD1424" s="21" t="s">
        <v>370</v>
      </c>
      <c r="AE1424" t="str">
        <f>VLOOKUP(Table_Query_from_Actuarial___Production3[[#This Row],[Kor1]],$AI$3:$AK$105,3,FALSE)</f>
        <v>Unearned Premiums</v>
      </c>
      <c r="AF1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425" spans="18:32" x14ac:dyDescent="0.2">
      <c r="R1425" t="s">
        <v>34</v>
      </c>
      <c r="S1425" t="s">
        <v>250</v>
      </c>
      <c r="T1425" t="s">
        <v>8</v>
      </c>
      <c r="U1425" s="21">
        <v>23.7</v>
      </c>
      <c r="V1425" s="21" t="s">
        <v>368</v>
      </c>
      <c r="W1425" t="str">
        <f>VLOOKUP(Table_Query_from_Actuarial___Production[[#This Row],[Kor1]],$AI$3:$AK$105,3,FALSE)</f>
        <v>Misc. Expense</v>
      </c>
      <c r="X1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5"/>
      <c r="Z1425" t="s">
        <v>40</v>
      </c>
      <c r="AA1425" t="s">
        <v>258</v>
      </c>
      <c r="AB1425" t="s">
        <v>6</v>
      </c>
      <c r="AC1425" s="21">
        <v>284.45</v>
      </c>
      <c r="AD1425" s="21" t="s">
        <v>368</v>
      </c>
      <c r="AE1425" t="str">
        <f>VLOOKUP(Table_Query_from_Actuarial___Production3[[#This Row],[Kor1]],$AI$3:$AK$105,3,FALSE)</f>
        <v>Misc. Income</v>
      </c>
      <c r="AF1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6" spans="18:32" x14ac:dyDescent="0.2">
      <c r="R1426" t="s">
        <v>14</v>
      </c>
      <c r="S1426" t="s">
        <v>265</v>
      </c>
      <c r="T1426" t="s">
        <v>7</v>
      </c>
      <c r="U1426" s="21">
        <v>23723.49</v>
      </c>
      <c r="V1426" s="21" t="s">
        <v>368</v>
      </c>
      <c r="W1426" t="str">
        <f>VLOOKUP(Table_Query_from_Actuarial___Production[[#This Row],[Kor1]],$AI$3:$AK$105,3,FALSE)</f>
        <v>Claims Expense</v>
      </c>
      <c r="X1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6"/>
      <c r="Z1426" t="s">
        <v>48</v>
      </c>
      <c r="AA1426" t="s">
        <v>354</v>
      </c>
      <c r="AB1426" t="s">
        <v>433</v>
      </c>
      <c r="AC1426" s="21">
        <v>129006.9</v>
      </c>
      <c r="AD1426" s="21" t="s">
        <v>368</v>
      </c>
      <c r="AE1426" t="str">
        <f>VLOOKUP(Table_Query_from_Actuarial___Production3[[#This Row],[Kor1]],$AI$3:$AK$105,3,FALSE)</f>
        <v>Anticipated Salvage</v>
      </c>
      <c r="AF1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427" spans="18:32" x14ac:dyDescent="0.2">
      <c r="R1427" t="s">
        <v>20</v>
      </c>
      <c r="S1427" t="s">
        <v>4</v>
      </c>
      <c r="T1427" t="s">
        <v>442</v>
      </c>
      <c r="U1427" s="21">
        <v>3388.3</v>
      </c>
      <c r="V1427" s="21" t="s">
        <v>368</v>
      </c>
      <c r="W1427" t="str">
        <f>VLOOKUP(Table_Query_from_Actuarial___Production[[#This Row],[Kor1]],$AI$3:$AK$105,3,FALSE)</f>
        <v>Misc. Expense</v>
      </c>
      <c r="X1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7"/>
      <c r="Z1427" t="s">
        <v>3</v>
      </c>
      <c r="AA1427" t="s">
        <v>354</v>
      </c>
      <c r="AB1427" t="s">
        <v>7</v>
      </c>
      <c r="AC1427" s="21">
        <v>798974673.01999998</v>
      </c>
      <c r="AD1427" s="21" t="s">
        <v>369</v>
      </c>
      <c r="AE1427" t="str">
        <f>VLOOKUP(Table_Query_from_Actuarial___Production3[[#This Row],[Kor1]],$AI$3:$AK$105,3,FALSE)</f>
        <v>Premiums Written</v>
      </c>
      <c r="AF1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428" spans="18:32" x14ac:dyDescent="0.2">
      <c r="R1428" t="s">
        <v>34</v>
      </c>
      <c r="S1428" t="s">
        <v>248</v>
      </c>
      <c r="T1428" t="s">
        <v>442</v>
      </c>
      <c r="U1428" s="21">
        <v>8024.68</v>
      </c>
      <c r="V1428" s="21" t="s">
        <v>368</v>
      </c>
      <c r="W1428" t="str">
        <f>VLOOKUP(Table_Query_from_Actuarial___Production[[#This Row],[Kor1]],$AI$3:$AK$105,3,FALSE)</f>
        <v>Misc. Expense</v>
      </c>
      <c r="X1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8"/>
      <c r="Z1428" t="s">
        <v>31</v>
      </c>
      <c r="AA1428" t="s">
        <v>240</v>
      </c>
      <c r="AB1428" t="s">
        <v>443</v>
      </c>
      <c r="AC1428" s="21">
        <v>1062.4100000000001</v>
      </c>
      <c r="AD1428" s="21" t="s">
        <v>368</v>
      </c>
      <c r="AE1428" t="str">
        <f>VLOOKUP(Table_Query_from_Actuarial___Production3[[#This Row],[Kor1]],$AI$3:$AK$105,3,FALSE)</f>
        <v>Misc. Expense</v>
      </c>
      <c r="AF1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29" spans="18:32" x14ac:dyDescent="0.2">
      <c r="R1429" t="s">
        <v>17</v>
      </c>
      <c r="S1429" t="s">
        <v>268</v>
      </c>
      <c r="T1429" t="s">
        <v>443</v>
      </c>
      <c r="U1429" s="21">
        <v>1170.07</v>
      </c>
      <c r="V1429" s="21" t="s">
        <v>368</v>
      </c>
      <c r="W1429" t="str">
        <f>VLOOKUP(Table_Query_from_Actuarial___Production[[#This Row],[Kor1]],$AI$3:$AK$105,3,FALSE)</f>
        <v>IBNR</v>
      </c>
      <c r="X1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29"/>
      <c r="Z1429" t="s">
        <v>39</v>
      </c>
      <c r="AA1429" t="s">
        <v>263</v>
      </c>
      <c r="AB1429" t="s">
        <v>7</v>
      </c>
      <c r="AC1429" s="21">
        <v>568</v>
      </c>
      <c r="AD1429" s="21" t="s">
        <v>368</v>
      </c>
      <c r="AE1429" t="str">
        <f>VLOOKUP(Table_Query_from_Actuarial___Production3[[#This Row],[Kor1]],$AI$3:$AK$105,3,FALSE)</f>
        <v>Misc. Income for Insolvent Companies</v>
      </c>
      <c r="AF1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0" spans="18:32" x14ac:dyDescent="0.2">
      <c r="R1430" t="s">
        <v>20</v>
      </c>
      <c r="S1430" t="s">
        <v>264</v>
      </c>
      <c r="T1430" t="s">
        <v>442</v>
      </c>
      <c r="U1430" s="21">
        <v>427.82</v>
      </c>
      <c r="V1430" s="21" t="s">
        <v>368</v>
      </c>
      <c r="W1430" t="str">
        <f>VLOOKUP(Table_Query_from_Actuarial___Production[[#This Row],[Kor1]],$AI$3:$AK$105,3,FALSE)</f>
        <v>Misc. Expense</v>
      </c>
      <c r="X1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0"/>
      <c r="Z1430" t="s">
        <v>34</v>
      </c>
      <c r="AA1430" t="s">
        <v>268</v>
      </c>
      <c r="AB1430" t="s">
        <v>443</v>
      </c>
      <c r="AC1430" s="21">
        <v>177.52</v>
      </c>
      <c r="AD1430" s="21" t="s">
        <v>368</v>
      </c>
      <c r="AE1430" t="str">
        <f>VLOOKUP(Table_Query_from_Actuarial___Production3[[#This Row],[Kor1]],$AI$3:$AK$105,3,FALSE)</f>
        <v>Misc. Expense</v>
      </c>
      <c r="AF1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1" spans="18:32" x14ac:dyDescent="0.2">
      <c r="R1431" t="s">
        <v>41</v>
      </c>
      <c r="S1431" t="s">
        <v>252</v>
      </c>
      <c r="T1431" t="s">
        <v>433</v>
      </c>
      <c r="U1431" s="21">
        <v>1771.58</v>
      </c>
      <c r="V1431" s="21" t="s">
        <v>368</v>
      </c>
      <c r="W1431" t="str">
        <f>VLOOKUP(Table_Query_from_Actuarial___Production[[#This Row],[Kor1]],$AI$3:$AK$105,3,FALSE)</f>
        <v>Misc. Income</v>
      </c>
      <c r="X1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1"/>
      <c r="Z1431" t="s">
        <v>40</v>
      </c>
      <c r="AA1431" t="s">
        <v>252</v>
      </c>
      <c r="AB1431" t="s">
        <v>6</v>
      </c>
      <c r="AC1431" s="21">
        <v>13.99</v>
      </c>
      <c r="AD1431" s="21" t="s">
        <v>368</v>
      </c>
      <c r="AE1431" t="str">
        <f>VLOOKUP(Table_Query_from_Actuarial___Production3[[#This Row],[Kor1]],$AI$3:$AK$105,3,FALSE)</f>
        <v>Misc. Income</v>
      </c>
      <c r="AF1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2" spans="18:32" x14ac:dyDescent="0.2">
      <c r="R1432" t="s">
        <v>439</v>
      </c>
      <c r="S1432" t="s">
        <v>245</v>
      </c>
      <c r="T1432" t="s">
        <v>433</v>
      </c>
      <c r="U1432" s="21">
        <v>39</v>
      </c>
      <c r="V1432" s="21" t="s">
        <v>368</v>
      </c>
      <c r="W1432" t="str">
        <f>VLOOKUP(Table_Query_from_Actuarial___Production[[#This Row],[Kor1]],$AI$3:$AK$105,3,FALSE)</f>
        <v>Operating Service Fees</v>
      </c>
      <c r="X1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2"/>
      <c r="Z1432" t="s">
        <v>47</v>
      </c>
      <c r="AA1432" t="s">
        <v>233</v>
      </c>
      <c r="AB1432" t="s">
        <v>7</v>
      </c>
      <c r="AC1432" s="21">
        <v>0.01</v>
      </c>
      <c r="AD1432" s="21" t="s">
        <v>368</v>
      </c>
      <c r="AE1432" t="str">
        <f>VLOOKUP(Table_Query_from_Actuarial___Production3[[#This Row],[Kor1]],$AI$3:$AK$105,3,FALSE)</f>
        <v>Investment Income</v>
      </c>
      <c r="AF1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3" spans="18:32" x14ac:dyDescent="0.2">
      <c r="R1433" t="s">
        <v>10</v>
      </c>
      <c r="S1433" t="s">
        <v>245</v>
      </c>
      <c r="T1433" t="s">
        <v>442</v>
      </c>
      <c r="U1433" s="21">
        <v>972.7</v>
      </c>
      <c r="V1433" s="21" t="s">
        <v>368</v>
      </c>
      <c r="W1433" t="str">
        <f>VLOOKUP(Table_Query_from_Actuarial___Production[[#This Row],[Kor1]],$AI$3:$AK$105,3,FALSE)</f>
        <v>Commissions</v>
      </c>
      <c r="X1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3"/>
      <c r="Z1433" t="s">
        <v>14</v>
      </c>
      <c r="AA1433" t="s">
        <v>254</v>
      </c>
      <c r="AB1433" t="s">
        <v>442</v>
      </c>
      <c r="AC1433" s="21">
        <v>3584919.63</v>
      </c>
      <c r="AD1433" s="21" t="s">
        <v>368</v>
      </c>
      <c r="AE1433" t="str">
        <f>VLOOKUP(Table_Query_from_Actuarial___Production3[[#This Row],[Kor1]],$AI$3:$AK$105,3,FALSE)</f>
        <v>Claims Expense</v>
      </c>
      <c r="AF1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4" spans="18:32" x14ac:dyDescent="0.2">
      <c r="R1434" t="s">
        <v>14</v>
      </c>
      <c r="S1434" t="s">
        <v>255</v>
      </c>
      <c r="T1434" t="s">
        <v>8</v>
      </c>
      <c r="U1434" s="21">
        <v>25396.22</v>
      </c>
      <c r="V1434" s="21" t="s">
        <v>368</v>
      </c>
      <c r="W1434" t="str">
        <f>VLOOKUP(Table_Query_from_Actuarial___Production[[#This Row],[Kor1]],$AI$3:$AK$105,3,FALSE)</f>
        <v>Claims Expense</v>
      </c>
      <c r="X1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4"/>
      <c r="Z1434" t="s">
        <v>20</v>
      </c>
      <c r="AA1434" t="s">
        <v>240</v>
      </c>
      <c r="AB1434" t="s">
        <v>427</v>
      </c>
      <c r="AC1434" s="21">
        <v>943.51</v>
      </c>
      <c r="AD1434" s="21" t="s">
        <v>368</v>
      </c>
      <c r="AE1434" t="str">
        <f>VLOOKUP(Table_Query_from_Actuarial___Production3[[#This Row],[Kor1]],$AI$3:$AK$105,3,FALSE)</f>
        <v>Misc. Expense</v>
      </c>
      <c r="AF1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5" spans="18:32" x14ac:dyDescent="0.2">
      <c r="R1435" t="s">
        <v>17</v>
      </c>
      <c r="S1435" t="s">
        <v>252</v>
      </c>
      <c r="T1435" t="s">
        <v>445</v>
      </c>
      <c r="U1435" s="21">
        <v>3991262.74</v>
      </c>
      <c r="V1435" s="21" t="s">
        <v>368</v>
      </c>
      <c r="W1435" t="str">
        <f>VLOOKUP(Table_Query_from_Actuarial___Production[[#This Row],[Kor1]],$AI$3:$AK$105,3,FALSE)</f>
        <v>IBNR</v>
      </c>
      <c r="X1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5"/>
      <c r="Z1435" t="s">
        <v>33</v>
      </c>
      <c r="AA1435" t="s">
        <v>259</v>
      </c>
      <c r="AB1435" t="s">
        <v>9</v>
      </c>
      <c r="AC1435" s="21">
        <v>26970.58</v>
      </c>
      <c r="AD1435" s="21" t="s">
        <v>368</v>
      </c>
      <c r="AE1435" t="str">
        <f>VLOOKUP(Table_Query_from_Actuarial___Production3[[#This Row],[Kor1]],$AI$3:$AK$105,3,FALSE)</f>
        <v>Misc. Expense</v>
      </c>
      <c r="AF1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6" spans="18:32" x14ac:dyDescent="0.2">
      <c r="R1436" t="s">
        <v>33</v>
      </c>
      <c r="S1436" t="s">
        <v>255</v>
      </c>
      <c r="T1436" t="s">
        <v>7</v>
      </c>
      <c r="U1436" s="21">
        <v>10032.23</v>
      </c>
      <c r="V1436" s="21" t="s">
        <v>368</v>
      </c>
      <c r="W1436" t="str">
        <f>VLOOKUP(Table_Query_from_Actuarial___Production[[#This Row],[Kor1]],$AI$3:$AK$105,3,FALSE)</f>
        <v>Misc. Expense</v>
      </c>
      <c r="X1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6"/>
      <c r="Z1436" t="s">
        <v>34</v>
      </c>
      <c r="AA1436" t="s">
        <v>252</v>
      </c>
      <c r="AB1436" t="s">
        <v>9</v>
      </c>
      <c r="AC1436" s="21">
        <v>461.39</v>
      </c>
      <c r="AD1436" s="21" t="s">
        <v>368</v>
      </c>
      <c r="AE1436" t="str">
        <f>VLOOKUP(Table_Query_from_Actuarial___Production3[[#This Row],[Kor1]],$AI$3:$AK$105,3,FALSE)</f>
        <v>Misc. Expense</v>
      </c>
      <c r="AF1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7" spans="18:32" x14ac:dyDescent="0.2">
      <c r="R1437" t="s">
        <v>47</v>
      </c>
      <c r="S1437" t="s">
        <v>229</v>
      </c>
      <c r="T1437" t="s">
        <v>7</v>
      </c>
      <c r="U1437" s="21">
        <v>0.03</v>
      </c>
      <c r="V1437" s="21" t="s">
        <v>368</v>
      </c>
      <c r="W1437" t="str">
        <f>VLOOKUP(Table_Query_from_Actuarial___Production[[#This Row],[Kor1]],$AI$3:$AK$105,3,FALSE)</f>
        <v>Investment Income</v>
      </c>
      <c r="X1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7"/>
      <c r="Z1437" t="s">
        <v>37</v>
      </c>
      <c r="AA1437" t="s">
        <v>235</v>
      </c>
      <c r="AB1437" t="s">
        <v>8</v>
      </c>
      <c r="AC1437" s="21">
        <v>394.49</v>
      </c>
      <c r="AD1437" s="21" t="s">
        <v>368</v>
      </c>
      <c r="AE1437" t="str">
        <f>VLOOKUP(Table_Query_from_Actuarial___Production3[[#This Row],[Kor1]],$AI$3:$AK$105,3,FALSE)</f>
        <v>Misc. Expense</v>
      </c>
      <c r="AF1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38" spans="18:32" x14ac:dyDescent="0.2">
      <c r="R1438" t="s">
        <v>39</v>
      </c>
      <c r="S1438" t="s">
        <v>244</v>
      </c>
      <c r="T1438" t="s">
        <v>433</v>
      </c>
      <c r="U1438" s="21">
        <v>14949.02</v>
      </c>
      <c r="V1438" s="21" t="s">
        <v>368</v>
      </c>
      <c r="W1438" t="str">
        <f>VLOOKUP(Table_Query_from_Actuarial___Production[[#This Row],[Kor1]],$AI$3:$AK$105,3,FALSE)</f>
        <v>Misc. Income for Insolvent Companies</v>
      </c>
      <c r="X1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8"/>
      <c r="Z1438" t="s">
        <v>14</v>
      </c>
      <c r="AA1438" t="s">
        <v>226</v>
      </c>
      <c r="AB1438" t="s">
        <v>442</v>
      </c>
      <c r="AC1438" s="21">
        <v>347668.99</v>
      </c>
      <c r="AD1438" s="21" t="s">
        <v>368</v>
      </c>
      <c r="AE1438" t="str">
        <f>VLOOKUP(Table_Query_from_Actuarial___Production3[[#This Row],[Kor1]],$AI$3:$AK$105,3,FALSE)</f>
        <v>Claims Expense</v>
      </c>
      <c r="AF1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439" spans="18:32" x14ac:dyDescent="0.2">
      <c r="R1439" t="s">
        <v>37</v>
      </c>
      <c r="S1439" t="s">
        <v>255</v>
      </c>
      <c r="T1439" t="s">
        <v>441</v>
      </c>
      <c r="U1439" s="21">
        <v>-3174.24</v>
      </c>
      <c r="V1439" s="21" t="s">
        <v>368</v>
      </c>
      <c r="W1439" t="str">
        <f>VLOOKUP(Table_Query_from_Actuarial___Production[[#This Row],[Kor1]],$AI$3:$AK$105,3,FALSE)</f>
        <v>Misc. Expense</v>
      </c>
      <c r="X1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39"/>
      <c r="Z1439" t="s">
        <v>11</v>
      </c>
      <c r="AA1439" t="s">
        <v>231</v>
      </c>
      <c r="AB1439" t="s">
        <v>441</v>
      </c>
      <c r="AC1439" s="21">
        <v>575093.4</v>
      </c>
      <c r="AD1439" s="21" t="s">
        <v>368</v>
      </c>
      <c r="AE1439" t="str">
        <f>VLOOKUP(Table_Query_from_Actuarial___Production3[[#This Row],[Kor1]],$AI$3:$AK$105,3,FALSE)</f>
        <v>Losses Paid</v>
      </c>
      <c r="AF1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0" spans="18:32" x14ac:dyDescent="0.2">
      <c r="R1440" t="s">
        <v>12</v>
      </c>
      <c r="S1440" t="s">
        <v>257</v>
      </c>
      <c r="T1440" t="s">
        <v>351</v>
      </c>
      <c r="U1440" s="21">
        <v>31497.62</v>
      </c>
      <c r="V1440" s="21" t="s">
        <v>368</v>
      </c>
      <c r="W1440" t="str">
        <f>VLOOKUP(Table_Query_from_Actuarial___Production[[#This Row],[Kor1]],$AI$3:$AK$105,3,FALSE)</f>
        <v>Premium Tax</v>
      </c>
      <c r="X1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0"/>
      <c r="Z1440" t="s">
        <v>17</v>
      </c>
      <c r="AA1440" t="s">
        <v>257</v>
      </c>
      <c r="AB1440" t="s">
        <v>442</v>
      </c>
      <c r="AC1440" s="21">
        <v>648673.43000000005</v>
      </c>
      <c r="AD1440" s="21" t="s">
        <v>368</v>
      </c>
      <c r="AE1440" t="str">
        <f>VLOOKUP(Table_Query_from_Actuarial___Production3[[#This Row],[Kor1]],$AI$3:$AK$105,3,FALSE)</f>
        <v>IBNR</v>
      </c>
      <c r="AF1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1" spans="18:32" x14ac:dyDescent="0.2">
      <c r="R1441" t="s">
        <v>12</v>
      </c>
      <c r="S1441" t="s">
        <v>252</v>
      </c>
      <c r="T1441" t="s">
        <v>443</v>
      </c>
      <c r="U1441" s="21">
        <v>572433.92000000004</v>
      </c>
      <c r="V1441" s="21" t="s">
        <v>368</v>
      </c>
      <c r="W1441" t="str">
        <f>VLOOKUP(Table_Query_from_Actuarial___Production[[#This Row],[Kor1]],$AI$3:$AK$105,3,FALSE)</f>
        <v>Premium Tax</v>
      </c>
      <c r="X1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1"/>
      <c r="Z1441" t="s">
        <v>37</v>
      </c>
      <c r="AA1441" t="s">
        <v>238</v>
      </c>
      <c r="AB1441" t="s">
        <v>427</v>
      </c>
      <c r="AC1441" s="21">
        <v>-422.23</v>
      </c>
      <c r="AD1441" s="21" t="s">
        <v>368</v>
      </c>
      <c r="AE1441" t="str">
        <f>VLOOKUP(Table_Query_from_Actuarial___Production3[[#This Row],[Kor1]],$AI$3:$AK$105,3,FALSE)</f>
        <v>Misc. Expense</v>
      </c>
      <c r="AF1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2" spans="18:32" x14ac:dyDescent="0.2">
      <c r="R1442" t="s">
        <v>12</v>
      </c>
      <c r="S1442" t="s">
        <v>249</v>
      </c>
      <c r="T1442" t="s">
        <v>8</v>
      </c>
      <c r="U1442" s="21">
        <v>19340.93</v>
      </c>
      <c r="V1442" s="21" t="s">
        <v>368</v>
      </c>
      <c r="W1442" t="str">
        <f>VLOOKUP(Table_Query_from_Actuarial___Production[[#This Row],[Kor1]],$AI$3:$AK$105,3,FALSE)</f>
        <v>Premium Tax</v>
      </c>
      <c r="X1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2"/>
      <c r="Z1442" t="s">
        <v>48</v>
      </c>
      <c r="AA1442" t="s">
        <v>354</v>
      </c>
      <c r="AB1442" t="s">
        <v>356</v>
      </c>
      <c r="AC1442" s="21">
        <v>334134.55</v>
      </c>
      <c r="AD1442" s="21" t="s">
        <v>369</v>
      </c>
      <c r="AE1442" t="str">
        <f>VLOOKUP(Table_Query_from_Actuarial___Production3[[#This Row],[Kor1]],$AI$3:$AK$105,3,FALSE)</f>
        <v>Anticipated Salvage</v>
      </c>
      <c r="AF1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443" spans="18:32" x14ac:dyDescent="0.2">
      <c r="R1443" t="s">
        <v>47</v>
      </c>
      <c r="S1443" t="s">
        <v>249</v>
      </c>
      <c r="T1443" t="s">
        <v>8</v>
      </c>
      <c r="U1443" s="21">
        <v>0.37</v>
      </c>
      <c r="V1443" s="21" t="s">
        <v>368</v>
      </c>
      <c r="W1443" t="str">
        <f>VLOOKUP(Table_Query_from_Actuarial___Production[[#This Row],[Kor1]],$AI$3:$AK$105,3,FALSE)</f>
        <v>Investment Income</v>
      </c>
      <c r="X1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3"/>
      <c r="Z1443" t="s">
        <v>37</v>
      </c>
      <c r="AA1443" t="s">
        <v>257</v>
      </c>
      <c r="AB1443" t="s">
        <v>441</v>
      </c>
      <c r="AC1443" s="21">
        <v>13984.16</v>
      </c>
      <c r="AD1443" s="21" t="s">
        <v>368</v>
      </c>
      <c r="AE1443" t="str">
        <f>VLOOKUP(Table_Query_from_Actuarial___Production3[[#This Row],[Kor1]],$AI$3:$AK$105,3,FALSE)</f>
        <v>Misc. Expense</v>
      </c>
      <c r="AF1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4" spans="18:32" x14ac:dyDescent="0.2">
      <c r="R1444" t="s">
        <v>48</v>
      </c>
      <c r="S1444" t="s">
        <v>224</v>
      </c>
      <c r="T1444" t="s">
        <v>433</v>
      </c>
      <c r="U1444" s="21">
        <v>246.87</v>
      </c>
      <c r="V1444" s="21" t="s">
        <v>370</v>
      </c>
      <c r="W1444" t="str">
        <f>VLOOKUP(Table_Query_from_Actuarial___Production[[#This Row],[Kor1]],$AI$3:$AK$105,3,FALSE)</f>
        <v>Anticipated Salvage</v>
      </c>
      <c r="X1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444"/>
      <c r="Z1444" t="s">
        <v>39</v>
      </c>
      <c r="AA1444" t="s">
        <v>235</v>
      </c>
      <c r="AB1444" t="s">
        <v>356</v>
      </c>
      <c r="AC1444" s="21">
        <v>78</v>
      </c>
      <c r="AD1444" s="21" t="s">
        <v>368</v>
      </c>
      <c r="AE1444" t="str">
        <f>VLOOKUP(Table_Query_from_Actuarial___Production3[[#This Row],[Kor1]],$AI$3:$AK$105,3,FALSE)</f>
        <v>Misc. Income for Insolvent Companies</v>
      </c>
      <c r="AF1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5" spans="18:32" x14ac:dyDescent="0.2">
      <c r="R1445" t="s">
        <v>3</v>
      </c>
      <c r="S1445" t="s">
        <v>248</v>
      </c>
      <c r="T1445" t="s">
        <v>433</v>
      </c>
      <c r="U1445" s="21">
        <v>490482</v>
      </c>
      <c r="V1445" s="21" t="s">
        <v>368</v>
      </c>
      <c r="W1445" t="str">
        <f>VLOOKUP(Table_Query_from_Actuarial___Production[[#This Row],[Kor1]],$AI$3:$AK$105,3,FALSE)</f>
        <v>Premiums Written</v>
      </c>
      <c r="X1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5"/>
      <c r="Z1445" t="s">
        <v>39</v>
      </c>
      <c r="AA1445" t="s">
        <v>230</v>
      </c>
      <c r="AB1445" t="s">
        <v>356</v>
      </c>
      <c r="AC1445" s="21">
        <v>11302</v>
      </c>
      <c r="AD1445" s="21" t="s">
        <v>368</v>
      </c>
      <c r="AE1445" t="str">
        <f>VLOOKUP(Table_Query_from_Actuarial___Production3[[#This Row],[Kor1]],$AI$3:$AK$105,3,FALSE)</f>
        <v>Misc. Income for Insolvent Companies</v>
      </c>
      <c r="AF1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6" spans="18:32" x14ac:dyDescent="0.2">
      <c r="R1446" t="s">
        <v>21</v>
      </c>
      <c r="S1446" t="s">
        <v>236</v>
      </c>
      <c r="T1446" t="s">
        <v>9</v>
      </c>
      <c r="U1446" s="21">
        <v>327.01</v>
      </c>
      <c r="V1446" s="21" t="s">
        <v>368</v>
      </c>
      <c r="W1446" t="str">
        <f>VLOOKUP(Table_Query_from_Actuarial___Production[[#This Row],[Kor1]],$AI$3:$AK$105,3,FALSE)</f>
        <v>Misc. Expense</v>
      </c>
      <c r="X1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6"/>
      <c r="Z1446" t="s">
        <v>44</v>
      </c>
      <c r="AA1446" t="s">
        <v>240</v>
      </c>
      <c r="AB1446" t="s">
        <v>442</v>
      </c>
      <c r="AC1446" s="21">
        <v>61397.04</v>
      </c>
      <c r="AD1446" s="21" t="s">
        <v>368</v>
      </c>
      <c r="AE1446" t="str">
        <f>VLOOKUP(Table_Query_from_Actuarial___Production3[[#This Row],[Kor1]],$AI$3:$AK$105,3,FALSE)</f>
        <v>Charge-offs</v>
      </c>
      <c r="AF1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7" spans="18:32" x14ac:dyDescent="0.2">
      <c r="R1447" t="s">
        <v>37</v>
      </c>
      <c r="S1447" t="s">
        <v>238</v>
      </c>
      <c r="T1447" t="s">
        <v>443</v>
      </c>
      <c r="U1447" s="21">
        <v>817.46</v>
      </c>
      <c r="V1447" s="21" t="s">
        <v>368</v>
      </c>
      <c r="W1447" t="str">
        <f>VLOOKUP(Table_Query_from_Actuarial___Production[[#This Row],[Kor1]],$AI$3:$AK$105,3,FALSE)</f>
        <v>Misc. Expense</v>
      </c>
      <c r="X1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7"/>
      <c r="Z1447" t="s">
        <v>14</v>
      </c>
      <c r="AA1447" t="s">
        <v>261</v>
      </c>
      <c r="AB1447" t="s">
        <v>7</v>
      </c>
      <c r="AC1447" s="21">
        <v>92481.74</v>
      </c>
      <c r="AD1447" s="21" t="s">
        <v>368</v>
      </c>
      <c r="AE1447" t="str">
        <f>VLOOKUP(Table_Query_from_Actuarial___Production3[[#This Row],[Kor1]],$AI$3:$AK$105,3,FALSE)</f>
        <v>Claims Expense</v>
      </c>
      <c r="AF1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8" spans="18:32" x14ac:dyDescent="0.2">
      <c r="R1448" t="s">
        <v>3</v>
      </c>
      <c r="S1448" t="s">
        <v>242</v>
      </c>
      <c r="T1448" t="s">
        <v>356</v>
      </c>
      <c r="U1448" s="21">
        <v>508048</v>
      </c>
      <c r="V1448" s="21" t="s">
        <v>368</v>
      </c>
      <c r="W1448" t="str">
        <f>VLOOKUP(Table_Query_from_Actuarial___Production[[#This Row],[Kor1]],$AI$3:$AK$105,3,FALSE)</f>
        <v>Premiums Written</v>
      </c>
      <c r="X1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8"/>
      <c r="Z1448" t="s">
        <v>37</v>
      </c>
      <c r="AA1448" t="s">
        <v>258</v>
      </c>
      <c r="AB1448" t="s">
        <v>433</v>
      </c>
      <c r="AC1448" s="21">
        <v>2195.27</v>
      </c>
      <c r="AD1448" s="21" t="s">
        <v>368</v>
      </c>
      <c r="AE1448" t="str">
        <f>VLOOKUP(Table_Query_from_Actuarial___Production3[[#This Row],[Kor1]],$AI$3:$AK$105,3,FALSE)</f>
        <v>Misc. Expense</v>
      </c>
      <c r="AF1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49" spans="18:32" x14ac:dyDescent="0.2">
      <c r="R1449" t="s">
        <v>444</v>
      </c>
      <c r="S1449" t="s">
        <v>268</v>
      </c>
      <c r="T1449" t="s">
        <v>443</v>
      </c>
      <c r="U1449" s="21">
        <v>10167.81</v>
      </c>
      <c r="V1449" s="21" t="s">
        <v>368</v>
      </c>
      <c r="W1449" t="str">
        <f>VLOOKUP(Table_Query_from_Actuarial___Production[[#This Row],[Kor1]],$AI$3:$AK$105,3,FALSE)</f>
        <v>Misc. Expense</v>
      </c>
      <c r="X1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49"/>
      <c r="Z1449" t="s">
        <v>18</v>
      </c>
      <c r="AA1449" t="s">
        <v>225</v>
      </c>
      <c r="AB1449" t="s">
        <v>351</v>
      </c>
      <c r="AC1449" s="21">
        <v>897529</v>
      </c>
      <c r="AD1449" s="21" t="s">
        <v>369</v>
      </c>
      <c r="AE1449" t="str">
        <f>VLOOKUP(Table_Query_from_Actuarial___Production3[[#This Row],[Kor1]],$AI$3:$AK$105,3,FALSE)</f>
        <v>Misc. Expense</v>
      </c>
      <c r="AF1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450" spans="18:32" x14ac:dyDescent="0.2">
      <c r="R1450" t="s">
        <v>49</v>
      </c>
      <c r="S1450" t="s">
        <v>242</v>
      </c>
      <c r="T1450" t="s">
        <v>433</v>
      </c>
      <c r="U1450" s="21">
        <v>24667.82</v>
      </c>
      <c r="V1450" s="21" t="s">
        <v>368</v>
      </c>
      <c r="W1450" t="str">
        <f>VLOOKUP(Table_Query_from_Actuarial___Production[[#This Row],[Kor1]],$AI$3:$AK$105,3,FALSE)</f>
        <v>ALAE Paid</v>
      </c>
      <c r="X1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0"/>
      <c r="Z1450" t="s">
        <v>39</v>
      </c>
      <c r="AA1450" t="s">
        <v>249</v>
      </c>
      <c r="AB1450" t="s">
        <v>5</v>
      </c>
      <c r="AC1450" s="21">
        <v>23980.5</v>
      </c>
      <c r="AD1450" s="21" t="s">
        <v>368</v>
      </c>
      <c r="AE1450" t="str">
        <f>VLOOKUP(Table_Query_from_Actuarial___Production3[[#This Row],[Kor1]],$AI$3:$AK$105,3,FALSE)</f>
        <v>Misc. Income for Insolvent Companies</v>
      </c>
      <c r="AF1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1" spans="18:32" x14ac:dyDescent="0.2">
      <c r="R1451" t="s">
        <v>39</v>
      </c>
      <c r="S1451" t="s">
        <v>243</v>
      </c>
      <c r="T1451" t="s">
        <v>443</v>
      </c>
      <c r="U1451" s="21">
        <v>3</v>
      </c>
      <c r="V1451" s="21" t="s">
        <v>368</v>
      </c>
      <c r="W1451" t="str">
        <f>VLOOKUP(Table_Query_from_Actuarial___Production[[#This Row],[Kor1]],$AI$3:$AK$105,3,FALSE)</f>
        <v>Misc. Income for Insolvent Companies</v>
      </c>
      <c r="X1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1"/>
      <c r="Z1451" t="s">
        <v>49</v>
      </c>
      <c r="AA1451" t="s">
        <v>257</v>
      </c>
      <c r="AB1451" t="s">
        <v>5</v>
      </c>
      <c r="AC1451" s="21">
        <v>44095.18</v>
      </c>
      <c r="AD1451" s="21" t="s">
        <v>368</v>
      </c>
      <c r="AE1451" t="str">
        <f>VLOOKUP(Table_Query_from_Actuarial___Production3[[#This Row],[Kor1]],$AI$3:$AK$105,3,FALSE)</f>
        <v>ALAE Paid</v>
      </c>
      <c r="AF1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2" spans="18:32" x14ac:dyDescent="0.2">
      <c r="R1452" t="s">
        <v>47</v>
      </c>
      <c r="S1452" t="s">
        <v>230</v>
      </c>
      <c r="T1452" t="s">
        <v>8</v>
      </c>
      <c r="U1452" s="21">
        <v>4.1900000000000004</v>
      </c>
      <c r="V1452" s="21" t="s">
        <v>368</v>
      </c>
      <c r="W1452" t="str">
        <f>VLOOKUP(Table_Query_from_Actuarial___Production[[#This Row],[Kor1]],$AI$3:$AK$105,3,FALSE)</f>
        <v>Investment Income</v>
      </c>
      <c r="X1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2"/>
      <c r="Z1452" t="s">
        <v>50</v>
      </c>
      <c r="AA1452" t="s">
        <v>260</v>
      </c>
      <c r="AB1452" t="s">
        <v>433</v>
      </c>
      <c r="AC1452" s="21">
        <v>28.83</v>
      </c>
      <c r="AD1452" s="21" t="s">
        <v>368</v>
      </c>
      <c r="AE1452" t="str">
        <f>VLOOKUP(Table_Query_from_Actuarial___Production3[[#This Row],[Kor1]],$AI$3:$AK$105,3,FALSE)</f>
        <v>ALAE Reserve</v>
      </c>
      <c r="AF1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3" spans="18:32" x14ac:dyDescent="0.2">
      <c r="R1453" t="s">
        <v>48</v>
      </c>
      <c r="S1453" t="s">
        <v>262</v>
      </c>
      <c r="T1453" t="s">
        <v>441</v>
      </c>
      <c r="U1453" s="21">
        <v>855.67</v>
      </c>
      <c r="V1453" s="21" t="s">
        <v>368</v>
      </c>
      <c r="W1453" t="str">
        <f>VLOOKUP(Table_Query_from_Actuarial___Production[[#This Row],[Kor1]],$AI$3:$AK$105,3,FALSE)</f>
        <v>Anticipated Salvage</v>
      </c>
      <c r="X1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3"/>
      <c r="Z1453" t="s">
        <v>13</v>
      </c>
      <c r="AA1453" t="s">
        <v>252</v>
      </c>
      <c r="AB1453" t="s">
        <v>8</v>
      </c>
      <c r="AC1453" s="21">
        <v>2678430.86</v>
      </c>
      <c r="AD1453" s="21" t="s">
        <v>368</v>
      </c>
      <c r="AE1453" t="str">
        <f>VLOOKUP(Table_Query_from_Actuarial___Production3[[#This Row],[Kor1]],$AI$3:$AK$105,3,FALSE)</f>
        <v>Operating Service Fees</v>
      </c>
      <c r="AF1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4" spans="18:32" x14ac:dyDescent="0.2">
      <c r="R1454" t="s">
        <v>3</v>
      </c>
      <c r="S1454" t="s">
        <v>354</v>
      </c>
      <c r="T1454" t="s">
        <v>443</v>
      </c>
      <c r="U1454" s="21">
        <v>1251658348.51</v>
      </c>
      <c r="V1454" s="21" t="s">
        <v>369</v>
      </c>
      <c r="W1454" t="str">
        <f>VLOOKUP(Table_Query_from_Actuarial___Production[[#This Row],[Kor1]],$AI$3:$AK$105,3,FALSE)</f>
        <v>Premiums Written</v>
      </c>
      <c r="X1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454"/>
      <c r="Z1454" t="s">
        <v>14</v>
      </c>
      <c r="AA1454" t="s">
        <v>262</v>
      </c>
      <c r="AB1454" t="s">
        <v>6</v>
      </c>
      <c r="AC1454" s="21">
        <v>17424.45</v>
      </c>
      <c r="AD1454" s="21" t="s">
        <v>368</v>
      </c>
      <c r="AE1454" t="str">
        <f>VLOOKUP(Table_Query_from_Actuarial___Production3[[#This Row],[Kor1]],$AI$3:$AK$105,3,FALSE)</f>
        <v>Claims Expense</v>
      </c>
      <c r="AF1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5" spans="18:32" x14ac:dyDescent="0.2">
      <c r="R1455" t="s">
        <v>10</v>
      </c>
      <c r="S1455" t="s">
        <v>229</v>
      </c>
      <c r="T1455" t="s">
        <v>6</v>
      </c>
      <c r="U1455" s="21">
        <v>1778.5</v>
      </c>
      <c r="V1455" s="21" t="s">
        <v>368</v>
      </c>
      <c r="W1455" t="str">
        <f>VLOOKUP(Table_Query_from_Actuarial___Production[[#This Row],[Kor1]],$AI$3:$AK$105,3,FALSE)</f>
        <v>Commissions</v>
      </c>
      <c r="X1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5"/>
      <c r="Z1455" t="s">
        <v>34</v>
      </c>
      <c r="AA1455" t="s">
        <v>250</v>
      </c>
      <c r="AB1455" t="s">
        <v>8</v>
      </c>
      <c r="AC1455" s="21">
        <v>23.7</v>
      </c>
      <c r="AD1455" s="21" t="s">
        <v>368</v>
      </c>
      <c r="AE1455" t="str">
        <f>VLOOKUP(Table_Query_from_Actuarial___Production3[[#This Row],[Kor1]],$AI$3:$AK$105,3,FALSE)</f>
        <v>Misc. Expense</v>
      </c>
      <c r="AF1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6" spans="18:32" x14ac:dyDescent="0.2">
      <c r="R1456" t="s">
        <v>11</v>
      </c>
      <c r="S1456" t="s">
        <v>266</v>
      </c>
      <c r="T1456" t="s">
        <v>442</v>
      </c>
      <c r="U1456" s="21">
        <v>265903.34999999998</v>
      </c>
      <c r="V1456" s="21" t="s">
        <v>368</v>
      </c>
      <c r="W1456" t="str">
        <f>VLOOKUP(Table_Query_from_Actuarial___Production[[#This Row],[Kor1]],$AI$3:$AK$105,3,FALSE)</f>
        <v>Losses Paid</v>
      </c>
      <c r="X1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6"/>
      <c r="Z1456" t="s">
        <v>14</v>
      </c>
      <c r="AA1456" t="s">
        <v>265</v>
      </c>
      <c r="AB1456" t="s">
        <v>7</v>
      </c>
      <c r="AC1456" s="21">
        <v>23723.49</v>
      </c>
      <c r="AD1456" s="21" t="s">
        <v>368</v>
      </c>
      <c r="AE1456" t="str">
        <f>VLOOKUP(Table_Query_from_Actuarial___Production3[[#This Row],[Kor1]],$AI$3:$AK$105,3,FALSE)</f>
        <v>Claims Expense</v>
      </c>
      <c r="AF1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7" spans="18:32" x14ac:dyDescent="0.2">
      <c r="R1457" t="s">
        <v>20</v>
      </c>
      <c r="S1457" t="s">
        <v>256</v>
      </c>
      <c r="T1457" t="s">
        <v>8</v>
      </c>
      <c r="U1457" s="21">
        <v>28.86</v>
      </c>
      <c r="V1457" s="21" t="s">
        <v>368</v>
      </c>
      <c r="W1457" t="str">
        <f>VLOOKUP(Table_Query_from_Actuarial___Production[[#This Row],[Kor1]],$AI$3:$AK$105,3,FALSE)</f>
        <v>Misc. Expense</v>
      </c>
      <c r="X1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7"/>
      <c r="Z1457" t="s">
        <v>20</v>
      </c>
      <c r="AA1457" t="s">
        <v>4</v>
      </c>
      <c r="AB1457" t="s">
        <v>442</v>
      </c>
      <c r="AC1457" s="21">
        <v>3388.3</v>
      </c>
      <c r="AD1457" s="21" t="s">
        <v>368</v>
      </c>
      <c r="AE1457" t="str">
        <f>VLOOKUP(Table_Query_from_Actuarial___Production3[[#This Row],[Kor1]],$AI$3:$AK$105,3,FALSE)</f>
        <v>Misc. Expense</v>
      </c>
      <c r="AF1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8" spans="18:32" x14ac:dyDescent="0.2">
      <c r="R1458" t="s">
        <v>36</v>
      </c>
      <c r="S1458" t="s">
        <v>230</v>
      </c>
      <c r="T1458" t="s">
        <v>356</v>
      </c>
      <c r="U1458" s="21">
        <v>26259.279999999999</v>
      </c>
      <c r="V1458" s="21" t="s">
        <v>368</v>
      </c>
      <c r="W1458" t="str">
        <f>VLOOKUP(Table_Query_from_Actuarial___Production[[#This Row],[Kor1]],$AI$3:$AK$105,3,FALSE)</f>
        <v>Misc. Expense</v>
      </c>
      <c r="X1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8"/>
      <c r="Z1458" t="s">
        <v>34</v>
      </c>
      <c r="AA1458" t="s">
        <v>248</v>
      </c>
      <c r="AB1458" t="s">
        <v>442</v>
      </c>
      <c r="AC1458" s="21">
        <v>8024.68</v>
      </c>
      <c r="AD1458" s="21" t="s">
        <v>368</v>
      </c>
      <c r="AE1458" t="str">
        <f>VLOOKUP(Table_Query_from_Actuarial___Production3[[#This Row],[Kor1]],$AI$3:$AK$105,3,FALSE)</f>
        <v>Misc. Expense</v>
      </c>
      <c r="AF1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59" spans="18:32" x14ac:dyDescent="0.2">
      <c r="R1459" t="s">
        <v>12</v>
      </c>
      <c r="S1459" t="s">
        <v>241</v>
      </c>
      <c r="T1459" t="s">
        <v>8</v>
      </c>
      <c r="U1459" s="21">
        <v>12353.78</v>
      </c>
      <c r="V1459" s="21" t="s">
        <v>368</v>
      </c>
      <c r="W1459" t="str">
        <f>VLOOKUP(Table_Query_from_Actuarial___Production[[#This Row],[Kor1]],$AI$3:$AK$105,3,FALSE)</f>
        <v>Premium Tax</v>
      </c>
      <c r="X1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59"/>
      <c r="Z1459" t="s">
        <v>17</v>
      </c>
      <c r="AA1459" t="s">
        <v>268</v>
      </c>
      <c r="AB1459" t="s">
        <v>443</v>
      </c>
      <c r="AC1459" s="21">
        <v>86.98</v>
      </c>
      <c r="AD1459" s="21" t="s">
        <v>368</v>
      </c>
      <c r="AE1459" t="str">
        <f>VLOOKUP(Table_Query_from_Actuarial___Production3[[#This Row],[Kor1]],$AI$3:$AK$105,3,FALSE)</f>
        <v>IBNR</v>
      </c>
      <c r="AF1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0" spans="18:32" x14ac:dyDescent="0.2">
      <c r="R1460" t="s">
        <v>18</v>
      </c>
      <c r="S1460" t="s">
        <v>225</v>
      </c>
      <c r="T1460" t="s">
        <v>441</v>
      </c>
      <c r="U1460" s="21">
        <v>406447.96</v>
      </c>
      <c r="V1460" s="21" t="s">
        <v>369</v>
      </c>
      <c r="W1460" t="str">
        <f>VLOOKUP(Table_Query_from_Actuarial___Production[[#This Row],[Kor1]],$AI$3:$AK$105,3,FALSE)</f>
        <v>Misc. Expense</v>
      </c>
      <c r="X1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460"/>
      <c r="Z1460" t="s">
        <v>20</v>
      </c>
      <c r="AA1460" t="s">
        <v>264</v>
      </c>
      <c r="AB1460" t="s">
        <v>442</v>
      </c>
      <c r="AC1460" s="21">
        <v>427.82</v>
      </c>
      <c r="AD1460" s="21" t="s">
        <v>368</v>
      </c>
      <c r="AE1460" t="str">
        <f>VLOOKUP(Table_Query_from_Actuarial___Production3[[#This Row],[Kor1]],$AI$3:$AK$105,3,FALSE)</f>
        <v>Misc. Expense</v>
      </c>
      <c r="AF1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1" spans="18:32" x14ac:dyDescent="0.2">
      <c r="R1461" t="s">
        <v>37</v>
      </c>
      <c r="S1461" t="s">
        <v>250</v>
      </c>
      <c r="T1461" t="s">
        <v>6</v>
      </c>
      <c r="U1461" s="21">
        <v>1104.79</v>
      </c>
      <c r="V1461" s="21" t="s">
        <v>368</v>
      </c>
      <c r="W1461" t="str">
        <f>VLOOKUP(Table_Query_from_Actuarial___Production[[#This Row],[Kor1]],$AI$3:$AK$105,3,FALSE)</f>
        <v>Misc. Expense</v>
      </c>
      <c r="X1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1"/>
      <c r="Z1461" t="s">
        <v>41</v>
      </c>
      <c r="AA1461" t="s">
        <v>252</v>
      </c>
      <c r="AB1461" t="s">
        <v>433</v>
      </c>
      <c r="AC1461" s="21">
        <v>1771.58</v>
      </c>
      <c r="AD1461" s="21" t="s">
        <v>368</v>
      </c>
      <c r="AE1461" t="str">
        <f>VLOOKUP(Table_Query_from_Actuarial___Production3[[#This Row],[Kor1]],$AI$3:$AK$105,3,FALSE)</f>
        <v>Misc. Income</v>
      </c>
      <c r="AF1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2" spans="18:32" x14ac:dyDescent="0.2">
      <c r="R1462" t="s">
        <v>38</v>
      </c>
      <c r="S1462" t="s">
        <v>225</v>
      </c>
      <c r="T1462" t="s">
        <v>441</v>
      </c>
      <c r="U1462" s="21">
        <v>1118474.9099999999</v>
      </c>
      <c r="V1462" s="21" t="s">
        <v>368</v>
      </c>
      <c r="W1462" t="str">
        <f>VLOOKUP(Table_Query_from_Actuarial___Production[[#This Row],[Kor1]],$AI$3:$AK$105,3,FALSE)</f>
        <v>Misc. Income</v>
      </c>
      <c r="X1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462"/>
      <c r="Z1462" t="s">
        <v>439</v>
      </c>
      <c r="AA1462" t="s">
        <v>245</v>
      </c>
      <c r="AB1462" t="s">
        <v>433</v>
      </c>
      <c r="AC1462" s="21">
        <v>39</v>
      </c>
      <c r="AD1462" s="21" t="s">
        <v>368</v>
      </c>
      <c r="AE1462" t="str">
        <f>VLOOKUP(Table_Query_from_Actuarial___Production3[[#This Row],[Kor1]],$AI$3:$AK$105,3,FALSE)</f>
        <v>Operating Service Fees</v>
      </c>
      <c r="AF1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3" spans="18:32" x14ac:dyDescent="0.2">
      <c r="R1463" t="s">
        <v>12</v>
      </c>
      <c r="S1463" t="s">
        <v>258</v>
      </c>
      <c r="T1463" t="s">
        <v>443</v>
      </c>
      <c r="U1463" s="21">
        <v>68569.88</v>
      </c>
      <c r="V1463" s="21" t="s">
        <v>368</v>
      </c>
      <c r="W1463" t="str">
        <f>VLOOKUP(Table_Query_from_Actuarial___Production[[#This Row],[Kor1]],$AI$3:$AK$105,3,FALSE)</f>
        <v>Premium Tax</v>
      </c>
      <c r="X1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3"/>
      <c r="Z1463" t="s">
        <v>10</v>
      </c>
      <c r="AA1463" t="s">
        <v>245</v>
      </c>
      <c r="AB1463" t="s">
        <v>442</v>
      </c>
      <c r="AC1463" s="21">
        <v>972.7</v>
      </c>
      <c r="AD1463" s="21" t="s">
        <v>368</v>
      </c>
      <c r="AE1463" t="str">
        <f>VLOOKUP(Table_Query_from_Actuarial___Production3[[#This Row],[Kor1]],$AI$3:$AK$105,3,FALSE)</f>
        <v>Commissions</v>
      </c>
      <c r="AF1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4" spans="18:32" x14ac:dyDescent="0.2">
      <c r="R1464" t="s">
        <v>41</v>
      </c>
      <c r="S1464" t="s">
        <v>266</v>
      </c>
      <c r="T1464" t="s">
        <v>443</v>
      </c>
      <c r="U1464" s="21">
        <v>99.99</v>
      </c>
      <c r="V1464" s="21" t="s">
        <v>368</v>
      </c>
      <c r="W1464" t="str">
        <f>VLOOKUP(Table_Query_from_Actuarial___Production[[#This Row],[Kor1]],$AI$3:$AK$105,3,FALSE)</f>
        <v>Misc. Income</v>
      </c>
      <c r="X1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4"/>
      <c r="Z1464" t="s">
        <v>14</v>
      </c>
      <c r="AA1464" t="s">
        <v>255</v>
      </c>
      <c r="AB1464" t="s">
        <v>8</v>
      </c>
      <c r="AC1464" s="21">
        <v>25396.22</v>
      </c>
      <c r="AD1464" s="21" t="s">
        <v>368</v>
      </c>
      <c r="AE1464" t="str">
        <f>VLOOKUP(Table_Query_from_Actuarial___Production3[[#This Row],[Kor1]],$AI$3:$AK$105,3,FALSE)</f>
        <v>Claims Expense</v>
      </c>
      <c r="AF1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5" spans="18:32" x14ac:dyDescent="0.2">
      <c r="R1465" t="s">
        <v>44</v>
      </c>
      <c r="S1465" t="s">
        <v>262</v>
      </c>
      <c r="T1465" t="s">
        <v>441</v>
      </c>
      <c r="U1465" s="21">
        <v>26</v>
      </c>
      <c r="V1465" s="21" t="s">
        <v>368</v>
      </c>
      <c r="W1465" t="str">
        <f>VLOOKUP(Table_Query_from_Actuarial___Production[[#This Row],[Kor1]],$AI$3:$AK$105,3,FALSE)</f>
        <v>Charge-offs</v>
      </c>
      <c r="X1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5"/>
      <c r="Z1465" t="s">
        <v>33</v>
      </c>
      <c r="AA1465" t="s">
        <v>255</v>
      </c>
      <c r="AB1465" t="s">
        <v>7</v>
      </c>
      <c r="AC1465" s="21">
        <v>10032.23</v>
      </c>
      <c r="AD1465" s="21" t="s">
        <v>368</v>
      </c>
      <c r="AE1465" t="str">
        <f>VLOOKUP(Table_Query_from_Actuarial___Production3[[#This Row],[Kor1]],$AI$3:$AK$105,3,FALSE)</f>
        <v>Misc. Expense</v>
      </c>
      <c r="AF1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6" spans="18:32" x14ac:dyDescent="0.2">
      <c r="R1466" t="s">
        <v>47</v>
      </c>
      <c r="S1466" t="s">
        <v>268</v>
      </c>
      <c r="T1466" t="s">
        <v>442</v>
      </c>
      <c r="U1466" s="21">
        <v>879.91</v>
      </c>
      <c r="V1466" s="21" t="s">
        <v>368</v>
      </c>
      <c r="W1466" t="str">
        <f>VLOOKUP(Table_Query_from_Actuarial___Production[[#This Row],[Kor1]],$AI$3:$AK$105,3,FALSE)</f>
        <v>Investment Income</v>
      </c>
      <c r="X1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6"/>
      <c r="Z1466" t="s">
        <v>47</v>
      </c>
      <c r="AA1466" t="s">
        <v>229</v>
      </c>
      <c r="AB1466" t="s">
        <v>7</v>
      </c>
      <c r="AC1466" s="21">
        <v>0.03</v>
      </c>
      <c r="AD1466" s="21" t="s">
        <v>368</v>
      </c>
      <c r="AE1466" t="str">
        <f>VLOOKUP(Table_Query_from_Actuarial___Production3[[#This Row],[Kor1]],$AI$3:$AK$105,3,FALSE)</f>
        <v>Investment Income</v>
      </c>
      <c r="AF1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7" spans="18:32" x14ac:dyDescent="0.2">
      <c r="R1467" t="s">
        <v>49</v>
      </c>
      <c r="S1467" t="s">
        <v>232</v>
      </c>
      <c r="T1467" t="s">
        <v>442</v>
      </c>
      <c r="U1467" s="21">
        <v>950</v>
      </c>
      <c r="V1467" s="21" t="s">
        <v>368</v>
      </c>
      <c r="W1467" t="str">
        <f>VLOOKUP(Table_Query_from_Actuarial___Production[[#This Row],[Kor1]],$AI$3:$AK$105,3,FALSE)</f>
        <v>ALAE Paid</v>
      </c>
      <c r="X1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7"/>
      <c r="Z1467" t="s">
        <v>39</v>
      </c>
      <c r="AA1467" t="s">
        <v>244</v>
      </c>
      <c r="AB1467" t="s">
        <v>433</v>
      </c>
      <c r="AC1467" s="21">
        <v>14949.02</v>
      </c>
      <c r="AD1467" s="21" t="s">
        <v>368</v>
      </c>
      <c r="AE1467" t="str">
        <f>VLOOKUP(Table_Query_from_Actuarial___Production3[[#This Row],[Kor1]],$AI$3:$AK$105,3,FALSE)</f>
        <v>Misc. Income for Insolvent Companies</v>
      </c>
      <c r="AF1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8" spans="18:32" x14ac:dyDescent="0.2">
      <c r="R1468" t="s">
        <v>17</v>
      </c>
      <c r="S1468" t="s">
        <v>248</v>
      </c>
      <c r="T1468" t="s">
        <v>441</v>
      </c>
      <c r="U1468" s="21">
        <v>45351.09</v>
      </c>
      <c r="V1468" s="21" t="s">
        <v>368</v>
      </c>
      <c r="W1468" t="str">
        <f>VLOOKUP(Table_Query_from_Actuarial___Production[[#This Row],[Kor1]],$AI$3:$AK$105,3,FALSE)</f>
        <v>IBNR</v>
      </c>
      <c r="X1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68"/>
      <c r="Z1468" t="s">
        <v>37</v>
      </c>
      <c r="AA1468" t="s">
        <v>255</v>
      </c>
      <c r="AB1468" t="s">
        <v>441</v>
      </c>
      <c r="AC1468" s="21">
        <v>-3174.24</v>
      </c>
      <c r="AD1468" s="21" t="s">
        <v>368</v>
      </c>
      <c r="AE1468" t="str">
        <f>VLOOKUP(Table_Query_from_Actuarial___Production3[[#This Row],[Kor1]],$AI$3:$AK$105,3,FALSE)</f>
        <v>Misc. Expense</v>
      </c>
      <c r="AF1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69" spans="18:32" x14ac:dyDescent="0.2">
      <c r="R1469" t="s">
        <v>46</v>
      </c>
      <c r="S1469" t="s">
        <v>354</v>
      </c>
      <c r="T1469" t="s">
        <v>442</v>
      </c>
      <c r="U1469" s="21">
        <v>1910881.48</v>
      </c>
      <c r="V1469" s="21" t="s">
        <v>368</v>
      </c>
      <c r="W1469" t="str">
        <f>VLOOKUP(Table_Query_from_Actuarial___Production[[#This Row],[Kor1]],$AI$3:$AK$105,3,FALSE)</f>
        <v>Investment Income</v>
      </c>
      <c r="X1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469"/>
      <c r="Z1469" t="s">
        <v>12</v>
      </c>
      <c r="AA1469" t="s">
        <v>257</v>
      </c>
      <c r="AB1469" t="s">
        <v>351</v>
      </c>
      <c r="AC1469" s="21">
        <v>31497.62</v>
      </c>
      <c r="AD1469" s="21" t="s">
        <v>368</v>
      </c>
      <c r="AE1469" t="str">
        <f>VLOOKUP(Table_Query_from_Actuarial___Production3[[#This Row],[Kor1]],$AI$3:$AK$105,3,FALSE)</f>
        <v>Premium Tax</v>
      </c>
      <c r="AF1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0" spans="18:32" x14ac:dyDescent="0.2">
      <c r="R1470" t="s">
        <v>49</v>
      </c>
      <c r="S1470" t="s">
        <v>233</v>
      </c>
      <c r="T1470" t="s">
        <v>356</v>
      </c>
      <c r="U1470" s="21">
        <v>1706</v>
      </c>
      <c r="V1470" s="21" t="s">
        <v>368</v>
      </c>
      <c r="W1470" t="str">
        <f>VLOOKUP(Table_Query_from_Actuarial___Production[[#This Row],[Kor1]],$AI$3:$AK$105,3,FALSE)</f>
        <v>ALAE Paid</v>
      </c>
      <c r="X1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0"/>
      <c r="Z1470" t="s">
        <v>12</v>
      </c>
      <c r="AA1470" t="s">
        <v>252</v>
      </c>
      <c r="AB1470" t="s">
        <v>443</v>
      </c>
      <c r="AC1470" s="21">
        <v>261591.75</v>
      </c>
      <c r="AD1470" s="21" t="s">
        <v>368</v>
      </c>
      <c r="AE1470" t="str">
        <f>VLOOKUP(Table_Query_from_Actuarial___Production3[[#This Row],[Kor1]],$AI$3:$AK$105,3,FALSE)</f>
        <v>Premium Tax</v>
      </c>
      <c r="AF1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1" spans="18:32" x14ac:dyDescent="0.2">
      <c r="R1471" t="s">
        <v>15</v>
      </c>
      <c r="S1471" t="s">
        <v>255</v>
      </c>
      <c r="T1471" t="s">
        <v>445</v>
      </c>
      <c r="U1471" s="21">
        <v>197355.51</v>
      </c>
      <c r="V1471" s="21" t="s">
        <v>368</v>
      </c>
      <c r="W1471" t="str">
        <f>VLOOKUP(Table_Query_from_Actuarial___Production[[#This Row],[Kor1]],$AI$3:$AK$105,3,FALSE)</f>
        <v>Unearned Premiums</v>
      </c>
      <c r="X1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1"/>
      <c r="Z1471" t="s">
        <v>12</v>
      </c>
      <c r="AA1471" t="s">
        <v>249</v>
      </c>
      <c r="AB1471" t="s">
        <v>8</v>
      </c>
      <c r="AC1471" s="21">
        <v>19340.93</v>
      </c>
      <c r="AD1471" s="21" t="s">
        <v>368</v>
      </c>
      <c r="AE1471" t="str">
        <f>VLOOKUP(Table_Query_from_Actuarial___Production3[[#This Row],[Kor1]],$AI$3:$AK$105,3,FALSE)</f>
        <v>Premium Tax</v>
      </c>
      <c r="AF1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2" spans="18:32" x14ac:dyDescent="0.2">
      <c r="R1472" t="s">
        <v>48</v>
      </c>
      <c r="S1472" t="s">
        <v>253</v>
      </c>
      <c r="T1472" t="s">
        <v>441</v>
      </c>
      <c r="U1472" s="21">
        <v>10.91</v>
      </c>
      <c r="V1472" s="21" t="s">
        <v>368</v>
      </c>
      <c r="W1472" t="str">
        <f>VLOOKUP(Table_Query_from_Actuarial___Production[[#This Row],[Kor1]],$AI$3:$AK$105,3,FALSE)</f>
        <v>Anticipated Salvage</v>
      </c>
      <c r="X1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2"/>
      <c r="Z1472" t="s">
        <v>47</v>
      </c>
      <c r="AA1472" t="s">
        <v>249</v>
      </c>
      <c r="AB1472" t="s">
        <v>8</v>
      </c>
      <c r="AC1472" s="21">
        <v>0.37</v>
      </c>
      <c r="AD1472" s="21" t="s">
        <v>368</v>
      </c>
      <c r="AE1472" t="str">
        <f>VLOOKUP(Table_Query_from_Actuarial___Production3[[#This Row],[Kor1]],$AI$3:$AK$105,3,FALSE)</f>
        <v>Investment Income</v>
      </c>
      <c r="AF1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3" spans="18:32" x14ac:dyDescent="0.2">
      <c r="R1473" t="s">
        <v>49</v>
      </c>
      <c r="S1473" t="s">
        <v>258</v>
      </c>
      <c r="T1473" t="s">
        <v>351</v>
      </c>
      <c r="U1473" s="21">
        <v>43978.3</v>
      </c>
      <c r="V1473" s="21" t="s">
        <v>368</v>
      </c>
      <c r="W1473" t="str">
        <f>VLOOKUP(Table_Query_from_Actuarial___Production[[#This Row],[Kor1]],$AI$3:$AK$105,3,FALSE)</f>
        <v>ALAE Paid</v>
      </c>
      <c r="X1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3"/>
      <c r="Z1473" t="s">
        <v>48</v>
      </c>
      <c r="AA1473" t="s">
        <v>224</v>
      </c>
      <c r="AB1473" t="s">
        <v>433</v>
      </c>
      <c r="AC1473" s="21">
        <v>1692.62</v>
      </c>
      <c r="AD1473" s="21" t="s">
        <v>370</v>
      </c>
      <c r="AE1473" t="str">
        <f>VLOOKUP(Table_Query_from_Actuarial___Production3[[#This Row],[Kor1]],$AI$3:$AK$105,3,FALSE)</f>
        <v>Anticipated Salvage</v>
      </c>
      <c r="AF1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474" spans="18:32" x14ac:dyDescent="0.2">
      <c r="R1474" t="s">
        <v>14</v>
      </c>
      <c r="S1474" t="s">
        <v>225</v>
      </c>
      <c r="T1474" t="s">
        <v>7</v>
      </c>
      <c r="U1474" s="21">
        <v>190320</v>
      </c>
      <c r="V1474" s="21" t="s">
        <v>369</v>
      </c>
      <c r="W1474" t="str">
        <f>VLOOKUP(Table_Query_from_Actuarial___Production[[#This Row],[Kor1]],$AI$3:$AK$105,3,FALSE)</f>
        <v>Claims Expense</v>
      </c>
      <c r="X1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474"/>
      <c r="Z1474" t="s">
        <v>3</v>
      </c>
      <c r="AA1474" t="s">
        <v>248</v>
      </c>
      <c r="AB1474" t="s">
        <v>433</v>
      </c>
      <c r="AC1474" s="21">
        <v>490482</v>
      </c>
      <c r="AD1474" s="21" t="s">
        <v>368</v>
      </c>
      <c r="AE1474" t="str">
        <f>VLOOKUP(Table_Query_from_Actuarial___Production3[[#This Row],[Kor1]],$AI$3:$AK$105,3,FALSE)</f>
        <v>Premiums Written</v>
      </c>
      <c r="AF1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5" spans="18:32" x14ac:dyDescent="0.2">
      <c r="R1475" t="s">
        <v>33</v>
      </c>
      <c r="S1475" t="s">
        <v>254</v>
      </c>
      <c r="T1475" t="s">
        <v>8</v>
      </c>
      <c r="U1475" s="21">
        <v>15104.12</v>
      </c>
      <c r="V1475" s="21" t="s">
        <v>368</v>
      </c>
      <c r="W1475" t="str">
        <f>VLOOKUP(Table_Query_from_Actuarial___Production[[#This Row],[Kor1]],$AI$3:$AK$105,3,FALSE)</f>
        <v>Misc. Expense</v>
      </c>
      <c r="X1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5"/>
      <c r="Z1475" t="s">
        <v>21</v>
      </c>
      <c r="AA1475" t="s">
        <v>236</v>
      </c>
      <c r="AB1475" t="s">
        <v>9</v>
      </c>
      <c r="AC1475" s="21">
        <v>327.01</v>
      </c>
      <c r="AD1475" s="21" t="s">
        <v>368</v>
      </c>
      <c r="AE1475" t="str">
        <f>VLOOKUP(Table_Query_from_Actuarial___Production3[[#This Row],[Kor1]],$AI$3:$AK$105,3,FALSE)</f>
        <v>Misc. Expense</v>
      </c>
      <c r="AF1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6" spans="18:32" x14ac:dyDescent="0.2">
      <c r="R1476" t="s">
        <v>11</v>
      </c>
      <c r="S1476" t="s">
        <v>239</v>
      </c>
      <c r="T1476" t="s">
        <v>442</v>
      </c>
      <c r="U1476" s="21">
        <v>4360599.62</v>
      </c>
      <c r="V1476" s="21" t="s">
        <v>368</v>
      </c>
      <c r="W1476" t="str">
        <f>VLOOKUP(Table_Query_from_Actuarial___Production[[#This Row],[Kor1]],$AI$3:$AK$105,3,FALSE)</f>
        <v>Losses Paid</v>
      </c>
      <c r="X1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6"/>
      <c r="Z1476" t="s">
        <v>37</v>
      </c>
      <c r="AA1476" t="s">
        <v>238</v>
      </c>
      <c r="AB1476" t="s">
        <v>443</v>
      </c>
      <c r="AC1476" s="21">
        <v>809.56</v>
      </c>
      <c r="AD1476" s="21" t="s">
        <v>368</v>
      </c>
      <c r="AE1476" t="str">
        <f>VLOOKUP(Table_Query_from_Actuarial___Production3[[#This Row],[Kor1]],$AI$3:$AK$105,3,FALSE)</f>
        <v>Misc. Expense</v>
      </c>
      <c r="AF1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7" spans="18:32" x14ac:dyDescent="0.2">
      <c r="R1477" t="s">
        <v>49</v>
      </c>
      <c r="S1477" t="s">
        <v>257</v>
      </c>
      <c r="T1477" t="s">
        <v>441</v>
      </c>
      <c r="U1477" s="21">
        <v>31991.67</v>
      </c>
      <c r="V1477" s="21" t="s">
        <v>368</v>
      </c>
      <c r="W1477" t="str">
        <f>VLOOKUP(Table_Query_from_Actuarial___Production[[#This Row],[Kor1]],$AI$3:$AK$105,3,FALSE)</f>
        <v>ALAE Paid</v>
      </c>
      <c r="X1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7"/>
      <c r="Z1477" t="s">
        <v>3</v>
      </c>
      <c r="AA1477" t="s">
        <v>242</v>
      </c>
      <c r="AB1477" t="s">
        <v>356</v>
      </c>
      <c r="AC1477" s="21">
        <v>508048</v>
      </c>
      <c r="AD1477" s="21" t="s">
        <v>368</v>
      </c>
      <c r="AE1477" t="str">
        <f>VLOOKUP(Table_Query_from_Actuarial___Production3[[#This Row],[Kor1]],$AI$3:$AK$105,3,FALSE)</f>
        <v>Premiums Written</v>
      </c>
      <c r="AF1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8" spans="18:32" x14ac:dyDescent="0.2">
      <c r="R1478" t="s">
        <v>12</v>
      </c>
      <c r="S1478" t="s">
        <v>257</v>
      </c>
      <c r="T1478" t="s">
        <v>441</v>
      </c>
      <c r="U1478" s="21">
        <v>49694.95</v>
      </c>
      <c r="V1478" s="21" t="s">
        <v>368</v>
      </c>
      <c r="W1478" t="str">
        <f>VLOOKUP(Table_Query_from_Actuarial___Production[[#This Row],[Kor1]],$AI$3:$AK$105,3,FALSE)</f>
        <v>Premium Tax</v>
      </c>
      <c r="X1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8"/>
      <c r="Z1478" t="s">
        <v>49</v>
      </c>
      <c r="AA1478" t="s">
        <v>242</v>
      </c>
      <c r="AB1478" t="s">
        <v>433</v>
      </c>
      <c r="AC1478" s="21">
        <v>4885.5</v>
      </c>
      <c r="AD1478" s="21" t="s">
        <v>368</v>
      </c>
      <c r="AE1478" t="str">
        <f>VLOOKUP(Table_Query_from_Actuarial___Production3[[#This Row],[Kor1]],$AI$3:$AK$105,3,FALSE)</f>
        <v>ALAE Paid</v>
      </c>
      <c r="AF1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79" spans="18:32" x14ac:dyDescent="0.2">
      <c r="R1479" t="s">
        <v>31</v>
      </c>
      <c r="S1479" t="s">
        <v>248</v>
      </c>
      <c r="T1479" t="s">
        <v>8</v>
      </c>
      <c r="U1479" s="21">
        <v>474.98</v>
      </c>
      <c r="V1479" s="21" t="s">
        <v>368</v>
      </c>
      <c r="W1479" t="str">
        <f>VLOOKUP(Table_Query_from_Actuarial___Production[[#This Row],[Kor1]],$AI$3:$AK$105,3,FALSE)</f>
        <v>Misc. Expense</v>
      </c>
      <c r="X1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79"/>
      <c r="Z1479" t="s">
        <v>39</v>
      </c>
      <c r="AA1479" t="s">
        <v>243</v>
      </c>
      <c r="AB1479" t="s">
        <v>443</v>
      </c>
      <c r="AC1479" s="21">
        <v>3</v>
      </c>
      <c r="AD1479" s="21" t="s">
        <v>368</v>
      </c>
      <c r="AE1479" t="str">
        <f>VLOOKUP(Table_Query_from_Actuarial___Production3[[#This Row],[Kor1]],$AI$3:$AK$105,3,FALSE)</f>
        <v>Misc. Income for Insolvent Companies</v>
      </c>
      <c r="AF1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0" spans="18:32" x14ac:dyDescent="0.2">
      <c r="R1480" t="s">
        <v>27</v>
      </c>
      <c r="S1480" t="s">
        <v>259</v>
      </c>
      <c r="T1480" t="s">
        <v>351</v>
      </c>
      <c r="U1480" s="21">
        <v>155.41</v>
      </c>
      <c r="V1480" s="21" t="s">
        <v>368</v>
      </c>
      <c r="W1480" t="str">
        <f>VLOOKUP(Table_Query_from_Actuarial___Production[[#This Row],[Kor1]],$AI$3:$AK$105,3,FALSE)</f>
        <v>Misc. Expense</v>
      </c>
      <c r="X1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0"/>
      <c r="Z1480" t="s">
        <v>47</v>
      </c>
      <c r="AA1480" t="s">
        <v>230</v>
      </c>
      <c r="AB1480" t="s">
        <v>8</v>
      </c>
      <c r="AC1480" s="21">
        <v>4.1900000000000004</v>
      </c>
      <c r="AD1480" s="21" t="s">
        <v>368</v>
      </c>
      <c r="AE1480" t="str">
        <f>VLOOKUP(Table_Query_from_Actuarial___Production3[[#This Row],[Kor1]],$AI$3:$AK$105,3,FALSE)</f>
        <v>Investment Income</v>
      </c>
      <c r="AF1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1" spans="18:32" x14ac:dyDescent="0.2">
      <c r="R1481" t="s">
        <v>33</v>
      </c>
      <c r="S1481" t="s">
        <v>255</v>
      </c>
      <c r="T1481" t="s">
        <v>427</v>
      </c>
      <c r="U1481" s="21">
        <v>12496.1</v>
      </c>
      <c r="V1481" s="21" t="s">
        <v>368</v>
      </c>
      <c r="W1481" t="str">
        <f>VLOOKUP(Table_Query_from_Actuarial___Production[[#This Row],[Kor1]],$AI$3:$AK$105,3,FALSE)</f>
        <v>Misc. Expense</v>
      </c>
      <c r="X1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1"/>
      <c r="Z1481" t="s">
        <v>48</v>
      </c>
      <c r="AA1481" t="s">
        <v>262</v>
      </c>
      <c r="AB1481" t="s">
        <v>441</v>
      </c>
      <c r="AC1481" s="21">
        <v>1377.6</v>
      </c>
      <c r="AD1481" s="21" t="s">
        <v>368</v>
      </c>
      <c r="AE1481" t="str">
        <f>VLOOKUP(Table_Query_from_Actuarial___Production3[[#This Row],[Kor1]],$AI$3:$AK$105,3,FALSE)</f>
        <v>Anticipated Salvage</v>
      </c>
      <c r="AF1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2" spans="18:32" x14ac:dyDescent="0.2">
      <c r="R1482" t="s">
        <v>13</v>
      </c>
      <c r="S1482" t="s">
        <v>235</v>
      </c>
      <c r="T1482" t="s">
        <v>6</v>
      </c>
      <c r="U1482" s="21">
        <v>80994.45</v>
      </c>
      <c r="V1482" s="21" t="s">
        <v>368</v>
      </c>
      <c r="W1482" t="str">
        <f>VLOOKUP(Table_Query_from_Actuarial___Production[[#This Row],[Kor1]],$AI$3:$AK$105,3,FALSE)</f>
        <v>Operating Service Fees</v>
      </c>
      <c r="X1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2"/>
      <c r="Z1482" t="s">
        <v>20</v>
      </c>
      <c r="AA1482" t="s">
        <v>259</v>
      </c>
      <c r="AB1482" t="s">
        <v>5</v>
      </c>
      <c r="AC1482" s="21">
        <v>844.52</v>
      </c>
      <c r="AD1482" s="21" t="s">
        <v>368</v>
      </c>
      <c r="AE1482" t="str">
        <f>VLOOKUP(Table_Query_from_Actuarial___Production3[[#This Row],[Kor1]],$AI$3:$AK$105,3,FALSE)</f>
        <v>Misc. Expense</v>
      </c>
      <c r="AF1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3" spans="18:32" x14ac:dyDescent="0.2">
      <c r="R1483" t="s">
        <v>17</v>
      </c>
      <c r="S1483" t="s">
        <v>242</v>
      </c>
      <c r="T1483" t="s">
        <v>443</v>
      </c>
      <c r="U1483" s="21">
        <v>570516.31999999995</v>
      </c>
      <c r="V1483" s="21" t="s">
        <v>368</v>
      </c>
      <c r="W1483" t="str">
        <f>VLOOKUP(Table_Query_from_Actuarial___Production[[#This Row],[Kor1]],$AI$3:$AK$105,3,FALSE)</f>
        <v>IBNR</v>
      </c>
      <c r="X1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3"/>
      <c r="Z1483" t="s">
        <v>3</v>
      </c>
      <c r="AA1483" t="s">
        <v>354</v>
      </c>
      <c r="AB1483" t="s">
        <v>443</v>
      </c>
      <c r="AC1483" s="21">
        <v>608144722.75</v>
      </c>
      <c r="AD1483" s="21" t="s">
        <v>369</v>
      </c>
      <c r="AE1483" t="str">
        <f>VLOOKUP(Table_Query_from_Actuarial___Production3[[#This Row],[Kor1]],$AI$3:$AK$105,3,FALSE)</f>
        <v>Premiums Written</v>
      </c>
      <c r="AF1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484" spans="18:32" x14ac:dyDescent="0.2">
      <c r="R1484" t="s">
        <v>12</v>
      </c>
      <c r="S1484" t="s">
        <v>245</v>
      </c>
      <c r="T1484" t="s">
        <v>8</v>
      </c>
      <c r="U1484" s="21">
        <v>4421.01</v>
      </c>
      <c r="V1484" s="21" t="s">
        <v>368</v>
      </c>
      <c r="W1484" t="str">
        <f>VLOOKUP(Table_Query_from_Actuarial___Production[[#This Row],[Kor1]],$AI$3:$AK$105,3,FALSE)</f>
        <v>Premium Tax</v>
      </c>
      <c r="X1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4"/>
      <c r="Z1484" t="s">
        <v>10</v>
      </c>
      <c r="AA1484" t="s">
        <v>229</v>
      </c>
      <c r="AB1484" t="s">
        <v>6</v>
      </c>
      <c r="AC1484" s="21">
        <v>1778.5</v>
      </c>
      <c r="AD1484" s="21" t="s">
        <v>368</v>
      </c>
      <c r="AE1484" t="str">
        <f>VLOOKUP(Table_Query_from_Actuarial___Production3[[#This Row],[Kor1]],$AI$3:$AK$105,3,FALSE)</f>
        <v>Commissions</v>
      </c>
      <c r="AF1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5" spans="18:32" x14ac:dyDescent="0.2">
      <c r="R1485" t="s">
        <v>13</v>
      </c>
      <c r="S1485" t="s">
        <v>246</v>
      </c>
      <c r="T1485" t="s">
        <v>8</v>
      </c>
      <c r="U1485" s="21">
        <v>67635.839999999997</v>
      </c>
      <c r="V1485" s="21" t="s">
        <v>368</v>
      </c>
      <c r="W1485" t="str">
        <f>VLOOKUP(Table_Query_from_Actuarial___Production[[#This Row],[Kor1]],$AI$3:$AK$105,3,FALSE)</f>
        <v>Operating Service Fees</v>
      </c>
      <c r="X1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5"/>
      <c r="Z1485" t="s">
        <v>11</v>
      </c>
      <c r="AA1485" t="s">
        <v>266</v>
      </c>
      <c r="AB1485" t="s">
        <v>442</v>
      </c>
      <c r="AC1485" s="21">
        <v>116551.32</v>
      </c>
      <c r="AD1485" s="21" t="s">
        <v>368</v>
      </c>
      <c r="AE1485" t="str">
        <f>VLOOKUP(Table_Query_from_Actuarial___Production3[[#This Row],[Kor1]],$AI$3:$AK$105,3,FALSE)</f>
        <v>Losses Paid</v>
      </c>
      <c r="AF1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6" spans="18:32" x14ac:dyDescent="0.2">
      <c r="R1486" t="s">
        <v>49</v>
      </c>
      <c r="S1486" t="s">
        <v>235</v>
      </c>
      <c r="T1486" t="s">
        <v>356</v>
      </c>
      <c r="U1486" s="21">
        <v>102439.97</v>
      </c>
      <c r="V1486" s="21" t="s">
        <v>368</v>
      </c>
      <c r="W1486" t="str">
        <f>VLOOKUP(Table_Query_from_Actuarial___Production[[#This Row],[Kor1]],$AI$3:$AK$105,3,FALSE)</f>
        <v>ALAE Paid</v>
      </c>
      <c r="X1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6"/>
      <c r="Z1486" t="s">
        <v>20</v>
      </c>
      <c r="AA1486" t="s">
        <v>256</v>
      </c>
      <c r="AB1486" t="s">
        <v>8</v>
      </c>
      <c r="AC1486" s="21">
        <v>28.86</v>
      </c>
      <c r="AD1486" s="21" t="s">
        <v>368</v>
      </c>
      <c r="AE1486" t="str">
        <f>VLOOKUP(Table_Query_from_Actuarial___Production3[[#This Row],[Kor1]],$AI$3:$AK$105,3,FALSE)</f>
        <v>Misc. Expense</v>
      </c>
      <c r="AF1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7" spans="18:32" x14ac:dyDescent="0.2">
      <c r="R1487" t="s">
        <v>14</v>
      </c>
      <c r="S1487" t="s">
        <v>244</v>
      </c>
      <c r="T1487" t="s">
        <v>351</v>
      </c>
      <c r="U1487" s="21">
        <v>119487.12</v>
      </c>
      <c r="V1487" s="21" t="s">
        <v>368</v>
      </c>
      <c r="W1487" t="str">
        <f>VLOOKUP(Table_Query_from_Actuarial___Production[[#This Row],[Kor1]],$AI$3:$AK$105,3,FALSE)</f>
        <v>Claims Expense</v>
      </c>
      <c r="X1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7"/>
      <c r="Z1487" t="s">
        <v>36</v>
      </c>
      <c r="AA1487" t="s">
        <v>230</v>
      </c>
      <c r="AB1487" t="s">
        <v>356</v>
      </c>
      <c r="AC1487" s="21">
        <v>26259.279999999999</v>
      </c>
      <c r="AD1487" s="21" t="s">
        <v>368</v>
      </c>
      <c r="AE1487" t="str">
        <f>VLOOKUP(Table_Query_from_Actuarial___Production3[[#This Row],[Kor1]],$AI$3:$AK$105,3,FALSE)</f>
        <v>Misc. Expense</v>
      </c>
      <c r="AF1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8" spans="18:32" x14ac:dyDescent="0.2">
      <c r="R1488" t="s">
        <v>37</v>
      </c>
      <c r="S1488" t="s">
        <v>243</v>
      </c>
      <c r="T1488" t="s">
        <v>351</v>
      </c>
      <c r="U1488" s="21">
        <v>152.9</v>
      </c>
      <c r="V1488" s="21" t="s">
        <v>368</v>
      </c>
      <c r="W1488" t="str">
        <f>VLOOKUP(Table_Query_from_Actuarial___Production[[#This Row],[Kor1]],$AI$3:$AK$105,3,FALSE)</f>
        <v>Misc. Expense</v>
      </c>
      <c r="X1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8"/>
      <c r="Z1488" t="s">
        <v>12</v>
      </c>
      <c r="AA1488" t="s">
        <v>241</v>
      </c>
      <c r="AB1488" t="s">
        <v>8</v>
      </c>
      <c r="AC1488" s="21">
        <v>12353.78</v>
      </c>
      <c r="AD1488" s="21" t="s">
        <v>368</v>
      </c>
      <c r="AE1488" t="str">
        <f>VLOOKUP(Table_Query_from_Actuarial___Production3[[#This Row],[Kor1]],$AI$3:$AK$105,3,FALSE)</f>
        <v>Premium Tax</v>
      </c>
      <c r="AF1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89" spans="18:32" x14ac:dyDescent="0.2">
      <c r="R1489" t="s">
        <v>13</v>
      </c>
      <c r="S1489" t="s">
        <v>242</v>
      </c>
      <c r="T1489" t="s">
        <v>445</v>
      </c>
      <c r="U1489" s="21">
        <v>58399.26</v>
      </c>
      <c r="V1489" s="21" t="s">
        <v>368</v>
      </c>
      <c r="W1489" t="str">
        <f>VLOOKUP(Table_Query_from_Actuarial___Production[[#This Row],[Kor1]],$AI$3:$AK$105,3,FALSE)</f>
        <v>Operating Service Fees</v>
      </c>
      <c r="X1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89"/>
      <c r="Z1489" t="s">
        <v>31</v>
      </c>
      <c r="AA1489" t="s">
        <v>239</v>
      </c>
      <c r="AB1489" t="s">
        <v>5</v>
      </c>
      <c r="AC1489" s="21">
        <v>-1188.32</v>
      </c>
      <c r="AD1489" s="21" t="s">
        <v>368</v>
      </c>
      <c r="AE1489" t="str">
        <f>VLOOKUP(Table_Query_from_Actuarial___Production3[[#This Row],[Kor1]],$AI$3:$AK$105,3,FALSE)</f>
        <v>Misc. Expense</v>
      </c>
      <c r="AF1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0" spans="18:32" x14ac:dyDescent="0.2">
      <c r="R1490" t="s">
        <v>3</v>
      </c>
      <c r="S1490" t="s">
        <v>224</v>
      </c>
      <c r="T1490" t="s">
        <v>6</v>
      </c>
      <c r="U1490" s="21">
        <v>121166.69</v>
      </c>
      <c r="V1490" s="21" t="s">
        <v>369</v>
      </c>
      <c r="W1490" t="str">
        <f>VLOOKUP(Table_Query_from_Actuarial___Production[[#This Row],[Kor1]],$AI$3:$AK$105,3,FALSE)</f>
        <v>Premiums Written</v>
      </c>
      <c r="X1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490"/>
      <c r="Z1490" t="s">
        <v>11</v>
      </c>
      <c r="AA1490" t="s">
        <v>354</v>
      </c>
      <c r="AB1490" t="s">
        <v>5</v>
      </c>
      <c r="AC1490" s="21">
        <v>41443043.369999997</v>
      </c>
      <c r="AD1490" s="21" t="s">
        <v>368</v>
      </c>
      <c r="AE1490" t="str">
        <f>VLOOKUP(Table_Query_from_Actuarial___Production3[[#This Row],[Kor1]],$AI$3:$AK$105,3,FALSE)</f>
        <v>Losses Paid</v>
      </c>
      <c r="AF1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491" spans="18:32" x14ac:dyDescent="0.2">
      <c r="R1491" t="s">
        <v>14</v>
      </c>
      <c r="S1491" t="s">
        <v>224</v>
      </c>
      <c r="T1491" t="s">
        <v>443</v>
      </c>
      <c r="U1491" s="21">
        <v>9918.26</v>
      </c>
      <c r="V1491" s="21" t="s">
        <v>369</v>
      </c>
      <c r="W1491" t="str">
        <f>VLOOKUP(Table_Query_from_Actuarial___Production[[#This Row],[Kor1]],$AI$3:$AK$105,3,FALSE)</f>
        <v>Claims Expense</v>
      </c>
      <c r="X1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491"/>
      <c r="Z1491" t="s">
        <v>18</v>
      </c>
      <c r="AA1491" t="s">
        <v>225</v>
      </c>
      <c r="AB1491" t="s">
        <v>441</v>
      </c>
      <c r="AC1491" s="21">
        <v>406447.96</v>
      </c>
      <c r="AD1491" s="21" t="s">
        <v>369</v>
      </c>
      <c r="AE1491" t="str">
        <f>VLOOKUP(Table_Query_from_Actuarial___Production3[[#This Row],[Kor1]],$AI$3:$AK$105,3,FALSE)</f>
        <v>Misc. Expense</v>
      </c>
      <c r="AF1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492" spans="18:32" x14ac:dyDescent="0.2">
      <c r="R1492" t="s">
        <v>11</v>
      </c>
      <c r="S1492" t="s">
        <v>229</v>
      </c>
      <c r="T1492" t="s">
        <v>433</v>
      </c>
      <c r="U1492" s="21">
        <v>56675.55</v>
      </c>
      <c r="V1492" s="21" t="s">
        <v>368</v>
      </c>
      <c r="W1492" t="str">
        <f>VLOOKUP(Table_Query_from_Actuarial___Production[[#This Row],[Kor1]],$AI$3:$AK$105,3,FALSE)</f>
        <v>Losses Paid</v>
      </c>
      <c r="X1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2"/>
      <c r="Z1492" t="s">
        <v>37</v>
      </c>
      <c r="AA1492" t="s">
        <v>250</v>
      </c>
      <c r="AB1492" t="s">
        <v>6</v>
      </c>
      <c r="AC1492" s="21">
        <v>1104.79</v>
      </c>
      <c r="AD1492" s="21" t="s">
        <v>368</v>
      </c>
      <c r="AE1492" t="str">
        <f>VLOOKUP(Table_Query_from_Actuarial___Production3[[#This Row],[Kor1]],$AI$3:$AK$105,3,FALSE)</f>
        <v>Misc. Expense</v>
      </c>
      <c r="AF1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3" spans="18:32" x14ac:dyDescent="0.2">
      <c r="R1493" t="s">
        <v>20</v>
      </c>
      <c r="S1493" t="s">
        <v>265</v>
      </c>
      <c r="T1493" t="s">
        <v>427</v>
      </c>
      <c r="U1493" s="21">
        <v>255.33</v>
      </c>
      <c r="V1493" s="21" t="s">
        <v>368</v>
      </c>
      <c r="W1493" t="str">
        <f>VLOOKUP(Table_Query_from_Actuarial___Production[[#This Row],[Kor1]],$AI$3:$AK$105,3,FALSE)</f>
        <v>Misc. Expense</v>
      </c>
      <c r="X1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3"/>
      <c r="Z1493" t="s">
        <v>38</v>
      </c>
      <c r="AA1493" t="s">
        <v>225</v>
      </c>
      <c r="AB1493" t="s">
        <v>441</v>
      </c>
      <c r="AC1493" s="21">
        <v>1118474.9099999999</v>
      </c>
      <c r="AD1493" s="21" t="s">
        <v>368</v>
      </c>
      <c r="AE1493" t="str">
        <f>VLOOKUP(Table_Query_from_Actuarial___Production3[[#This Row],[Kor1]],$AI$3:$AK$105,3,FALSE)</f>
        <v>Misc. Income</v>
      </c>
      <c r="AF1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494" spans="18:32" x14ac:dyDescent="0.2">
      <c r="R1494" t="s">
        <v>38</v>
      </c>
      <c r="S1494" t="s">
        <v>224</v>
      </c>
      <c r="T1494" t="s">
        <v>442</v>
      </c>
      <c r="U1494" s="21">
        <v>5589.3</v>
      </c>
      <c r="V1494" s="21" t="s">
        <v>425</v>
      </c>
      <c r="W1494" t="str">
        <f>VLOOKUP(Table_Query_from_Actuarial___Production[[#This Row],[Kor1]],$AI$3:$AK$105,3,FALSE)</f>
        <v>Misc. Income</v>
      </c>
      <c r="X1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494"/>
      <c r="Z1494" t="s">
        <v>10</v>
      </c>
      <c r="AA1494" t="s">
        <v>248</v>
      </c>
      <c r="AB1494" t="s">
        <v>5</v>
      </c>
      <c r="AC1494" s="21">
        <v>2219.9499999999998</v>
      </c>
      <c r="AD1494" s="21" t="s">
        <v>368</v>
      </c>
      <c r="AE1494" t="str">
        <f>VLOOKUP(Table_Query_from_Actuarial___Production3[[#This Row],[Kor1]],$AI$3:$AK$105,3,FALSE)</f>
        <v>Commissions</v>
      </c>
      <c r="AF1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5" spans="18:32" x14ac:dyDescent="0.2">
      <c r="R1495" t="s">
        <v>23</v>
      </c>
      <c r="S1495" t="s">
        <v>259</v>
      </c>
      <c r="T1495" t="s">
        <v>356</v>
      </c>
      <c r="U1495" s="21">
        <v>6220.97</v>
      </c>
      <c r="V1495" s="21" t="s">
        <v>368</v>
      </c>
      <c r="W1495" t="str">
        <f>VLOOKUP(Table_Query_from_Actuarial___Production[[#This Row],[Kor1]],$AI$3:$AK$105,3,FALSE)</f>
        <v>Misc. Expense</v>
      </c>
      <c r="X1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5"/>
      <c r="Z1495" t="s">
        <v>12</v>
      </c>
      <c r="AA1495" t="s">
        <v>258</v>
      </c>
      <c r="AB1495" t="s">
        <v>443</v>
      </c>
      <c r="AC1495" s="21">
        <v>24330.66</v>
      </c>
      <c r="AD1495" s="21" t="s">
        <v>368</v>
      </c>
      <c r="AE1495" t="str">
        <f>VLOOKUP(Table_Query_from_Actuarial___Production3[[#This Row],[Kor1]],$AI$3:$AK$105,3,FALSE)</f>
        <v>Premium Tax</v>
      </c>
      <c r="AF1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6" spans="18:32" x14ac:dyDescent="0.2">
      <c r="R1496" t="s">
        <v>37</v>
      </c>
      <c r="S1496" t="s">
        <v>241</v>
      </c>
      <c r="T1496" t="s">
        <v>8</v>
      </c>
      <c r="U1496" s="21">
        <v>236.29</v>
      </c>
      <c r="V1496" s="21" t="s">
        <v>368</v>
      </c>
      <c r="W1496" t="str">
        <f>VLOOKUP(Table_Query_from_Actuarial___Production[[#This Row],[Kor1]],$AI$3:$AK$105,3,FALSE)</f>
        <v>Misc. Expense</v>
      </c>
      <c r="X1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6"/>
      <c r="Z1496" t="s">
        <v>41</v>
      </c>
      <c r="AA1496" t="s">
        <v>266</v>
      </c>
      <c r="AB1496" t="s">
        <v>443</v>
      </c>
      <c r="AC1496" s="21">
        <v>50</v>
      </c>
      <c r="AD1496" s="21" t="s">
        <v>368</v>
      </c>
      <c r="AE1496" t="str">
        <f>VLOOKUP(Table_Query_from_Actuarial___Production3[[#This Row],[Kor1]],$AI$3:$AK$105,3,FALSE)</f>
        <v>Misc. Income</v>
      </c>
      <c r="AF1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7" spans="18:32" x14ac:dyDescent="0.2">
      <c r="R1497" t="s">
        <v>40</v>
      </c>
      <c r="S1497" t="s">
        <v>254</v>
      </c>
      <c r="T1497" t="s">
        <v>442</v>
      </c>
      <c r="U1497" s="21">
        <v>258.14999999999998</v>
      </c>
      <c r="V1497" s="21" t="s">
        <v>368</v>
      </c>
      <c r="W1497" t="str">
        <f>VLOOKUP(Table_Query_from_Actuarial___Production[[#This Row],[Kor1]],$AI$3:$AK$105,3,FALSE)</f>
        <v>Misc. Income</v>
      </c>
      <c r="X1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7"/>
      <c r="Z1497" t="s">
        <v>44</v>
      </c>
      <c r="AA1497" t="s">
        <v>262</v>
      </c>
      <c r="AB1497" t="s">
        <v>441</v>
      </c>
      <c r="AC1497" s="21">
        <v>26</v>
      </c>
      <c r="AD1497" s="21" t="s">
        <v>368</v>
      </c>
      <c r="AE1497" t="str">
        <f>VLOOKUP(Table_Query_from_Actuarial___Production3[[#This Row],[Kor1]],$AI$3:$AK$105,3,FALSE)</f>
        <v>Charge-offs</v>
      </c>
      <c r="AF1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8" spans="18:32" x14ac:dyDescent="0.2">
      <c r="R1498" t="s">
        <v>37</v>
      </c>
      <c r="S1498" t="s">
        <v>262</v>
      </c>
      <c r="T1498" t="s">
        <v>443</v>
      </c>
      <c r="U1498" s="21">
        <v>870.2</v>
      </c>
      <c r="V1498" s="21" t="s">
        <v>368</v>
      </c>
      <c r="W1498" t="str">
        <f>VLOOKUP(Table_Query_from_Actuarial___Production[[#This Row],[Kor1]],$AI$3:$AK$105,3,FALSE)</f>
        <v>Misc. Expense</v>
      </c>
      <c r="X1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8"/>
      <c r="Z1498" t="s">
        <v>47</v>
      </c>
      <c r="AA1498" t="s">
        <v>268</v>
      </c>
      <c r="AB1498" t="s">
        <v>442</v>
      </c>
      <c r="AC1498" s="21">
        <v>879.91</v>
      </c>
      <c r="AD1498" s="21" t="s">
        <v>368</v>
      </c>
      <c r="AE1498" t="str">
        <f>VLOOKUP(Table_Query_from_Actuarial___Production3[[#This Row],[Kor1]],$AI$3:$AK$105,3,FALSE)</f>
        <v>Investment Income</v>
      </c>
      <c r="AF1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499" spans="18:32" x14ac:dyDescent="0.2">
      <c r="R1499" t="s">
        <v>10</v>
      </c>
      <c r="S1499" t="s">
        <v>239</v>
      </c>
      <c r="T1499" t="s">
        <v>8</v>
      </c>
      <c r="U1499" s="21">
        <v>16625.400000000001</v>
      </c>
      <c r="V1499" s="21" t="s">
        <v>368</v>
      </c>
      <c r="W1499" t="str">
        <f>VLOOKUP(Table_Query_from_Actuarial___Production[[#This Row],[Kor1]],$AI$3:$AK$105,3,FALSE)</f>
        <v>Commissions</v>
      </c>
      <c r="X1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499"/>
      <c r="Z1499" t="s">
        <v>17</v>
      </c>
      <c r="AA1499" t="s">
        <v>248</v>
      </c>
      <c r="AB1499" t="s">
        <v>441</v>
      </c>
      <c r="AC1499" s="21">
        <v>64103.4</v>
      </c>
      <c r="AD1499" s="21" t="s">
        <v>368</v>
      </c>
      <c r="AE1499" t="str">
        <f>VLOOKUP(Table_Query_from_Actuarial___Production3[[#This Row],[Kor1]],$AI$3:$AK$105,3,FALSE)</f>
        <v>IBNR</v>
      </c>
      <c r="AF1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0" spans="18:32" x14ac:dyDescent="0.2">
      <c r="R1500" t="s">
        <v>14</v>
      </c>
      <c r="S1500" t="s">
        <v>264</v>
      </c>
      <c r="T1500" t="s">
        <v>445</v>
      </c>
      <c r="U1500" s="21">
        <v>25124.560000000001</v>
      </c>
      <c r="V1500" s="21" t="s">
        <v>368</v>
      </c>
      <c r="W1500" t="str">
        <f>VLOOKUP(Table_Query_from_Actuarial___Production[[#This Row],[Kor1]],$AI$3:$AK$105,3,FALSE)</f>
        <v>Claims Expense</v>
      </c>
      <c r="X1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0"/>
      <c r="Z1500" t="s">
        <v>46</v>
      </c>
      <c r="AA1500" t="s">
        <v>354</v>
      </c>
      <c r="AB1500" t="s">
        <v>442</v>
      </c>
      <c r="AC1500" s="21">
        <v>1910881.48</v>
      </c>
      <c r="AD1500" s="21" t="s">
        <v>368</v>
      </c>
      <c r="AE1500" t="str">
        <f>VLOOKUP(Table_Query_from_Actuarial___Production3[[#This Row],[Kor1]],$AI$3:$AK$105,3,FALSE)</f>
        <v>Investment Income</v>
      </c>
      <c r="AF1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501" spans="18:32" x14ac:dyDescent="0.2">
      <c r="R1501" t="s">
        <v>29</v>
      </c>
      <c r="S1501" t="s">
        <v>238</v>
      </c>
      <c r="T1501" t="s">
        <v>433</v>
      </c>
      <c r="U1501" s="21">
        <v>257183.76</v>
      </c>
      <c r="V1501" s="21" t="s">
        <v>368</v>
      </c>
      <c r="W1501" t="str">
        <f>VLOOKUP(Table_Query_from_Actuarial___Production[[#This Row],[Kor1]],$AI$3:$AK$105,3,FALSE)</f>
        <v>Misc. Expense</v>
      </c>
      <c r="X1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1"/>
      <c r="Z1501" t="s">
        <v>49</v>
      </c>
      <c r="AA1501" t="s">
        <v>233</v>
      </c>
      <c r="AB1501" t="s">
        <v>356</v>
      </c>
      <c r="AC1501" s="21">
        <v>1706</v>
      </c>
      <c r="AD1501" s="21" t="s">
        <v>368</v>
      </c>
      <c r="AE1501" t="str">
        <f>VLOOKUP(Table_Query_from_Actuarial___Production3[[#This Row],[Kor1]],$AI$3:$AK$105,3,FALSE)</f>
        <v>ALAE Paid</v>
      </c>
      <c r="AF1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2" spans="18:32" x14ac:dyDescent="0.2">
      <c r="R1502" t="s">
        <v>41</v>
      </c>
      <c r="S1502" t="s">
        <v>247</v>
      </c>
      <c r="T1502" t="s">
        <v>427</v>
      </c>
      <c r="U1502" s="21">
        <v>50</v>
      </c>
      <c r="V1502" s="21" t="s">
        <v>368</v>
      </c>
      <c r="W1502" t="str">
        <f>VLOOKUP(Table_Query_from_Actuarial___Production[[#This Row],[Kor1]],$AI$3:$AK$105,3,FALSE)</f>
        <v>Misc. Income</v>
      </c>
      <c r="X1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2"/>
      <c r="Z1502" t="s">
        <v>41</v>
      </c>
      <c r="AA1502" t="s">
        <v>241</v>
      </c>
      <c r="AB1502" t="s">
        <v>5</v>
      </c>
      <c r="AC1502" s="21">
        <v>408.44</v>
      </c>
      <c r="AD1502" s="21" t="s">
        <v>368</v>
      </c>
      <c r="AE1502" t="str">
        <f>VLOOKUP(Table_Query_from_Actuarial___Production3[[#This Row],[Kor1]],$AI$3:$AK$105,3,FALSE)</f>
        <v>Misc. Income</v>
      </c>
      <c r="AF1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3" spans="18:32" x14ac:dyDescent="0.2">
      <c r="R1503" t="s">
        <v>33</v>
      </c>
      <c r="S1503" t="s">
        <v>255</v>
      </c>
      <c r="T1503" t="s">
        <v>443</v>
      </c>
      <c r="U1503" s="21">
        <v>16434.099999999999</v>
      </c>
      <c r="V1503" s="21" t="s">
        <v>368</v>
      </c>
      <c r="W1503" t="str">
        <f>VLOOKUP(Table_Query_from_Actuarial___Production[[#This Row],[Kor1]],$AI$3:$AK$105,3,FALSE)</f>
        <v>Misc. Expense</v>
      </c>
      <c r="X1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3"/>
      <c r="Z1503" t="s">
        <v>48</v>
      </c>
      <c r="AA1503" t="s">
        <v>253</v>
      </c>
      <c r="AB1503" t="s">
        <v>441</v>
      </c>
      <c r="AC1503" s="21">
        <v>20.76</v>
      </c>
      <c r="AD1503" s="21" t="s">
        <v>368</v>
      </c>
      <c r="AE1503" t="str">
        <f>VLOOKUP(Table_Query_from_Actuarial___Production3[[#This Row],[Kor1]],$AI$3:$AK$105,3,FALSE)</f>
        <v>Anticipated Salvage</v>
      </c>
      <c r="AF1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4" spans="18:32" x14ac:dyDescent="0.2">
      <c r="R1504" t="s">
        <v>47</v>
      </c>
      <c r="S1504" t="s">
        <v>261</v>
      </c>
      <c r="T1504" t="s">
        <v>427</v>
      </c>
      <c r="U1504" s="21">
        <v>4079.83</v>
      </c>
      <c r="V1504" s="21" t="s">
        <v>368</v>
      </c>
      <c r="W1504" t="str">
        <f>VLOOKUP(Table_Query_from_Actuarial___Production[[#This Row],[Kor1]],$AI$3:$AK$105,3,FALSE)</f>
        <v>Investment Income</v>
      </c>
      <c r="X1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4"/>
      <c r="Z1504" t="s">
        <v>49</v>
      </c>
      <c r="AA1504" t="s">
        <v>258</v>
      </c>
      <c r="AB1504" t="s">
        <v>351</v>
      </c>
      <c r="AC1504" s="21">
        <v>39748.550000000003</v>
      </c>
      <c r="AD1504" s="21" t="s">
        <v>368</v>
      </c>
      <c r="AE1504" t="str">
        <f>VLOOKUP(Table_Query_from_Actuarial___Production3[[#This Row],[Kor1]],$AI$3:$AK$105,3,FALSE)</f>
        <v>ALAE Paid</v>
      </c>
      <c r="AF1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5" spans="18:32" x14ac:dyDescent="0.2">
      <c r="R1505" t="s">
        <v>33</v>
      </c>
      <c r="S1505" t="s">
        <v>227</v>
      </c>
      <c r="T1505" t="s">
        <v>351</v>
      </c>
      <c r="U1505" s="21">
        <v>15356.74</v>
      </c>
      <c r="V1505" s="21" t="s">
        <v>368</v>
      </c>
      <c r="W1505" t="str">
        <f>VLOOKUP(Table_Query_from_Actuarial___Production[[#This Row],[Kor1]],$AI$3:$AK$105,3,FALSE)</f>
        <v>Misc. Expense</v>
      </c>
      <c r="X1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5"/>
      <c r="Z1505" t="s">
        <v>14</v>
      </c>
      <c r="AA1505" t="s">
        <v>225</v>
      </c>
      <c r="AB1505" t="s">
        <v>7</v>
      </c>
      <c r="AC1505" s="21">
        <v>190311</v>
      </c>
      <c r="AD1505" s="21" t="s">
        <v>369</v>
      </c>
      <c r="AE1505" t="str">
        <f>VLOOKUP(Table_Query_from_Actuarial___Production3[[#This Row],[Kor1]],$AI$3:$AK$105,3,FALSE)</f>
        <v>Claims Expense</v>
      </c>
      <c r="AF1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506" spans="18:32" x14ac:dyDescent="0.2">
      <c r="R1506" t="s">
        <v>39</v>
      </c>
      <c r="S1506" t="s">
        <v>236</v>
      </c>
      <c r="T1506" t="s">
        <v>8</v>
      </c>
      <c r="U1506" s="21">
        <v>143</v>
      </c>
      <c r="V1506" s="21" t="s">
        <v>368</v>
      </c>
      <c r="W1506" t="str">
        <f>VLOOKUP(Table_Query_from_Actuarial___Production[[#This Row],[Kor1]],$AI$3:$AK$105,3,FALSE)</f>
        <v>Misc. Income for Insolvent Companies</v>
      </c>
      <c r="X1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6"/>
      <c r="Z1506" t="s">
        <v>33</v>
      </c>
      <c r="AA1506" t="s">
        <v>254</v>
      </c>
      <c r="AB1506" t="s">
        <v>8</v>
      </c>
      <c r="AC1506" s="21">
        <v>15104.12</v>
      </c>
      <c r="AD1506" s="21" t="s">
        <v>368</v>
      </c>
      <c r="AE1506" t="str">
        <f>VLOOKUP(Table_Query_from_Actuarial___Production3[[#This Row],[Kor1]],$AI$3:$AK$105,3,FALSE)</f>
        <v>Misc. Expense</v>
      </c>
      <c r="AF1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7" spans="18:32" x14ac:dyDescent="0.2">
      <c r="R1507" t="s">
        <v>43</v>
      </c>
      <c r="S1507" t="s">
        <v>228</v>
      </c>
      <c r="T1507" t="s">
        <v>433</v>
      </c>
      <c r="U1507" s="21">
        <v>367.49</v>
      </c>
      <c r="V1507" s="21" t="s">
        <v>368</v>
      </c>
      <c r="W1507" t="str">
        <f>VLOOKUP(Table_Query_from_Actuarial___Production[[#This Row],[Kor1]],$AI$3:$AK$105,3,FALSE)</f>
        <v>Charge-offs</v>
      </c>
      <c r="X1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7"/>
      <c r="Z1507" t="s">
        <v>11</v>
      </c>
      <c r="AA1507" t="s">
        <v>239</v>
      </c>
      <c r="AB1507" t="s">
        <v>442</v>
      </c>
      <c r="AC1507" s="21">
        <v>1829269.52</v>
      </c>
      <c r="AD1507" s="21" t="s">
        <v>368</v>
      </c>
      <c r="AE1507" t="str">
        <f>VLOOKUP(Table_Query_from_Actuarial___Production3[[#This Row],[Kor1]],$AI$3:$AK$105,3,FALSE)</f>
        <v>Losses Paid</v>
      </c>
      <c r="AF1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8" spans="18:32" x14ac:dyDescent="0.2">
      <c r="R1508" t="s">
        <v>37</v>
      </c>
      <c r="S1508" t="s">
        <v>233</v>
      </c>
      <c r="T1508" t="s">
        <v>8</v>
      </c>
      <c r="U1508" s="21">
        <v>247.76</v>
      </c>
      <c r="V1508" s="21" t="s">
        <v>368</v>
      </c>
      <c r="W1508" t="str">
        <f>VLOOKUP(Table_Query_from_Actuarial___Production[[#This Row],[Kor1]],$AI$3:$AK$105,3,FALSE)</f>
        <v>Misc. Expense</v>
      </c>
      <c r="X1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08"/>
      <c r="Z1508" t="s">
        <v>49</v>
      </c>
      <c r="AA1508" t="s">
        <v>257</v>
      </c>
      <c r="AB1508" t="s">
        <v>441</v>
      </c>
      <c r="AC1508" s="21">
        <v>7097</v>
      </c>
      <c r="AD1508" s="21" t="s">
        <v>368</v>
      </c>
      <c r="AE1508" t="str">
        <f>VLOOKUP(Table_Query_from_Actuarial___Production3[[#This Row],[Kor1]],$AI$3:$AK$105,3,FALSE)</f>
        <v>ALAE Paid</v>
      </c>
      <c r="AF1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09" spans="18:32" x14ac:dyDescent="0.2">
      <c r="R1509" t="s">
        <v>43</v>
      </c>
      <c r="S1509" t="s">
        <v>224</v>
      </c>
      <c r="T1509" t="s">
        <v>441</v>
      </c>
      <c r="U1509" s="21">
        <v>9.7899999999999991</v>
      </c>
      <c r="V1509" s="21" t="s">
        <v>369</v>
      </c>
      <c r="W1509" t="str">
        <f>VLOOKUP(Table_Query_from_Actuarial___Production[[#This Row],[Kor1]],$AI$3:$AK$105,3,FALSE)</f>
        <v>Charge-offs</v>
      </c>
      <c r="X1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09"/>
      <c r="Z1509" t="s">
        <v>12</v>
      </c>
      <c r="AA1509" t="s">
        <v>257</v>
      </c>
      <c r="AB1509" t="s">
        <v>441</v>
      </c>
      <c r="AC1509" s="21">
        <v>49694.95</v>
      </c>
      <c r="AD1509" s="21" t="s">
        <v>368</v>
      </c>
      <c r="AE1509" t="str">
        <f>VLOOKUP(Table_Query_from_Actuarial___Production3[[#This Row],[Kor1]],$AI$3:$AK$105,3,FALSE)</f>
        <v>Premium Tax</v>
      </c>
      <c r="AF1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0" spans="18:32" x14ac:dyDescent="0.2">
      <c r="R1510" t="s">
        <v>31</v>
      </c>
      <c r="S1510" t="s">
        <v>235</v>
      </c>
      <c r="T1510" t="s">
        <v>427</v>
      </c>
      <c r="U1510" s="21">
        <v>545.57000000000005</v>
      </c>
      <c r="V1510" s="21" t="s">
        <v>368</v>
      </c>
      <c r="W1510" t="str">
        <f>VLOOKUP(Table_Query_from_Actuarial___Production[[#This Row],[Kor1]],$AI$3:$AK$105,3,FALSE)</f>
        <v>Misc. Expense</v>
      </c>
      <c r="X1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0"/>
      <c r="Z1510" t="s">
        <v>31</v>
      </c>
      <c r="AA1510" t="s">
        <v>248</v>
      </c>
      <c r="AB1510" t="s">
        <v>8</v>
      </c>
      <c r="AC1510" s="21">
        <v>474.98</v>
      </c>
      <c r="AD1510" s="21" t="s">
        <v>368</v>
      </c>
      <c r="AE1510" t="str">
        <f>VLOOKUP(Table_Query_from_Actuarial___Production3[[#This Row],[Kor1]],$AI$3:$AK$105,3,FALSE)</f>
        <v>Misc. Expense</v>
      </c>
      <c r="AF1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1" spans="18:32" x14ac:dyDescent="0.2">
      <c r="R1511" t="s">
        <v>46</v>
      </c>
      <c r="S1511" t="s">
        <v>226</v>
      </c>
      <c r="T1511" t="s">
        <v>9</v>
      </c>
      <c r="U1511" s="21">
        <v>3517.98</v>
      </c>
      <c r="V1511" s="21" t="s">
        <v>368</v>
      </c>
      <c r="W1511" t="str">
        <f>VLOOKUP(Table_Query_from_Actuarial___Production[[#This Row],[Kor1]],$AI$3:$AK$105,3,FALSE)</f>
        <v>Investment Income</v>
      </c>
      <c r="X1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511"/>
      <c r="Z1511" t="s">
        <v>27</v>
      </c>
      <c r="AA1511" t="s">
        <v>259</v>
      </c>
      <c r="AB1511" t="s">
        <v>351</v>
      </c>
      <c r="AC1511" s="21">
        <v>155.41</v>
      </c>
      <c r="AD1511" s="21" t="s">
        <v>368</v>
      </c>
      <c r="AE1511" t="str">
        <f>VLOOKUP(Table_Query_from_Actuarial___Production3[[#This Row],[Kor1]],$AI$3:$AK$105,3,FALSE)</f>
        <v>Misc. Expense</v>
      </c>
      <c r="AF1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2" spans="18:32" x14ac:dyDescent="0.2">
      <c r="R1512" t="s">
        <v>21</v>
      </c>
      <c r="S1512" t="s">
        <v>252</v>
      </c>
      <c r="T1512" t="s">
        <v>6</v>
      </c>
      <c r="U1512" s="21">
        <v>20385.400000000001</v>
      </c>
      <c r="V1512" s="21" t="s">
        <v>368</v>
      </c>
      <c r="W1512" t="str">
        <f>VLOOKUP(Table_Query_from_Actuarial___Production[[#This Row],[Kor1]],$AI$3:$AK$105,3,FALSE)</f>
        <v>Misc. Expense</v>
      </c>
      <c r="X1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2"/>
      <c r="Z1512" t="s">
        <v>33</v>
      </c>
      <c r="AA1512" t="s">
        <v>255</v>
      </c>
      <c r="AB1512" t="s">
        <v>427</v>
      </c>
      <c r="AC1512" s="21">
        <v>12496.1</v>
      </c>
      <c r="AD1512" s="21" t="s">
        <v>368</v>
      </c>
      <c r="AE1512" t="str">
        <f>VLOOKUP(Table_Query_from_Actuarial___Production3[[#This Row],[Kor1]],$AI$3:$AK$105,3,FALSE)</f>
        <v>Misc. Expense</v>
      </c>
      <c r="AF1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3" spans="18:32" x14ac:dyDescent="0.2">
      <c r="R1513" t="s">
        <v>444</v>
      </c>
      <c r="S1513" t="s">
        <v>236</v>
      </c>
      <c r="T1513" t="s">
        <v>443</v>
      </c>
      <c r="U1513" s="21">
        <v>10167.81</v>
      </c>
      <c r="V1513" s="21" t="s">
        <v>368</v>
      </c>
      <c r="W1513" t="str">
        <f>VLOOKUP(Table_Query_from_Actuarial___Production[[#This Row],[Kor1]],$AI$3:$AK$105,3,FALSE)</f>
        <v>Misc. Expense</v>
      </c>
      <c r="X1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3"/>
      <c r="Z1513" t="s">
        <v>13</v>
      </c>
      <c r="AA1513" t="s">
        <v>235</v>
      </c>
      <c r="AB1513" t="s">
        <v>6</v>
      </c>
      <c r="AC1513" s="21">
        <v>80994.45</v>
      </c>
      <c r="AD1513" s="21" t="s">
        <v>368</v>
      </c>
      <c r="AE1513" t="str">
        <f>VLOOKUP(Table_Query_from_Actuarial___Production3[[#This Row],[Kor1]],$AI$3:$AK$105,3,FALSE)</f>
        <v>Operating Service Fees</v>
      </c>
      <c r="AF1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4" spans="18:32" x14ac:dyDescent="0.2">
      <c r="R1514" t="s">
        <v>77</v>
      </c>
      <c r="S1514" t="s">
        <v>252</v>
      </c>
      <c r="T1514" t="s">
        <v>443</v>
      </c>
      <c r="U1514" s="21">
        <v>684655</v>
      </c>
      <c r="V1514" s="21" t="s">
        <v>368</v>
      </c>
      <c r="W1514" t="str">
        <f>VLOOKUP(Table_Query_from_Actuarial___Production[[#This Row],[Kor1]],$AI$3:$AK$105,3,FALSE)</f>
        <v>PDR</v>
      </c>
      <c r="X1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4"/>
      <c r="Z1514" t="s">
        <v>17</v>
      </c>
      <c r="AA1514" t="s">
        <v>242</v>
      </c>
      <c r="AB1514" t="s">
        <v>443</v>
      </c>
      <c r="AC1514" s="21">
        <v>13289.52</v>
      </c>
      <c r="AD1514" s="21" t="s">
        <v>368</v>
      </c>
      <c r="AE1514" t="str">
        <f>VLOOKUP(Table_Query_from_Actuarial___Production3[[#This Row],[Kor1]],$AI$3:$AK$105,3,FALSE)</f>
        <v>IBNR</v>
      </c>
      <c r="AF1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5" spans="18:32" x14ac:dyDescent="0.2">
      <c r="R1515" t="s">
        <v>14</v>
      </c>
      <c r="S1515" t="s">
        <v>224</v>
      </c>
      <c r="T1515" t="s">
        <v>427</v>
      </c>
      <c r="U1515" s="21">
        <v>13928.56</v>
      </c>
      <c r="V1515" s="21" t="s">
        <v>369</v>
      </c>
      <c r="W1515" t="str">
        <f>VLOOKUP(Table_Query_from_Actuarial___Production[[#This Row],[Kor1]],$AI$3:$AK$105,3,FALSE)</f>
        <v>Claims Expense</v>
      </c>
      <c r="X1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15"/>
      <c r="Z1515" t="s">
        <v>12</v>
      </c>
      <c r="AA1515" t="s">
        <v>245</v>
      </c>
      <c r="AB1515" t="s">
        <v>8</v>
      </c>
      <c r="AC1515" s="21">
        <v>4421.01</v>
      </c>
      <c r="AD1515" s="21" t="s">
        <v>368</v>
      </c>
      <c r="AE1515" t="str">
        <f>VLOOKUP(Table_Query_from_Actuarial___Production3[[#This Row],[Kor1]],$AI$3:$AK$105,3,FALSE)</f>
        <v>Premium Tax</v>
      </c>
      <c r="AF1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6" spans="18:32" x14ac:dyDescent="0.2">
      <c r="R1516" t="s">
        <v>10</v>
      </c>
      <c r="S1516" t="s">
        <v>267</v>
      </c>
      <c r="T1516" t="s">
        <v>7</v>
      </c>
      <c r="U1516" s="21">
        <v>10006.44</v>
      </c>
      <c r="V1516" s="21" t="s">
        <v>368</v>
      </c>
      <c r="W1516" t="str">
        <f>VLOOKUP(Table_Query_from_Actuarial___Production[[#This Row],[Kor1]],$AI$3:$AK$105,3,FALSE)</f>
        <v>Commissions</v>
      </c>
      <c r="X1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6"/>
      <c r="Z1516" t="s">
        <v>13</v>
      </c>
      <c r="AA1516" t="s">
        <v>246</v>
      </c>
      <c r="AB1516" t="s">
        <v>8</v>
      </c>
      <c r="AC1516" s="21">
        <v>67635.839999999997</v>
      </c>
      <c r="AD1516" s="21" t="s">
        <v>368</v>
      </c>
      <c r="AE1516" t="str">
        <f>VLOOKUP(Table_Query_from_Actuarial___Production3[[#This Row],[Kor1]],$AI$3:$AK$105,3,FALSE)</f>
        <v>Operating Service Fees</v>
      </c>
      <c r="AF1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7" spans="18:32" x14ac:dyDescent="0.2">
      <c r="R1517" t="s">
        <v>3</v>
      </c>
      <c r="S1517" t="s">
        <v>247</v>
      </c>
      <c r="T1517" t="s">
        <v>442</v>
      </c>
      <c r="U1517" s="21">
        <v>6574</v>
      </c>
      <c r="V1517" s="21" t="s">
        <v>368</v>
      </c>
      <c r="W1517" t="str">
        <f>VLOOKUP(Table_Query_from_Actuarial___Production[[#This Row],[Kor1]],$AI$3:$AK$105,3,FALSE)</f>
        <v>Premiums Written</v>
      </c>
      <c r="X1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7"/>
      <c r="Z1517" t="s">
        <v>49</v>
      </c>
      <c r="AA1517" t="s">
        <v>235</v>
      </c>
      <c r="AB1517" t="s">
        <v>356</v>
      </c>
      <c r="AC1517" s="21">
        <v>93061.99</v>
      </c>
      <c r="AD1517" s="21" t="s">
        <v>368</v>
      </c>
      <c r="AE1517" t="str">
        <f>VLOOKUP(Table_Query_from_Actuarial___Production3[[#This Row],[Kor1]],$AI$3:$AK$105,3,FALSE)</f>
        <v>ALAE Paid</v>
      </c>
      <c r="AF1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8" spans="18:32" x14ac:dyDescent="0.2">
      <c r="R1518" t="s">
        <v>44</v>
      </c>
      <c r="S1518" t="s">
        <v>244</v>
      </c>
      <c r="T1518" t="s">
        <v>8</v>
      </c>
      <c r="U1518" s="21">
        <v>6384.35</v>
      </c>
      <c r="V1518" s="21" t="s">
        <v>368</v>
      </c>
      <c r="W1518" t="str">
        <f>VLOOKUP(Table_Query_from_Actuarial___Production[[#This Row],[Kor1]],$AI$3:$AK$105,3,FALSE)</f>
        <v>Charge-offs</v>
      </c>
      <c r="X1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8"/>
      <c r="Z1518" t="s">
        <v>14</v>
      </c>
      <c r="AA1518" t="s">
        <v>244</v>
      </c>
      <c r="AB1518" t="s">
        <v>351</v>
      </c>
      <c r="AC1518" s="21">
        <v>119487.12</v>
      </c>
      <c r="AD1518" s="21" t="s">
        <v>368</v>
      </c>
      <c r="AE1518" t="str">
        <f>VLOOKUP(Table_Query_from_Actuarial___Production3[[#This Row],[Kor1]],$AI$3:$AK$105,3,FALSE)</f>
        <v>Claims Expense</v>
      </c>
      <c r="AF1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19" spans="18:32" x14ac:dyDescent="0.2">
      <c r="R1519" t="s">
        <v>31</v>
      </c>
      <c r="S1519" t="s">
        <v>239</v>
      </c>
      <c r="T1519" t="s">
        <v>441</v>
      </c>
      <c r="U1519" s="21">
        <v>1171.6300000000001</v>
      </c>
      <c r="V1519" s="21" t="s">
        <v>368</v>
      </c>
      <c r="W1519" t="str">
        <f>VLOOKUP(Table_Query_from_Actuarial___Production[[#This Row],[Kor1]],$AI$3:$AK$105,3,FALSE)</f>
        <v>Misc. Expense</v>
      </c>
      <c r="X1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19"/>
      <c r="Z1519" t="s">
        <v>47</v>
      </c>
      <c r="AA1519" t="s">
        <v>237</v>
      </c>
      <c r="AB1519" t="s">
        <v>5</v>
      </c>
      <c r="AC1519" s="21">
        <v>2.79</v>
      </c>
      <c r="AD1519" s="21" t="s">
        <v>368</v>
      </c>
      <c r="AE1519" t="str">
        <f>VLOOKUP(Table_Query_from_Actuarial___Production3[[#This Row],[Kor1]],$AI$3:$AK$105,3,FALSE)</f>
        <v>Investment Income</v>
      </c>
      <c r="AF1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0" spans="18:32" x14ac:dyDescent="0.2">
      <c r="R1520" t="s">
        <v>37</v>
      </c>
      <c r="S1520" t="s">
        <v>262</v>
      </c>
      <c r="T1520" t="s">
        <v>427</v>
      </c>
      <c r="U1520" s="21">
        <v>37.33</v>
      </c>
      <c r="V1520" s="21" t="s">
        <v>368</v>
      </c>
      <c r="W1520" t="str">
        <f>VLOOKUP(Table_Query_from_Actuarial___Production[[#This Row],[Kor1]],$AI$3:$AK$105,3,FALSE)</f>
        <v>Misc. Expense</v>
      </c>
      <c r="X1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0"/>
      <c r="Z1520" t="s">
        <v>37</v>
      </c>
      <c r="AA1520" t="s">
        <v>243</v>
      </c>
      <c r="AB1520" t="s">
        <v>351</v>
      </c>
      <c r="AC1520" s="21">
        <v>152.9</v>
      </c>
      <c r="AD1520" s="21" t="s">
        <v>368</v>
      </c>
      <c r="AE1520" t="str">
        <f>VLOOKUP(Table_Query_from_Actuarial___Production3[[#This Row],[Kor1]],$AI$3:$AK$105,3,FALSE)</f>
        <v>Misc. Expense</v>
      </c>
      <c r="AF1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1" spans="18:32" x14ac:dyDescent="0.2">
      <c r="R1521" t="s">
        <v>44</v>
      </c>
      <c r="S1521" t="s">
        <v>242</v>
      </c>
      <c r="T1521" t="s">
        <v>9</v>
      </c>
      <c r="U1521" s="21">
        <v>-2</v>
      </c>
      <c r="V1521" s="21" t="s">
        <v>368</v>
      </c>
      <c r="W1521" t="str">
        <f>VLOOKUP(Table_Query_from_Actuarial___Production[[#This Row],[Kor1]],$AI$3:$AK$105,3,FALSE)</f>
        <v>Charge-offs</v>
      </c>
      <c r="X1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1"/>
      <c r="Z1521" t="s">
        <v>3</v>
      </c>
      <c r="AA1521" t="s">
        <v>224</v>
      </c>
      <c r="AB1521" t="s">
        <v>6</v>
      </c>
      <c r="AC1521" s="21">
        <v>121166.69</v>
      </c>
      <c r="AD1521" s="21" t="s">
        <v>369</v>
      </c>
      <c r="AE1521" t="str">
        <f>VLOOKUP(Table_Query_from_Actuarial___Production3[[#This Row],[Kor1]],$AI$3:$AK$105,3,FALSE)</f>
        <v>Premiums Written</v>
      </c>
      <c r="AF1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22" spans="18:32" x14ac:dyDescent="0.2">
      <c r="R1522" t="s">
        <v>13</v>
      </c>
      <c r="S1522" t="s">
        <v>235</v>
      </c>
      <c r="T1522" t="s">
        <v>445</v>
      </c>
      <c r="U1522" s="21">
        <v>17196.88</v>
      </c>
      <c r="V1522" s="21" t="s">
        <v>368</v>
      </c>
      <c r="W1522" t="str">
        <f>VLOOKUP(Table_Query_from_Actuarial___Production[[#This Row],[Kor1]],$AI$3:$AK$105,3,FALSE)</f>
        <v>Operating Service Fees</v>
      </c>
      <c r="X1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2"/>
      <c r="Z1522" t="s">
        <v>14</v>
      </c>
      <c r="AA1522" t="s">
        <v>224</v>
      </c>
      <c r="AB1522" t="s">
        <v>443</v>
      </c>
      <c r="AC1522" s="21">
        <v>689.19</v>
      </c>
      <c r="AD1522" s="21" t="s">
        <v>369</v>
      </c>
      <c r="AE1522" t="str">
        <f>VLOOKUP(Table_Query_from_Actuarial___Production3[[#This Row],[Kor1]],$AI$3:$AK$105,3,FALSE)</f>
        <v>Claims Expense</v>
      </c>
      <c r="AF1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23" spans="18:32" x14ac:dyDescent="0.2">
      <c r="R1523" t="s">
        <v>19</v>
      </c>
      <c r="S1523" t="s">
        <v>229</v>
      </c>
      <c r="T1523" t="s">
        <v>356</v>
      </c>
      <c r="U1523" s="21">
        <v>316</v>
      </c>
      <c r="V1523" s="21" t="s">
        <v>368</v>
      </c>
      <c r="W1523" t="str">
        <f>VLOOKUP(Table_Query_from_Actuarial___Production[[#This Row],[Kor1]],$AI$3:$AK$105,3,FALSE)</f>
        <v>Misc. Expense for Insolvent Companies</v>
      </c>
      <c r="X1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3"/>
      <c r="Z1523" t="s">
        <v>19</v>
      </c>
      <c r="AA1523" t="s">
        <v>237</v>
      </c>
      <c r="AB1523" t="s">
        <v>5</v>
      </c>
      <c r="AC1523" s="21">
        <v>20522</v>
      </c>
      <c r="AD1523" s="21" t="s">
        <v>368</v>
      </c>
      <c r="AE1523" t="str">
        <f>VLOOKUP(Table_Query_from_Actuarial___Production3[[#This Row],[Kor1]],$AI$3:$AK$105,3,FALSE)</f>
        <v>Misc. Expense for Insolvent Companies</v>
      </c>
      <c r="AF1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4" spans="18:32" x14ac:dyDescent="0.2">
      <c r="R1524" t="s">
        <v>47</v>
      </c>
      <c r="S1524" t="s">
        <v>229</v>
      </c>
      <c r="T1524" t="s">
        <v>427</v>
      </c>
      <c r="U1524" s="21">
        <v>1951.34</v>
      </c>
      <c r="V1524" s="21" t="s">
        <v>368</v>
      </c>
      <c r="W1524" t="str">
        <f>VLOOKUP(Table_Query_from_Actuarial___Production[[#This Row],[Kor1]],$AI$3:$AK$105,3,FALSE)</f>
        <v>Investment Income</v>
      </c>
      <c r="X1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4"/>
      <c r="Z1524" t="s">
        <v>11</v>
      </c>
      <c r="AA1524" t="s">
        <v>229</v>
      </c>
      <c r="AB1524" t="s">
        <v>433</v>
      </c>
      <c r="AC1524" s="21">
        <v>56675.55</v>
      </c>
      <c r="AD1524" s="21" t="s">
        <v>368</v>
      </c>
      <c r="AE1524" t="str">
        <f>VLOOKUP(Table_Query_from_Actuarial___Production3[[#This Row],[Kor1]],$AI$3:$AK$105,3,FALSE)</f>
        <v>Losses Paid</v>
      </c>
      <c r="AF1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5" spans="18:32" x14ac:dyDescent="0.2">
      <c r="R1525" t="s">
        <v>3</v>
      </c>
      <c r="S1525" t="s">
        <v>260</v>
      </c>
      <c r="T1525" t="s">
        <v>8</v>
      </c>
      <c r="U1525" s="21">
        <v>5293</v>
      </c>
      <c r="V1525" s="21" t="s">
        <v>368</v>
      </c>
      <c r="W1525" t="str">
        <f>VLOOKUP(Table_Query_from_Actuarial___Production[[#This Row],[Kor1]],$AI$3:$AK$105,3,FALSE)</f>
        <v>Premiums Written</v>
      </c>
      <c r="X1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5"/>
      <c r="Z1525" t="s">
        <v>20</v>
      </c>
      <c r="AA1525" t="s">
        <v>265</v>
      </c>
      <c r="AB1525" t="s">
        <v>427</v>
      </c>
      <c r="AC1525" s="21">
        <v>255.33</v>
      </c>
      <c r="AD1525" s="21" t="s">
        <v>368</v>
      </c>
      <c r="AE1525" t="str">
        <f>VLOOKUP(Table_Query_from_Actuarial___Production3[[#This Row],[Kor1]],$AI$3:$AK$105,3,FALSE)</f>
        <v>Misc. Expense</v>
      </c>
      <c r="AF1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6" spans="18:32" x14ac:dyDescent="0.2">
      <c r="R1526" t="s">
        <v>31</v>
      </c>
      <c r="S1526" t="s">
        <v>240</v>
      </c>
      <c r="T1526" t="s">
        <v>7</v>
      </c>
      <c r="U1526" s="21">
        <v>883.66</v>
      </c>
      <c r="V1526" s="21" t="s">
        <v>368</v>
      </c>
      <c r="W1526" t="str">
        <f>VLOOKUP(Table_Query_from_Actuarial___Production[[#This Row],[Kor1]],$AI$3:$AK$105,3,FALSE)</f>
        <v>Misc. Expense</v>
      </c>
      <c r="X1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6"/>
      <c r="Z1526" t="s">
        <v>38</v>
      </c>
      <c r="AA1526" t="s">
        <v>224</v>
      </c>
      <c r="AB1526" t="s">
        <v>442</v>
      </c>
      <c r="AC1526" s="21">
        <v>5589.3</v>
      </c>
      <c r="AD1526" s="21" t="s">
        <v>425</v>
      </c>
      <c r="AE1526" t="str">
        <f>VLOOKUP(Table_Query_from_Actuarial___Production3[[#This Row],[Kor1]],$AI$3:$AK$105,3,FALSE)</f>
        <v>Misc. Income</v>
      </c>
      <c r="AF1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27" spans="18:32" x14ac:dyDescent="0.2">
      <c r="R1527" t="s">
        <v>37</v>
      </c>
      <c r="S1527" t="s">
        <v>243</v>
      </c>
      <c r="T1527" t="s">
        <v>441</v>
      </c>
      <c r="U1527" s="21">
        <v>1038.42</v>
      </c>
      <c r="V1527" s="21" t="s">
        <v>368</v>
      </c>
      <c r="W1527" t="str">
        <f>VLOOKUP(Table_Query_from_Actuarial___Production[[#This Row],[Kor1]],$AI$3:$AK$105,3,FALSE)</f>
        <v>Misc. Expense</v>
      </c>
      <c r="X1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7"/>
      <c r="Z1527" t="s">
        <v>23</v>
      </c>
      <c r="AA1527" t="s">
        <v>259</v>
      </c>
      <c r="AB1527" t="s">
        <v>356</v>
      </c>
      <c r="AC1527" s="21">
        <v>6220.97</v>
      </c>
      <c r="AD1527" s="21" t="s">
        <v>368</v>
      </c>
      <c r="AE1527" t="str">
        <f>VLOOKUP(Table_Query_from_Actuarial___Production3[[#This Row],[Kor1]],$AI$3:$AK$105,3,FALSE)</f>
        <v>Misc. Expense</v>
      </c>
      <c r="AF1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8" spans="18:32" x14ac:dyDescent="0.2">
      <c r="R1528" t="s">
        <v>17</v>
      </c>
      <c r="S1528" t="s">
        <v>228</v>
      </c>
      <c r="T1528" t="s">
        <v>442</v>
      </c>
      <c r="U1528" s="21">
        <v>30938.39</v>
      </c>
      <c r="V1528" s="21" t="s">
        <v>368</v>
      </c>
      <c r="W1528" t="str">
        <f>VLOOKUP(Table_Query_from_Actuarial___Production[[#This Row],[Kor1]],$AI$3:$AK$105,3,FALSE)</f>
        <v>IBNR</v>
      </c>
      <c r="X1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8"/>
      <c r="Z1528" t="s">
        <v>37</v>
      </c>
      <c r="AA1528" t="s">
        <v>241</v>
      </c>
      <c r="AB1528" t="s">
        <v>8</v>
      </c>
      <c r="AC1528" s="21">
        <v>236.29</v>
      </c>
      <c r="AD1528" s="21" t="s">
        <v>368</v>
      </c>
      <c r="AE1528" t="str">
        <f>VLOOKUP(Table_Query_from_Actuarial___Production3[[#This Row],[Kor1]],$AI$3:$AK$105,3,FALSE)</f>
        <v>Misc. Expense</v>
      </c>
      <c r="AF1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29" spans="18:32" x14ac:dyDescent="0.2">
      <c r="R1529" t="s">
        <v>439</v>
      </c>
      <c r="S1529" t="s">
        <v>249</v>
      </c>
      <c r="T1529" t="s">
        <v>433</v>
      </c>
      <c r="U1529" s="21">
        <v>6102</v>
      </c>
      <c r="V1529" s="21" t="s">
        <v>368</v>
      </c>
      <c r="W1529" t="str">
        <f>VLOOKUP(Table_Query_from_Actuarial___Production[[#This Row],[Kor1]],$AI$3:$AK$105,3,FALSE)</f>
        <v>Operating Service Fees</v>
      </c>
      <c r="X1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29"/>
      <c r="Z1529" t="s">
        <v>40</v>
      </c>
      <c r="AA1529" t="s">
        <v>254</v>
      </c>
      <c r="AB1529" t="s">
        <v>442</v>
      </c>
      <c r="AC1529" s="21">
        <v>258.14999999999998</v>
      </c>
      <c r="AD1529" s="21" t="s">
        <v>368</v>
      </c>
      <c r="AE1529" t="str">
        <f>VLOOKUP(Table_Query_from_Actuarial___Production3[[#This Row],[Kor1]],$AI$3:$AK$105,3,FALSE)</f>
        <v>Misc. Income</v>
      </c>
      <c r="AF1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0" spans="18:32" x14ac:dyDescent="0.2">
      <c r="R1530" t="s">
        <v>47</v>
      </c>
      <c r="S1530" t="s">
        <v>239</v>
      </c>
      <c r="T1530" t="s">
        <v>445</v>
      </c>
      <c r="U1530" s="21">
        <v>70478.44</v>
      </c>
      <c r="V1530" s="21" t="s">
        <v>368</v>
      </c>
      <c r="W1530" t="str">
        <f>VLOOKUP(Table_Query_from_Actuarial___Production[[#This Row],[Kor1]],$AI$3:$AK$105,3,FALSE)</f>
        <v>Investment Income</v>
      </c>
      <c r="X1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0"/>
      <c r="Z1530" t="s">
        <v>37</v>
      </c>
      <c r="AA1530" t="s">
        <v>262</v>
      </c>
      <c r="AB1530" t="s">
        <v>443</v>
      </c>
      <c r="AC1530" s="21">
        <v>870.2</v>
      </c>
      <c r="AD1530" s="21" t="s">
        <v>368</v>
      </c>
      <c r="AE1530" t="str">
        <f>VLOOKUP(Table_Query_from_Actuarial___Production3[[#This Row],[Kor1]],$AI$3:$AK$105,3,FALSE)</f>
        <v>Misc. Expense</v>
      </c>
      <c r="AF1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1" spans="18:32" x14ac:dyDescent="0.2">
      <c r="R1531" t="s">
        <v>14</v>
      </c>
      <c r="S1531" t="s">
        <v>227</v>
      </c>
      <c r="T1531" t="s">
        <v>427</v>
      </c>
      <c r="U1531" s="21">
        <v>263.38</v>
      </c>
      <c r="V1531" s="21" t="s">
        <v>368</v>
      </c>
      <c r="W1531" t="str">
        <f>VLOOKUP(Table_Query_from_Actuarial___Production[[#This Row],[Kor1]],$AI$3:$AK$105,3,FALSE)</f>
        <v>Claims Expense</v>
      </c>
      <c r="X1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1"/>
      <c r="Z1531" t="s">
        <v>10</v>
      </c>
      <c r="AA1531" t="s">
        <v>239</v>
      </c>
      <c r="AB1531" t="s">
        <v>8</v>
      </c>
      <c r="AC1531" s="21">
        <v>16625.400000000001</v>
      </c>
      <c r="AD1531" s="21" t="s">
        <v>368</v>
      </c>
      <c r="AE1531" t="str">
        <f>VLOOKUP(Table_Query_from_Actuarial___Production3[[#This Row],[Kor1]],$AI$3:$AK$105,3,FALSE)</f>
        <v>Commissions</v>
      </c>
      <c r="AF1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2" spans="18:32" x14ac:dyDescent="0.2">
      <c r="R1532" t="s">
        <v>47</v>
      </c>
      <c r="S1532" t="s">
        <v>236</v>
      </c>
      <c r="T1532" t="s">
        <v>442</v>
      </c>
      <c r="U1532" s="21">
        <v>665.11</v>
      </c>
      <c r="V1532" s="21" t="s">
        <v>368</v>
      </c>
      <c r="W1532" t="str">
        <f>VLOOKUP(Table_Query_from_Actuarial___Production[[#This Row],[Kor1]],$AI$3:$AK$105,3,FALSE)</f>
        <v>Investment Income</v>
      </c>
      <c r="X1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2"/>
      <c r="Z1532" t="s">
        <v>29</v>
      </c>
      <c r="AA1532" t="s">
        <v>238</v>
      </c>
      <c r="AB1532" t="s">
        <v>433</v>
      </c>
      <c r="AC1532" s="21">
        <v>257183.76</v>
      </c>
      <c r="AD1532" s="21" t="s">
        <v>368</v>
      </c>
      <c r="AE1532" t="str">
        <f>VLOOKUP(Table_Query_from_Actuarial___Production3[[#This Row],[Kor1]],$AI$3:$AK$105,3,FALSE)</f>
        <v>Misc. Expense</v>
      </c>
      <c r="AF1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3" spans="18:32" x14ac:dyDescent="0.2">
      <c r="R1533" t="s">
        <v>17</v>
      </c>
      <c r="S1533" t="s">
        <v>224</v>
      </c>
      <c r="T1533" t="s">
        <v>443</v>
      </c>
      <c r="U1533" s="21">
        <v>7411.31</v>
      </c>
      <c r="V1533" s="21" t="s">
        <v>425</v>
      </c>
      <c r="W1533" t="str">
        <f>VLOOKUP(Table_Query_from_Actuarial___Production[[#This Row],[Kor1]],$AI$3:$AK$105,3,FALSE)</f>
        <v>IBNR</v>
      </c>
      <c r="X1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33"/>
      <c r="Z1533" t="s">
        <v>41</v>
      </c>
      <c r="AA1533" t="s">
        <v>247</v>
      </c>
      <c r="AB1533" t="s">
        <v>427</v>
      </c>
      <c r="AC1533" s="21">
        <v>50</v>
      </c>
      <c r="AD1533" s="21" t="s">
        <v>368</v>
      </c>
      <c r="AE1533" t="str">
        <f>VLOOKUP(Table_Query_from_Actuarial___Production3[[#This Row],[Kor1]],$AI$3:$AK$105,3,FALSE)</f>
        <v>Misc. Income</v>
      </c>
      <c r="AF1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4" spans="18:32" x14ac:dyDescent="0.2">
      <c r="R1534" t="s">
        <v>44</v>
      </c>
      <c r="S1534" t="s">
        <v>224</v>
      </c>
      <c r="T1534" t="s">
        <v>6</v>
      </c>
      <c r="U1534" s="21">
        <v>682.06</v>
      </c>
      <c r="V1534" s="21" t="s">
        <v>425</v>
      </c>
      <c r="W1534" t="str">
        <f>VLOOKUP(Table_Query_from_Actuarial___Production[[#This Row],[Kor1]],$AI$3:$AK$105,3,FALSE)</f>
        <v>Charge-offs</v>
      </c>
      <c r="X1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34"/>
      <c r="Z1534" t="s">
        <v>33</v>
      </c>
      <c r="AA1534" t="s">
        <v>255</v>
      </c>
      <c r="AB1534" t="s">
        <v>443</v>
      </c>
      <c r="AC1534" s="21">
        <v>8504</v>
      </c>
      <c r="AD1534" s="21" t="s">
        <v>368</v>
      </c>
      <c r="AE1534" t="str">
        <f>VLOOKUP(Table_Query_from_Actuarial___Production3[[#This Row],[Kor1]],$AI$3:$AK$105,3,FALSE)</f>
        <v>Misc. Expense</v>
      </c>
      <c r="AF1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5" spans="18:32" x14ac:dyDescent="0.2">
      <c r="R1535" t="s">
        <v>16</v>
      </c>
      <c r="S1535" t="s">
        <v>226</v>
      </c>
      <c r="T1535" t="s">
        <v>8</v>
      </c>
      <c r="U1535" s="21">
        <v>159900</v>
      </c>
      <c r="V1535" s="21" t="s">
        <v>368</v>
      </c>
      <c r="W1535" t="str">
        <f>VLOOKUP(Table_Query_from_Actuarial___Production[[#This Row],[Kor1]],$AI$3:$AK$105,3,FALSE)</f>
        <v>Losses Outstanding</v>
      </c>
      <c r="X1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535"/>
      <c r="Z1535" t="s">
        <v>47</v>
      </c>
      <c r="AA1535" t="s">
        <v>261</v>
      </c>
      <c r="AB1535" t="s">
        <v>427</v>
      </c>
      <c r="AC1535" s="21">
        <v>4079.83</v>
      </c>
      <c r="AD1535" s="21" t="s">
        <v>368</v>
      </c>
      <c r="AE1535" t="str">
        <f>VLOOKUP(Table_Query_from_Actuarial___Production3[[#This Row],[Kor1]],$AI$3:$AK$105,3,FALSE)</f>
        <v>Investment Income</v>
      </c>
      <c r="AF1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6" spans="18:32" x14ac:dyDescent="0.2">
      <c r="R1536" t="s">
        <v>19</v>
      </c>
      <c r="S1536" t="s">
        <v>248</v>
      </c>
      <c r="T1536" t="s">
        <v>9</v>
      </c>
      <c r="U1536" s="21">
        <v>2</v>
      </c>
      <c r="V1536" s="21" t="s">
        <v>368</v>
      </c>
      <c r="W1536" t="str">
        <f>VLOOKUP(Table_Query_from_Actuarial___Production[[#This Row],[Kor1]],$AI$3:$AK$105,3,FALSE)</f>
        <v>Misc. Expense for Insolvent Companies</v>
      </c>
      <c r="X1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6"/>
      <c r="Z1536" t="s">
        <v>33</v>
      </c>
      <c r="AA1536" t="s">
        <v>227</v>
      </c>
      <c r="AB1536" t="s">
        <v>351</v>
      </c>
      <c r="AC1536" s="21">
        <v>15356.74</v>
      </c>
      <c r="AD1536" s="21" t="s">
        <v>368</v>
      </c>
      <c r="AE1536" t="str">
        <f>VLOOKUP(Table_Query_from_Actuarial___Production3[[#This Row],[Kor1]],$AI$3:$AK$105,3,FALSE)</f>
        <v>Misc. Expense</v>
      </c>
      <c r="AF1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7" spans="18:32" x14ac:dyDescent="0.2">
      <c r="R1537" t="s">
        <v>31</v>
      </c>
      <c r="S1537" t="s">
        <v>247</v>
      </c>
      <c r="T1537" t="s">
        <v>442</v>
      </c>
      <c r="U1537" s="21">
        <v>984.61</v>
      </c>
      <c r="V1537" s="21" t="s">
        <v>368</v>
      </c>
      <c r="W1537" t="str">
        <f>VLOOKUP(Table_Query_from_Actuarial___Production[[#This Row],[Kor1]],$AI$3:$AK$105,3,FALSE)</f>
        <v>Misc. Expense</v>
      </c>
      <c r="X1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7"/>
      <c r="Z1537" t="s">
        <v>39</v>
      </c>
      <c r="AA1537" t="s">
        <v>236</v>
      </c>
      <c r="AB1537" t="s">
        <v>8</v>
      </c>
      <c r="AC1537" s="21">
        <v>143</v>
      </c>
      <c r="AD1537" s="21" t="s">
        <v>368</v>
      </c>
      <c r="AE1537" t="str">
        <f>VLOOKUP(Table_Query_from_Actuarial___Production3[[#This Row],[Kor1]],$AI$3:$AK$105,3,FALSE)</f>
        <v>Misc. Income for Insolvent Companies</v>
      </c>
      <c r="AF1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8" spans="18:32" x14ac:dyDescent="0.2">
      <c r="R1538" t="s">
        <v>14</v>
      </c>
      <c r="S1538" t="s">
        <v>354</v>
      </c>
      <c r="T1538" t="s">
        <v>445</v>
      </c>
      <c r="U1538" s="21">
        <v>9959145.7200000007</v>
      </c>
      <c r="V1538" s="21" t="s">
        <v>368</v>
      </c>
      <c r="W1538" t="str">
        <f>VLOOKUP(Table_Query_from_Actuarial___Production[[#This Row],[Kor1]],$AI$3:$AK$105,3,FALSE)</f>
        <v>Claims Expense</v>
      </c>
      <c r="X1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538"/>
      <c r="Z1538" t="s">
        <v>75</v>
      </c>
      <c r="AA1538" t="s">
        <v>257</v>
      </c>
      <c r="AB1538" t="s">
        <v>433</v>
      </c>
      <c r="AC1538" s="21">
        <v>10382</v>
      </c>
      <c r="AD1538" s="21" t="s">
        <v>368</v>
      </c>
      <c r="AE1538" t="str">
        <f>VLOOKUP(Table_Query_from_Actuarial___Production3[[#This Row],[Kor1]],$AI$3:$AK$105,3,FALSE)</f>
        <v>EBUB</v>
      </c>
      <c r="AF1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39" spans="18:32" x14ac:dyDescent="0.2">
      <c r="R1539" t="s">
        <v>10</v>
      </c>
      <c r="S1539" t="s">
        <v>228</v>
      </c>
      <c r="T1539" t="s">
        <v>7</v>
      </c>
      <c r="U1539" s="21">
        <v>38155.5</v>
      </c>
      <c r="V1539" s="21" t="s">
        <v>368</v>
      </c>
      <c r="W1539" t="str">
        <f>VLOOKUP(Table_Query_from_Actuarial___Production[[#This Row],[Kor1]],$AI$3:$AK$105,3,FALSE)</f>
        <v>Commissions</v>
      </c>
      <c r="X1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39"/>
      <c r="Z1539" t="s">
        <v>43</v>
      </c>
      <c r="AA1539" t="s">
        <v>228</v>
      </c>
      <c r="AB1539" t="s">
        <v>433</v>
      </c>
      <c r="AC1539" s="21">
        <v>367.49</v>
      </c>
      <c r="AD1539" s="21" t="s">
        <v>368</v>
      </c>
      <c r="AE1539" t="str">
        <f>VLOOKUP(Table_Query_from_Actuarial___Production3[[#This Row],[Kor1]],$AI$3:$AK$105,3,FALSE)</f>
        <v>Charge-offs</v>
      </c>
      <c r="AF1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0" spans="18:32" x14ac:dyDescent="0.2">
      <c r="R1540" t="s">
        <v>16</v>
      </c>
      <c r="S1540" t="s">
        <v>240</v>
      </c>
      <c r="T1540" t="s">
        <v>442</v>
      </c>
      <c r="U1540" s="21">
        <v>1170246.6200000001</v>
      </c>
      <c r="V1540" s="21" t="s">
        <v>368</v>
      </c>
      <c r="W1540" t="str">
        <f>VLOOKUP(Table_Query_from_Actuarial___Production[[#This Row],[Kor1]],$AI$3:$AK$105,3,FALSE)</f>
        <v>Losses Outstanding</v>
      </c>
      <c r="X1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0"/>
      <c r="Z1540" t="s">
        <v>37</v>
      </c>
      <c r="AA1540" t="s">
        <v>233</v>
      </c>
      <c r="AB1540" t="s">
        <v>8</v>
      </c>
      <c r="AC1540" s="21">
        <v>247.76</v>
      </c>
      <c r="AD1540" s="21" t="s">
        <v>368</v>
      </c>
      <c r="AE1540" t="str">
        <f>VLOOKUP(Table_Query_from_Actuarial___Production3[[#This Row],[Kor1]],$AI$3:$AK$105,3,FALSE)</f>
        <v>Misc. Expense</v>
      </c>
      <c r="AF1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1" spans="18:32" x14ac:dyDescent="0.2">
      <c r="R1541" t="s">
        <v>31</v>
      </c>
      <c r="S1541" t="s">
        <v>229</v>
      </c>
      <c r="T1541" t="s">
        <v>351</v>
      </c>
      <c r="U1541" s="21">
        <v>563.74</v>
      </c>
      <c r="V1541" s="21" t="s">
        <v>368</v>
      </c>
      <c r="W1541" t="str">
        <f>VLOOKUP(Table_Query_from_Actuarial___Production[[#This Row],[Kor1]],$AI$3:$AK$105,3,FALSE)</f>
        <v>Misc. Expense</v>
      </c>
      <c r="X1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1"/>
      <c r="Z1541" t="s">
        <v>37</v>
      </c>
      <c r="AA1541" t="s">
        <v>257</v>
      </c>
      <c r="AB1541" t="s">
        <v>5</v>
      </c>
      <c r="AC1541" s="21">
        <v>4036.15</v>
      </c>
      <c r="AD1541" s="21" t="s">
        <v>368</v>
      </c>
      <c r="AE1541" t="str">
        <f>VLOOKUP(Table_Query_from_Actuarial___Production3[[#This Row],[Kor1]],$AI$3:$AK$105,3,FALSE)</f>
        <v>Misc. Expense</v>
      </c>
      <c r="AF1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2" spans="18:32" x14ac:dyDescent="0.2">
      <c r="R1542" t="s">
        <v>40</v>
      </c>
      <c r="S1542" t="s">
        <v>238</v>
      </c>
      <c r="T1542" t="s">
        <v>9</v>
      </c>
      <c r="U1542" s="21">
        <v>129</v>
      </c>
      <c r="V1542" s="21" t="s">
        <v>368</v>
      </c>
      <c r="W1542" t="str">
        <f>VLOOKUP(Table_Query_from_Actuarial___Production[[#This Row],[Kor1]],$AI$3:$AK$105,3,FALSE)</f>
        <v>Misc. Income</v>
      </c>
      <c r="X1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2"/>
      <c r="Z1542" t="s">
        <v>43</v>
      </c>
      <c r="AA1542" t="s">
        <v>224</v>
      </c>
      <c r="AB1542" t="s">
        <v>441</v>
      </c>
      <c r="AC1542" s="21">
        <v>9.7899999999999991</v>
      </c>
      <c r="AD1542" s="21" t="s">
        <v>369</v>
      </c>
      <c r="AE1542" t="str">
        <f>VLOOKUP(Table_Query_from_Actuarial___Production3[[#This Row],[Kor1]],$AI$3:$AK$105,3,FALSE)</f>
        <v>Charge-offs</v>
      </c>
      <c r="AF1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43" spans="18:32" x14ac:dyDescent="0.2">
      <c r="R1543" t="s">
        <v>11</v>
      </c>
      <c r="S1543" t="s">
        <v>4</v>
      </c>
      <c r="T1543" t="s">
        <v>9</v>
      </c>
      <c r="U1543" s="21">
        <v>25224823.02</v>
      </c>
      <c r="V1543" s="21" t="s">
        <v>368</v>
      </c>
      <c r="W1543" t="str">
        <f>VLOOKUP(Table_Query_from_Actuarial___Production[[#This Row],[Kor1]],$AI$3:$AK$105,3,FALSE)</f>
        <v>Losses Paid</v>
      </c>
      <c r="X1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3"/>
      <c r="Z1543" t="s">
        <v>37</v>
      </c>
      <c r="AA1543" t="s">
        <v>263</v>
      </c>
      <c r="AB1543" t="s">
        <v>5</v>
      </c>
      <c r="AC1543" s="21">
        <v>57.25</v>
      </c>
      <c r="AD1543" s="21" t="s">
        <v>368</v>
      </c>
      <c r="AE1543" t="str">
        <f>VLOOKUP(Table_Query_from_Actuarial___Production3[[#This Row],[Kor1]],$AI$3:$AK$105,3,FALSE)</f>
        <v>Misc. Expense</v>
      </c>
      <c r="AF1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4" spans="18:32" x14ac:dyDescent="0.2">
      <c r="R1544" t="s">
        <v>32</v>
      </c>
      <c r="S1544" t="s">
        <v>264</v>
      </c>
      <c r="T1544" t="s">
        <v>356</v>
      </c>
      <c r="U1544" s="21">
        <v>-6620.95</v>
      </c>
      <c r="V1544" s="21" t="s">
        <v>368</v>
      </c>
      <c r="W1544" t="str">
        <f>VLOOKUP(Table_Query_from_Actuarial___Production[[#This Row],[Kor1]],$AI$3:$AK$105,3,FALSE)</f>
        <v>Misc. Expense</v>
      </c>
      <c r="X1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4"/>
      <c r="Z1544" t="s">
        <v>31</v>
      </c>
      <c r="AA1544" t="s">
        <v>235</v>
      </c>
      <c r="AB1544" t="s">
        <v>427</v>
      </c>
      <c r="AC1544" s="21">
        <v>545.57000000000005</v>
      </c>
      <c r="AD1544" s="21" t="s">
        <v>368</v>
      </c>
      <c r="AE1544" t="str">
        <f>VLOOKUP(Table_Query_from_Actuarial___Production3[[#This Row],[Kor1]],$AI$3:$AK$105,3,FALSE)</f>
        <v>Misc. Expense</v>
      </c>
      <c r="AF1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5" spans="18:32" x14ac:dyDescent="0.2">
      <c r="R1545" t="s">
        <v>10</v>
      </c>
      <c r="S1545" t="s">
        <v>224</v>
      </c>
      <c r="T1545" t="s">
        <v>6</v>
      </c>
      <c r="U1545" s="21">
        <v>2570.37</v>
      </c>
      <c r="V1545" s="21" t="s">
        <v>369</v>
      </c>
      <c r="W1545" t="str">
        <f>VLOOKUP(Table_Query_from_Actuarial___Production[[#This Row],[Kor1]],$AI$3:$AK$105,3,FALSE)</f>
        <v>Commissions</v>
      </c>
      <c r="X1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45"/>
      <c r="Z1545" t="s">
        <v>11</v>
      </c>
      <c r="AA1545" t="s">
        <v>231</v>
      </c>
      <c r="AB1545" t="s">
        <v>5</v>
      </c>
      <c r="AC1545" s="21">
        <v>2525.65</v>
      </c>
      <c r="AD1545" s="21" t="s">
        <v>368</v>
      </c>
      <c r="AE1545" t="str">
        <f>VLOOKUP(Table_Query_from_Actuarial___Production3[[#This Row],[Kor1]],$AI$3:$AK$105,3,FALSE)</f>
        <v>Losses Paid</v>
      </c>
      <c r="AF1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6" spans="18:32" x14ac:dyDescent="0.2">
      <c r="R1546" t="s">
        <v>11</v>
      </c>
      <c r="S1546" t="s">
        <v>264</v>
      </c>
      <c r="T1546" t="s">
        <v>8</v>
      </c>
      <c r="U1546" s="21">
        <v>965311.19</v>
      </c>
      <c r="V1546" s="21" t="s">
        <v>368</v>
      </c>
      <c r="W1546" t="str">
        <f>VLOOKUP(Table_Query_from_Actuarial___Production[[#This Row],[Kor1]],$AI$3:$AK$105,3,FALSE)</f>
        <v>Losses Paid</v>
      </c>
      <c r="X1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6"/>
      <c r="Z1546" t="s">
        <v>46</v>
      </c>
      <c r="AA1546" t="s">
        <v>226</v>
      </c>
      <c r="AB1546" t="s">
        <v>9</v>
      </c>
      <c r="AC1546" s="21">
        <v>3517.98</v>
      </c>
      <c r="AD1546" s="21" t="s">
        <v>368</v>
      </c>
      <c r="AE1546" t="str">
        <f>VLOOKUP(Table_Query_from_Actuarial___Production3[[#This Row],[Kor1]],$AI$3:$AK$105,3,FALSE)</f>
        <v>Investment Income</v>
      </c>
      <c r="AF1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547" spans="18:32" x14ac:dyDescent="0.2">
      <c r="R1547" t="s">
        <v>12</v>
      </c>
      <c r="S1547" t="s">
        <v>258</v>
      </c>
      <c r="T1547" t="s">
        <v>8</v>
      </c>
      <c r="U1547" s="21">
        <v>52787.54</v>
      </c>
      <c r="V1547" s="21" t="s">
        <v>368</v>
      </c>
      <c r="W1547" t="str">
        <f>VLOOKUP(Table_Query_from_Actuarial___Production[[#This Row],[Kor1]],$AI$3:$AK$105,3,FALSE)</f>
        <v>Premium Tax</v>
      </c>
      <c r="X1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7"/>
      <c r="Z1547" t="s">
        <v>46</v>
      </c>
      <c r="AA1547" t="s">
        <v>224</v>
      </c>
      <c r="AB1547" t="s">
        <v>5</v>
      </c>
      <c r="AC1547" s="21">
        <v>28.97</v>
      </c>
      <c r="AD1547" s="21" t="s">
        <v>369</v>
      </c>
      <c r="AE1547" t="str">
        <f>VLOOKUP(Table_Query_from_Actuarial___Production3[[#This Row],[Kor1]],$AI$3:$AK$105,3,FALSE)</f>
        <v>Investment Income</v>
      </c>
      <c r="AF1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48" spans="18:32" x14ac:dyDescent="0.2">
      <c r="R1548" t="s">
        <v>48</v>
      </c>
      <c r="S1548" t="s">
        <v>256</v>
      </c>
      <c r="T1548" t="s">
        <v>433</v>
      </c>
      <c r="U1548" s="21">
        <v>142.25</v>
      </c>
      <c r="V1548" s="21" t="s">
        <v>368</v>
      </c>
      <c r="W1548" t="str">
        <f>VLOOKUP(Table_Query_from_Actuarial___Production[[#This Row],[Kor1]],$AI$3:$AK$105,3,FALSE)</f>
        <v>Anticipated Salvage</v>
      </c>
      <c r="X1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48"/>
      <c r="Z1548" t="s">
        <v>16</v>
      </c>
      <c r="AA1548" t="s">
        <v>252</v>
      </c>
      <c r="AB1548" t="s">
        <v>8</v>
      </c>
      <c r="AC1548" s="21">
        <v>14294.37</v>
      </c>
      <c r="AD1548" s="21" t="s">
        <v>368</v>
      </c>
      <c r="AE1548" t="str">
        <f>VLOOKUP(Table_Query_from_Actuarial___Production3[[#This Row],[Kor1]],$AI$3:$AK$105,3,FALSE)</f>
        <v>Losses Outstanding</v>
      </c>
      <c r="AF1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49" spans="18:32" x14ac:dyDescent="0.2">
      <c r="R1549" t="s">
        <v>16</v>
      </c>
      <c r="S1549" t="s">
        <v>224</v>
      </c>
      <c r="T1549" t="s">
        <v>441</v>
      </c>
      <c r="U1549" s="21">
        <v>100077.37</v>
      </c>
      <c r="V1549" s="21" t="s">
        <v>368</v>
      </c>
      <c r="W1549" t="str">
        <f>VLOOKUP(Table_Query_from_Actuarial___Production[[#This Row],[Kor1]],$AI$3:$AK$105,3,FALSE)</f>
        <v>Losses Outstanding</v>
      </c>
      <c r="X1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549"/>
      <c r="Z1549" t="s">
        <v>21</v>
      </c>
      <c r="AA1549" t="s">
        <v>252</v>
      </c>
      <c r="AB1549" t="s">
        <v>6</v>
      </c>
      <c r="AC1549" s="21">
        <v>20385.400000000001</v>
      </c>
      <c r="AD1549" s="21" t="s">
        <v>368</v>
      </c>
      <c r="AE1549" t="str">
        <f>VLOOKUP(Table_Query_from_Actuarial___Production3[[#This Row],[Kor1]],$AI$3:$AK$105,3,FALSE)</f>
        <v>Misc. Expense</v>
      </c>
      <c r="AF1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0" spans="18:32" x14ac:dyDescent="0.2">
      <c r="R1550" t="s">
        <v>3</v>
      </c>
      <c r="S1550" t="s">
        <v>228</v>
      </c>
      <c r="T1550" t="s">
        <v>351</v>
      </c>
      <c r="U1550" s="21">
        <v>336017</v>
      </c>
      <c r="V1550" s="21" t="s">
        <v>368</v>
      </c>
      <c r="W1550" t="str">
        <f>VLOOKUP(Table_Query_from_Actuarial___Production[[#This Row],[Kor1]],$AI$3:$AK$105,3,FALSE)</f>
        <v>Premiums Written</v>
      </c>
      <c r="X1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0"/>
      <c r="Z1550" t="s">
        <v>77</v>
      </c>
      <c r="AA1550" t="s">
        <v>252</v>
      </c>
      <c r="AB1550" t="s">
        <v>443</v>
      </c>
      <c r="AC1550" s="21">
        <v>1247741</v>
      </c>
      <c r="AD1550" s="21" t="s">
        <v>368</v>
      </c>
      <c r="AE1550" t="str">
        <f>VLOOKUP(Table_Query_from_Actuarial___Production3[[#This Row],[Kor1]],$AI$3:$AK$105,3,FALSE)</f>
        <v>PDR</v>
      </c>
      <c r="AF1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1" spans="18:32" x14ac:dyDescent="0.2">
      <c r="R1551" t="s">
        <v>11</v>
      </c>
      <c r="S1551" t="s">
        <v>354</v>
      </c>
      <c r="T1551" t="s">
        <v>351</v>
      </c>
      <c r="U1551" s="21">
        <v>87874674.620000005</v>
      </c>
      <c r="V1551" s="21" t="s">
        <v>368</v>
      </c>
      <c r="W1551" t="str">
        <f>VLOOKUP(Table_Query_from_Actuarial___Production[[#This Row],[Kor1]],$AI$3:$AK$105,3,FALSE)</f>
        <v>Losses Paid</v>
      </c>
      <c r="X1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551"/>
      <c r="Z1551" t="s">
        <v>14</v>
      </c>
      <c r="AA1551" t="s">
        <v>224</v>
      </c>
      <c r="AB1551" t="s">
        <v>427</v>
      </c>
      <c r="AC1551" s="21">
        <v>14121.18</v>
      </c>
      <c r="AD1551" s="21" t="s">
        <v>369</v>
      </c>
      <c r="AE1551" t="str">
        <f>VLOOKUP(Table_Query_from_Actuarial___Production3[[#This Row],[Kor1]],$AI$3:$AK$105,3,FALSE)</f>
        <v>Claims Expense</v>
      </c>
      <c r="AF1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52" spans="18:32" x14ac:dyDescent="0.2">
      <c r="R1552" t="s">
        <v>13</v>
      </c>
      <c r="S1552" t="s">
        <v>257</v>
      </c>
      <c r="T1552" t="s">
        <v>433</v>
      </c>
      <c r="U1552" s="21">
        <v>262959.84000000003</v>
      </c>
      <c r="V1552" s="21" t="s">
        <v>368</v>
      </c>
      <c r="W1552" t="str">
        <f>VLOOKUP(Table_Query_from_Actuarial___Production[[#This Row],[Kor1]],$AI$3:$AK$105,3,FALSE)</f>
        <v>Operating Service Fees</v>
      </c>
      <c r="X1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2"/>
      <c r="Z1552" t="s">
        <v>10</v>
      </c>
      <c r="AA1552" t="s">
        <v>267</v>
      </c>
      <c r="AB1552" t="s">
        <v>7</v>
      </c>
      <c r="AC1552" s="21">
        <v>10006.44</v>
      </c>
      <c r="AD1552" s="21" t="s">
        <v>368</v>
      </c>
      <c r="AE1552" t="str">
        <f>VLOOKUP(Table_Query_from_Actuarial___Production3[[#This Row],[Kor1]],$AI$3:$AK$105,3,FALSE)</f>
        <v>Commissions</v>
      </c>
      <c r="AF1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3" spans="18:32" x14ac:dyDescent="0.2">
      <c r="R1553" t="s">
        <v>19</v>
      </c>
      <c r="S1553" t="s">
        <v>266</v>
      </c>
      <c r="T1553" t="s">
        <v>433</v>
      </c>
      <c r="U1553" s="21">
        <v>683</v>
      </c>
      <c r="V1553" s="21" t="s">
        <v>368</v>
      </c>
      <c r="W1553" t="str">
        <f>VLOOKUP(Table_Query_from_Actuarial___Production[[#This Row],[Kor1]],$AI$3:$AK$105,3,FALSE)</f>
        <v>Misc. Expense for Insolvent Companies</v>
      </c>
      <c r="X1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3"/>
      <c r="Z1553" t="s">
        <v>3</v>
      </c>
      <c r="AA1553" t="s">
        <v>247</v>
      </c>
      <c r="AB1553" t="s">
        <v>442</v>
      </c>
      <c r="AC1553" s="21">
        <v>6574</v>
      </c>
      <c r="AD1553" s="21" t="s">
        <v>368</v>
      </c>
      <c r="AE1553" t="str">
        <f>VLOOKUP(Table_Query_from_Actuarial___Production3[[#This Row],[Kor1]],$AI$3:$AK$105,3,FALSE)</f>
        <v>Premiums Written</v>
      </c>
      <c r="AF1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4" spans="18:32" x14ac:dyDescent="0.2">
      <c r="R1554" t="s">
        <v>13</v>
      </c>
      <c r="S1554" t="s">
        <v>224</v>
      </c>
      <c r="T1554" t="s">
        <v>351</v>
      </c>
      <c r="U1554" s="21">
        <v>5564.3</v>
      </c>
      <c r="V1554" s="21" t="s">
        <v>425</v>
      </c>
      <c r="W1554" t="str">
        <f>VLOOKUP(Table_Query_from_Actuarial___Production[[#This Row],[Kor1]],$AI$3:$AK$105,3,FALSE)</f>
        <v>Operating Service Fees</v>
      </c>
      <c r="X1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554"/>
      <c r="Z1554" t="s">
        <v>44</v>
      </c>
      <c r="AA1554" t="s">
        <v>244</v>
      </c>
      <c r="AB1554" t="s">
        <v>8</v>
      </c>
      <c r="AC1554" s="21">
        <v>6384.35</v>
      </c>
      <c r="AD1554" s="21" t="s">
        <v>368</v>
      </c>
      <c r="AE1554" t="str">
        <f>VLOOKUP(Table_Query_from_Actuarial___Production3[[#This Row],[Kor1]],$AI$3:$AK$105,3,FALSE)</f>
        <v>Charge-offs</v>
      </c>
      <c r="AF1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5" spans="18:32" x14ac:dyDescent="0.2">
      <c r="R1555" t="s">
        <v>18</v>
      </c>
      <c r="S1555" t="s">
        <v>225</v>
      </c>
      <c r="T1555" t="s">
        <v>442</v>
      </c>
      <c r="U1555" s="21">
        <v>656257.29</v>
      </c>
      <c r="V1555" s="21" t="s">
        <v>368</v>
      </c>
      <c r="W1555" t="str">
        <f>VLOOKUP(Table_Query_from_Actuarial___Production[[#This Row],[Kor1]],$AI$3:$AK$105,3,FALSE)</f>
        <v>Misc. Expense</v>
      </c>
      <c r="X1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555"/>
      <c r="Z1555" t="s">
        <v>31</v>
      </c>
      <c r="AA1555" t="s">
        <v>239</v>
      </c>
      <c r="AB1555" t="s">
        <v>441</v>
      </c>
      <c r="AC1555" s="21">
        <v>1171.6300000000001</v>
      </c>
      <c r="AD1555" s="21" t="s">
        <v>368</v>
      </c>
      <c r="AE1555" t="str">
        <f>VLOOKUP(Table_Query_from_Actuarial___Production3[[#This Row],[Kor1]],$AI$3:$AK$105,3,FALSE)</f>
        <v>Misc. Expense</v>
      </c>
      <c r="AF1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6" spans="18:32" x14ac:dyDescent="0.2">
      <c r="R1556" t="s">
        <v>20</v>
      </c>
      <c r="S1556" t="s">
        <v>239</v>
      </c>
      <c r="T1556" t="s">
        <v>442</v>
      </c>
      <c r="U1556" s="21">
        <v>214.98</v>
      </c>
      <c r="V1556" s="21" t="s">
        <v>368</v>
      </c>
      <c r="W1556" t="str">
        <f>VLOOKUP(Table_Query_from_Actuarial___Production[[#This Row],[Kor1]],$AI$3:$AK$105,3,FALSE)</f>
        <v>Misc. Expense</v>
      </c>
      <c r="X1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6"/>
      <c r="Z1556" t="s">
        <v>37</v>
      </c>
      <c r="AA1556" t="s">
        <v>262</v>
      </c>
      <c r="AB1556" t="s">
        <v>427</v>
      </c>
      <c r="AC1556" s="21">
        <v>37.33</v>
      </c>
      <c r="AD1556" s="21" t="s">
        <v>368</v>
      </c>
      <c r="AE1556" t="str">
        <f>VLOOKUP(Table_Query_from_Actuarial___Production3[[#This Row],[Kor1]],$AI$3:$AK$105,3,FALSE)</f>
        <v>Misc. Expense</v>
      </c>
      <c r="AF1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7" spans="18:32" x14ac:dyDescent="0.2">
      <c r="R1557" t="s">
        <v>39</v>
      </c>
      <c r="S1557" t="s">
        <v>256</v>
      </c>
      <c r="T1557" t="s">
        <v>433</v>
      </c>
      <c r="U1557" s="21">
        <v>1219</v>
      </c>
      <c r="V1557" s="21" t="s">
        <v>368</v>
      </c>
      <c r="W1557" t="str">
        <f>VLOOKUP(Table_Query_from_Actuarial___Production[[#This Row],[Kor1]],$AI$3:$AK$105,3,FALSE)</f>
        <v>Misc. Income for Insolvent Companies</v>
      </c>
      <c r="X1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7"/>
      <c r="Z1557" t="s">
        <v>44</v>
      </c>
      <c r="AA1557" t="s">
        <v>242</v>
      </c>
      <c r="AB1557" t="s">
        <v>9</v>
      </c>
      <c r="AC1557" s="21">
        <v>-2</v>
      </c>
      <c r="AD1557" s="21" t="s">
        <v>368</v>
      </c>
      <c r="AE1557" t="str">
        <f>VLOOKUP(Table_Query_from_Actuarial___Production3[[#This Row],[Kor1]],$AI$3:$AK$105,3,FALSE)</f>
        <v>Charge-offs</v>
      </c>
      <c r="AF1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8" spans="18:32" x14ac:dyDescent="0.2">
      <c r="R1558" t="s">
        <v>40</v>
      </c>
      <c r="S1558" t="s">
        <v>244</v>
      </c>
      <c r="T1558" t="s">
        <v>427</v>
      </c>
      <c r="U1558" s="21">
        <v>11.02</v>
      </c>
      <c r="V1558" s="21" t="s">
        <v>368</v>
      </c>
      <c r="W1558" t="str">
        <f>VLOOKUP(Table_Query_from_Actuarial___Production[[#This Row],[Kor1]],$AI$3:$AK$105,3,FALSE)</f>
        <v>Misc. Income</v>
      </c>
      <c r="X1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8"/>
      <c r="Z1558" t="s">
        <v>19</v>
      </c>
      <c r="AA1558" t="s">
        <v>229</v>
      </c>
      <c r="AB1558" t="s">
        <v>356</v>
      </c>
      <c r="AC1558" s="21">
        <v>316</v>
      </c>
      <c r="AD1558" s="21" t="s">
        <v>368</v>
      </c>
      <c r="AE1558" t="str">
        <f>VLOOKUP(Table_Query_from_Actuarial___Production3[[#This Row],[Kor1]],$AI$3:$AK$105,3,FALSE)</f>
        <v>Misc. Expense for Insolvent Companies</v>
      </c>
      <c r="AF1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59" spans="18:32" x14ac:dyDescent="0.2">
      <c r="R1559" t="s">
        <v>10</v>
      </c>
      <c r="S1559" t="s">
        <v>243</v>
      </c>
      <c r="T1559" t="s">
        <v>433</v>
      </c>
      <c r="U1559" s="21">
        <v>39952.300000000003</v>
      </c>
      <c r="V1559" s="21" t="s">
        <v>368</v>
      </c>
      <c r="W1559" t="str">
        <f>VLOOKUP(Table_Query_from_Actuarial___Production[[#This Row],[Kor1]],$AI$3:$AK$105,3,FALSE)</f>
        <v>Commissions</v>
      </c>
      <c r="X1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59"/>
      <c r="Z1559" t="s">
        <v>47</v>
      </c>
      <c r="AA1559" t="s">
        <v>229</v>
      </c>
      <c r="AB1559" t="s">
        <v>427</v>
      </c>
      <c r="AC1559" s="21">
        <v>1951.34</v>
      </c>
      <c r="AD1559" s="21" t="s">
        <v>368</v>
      </c>
      <c r="AE1559" t="str">
        <f>VLOOKUP(Table_Query_from_Actuarial___Production3[[#This Row],[Kor1]],$AI$3:$AK$105,3,FALSE)</f>
        <v>Investment Income</v>
      </c>
      <c r="AF1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0" spans="18:32" x14ac:dyDescent="0.2">
      <c r="R1560" t="s">
        <v>13</v>
      </c>
      <c r="S1560" t="s">
        <v>266</v>
      </c>
      <c r="T1560" t="s">
        <v>351</v>
      </c>
      <c r="U1560" s="21">
        <v>56801.58</v>
      </c>
      <c r="V1560" s="21" t="s">
        <v>368</v>
      </c>
      <c r="W1560" t="str">
        <f>VLOOKUP(Table_Query_from_Actuarial___Production[[#This Row],[Kor1]],$AI$3:$AK$105,3,FALSE)</f>
        <v>Operating Service Fees</v>
      </c>
      <c r="X1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0"/>
      <c r="Z1560" t="s">
        <v>3</v>
      </c>
      <c r="AA1560" t="s">
        <v>260</v>
      </c>
      <c r="AB1560" t="s">
        <v>8</v>
      </c>
      <c r="AC1560" s="21">
        <v>5293</v>
      </c>
      <c r="AD1560" s="21" t="s">
        <v>368</v>
      </c>
      <c r="AE1560" t="str">
        <f>VLOOKUP(Table_Query_from_Actuarial___Production3[[#This Row],[Kor1]],$AI$3:$AK$105,3,FALSE)</f>
        <v>Premiums Written</v>
      </c>
      <c r="AF1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1" spans="18:32" x14ac:dyDescent="0.2">
      <c r="R1561" t="s">
        <v>37</v>
      </c>
      <c r="S1561" t="s">
        <v>243</v>
      </c>
      <c r="T1561" t="s">
        <v>433</v>
      </c>
      <c r="U1561" s="21">
        <v>285.13</v>
      </c>
      <c r="V1561" s="21" t="s">
        <v>368</v>
      </c>
      <c r="W1561" t="str">
        <f>VLOOKUP(Table_Query_from_Actuarial___Production[[#This Row],[Kor1]],$AI$3:$AK$105,3,FALSE)</f>
        <v>Misc. Expense</v>
      </c>
      <c r="X1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1"/>
      <c r="Z1561" t="s">
        <v>31</v>
      </c>
      <c r="AA1561" t="s">
        <v>240</v>
      </c>
      <c r="AB1561" t="s">
        <v>7</v>
      </c>
      <c r="AC1561" s="21">
        <v>883.66</v>
      </c>
      <c r="AD1561" s="21" t="s">
        <v>368</v>
      </c>
      <c r="AE1561" t="str">
        <f>VLOOKUP(Table_Query_from_Actuarial___Production3[[#This Row],[Kor1]],$AI$3:$AK$105,3,FALSE)</f>
        <v>Misc. Expense</v>
      </c>
      <c r="AF1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2" spans="18:32" x14ac:dyDescent="0.2">
      <c r="R1562" t="s">
        <v>47</v>
      </c>
      <c r="S1562" t="s">
        <v>230</v>
      </c>
      <c r="T1562" t="s">
        <v>441</v>
      </c>
      <c r="U1562" s="21">
        <v>399.11</v>
      </c>
      <c r="V1562" s="21" t="s">
        <v>368</v>
      </c>
      <c r="W1562" t="str">
        <f>VLOOKUP(Table_Query_from_Actuarial___Production[[#This Row],[Kor1]],$AI$3:$AK$105,3,FALSE)</f>
        <v>Investment Income</v>
      </c>
      <c r="X1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2"/>
      <c r="Z1562" t="s">
        <v>37</v>
      </c>
      <c r="AA1562" t="s">
        <v>243</v>
      </c>
      <c r="AB1562" t="s">
        <v>441</v>
      </c>
      <c r="AC1562" s="21">
        <v>1038.42</v>
      </c>
      <c r="AD1562" s="21" t="s">
        <v>368</v>
      </c>
      <c r="AE1562" t="str">
        <f>VLOOKUP(Table_Query_from_Actuarial___Production3[[#This Row],[Kor1]],$AI$3:$AK$105,3,FALSE)</f>
        <v>Misc. Expense</v>
      </c>
      <c r="AF1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3" spans="18:32" x14ac:dyDescent="0.2">
      <c r="R1563" t="s">
        <v>46</v>
      </c>
      <c r="S1563" t="s">
        <v>354</v>
      </c>
      <c r="T1563" t="s">
        <v>441</v>
      </c>
      <c r="U1563" s="21">
        <v>20707661.739999998</v>
      </c>
      <c r="V1563" s="21" t="s">
        <v>369</v>
      </c>
      <c r="W1563" t="str">
        <f>VLOOKUP(Table_Query_from_Actuarial___Production[[#This Row],[Kor1]],$AI$3:$AK$105,3,FALSE)</f>
        <v>Investment Income</v>
      </c>
      <c r="X1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563"/>
      <c r="Z1563" t="s">
        <v>17</v>
      </c>
      <c r="AA1563" t="s">
        <v>228</v>
      </c>
      <c r="AB1563" t="s">
        <v>442</v>
      </c>
      <c r="AC1563" s="21">
        <v>47176.39</v>
      </c>
      <c r="AD1563" s="21" t="s">
        <v>368</v>
      </c>
      <c r="AE1563" t="str">
        <f>VLOOKUP(Table_Query_from_Actuarial___Production3[[#This Row],[Kor1]],$AI$3:$AK$105,3,FALSE)</f>
        <v>IBNR</v>
      </c>
      <c r="AF1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4" spans="18:32" x14ac:dyDescent="0.2">
      <c r="R1564" t="s">
        <v>33</v>
      </c>
      <c r="S1564" t="s">
        <v>246</v>
      </c>
      <c r="T1564" t="s">
        <v>7</v>
      </c>
      <c r="U1564" s="21">
        <v>13406.76</v>
      </c>
      <c r="V1564" s="21" t="s">
        <v>368</v>
      </c>
      <c r="W1564" t="str">
        <f>VLOOKUP(Table_Query_from_Actuarial___Production[[#This Row],[Kor1]],$AI$3:$AK$105,3,FALSE)</f>
        <v>Misc. Expense</v>
      </c>
      <c r="X1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4"/>
      <c r="Z1564" t="s">
        <v>439</v>
      </c>
      <c r="AA1564" t="s">
        <v>249</v>
      </c>
      <c r="AB1564" t="s">
        <v>433</v>
      </c>
      <c r="AC1564" s="21">
        <v>6102</v>
      </c>
      <c r="AD1564" s="21" t="s">
        <v>368</v>
      </c>
      <c r="AE1564" t="str">
        <f>VLOOKUP(Table_Query_from_Actuarial___Production3[[#This Row],[Kor1]],$AI$3:$AK$105,3,FALSE)</f>
        <v>Operating Service Fees</v>
      </c>
      <c r="AF1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5" spans="18:32" x14ac:dyDescent="0.2">
      <c r="R1565" t="s">
        <v>3</v>
      </c>
      <c r="S1565" t="s">
        <v>245</v>
      </c>
      <c r="T1565" t="s">
        <v>442</v>
      </c>
      <c r="U1565" s="21">
        <v>17836</v>
      </c>
      <c r="V1565" s="21" t="s">
        <v>368</v>
      </c>
      <c r="W1565" t="str">
        <f>VLOOKUP(Table_Query_from_Actuarial___Production[[#This Row],[Kor1]],$AI$3:$AK$105,3,FALSE)</f>
        <v>Premiums Written</v>
      </c>
      <c r="X1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5"/>
      <c r="Z1565" t="s">
        <v>14</v>
      </c>
      <c r="AA1565" t="s">
        <v>227</v>
      </c>
      <c r="AB1565" t="s">
        <v>427</v>
      </c>
      <c r="AC1565" s="21">
        <v>263.38</v>
      </c>
      <c r="AD1565" s="21" t="s">
        <v>368</v>
      </c>
      <c r="AE1565" t="str">
        <f>VLOOKUP(Table_Query_from_Actuarial___Production3[[#This Row],[Kor1]],$AI$3:$AK$105,3,FALSE)</f>
        <v>Claims Expense</v>
      </c>
      <c r="AF1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6" spans="18:32" x14ac:dyDescent="0.2">
      <c r="R1566" t="s">
        <v>13</v>
      </c>
      <c r="S1566" t="s">
        <v>242</v>
      </c>
      <c r="T1566" t="s">
        <v>6</v>
      </c>
      <c r="U1566" s="21">
        <v>49755.07</v>
      </c>
      <c r="V1566" s="21" t="s">
        <v>368</v>
      </c>
      <c r="W1566" t="str">
        <f>VLOOKUP(Table_Query_from_Actuarial___Production[[#This Row],[Kor1]],$AI$3:$AK$105,3,FALSE)</f>
        <v>Operating Service Fees</v>
      </c>
      <c r="X1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6"/>
      <c r="Z1566" t="s">
        <v>47</v>
      </c>
      <c r="AA1566" t="s">
        <v>236</v>
      </c>
      <c r="AB1566" t="s">
        <v>442</v>
      </c>
      <c r="AC1566" s="21">
        <v>665.11</v>
      </c>
      <c r="AD1566" s="21" t="s">
        <v>368</v>
      </c>
      <c r="AE1566" t="str">
        <f>VLOOKUP(Table_Query_from_Actuarial___Production3[[#This Row],[Kor1]],$AI$3:$AK$105,3,FALSE)</f>
        <v>Investment Income</v>
      </c>
      <c r="AF1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67" spans="18:32" x14ac:dyDescent="0.2">
      <c r="R1567" t="s">
        <v>40</v>
      </c>
      <c r="S1567" t="s">
        <v>247</v>
      </c>
      <c r="T1567" t="s">
        <v>427</v>
      </c>
      <c r="U1567" s="21">
        <v>12</v>
      </c>
      <c r="V1567" s="21" t="s">
        <v>368</v>
      </c>
      <c r="W1567" t="str">
        <f>VLOOKUP(Table_Query_from_Actuarial___Production[[#This Row],[Kor1]],$AI$3:$AK$105,3,FALSE)</f>
        <v>Misc. Income</v>
      </c>
      <c r="X1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7"/>
      <c r="Z1567" t="s">
        <v>17</v>
      </c>
      <c r="AA1567" t="s">
        <v>224</v>
      </c>
      <c r="AB1567" t="s">
        <v>443</v>
      </c>
      <c r="AC1567" s="21">
        <v>3176.1</v>
      </c>
      <c r="AD1567" s="21" t="s">
        <v>425</v>
      </c>
      <c r="AE1567" t="str">
        <f>VLOOKUP(Table_Query_from_Actuarial___Production3[[#This Row],[Kor1]],$AI$3:$AK$105,3,FALSE)</f>
        <v>IBNR</v>
      </c>
      <c r="AF1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68" spans="18:32" x14ac:dyDescent="0.2">
      <c r="R1568" t="s">
        <v>33</v>
      </c>
      <c r="S1568" t="s">
        <v>264</v>
      </c>
      <c r="T1568" t="s">
        <v>8</v>
      </c>
      <c r="U1568" s="21">
        <v>16385.64</v>
      </c>
      <c r="V1568" s="21" t="s">
        <v>368</v>
      </c>
      <c r="W1568" t="str">
        <f>VLOOKUP(Table_Query_from_Actuarial___Production[[#This Row],[Kor1]],$AI$3:$AK$105,3,FALSE)</f>
        <v>Misc. Expense</v>
      </c>
      <c r="X1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8"/>
      <c r="Z1568" t="s">
        <v>18</v>
      </c>
      <c r="AA1568" t="s">
        <v>225</v>
      </c>
      <c r="AB1568" t="s">
        <v>5</v>
      </c>
      <c r="AC1568" s="21">
        <v>1164333.72</v>
      </c>
      <c r="AD1568" s="21" t="s">
        <v>369</v>
      </c>
      <c r="AE1568" t="str">
        <f>VLOOKUP(Table_Query_from_Actuarial___Production3[[#This Row],[Kor1]],$AI$3:$AK$105,3,FALSE)</f>
        <v>Misc. Expense</v>
      </c>
      <c r="AF1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569" spans="18:32" x14ac:dyDescent="0.2">
      <c r="R1569" t="s">
        <v>48</v>
      </c>
      <c r="S1569" t="s">
        <v>239</v>
      </c>
      <c r="T1569" t="s">
        <v>445</v>
      </c>
      <c r="U1569" s="21">
        <v>3641.43</v>
      </c>
      <c r="V1569" s="21" t="s">
        <v>368</v>
      </c>
      <c r="W1569" t="str">
        <f>VLOOKUP(Table_Query_from_Actuarial___Production[[#This Row],[Kor1]],$AI$3:$AK$105,3,FALSE)</f>
        <v>Anticipated Salvage</v>
      </c>
      <c r="X1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69"/>
      <c r="Z1569" t="s">
        <v>44</v>
      </c>
      <c r="AA1569" t="s">
        <v>224</v>
      </c>
      <c r="AB1569" t="s">
        <v>6</v>
      </c>
      <c r="AC1569" s="21">
        <v>682.06</v>
      </c>
      <c r="AD1569" s="21" t="s">
        <v>425</v>
      </c>
      <c r="AE1569" t="str">
        <f>VLOOKUP(Table_Query_from_Actuarial___Production3[[#This Row],[Kor1]],$AI$3:$AK$105,3,FALSE)</f>
        <v>Charge-offs</v>
      </c>
      <c r="AF1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70" spans="18:32" x14ac:dyDescent="0.2">
      <c r="R1570" t="s">
        <v>46</v>
      </c>
      <c r="S1570" t="s">
        <v>226</v>
      </c>
      <c r="T1570" t="s">
        <v>433</v>
      </c>
      <c r="U1570" s="21">
        <v>15103.9</v>
      </c>
      <c r="V1570" s="21" t="s">
        <v>368</v>
      </c>
      <c r="W1570" t="str">
        <f>VLOOKUP(Table_Query_from_Actuarial___Production[[#This Row],[Kor1]],$AI$3:$AK$105,3,FALSE)</f>
        <v>Investment Income</v>
      </c>
      <c r="X1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570"/>
      <c r="Z1570" t="s">
        <v>16</v>
      </c>
      <c r="AA1570" t="s">
        <v>226</v>
      </c>
      <c r="AB1570" t="s">
        <v>8</v>
      </c>
      <c r="AC1570" s="21">
        <v>242300</v>
      </c>
      <c r="AD1570" s="21" t="s">
        <v>368</v>
      </c>
      <c r="AE1570" t="str">
        <f>VLOOKUP(Table_Query_from_Actuarial___Production3[[#This Row],[Kor1]],$AI$3:$AK$105,3,FALSE)</f>
        <v>Losses Outstanding</v>
      </c>
      <c r="AF1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571" spans="18:32" x14ac:dyDescent="0.2">
      <c r="R1571" t="s">
        <v>17</v>
      </c>
      <c r="S1571" t="s">
        <v>264</v>
      </c>
      <c r="T1571" t="s">
        <v>442</v>
      </c>
      <c r="U1571" s="21">
        <v>555321.51</v>
      </c>
      <c r="V1571" s="21" t="s">
        <v>368</v>
      </c>
      <c r="W1571" t="str">
        <f>VLOOKUP(Table_Query_from_Actuarial___Production[[#This Row],[Kor1]],$AI$3:$AK$105,3,FALSE)</f>
        <v>IBNR</v>
      </c>
      <c r="X1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1"/>
      <c r="Z1571" t="s">
        <v>10</v>
      </c>
      <c r="AA1571" t="s">
        <v>253</v>
      </c>
      <c r="AB1571" t="s">
        <v>5</v>
      </c>
      <c r="AC1571" s="21">
        <v>2883.35</v>
      </c>
      <c r="AD1571" s="21" t="s">
        <v>368</v>
      </c>
      <c r="AE1571" t="str">
        <f>VLOOKUP(Table_Query_from_Actuarial___Production3[[#This Row],[Kor1]],$AI$3:$AK$105,3,FALSE)</f>
        <v>Commissions</v>
      </c>
      <c r="AF1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2" spans="18:32" x14ac:dyDescent="0.2">
      <c r="R1572" t="s">
        <v>28</v>
      </c>
      <c r="S1572" t="s">
        <v>259</v>
      </c>
      <c r="T1572" t="s">
        <v>433</v>
      </c>
      <c r="U1572" s="21">
        <v>84.1</v>
      </c>
      <c r="V1572" s="21" t="s">
        <v>368</v>
      </c>
      <c r="W1572" t="str">
        <f>VLOOKUP(Table_Query_from_Actuarial___Production[[#This Row],[Kor1]],$AI$3:$AK$105,3,FALSE)</f>
        <v>Misc. Expense</v>
      </c>
      <c r="X1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2"/>
      <c r="Z1572" t="s">
        <v>19</v>
      </c>
      <c r="AA1572" t="s">
        <v>248</v>
      </c>
      <c r="AB1572" t="s">
        <v>9</v>
      </c>
      <c r="AC1572" s="21">
        <v>2</v>
      </c>
      <c r="AD1572" s="21" t="s">
        <v>368</v>
      </c>
      <c r="AE1572" t="str">
        <f>VLOOKUP(Table_Query_from_Actuarial___Production3[[#This Row],[Kor1]],$AI$3:$AK$105,3,FALSE)</f>
        <v>Misc. Expense for Insolvent Companies</v>
      </c>
      <c r="AF1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3" spans="18:32" x14ac:dyDescent="0.2">
      <c r="R1573" t="s">
        <v>37</v>
      </c>
      <c r="S1573" t="s">
        <v>257</v>
      </c>
      <c r="T1573" t="s">
        <v>433</v>
      </c>
      <c r="U1573" s="21">
        <v>7675.93</v>
      </c>
      <c r="V1573" s="21" t="s">
        <v>368</v>
      </c>
      <c r="W1573" t="str">
        <f>VLOOKUP(Table_Query_from_Actuarial___Production[[#This Row],[Kor1]],$AI$3:$AK$105,3,FALSE)</f>
        <v>Misc. Expense</v>
      </c>
      <c r="X1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3"/>
      <c r="Z1573" t="s">
        <v>31</v>
      </c>
      <c r="AA1573" t="s">
        <v>247</v>
      </c>
      <c r="AB1573" t="s">
        <v>442</v>
      </c>
      <c r="AC1573" s="21">
        <v>984.61</v>
      </c>
      <c r="AD1573" s="21" t="s">
        <v>368</v>
      </c>
      <c r="AE1573" t="str">
        <f>VLOOKUP(Table_Query_from_Actuarial___Production3[[#This Row],[Kor1]],$AI$3:$AK$105,3,FALSE)</f>
        <v>Misc. Expense</v>
      </c>
      <c r="AF1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4" spans="18:32" x14ac:dyDescent="0.2">
      <c r="R1574" t="s">
        <v>47</v>
      </c>
      <c r="S1574" t="s">
        <v>237</v>
      </c>
      <c r="T1574" t="s">
        <v>441</v>
      </c>
      <c r="U1574" s="21">
        <v>572.84</v>
      </c>
      <c r="V1574" s="21" t="s">
        <v>368</v>
      </c>
      <c r="W1574" t="str">
        <f>VLOOKUP(Table_Query_from_Actuarial___Production[[#This Row],[Kor1]],$AI$3:$AK$105,3,FALSE)</f>
        <v>Investment Income</v>
      </c>
      <c r="X1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4"/>
      <c r="Z1574" t="s">
        <v>10</v>
      </c>
      <c r="AA1574" t="s">
        <v>228</v>
      </c>
      <c r="AB1574" t="s">
        <v>7</v>
      </c>
      <c r="AC1574" s="21">
        <v>38155.5</v>
      </c>
      <c r="AD1574" s="21" t="s">
        <v>368</v>
      </c>
      <c r="AE1574" t="str">
        <f>VLOOKUP(Table_Query_from_Actuarial___Production3[[#This Row],[Kor1]],$AI$3:$AK$105,3,FALSE)</f>
        <v>Commissions</v>
      </c>
      <c r="AF1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5" spans="18:32" x14ac:dyDescent="0.2">
      <c r="R1575" t="s">
        <v>49</v>
      </c>
      <c r="S1575" t="s">
        <v>238</v>
      </c>
      <c r="T1575" t="s">
        <v>8</v>
      </c>
      <c r="U1575" s="21">
        <v>12054.75</v>
      </c>
      <c r="V1575" s="21" t="s">
        <v>368</v>
      </c>
      <c r="W1575" t="str">
        <f>VLOOKUP(Table_Query_from_Actuarial___Production[[#This Row],[Kor1]],$AI$3:$AK$105,3,FALSE)</f>
        <v>ALAE Paid</v>
      </c>
      <c r="X1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5"/>
      <c r="Z1575" t="s">
        <v>16</v>
      </c>
      <c r="AA1575" t="s">
        <v>240</v>
      </c>
      <c r="AB1575" t="s">
        <v>442</v>
      </c>
      <c r="AC1575" s="21">
        <v>975823.19</v>
      </c>
      <c r="AD1575" s="21" t="s">
        <v>368</v>
      </c>
      <c r="AE1575" t="str">
        <f>VLOOKUP(Table_Query_from_Actuarial___Production3[[#This Row],[Kor1]],$AI$3:$AK$105,3,FALSE)</f>
        <v>Losses Outstanding</v>
      </c>
      <c r="AF1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6" spans="18:32" x14ac:dyDescent="0.2">
      <c r="R1576" t="s">
        <v>37</v>
      </c>
      <c r="S1576" t="s">
        <v>261</v>
      </c>
      <c r="T1576" t="s">
        <v>9</v>
      </c>
      <c r="U1576" s="21">
        <v>8780.51</v>
      </c>
      <c r="V1576" s="21" t="s">
        <v>368</v>
      </c>
      <c r="W1576" t="str">
        <f>VLOOKUP(Table_Query_from_Actuarial___Production[[#This Row],[Kor1]],$AI$3:$AK$105,3,FALSE)</f>
        <v>Misc. Expense</v>
      </c>
      <c r="X1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6"/>
      <c r="Z1576" t="s">
        <v>31</v>
      </c>
      <c r="AA1576" t="s">
        <v>229</v>
      </c>
      <c r="AB1576" t="s">
        <v>351</v>
      </c>
      <c r="AC1576" s="21">
        <v>563.74</v>
      </c>
      <c r="AD1576" s="21" t="s">
        <v>368</v>
      </c>
      <c r="AE1576" t="str">
        <f>VLOOKUP(Table_Query_from_Actuarial___Production3[[#This Row],[Kor1]],$AI$3:$AK$105,3,FALSE)</f>
        <v>Misc. Expense</v>
      </c>
      <c r="AF1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7" spans="18:32" x14ac:dyDescent="0.2">
      <c r="R1577" t="s">
        <v>16</v>
      </c>
      <c r="S1577" t="s">
        <v>258</v>
      </c>
      <c r="T1577" t="s">
        <v>427</v>
      </c>
      <c r="U1577" s="21">
        <v>1300826.6100000001</v>
      </c>
      <c r="V1577" s="21" t="s">
        <v>368</v>
      </c>
      <c r="W1577" t="str">
        <f>VLOOKUP(Table_Query_from_Actuarial___Production[[#This Row],[Kor1]],$AI$3:$AK$105,3,FALSE)</f>
        <v>Losses Outstanding</v>
      </c>
      <c r="X1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7"/>
      <c r="Z1577" t="s">
        <v>40</v>
      </c>
      <c r="AA1577" t="s">
        <v>238</v>
      </c>
      <c r="AB1577" t="s">
        <v>9</v>
      </c>
      <c r="AC1577" s="21">
        <v>129</v>
      </c>
      <c r="AD1577" s="21" t="s">
        <v>368</v>
      </c>
      <c r="AE1577" t="str">
        <f>VLOOKUP(Table_Query_from_Actuarial___Production3[[#This Row],[Kor1]],$AI$3:$AK$105,3,FALSE)</f>
        <v>Misc. Income</v>
      </c>
      <c r="AF1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78" spans="18:32" x14ac:dyDescent="0.2">
      <c r="R1578" t="s">
        <v>14</v>
      </c>
      <c r="S1578" t="s">
        <v>267</v>
      </c>
      <c r="T1578" t="s">
        <v>442</v>
      </c>
      <c r="U1578" s="21">
        <v>51850.3</v>
      </c>
      <c r="V1578" s="21" t="s">
        <v>368</v>
      </c>
      <c r="W1578" t="str">
        <f>VLOOKUP(Table_Query_from_Actuarial___Production[[#This Row],[Kor1]],$AI$3:$AK$105,3,FALSE)</f>
        <v>Claims Expense</v>
      </c>
      <c r="X1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8"/>
      <c r="Z1578" t="s">
        <v>44</v>
      </c>
      <c r="AA1578" t="s">
        <v>224</v>
      </c>
      <c r="AB1578" t="s">
        <v>5</v>
      </c>
      <c r="AC1578" s="21">
        <v>3642.2</v>
      </c>
      <c r="AD1578" s="21" t="s">
        <v>368</v>
      </c>
      <c r="AE1578" t="str">
        <f>VLOOKUP(Table_Query_from_Actuarial___Production3[[#This Row],[Kor1]],$AI$3:$AK$105,3,FALSE)</f>
        <v>Charge-offs</v>
      </c>
      <c r="AF1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579" spans="18:32" x14ac:dyDescent="0.2">
      <c r="R1579" t="s">
        <v>32</v>
      </c>
      <c r="S1579" t="s">
        <v>229</v>
      </c>
      <c r="T1579" t="s">
        <v>9</v>
      </c>
      <c r="U1579" s="21">
        <v>63801.26</v>
      </c>
      <c r="V1579" s="21" t="s">
        <v>368</v>
      </c>
      <c r="W1579" t="str">
        <f>VLOOKUP(Table_Query_from_Actuarial___Production[[#This Row],[Kor1]],$AI$3:$AK$105,3,FALSE)</f>
        <v>Misc. Expense</v>
      </c>
      <c r="X1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79"/>
      <c r="Z1579" t="s">
        <v>11</v>
      </c>
      <c r="AA1579" t="s">
        <v>4</v>
      </c>
      <c r="AB1579" t="s">
        <v>9</v>
      </c>
      <c r="AC1579" s="21">
        <v>24780023.02</v>
      </c>
      <c r="AD1579" s="21" t="s">
        <v>368</v>
      </c>
      <c r="AE1579" t="str">
        <f>VLOOKUP(Table_Query_from_Actuarial___Production3[[#This Row],[Kor1]],$AI$3:$AK$105,3,FALSE)</f>
        <v>Losses Paid</v>
      </c>
      <c r="AF1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0" spans="18:32" x14ac:dyDescent="0.2">
      <c r="R1580" t="s">
        <v>43</v>
      </c>
      <c r="S1580" t="s">
        <v>258</v>
      </c>
      <c r="T1580" t="s">
        <v>351</v>
      </c>
      <c r="U1580" s="21">
        <v>597.49</v>
      </c>
      <c r="V1580" s="21" t="s">
        <v>368</v>
      </c>
      <c r="W1580" t="str">
        <f>VLOOKUP(Table_Query_from_Actuarial___Production[[#This Row],[Kor1]],$AI$3:$AK$105,3,FALSE)</f>
        <v>Charge-offs</v>
      </c>
      <c r="X1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0"/>
      <c r="Z1580" t="s">
        <v>32</v>
      </c>
      <c r="AA1580" t="s">
        <v>264</v>
      </c>
      <c r="AB1580" t="s">
        <v>356</v>
      </c>
      <c r="AC1580" s="21">
        <v>-6620.95</v>
      </c>
      <c r="AD1580" s="21" t="s">
        <v>368</v>
      </c>
      <c r="AE1580" t="str">
        <f>VLOOKUP(Table_Query_from_Actuarial___Production3[[#This Row],[Kor1]],$AI$3:$AK$105,3,FALSE)</f>
        <v>Misc. Expense</v>
      </c>
      <c r="AF1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1" spans="18:32" x14ac:dyDescent="0.2">
      <c r="R1581" t="s">
        <v>49</v>
      </c>
      <c r="S1581" t="s">
        <v>258</v>
      </c>
      <c r="T1581" t="s">
        <v>441</v>
      </c>
      <c r="U1581" s="21">
        <v>7913</v>
      </c>
      <c r="V1581" s="21" t="s">
        <v>368</v>
      </c>
      <c r="W1581" t="str">
        <f>VLOOKUP(Table_Query_from_Actuarial___Production[[#This Row],[Kor1]],$AI$3:$AK$105,3,FALSE)</f>
        <v>ALAE Paid</v>
      </c>
      <c r="X1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1"/>
      <c r="Z1581" t="s">
        <v>10</v>
      </c>
      <c r="AA1581" t="s">
        <v>224</v>
      </c>
      <c r="AB1581" t="s">
        <v>6</v>
      </c>
      <c r="AC1581" s="21">
        <v>2570.37</v>
      </c>
      <c r="AD1581" s="21" t="s">
        <v>369</v>
      </c>
      <c r="AE1581" t="str">
        <f>VLOOKUP(Table_Query_from_Actuarial___Production3[[#This Row],[Kor1]],$AI$3:$AK$105,3,FALSE)</f>
        <v>Commissions</v>
      </c>
      <c r="AF1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82" spans="18:32" x14ac:dyDescent="0.2">
      <c r="R1582" t="s">
        <v>40</v>
      </c>
      <c r="S1582" t="s">
        <v>235</v>
      </c>
      <c r="T1582" t="s">
        <v>6</v>
      </c>
      <c r="U1582" s="21">
        <v>10.97</v>
      </c>
      <c r="V1582" s="21" t="s">
        <v>368</v>
      </c>
      <c r="W1582" t="str">
        <f>VLOOKUP(Table_Query_from_Actuarial___Production[[#This Row],[Kor1]],$AI$3:$AK$105,3,FALSE)</f>
        <v>Misc. Income</v>
      </c>
      <c r="X1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2"/>
      <c r="Z1582" t="s">
        <v>11</v>
      </c>
      <c r="AA1582" t="s">
        <v>264</v>
      </c>
      <c r="AB1582" t="s">
        <v>8</v>
      </c>
      <c r="AC1582" s="21">
        <v>965311.19</v>
      </c>
      <c r="AD1582" s="21" t="s">
        <v>368</v>
      </c>
      <c r="AE1582" t="str">
        <f>VLOOKUP(Table_Query_from_Actuarial___Production3[[#This Row],[Kor1]],$AI$3:$AK$105,3,FALSE)</f>
        <v>Losses Paid</v>
      </c>
      <c r="AF1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3" spans="18:32" x14ac:dyDescent="0.2">
      <c r="R1583" t="s">
        <v>167</v>
      </c>
      <c r="S1583" t="s">
        <v>354</v>
      </c>
      <c r="T1583" t="s">
        <v>7</v>
      </c>
      <c r="U1583" s="21">
        <v>55057973</v>
      </c>
      <c r="V1583" s="21" t="s">
        <v>369</v>
      </c>
      <c r="W1583" t="str">
        <f>VLOOKUP(Table_Query_from_Actuarial___Production[[#This Row],[Kor1]],$AI$3:$AK$105,3,FALSE)</f>
        <v>Recoupment</v>
      </c>
      <c r="X1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583"/>
      <c r="Z1583" t="s">
        <v>12</v>
      </c>
      <c r="AA1583" t="s">
        <v>258</v>
      </c>
      <c r="AB1583" t="s">
        <v>8</v>
      </c>
      <c r="AC1583" s="21">
        <v>52787.54</v>
      </c>
      <c r="AD1583" s="21" t="s">
        <v>368</v>
      </c>
      <c r="AE1583" t="str">
        <f>VLOOKUP(Table_Query_from_Actuarial___Production3[[#This Row],[Kor1]],$AI$3:$AK$105,3,FALSE)</f>
        <v>Premium Tax</v>
      </c>
      <c r="AF1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4" spans="18:32" x14ac:dyDescent="0.2">
      <c r="R1584" t="s">
        <v>47</v>
      </c>
      <c r="S1584" t="s">
        <v>257</v>
      </c>
      <c r="T1584" t="s">
        <v>351</v>
      </c>
      <c r="U1584" s="21">
        <v>16529.34</v>
      </c>
      <c r="V1584" s="21" t="s">
        <v>368</v>
      </c>
      <c r="W1584" t="str">
        <f>VLOOKUP(Table_Query_from_Actuarial___Production[[#This Row],[Kor1]],$AI$3:$AK$105,3,FALSE)</f>
        <v>Investment Income</v>
      </c>
      <c r="X1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4"/>
      <c r="Z1584" t="s">
        <v>20</v>
      </c>
      <c r="AA1584" t="s">
        <v>266</v>
      </c>
      <c r="AB1584" t="s">
        <v>5</v>
      </c>
      <c r="AC1584" s="21">
        <v>3.93</v>
      </c>
      <c r="AD1584" s="21" t="s">
        <v>368</v>
      </c>
      <c r="AE1584" t="str">
        <f>VLOOKUP(Table_Query_from_Actuarial___Production3[[#This Row],[Kor1]],$AI$3:$AK$105,3,FALSE)</f>
        <v>Misc. Expense</v>
      </c>
      <c r="AF1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5" spans="18:32" x14ac:dyDescent="0.2">
      <c r="R1585" t="s">
        <v>37</v>
      </c>
      <c r="S1585" t="s">
        <v>263</v>
      </c>
      <c r="T1585" t="s">
        <v>441</v>
      </c>
      <c r="U1585" s="21">
        <v>465.79</v>
      </c>
      <c r="V1585" s="21" t="s">
        <v>368</v>
      </c>
      <c r="W1585" t="str">
        <f>VLOOKUP(Table_Query_from_Actuarial___Production[[#This Row],[Kor1]],$AI$3:$AK$105,3,FALSE)</f>
        <v>Misc. Expense</v>
      </c>
      <c r="X1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5"/>
      <c r="Z1585" t="s">
        <v>48</v>
      </c>
      <c r="AA1585" t="s">
        <v>256</v>
      </c>
      <c r="AB1585" t="s">
        <v>433</v>
      </c>
      <c r="AC1585" s="21">
        <v>200.65</v>
      </c>
      <c r="AD1585" s="21" t="s">
        <v>368</v>
      </c>
      <c r="AE1585" t="str">
        <f>VLOOKUP(Table_Query_from_Actuarial___Production3[[#This Row],[Kor1]],$AI$3:$AK$105,3,FALSE)</f>
        <v>Anticipated Salvage</v>
      </c>
      <c r="AF1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6" spans="18:32" x14ac:dyDescent="0.2">
      <c r="R1586" t="s">
        <v>40</v>
      </c>
      <c r="S1586" t="s">
        <v>260</v>
      </c>
      <c r="T1586" t="s">
        <v>9</v>
      </c>
      <c r="U1586" s="21">
        <v>20</v>
      </c>
      <c r="V1586" s="21" t="s">
        <v>368</v>
      </c>
      <c r="W1586" t="str">
        <f>VLOOKUP(Table_Query_from_Actuarial___Production[[#This Row],[Kor1]],$AI$3:$AK$105,3,FALSE)</f>
        <v>Misc. Income</v>
      </c>
      <c r="X1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6"/>
      <c r="Z1586" t="s">
        <v>16</v>
      </c>
      <c r="AA1586" t="s">
        <v>224</v>
      </c>
      <c r="AB1586" t="s">
        <v>441</v>
      </c>
      <c r="AC1586" s="21">
        <v>141121.49</v>
      </c>
      <c r="AD1586" s="21" t="s">
        <v>368</v>
      </c>
      <c r="AE1586" t="str">
        <f>VLOOKUP(Table_Query_from_Actuarial___Production3[[#This Row],[Kor1]],$AI$3:$AK$105,3,FALSE)</f>
        <v>Losses Outstanding</v>
      </c>
      <c r="AF1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587" spans="18:32" x14ac:dyDescent="0.2">
      <c r="R1587" t="s">
        <v>43</v>
      </c>
      <c r="S1587" t="s">
        <v>230</v>
      </c>
      <c r="T1587" t="s">
        <v>427</v>
      </c>
      <c r="U1587" s="21">
        <v>67989.490000000005</v>
      </c>
      <c r="V1587" s="21" t="s">
        <v>368</v>
      </c>
      <c r="W1587" t="str">
        <f>VLOOKUP(Table_Query_from_Actuarial___Production[[#This Row],[Kor1]],$AI$3:$AK$105,3,FALSE)</f>
        <v>Charge-offs</v>
      </c>
      <c r="X1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7"/>
      <c r="Z1587" t="s">
        <v>3</v>
      </c>
      <c r="AA1587" t="s">
        <v>228</v>
      </c>
      <c r="AB1587" t="s">
        <v>351</v>
      </c>
      <c r="AC1587" s="21">
        <v>336017</v>
      </c>
      <c r="AD1587" s="21" t="s">
        <v>368</v>
      </c>
      <c r="AE1587" t="str">
        <f>VLOOKUP(Table_Query_from_Actuarial___Production3[[#This Row],[Kor1]],$AI$3:$AK$105,3,FALSE)</f>
        <v>Premiums Written</v>
      </c>
      <c r="AF1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8" spans="18:32" x14ac:dyDescent="0.2">
      <c r="R1588" t="s">
        <v>17</v>
      </c>
      <c r="S1588" t="s">
        <v>225</v>
      </c>
      <c r="T1588" t="s">
        <v>427</v>
      </c>
      <c r="U1588" s="21">
        <v>57606.31</v>
      </c>
      <c r="V1588" s="21" t="s">
        <v>368</v>
      </c>
      <c r="W1588" t="str">
        <f>VLOOKUP(Table_Query_from_Actuarial___Production[[#This Row],[Kor1]],$AI$3:$AK$105,3,FALSE)</f>
        <v>IBNR</v>
      </c>
      <c r="X1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588"/>
      <c r="Z1588" t="s">
        <v>39</v>
      </c>
      <c r="AA1588" t="s">
        <v>4</v>
      </c>
      <c r="AB1588" t="s">
        <v>5</v>
      </c>
      <c r="AC1588" s="21">
        <v>66158.16</v>
      </c>
      <c r="AD1588" s="21" t="s">
        <v>368</v>
      </c>
      <c r="AE1588" t="str">
        <f>VLOOKUP(Table_Query_from_Actuarial___Production3[[#This Row],[Kor1]],$AI$3:$AK$105,3,FALSE)</f>
        <v>Misc. Income for Insolvent Companies</v>
      </c>
      <c r="AF1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89" spans="18:32" x14ac:dyDescent="0.2">
      <c r="R1589" t="s">
        <v>31</v>
      </c>
      <c r="S1589" t="s">
        <v>229</v>
      </c>
      <c r="T1589" t="s">
        <v>441</v>
      </c>
      <c r="U1589" s="21">
        <v>909.95</v>
      </c>
      <c r="V1589" s="21" t="s">
        <v>368</v>
      </c>
      <c r="W1589" t="str">
        <f>VLOOKUP(Table_Query_from_Actuarial___Production[[#This Row],[Kor1]],$AI$3:$AK$105,3,FALSE)</f>
        <v>Misc. Expense</v>
      </c>
      <c r="X1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89"/>
      <c r="Z1589" t="s">
        <v>11</v>
      </c>
      <c r="AA1589" t="s">
        <v>354</v>
      </c>
      <c r="AB1589" t="s">
        <v>351</v>
      </c>
      <c r="AC1589" s="21">
        <v>85855274.459999993</v>
      </c>
      <c r="AD1589" s="21" t="s">
        <v>368</v>
      </c>
      <c r="AE1589" t="str">
        <f>VLOOKUP(Table_Query_from_Actuarial___Production3[[#This Row],[Kor1]],$AI$3:$AK$105,3,FALSE)</f>
        <v>Losses Paid</v>
      </c>
      <c r="AF1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590" spans="18:32" x14ac:dyDescent="0.2">
      <c r="R1590" t="s">
        <v>41</v>
      </c>
      <c r="S1590" t="s">
        <v>253</v>
      </c>
      <c r="T1590" t="s">
        <v>433</v>
      </c>
      <c r="U1590" s="21">
        <v>50</v>
      </c>
      <c r="V1590" s="21" t="s">
        <v>368</v>
      </c>
      <c r="W1590" t="str">
        <f>VLOOKUP(Table_Query_from_Actuarial___Production[[#This Row],[Kor1]],$AI$3:$AK$105,3,FALSE)</f>
        <v>Misc. Income</v>
      </c>
      <c r="X1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0"/>
      <c r="Z1590" t="s">
        <v>13</v>
      </c>
      <c r="AA1590" t="s">
        <v>257</v>
      </c>
      <c r="AB1590" t="s">
        <v>433</v>
      </c>
      <c r="AC1590" s="21">
        <v>262959.84000000003</v>
      </c>
      <c r="AD1590" s="21" t="s">
        <v>368</v>
      </c>
      <c r="AE1590" t="str">
        <f>VLOOKUP(Table_Query_from_Actuarial___Production3[[#This Row],[Kor1]],$AI$3:$AK$105,3,FALSE)</f>
        <v>Operating Service Fees</v>
      </c>
      <c r="AF1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1" spans="18:32" x14ac:dyDescent="0.2">
      <c r="R1591" t="s">
        <v>3</v>
      </c>
      <c r="S1591" t="s">
        <v>252</v>
      </c>
      <c r="T1591" t="s">
        <v>441</v>
      </c>
      <c r="U1591" s="21">
        <v>35137065</v>
      </c>
      <c r="V1591" s="21" t="s">
        <v>368</v>
      </c>
      <c r="W1591" t="str">
        <f>VLOOKUP(Table_Query_from_Actuarial___Production[[#This Row],[Kor1]],$AI$3:$AK$105,3,FALSE)</f>
        <v>Premiums Written</v>
      </c>
      <c r="X1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1"/>
      <c r="Z1591" t="s">
        <v>19</v>
      </c>
      <c r="AA1591" t="s">
        <v>266</v>
      </c>
      <c r="AB1591" t="s">
        <v>433</v>
      </c>
      <c r="AC1591" s="21">
        <v>683</v>
      </c>
      <c r="AD1591" s="21" t="s">
        <v>368</v>
      </c>
      <c r="AE1591" t="str">
        <f>VLOOKUP(Table_Query_from_Actuarial___Production3[[#This Row],[Kor1]],$AI$3:$AK$105,3,FALSE)</f>
        <v>Misc. Expense for Insolvent Companies</v>
      </c>
      <c r="AF1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2" spans="18:32" x14ac:dyDescent="0.2">
      <c r="R1592" t="s">
        <v>14</v>
      </c>
      <c r="S1592" t="s">
        <v>253</v>
      </c>
      <c r="T1592" t="s">
        <v>8</v>
      </c>
      <c r="U1592" s="21">
        <v>292.07</v>
      </c>
      <c r="V1592" s="21" t="s">
        <v>368</v>
      </c>
      <c r="W1592" t="str">
        <f>VLOOKUP(Table_Query_from_Actuarial___Production[[#This Row],[Kor1]],$AI$3:$AK$105,3,FALSE)</f>
        <v>Claims Expense</v>
      </c>
      <c r="X1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2"/>
      <c r="Z1592" t="s">
        <v>13</v>
      </c>
      <c r="AA1592" t="s">
        <v>224</v>
      </c>
      <c r="AB1592" t="s">
        <v>351</v>
      </c>
      <c r="AC1592" s="21">
        <v>5514.2</v>
      </c>
      <c r="AD1592" s="21" t="s">
        <v>425</v>
      </c>
      <c r="AE1592" t="str">
        <f>VLOOKUP(Table_Query_from_Actuarial___Production3[[#This Row],[Kor1]],$AI$3:$AK$105,3,FALSE)</f>
        <v>Operating Service Fees</v>
      </c>
      <c r="AF1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593" spans="18:32" x14ac:dyDescent="0.2">
      <c r="R1593" t="s">
        <v>20</v>
      </c>
      <c r="S1593" t="s">
        <v>267</v>
      </c>
      <c r="T1593" t="s">
        <v>445</v>
      </c>
      <c r="U1593" s="21">
        <v>28.48</v>
      </c>
      <c r="V1593" s="21" t="s">
        <v>368</v>
      </c>
      <c r="W1593" t="str">
        <f>VLOOKUP(Table_Query_from_Actuarial___Production[[#This Row],[Kor1]],$AI$3:$AK$105,3,FALSE)</f>
        <v>Misc. Expense</v>
      </c>
      <c r="X1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3"/>
      <c r="Z1593" t="s">
        <v>18</v>
      </c>
      <c r="AA1593" t="s">
        <v>225</v>
      </c>
      <c r="AB1593" t="s">
        <v>442</v>
      </c>
      <c r="AC1593" s="21">
        <v>656257.29</v>
      </c>
      <c r="AD1593" s="21" t="s">
        <v>368</v>
      </c>
      <c r="AE1593" t="str">
        <f>VLOOKUP(Table_Query_from_Actuarial___Production3[[#This Row],[Kor1]],$AI$3:$AK$105,3,FALSE)</f>
        <v>Misc. Expense</v>
      </c>
      <c r="AF1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594" spans="18:32" x14ac:dyDescent="0.2">
      <c r="R1594" t="s">
        <v>31</v>
      </c>
      <c r="S1594" t="s">
        <v>267</v>
      </c>
      <c r="T1594" t="s">
        <v>356</v>
      </c>
      <c r="U1594" s="21">
        <v>774.15</v>
      </c>
      <c r="V1594" s="21" t="s">
        <v>368</v>
      </c>
      <c r="W1594" t="str">
        <f>VLOOKUP(Table_Query_from_Actuarial___Production[[#This Row],[Kor1]],$AI$3:$AK$105,3,FALSE)</f>
        <v>Misc. Expense</v>
      </c>
      <c r="X1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4"/>
      <c r="Z1594" t="s">
        <v>20</v>
      </c>
      <c r="AA1594" t="s">
        <v>239</v>
      </c>
      <c r="AB1594" t="s">
        <v>442</v>
      </c>
      <c r="AC1594" s="21">
        <v>214.98</v>
      </c>
      <c r="AD1594" s="21" t="s">
        <v>368</v>
      </c>
      <c r="AE1594" t="str">
        <f>VLOOKUP(Table_Query_from_Actuarial___Production3[[#This Row],[Kor1]],$AI$3:$AK$105,3,FALSE)</f>
        <v>Misc. Expense</v>
      </c>
      <c r="AF1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5" spans="18:32" x14ac:dyDescent="0.2">
      <c r="R1595" t="s">
        <v>16</v>
      </c>
      <c r="S1595" t="s">
        <v>242</v>
      </c>
      <c r="T1595" t="s">
        <v>433</v>
      </c>
      <c r="U1595" s="21">
        <v>173766.05</v>
      </c>
      <c r="V1595" s="21" t="s">
        <v>368</v>
      </c>
      <c r="W1595" t="str">
        <f>VLOOKUP(Table_Query_from_Actuarial___Production[[#This Row],[Kor1]],$AI$3:$AK$105,3,FALSE)</f>
        <v>Losses Outstanding</v>
      </c>
      <c r="X1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5"/>
      <c r="Z1595" t="s">
        <v>39</v>
      </c>
      <c r="AA1595" t="s">
        <v>256</v>
      </c>
      <c r="AB1595" t="s">
        <v>433</v>
      </c>
      <c r="AC1595" s="21">
        <v>1219</v>
      </c>
      <c r="AD1595" s="21" t="s">
        <v>368</v>
      </c>
      <c r="AE1595" t="str">
        <f>VLOOKUP(Table_Query_from_Actuarial___Production3[[#This Row],[Kor1]],$AI$3:$AK$105,3,FALSE)</f>
        <v>Misc. Income for Insolvent Companies</v>
      </c>
      <c r="AF1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6" spans="18:32" x14ac:dyDescent="0.2">
      <c r="R1596" t="s">
        <v>12</v>
      </c>
      <c r="S1596" t="s">
        <v>268</v>
      </c>
      <c r="T1596" t="s">
        <v>443</v>
      </c>
      <c r="U1596" s="21">
        <v>154.13999999999999</v>
      </c>
      <c r="V1596" s="21" t="s">
        <v>368</v>
      </c>
      <c r="W1596" t="str">
        <f>VLOOKUP(Table_Query_from_Actuarial___Production[[#This Row],[Kor1]],$AI$3:$AK$105,3,FALSE)</f>
        <v>Premium Tax</v>
      </c>
      <c r="X1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6"/>
      <c r="Z1596" t="s">
        <v>40</v>
      </c>
      <c r="AA1596" t="s">
        <v>244</v>
      </c>
      <c r="AB1596" t="s">
        <v>427</v>
      </c>
      <c r="AC1596" s="21">
        <v>11.02</v>
      </c>
      <c r="AD1596" s="21" t="s">
        <v>368</v>
      </c>
      <c r="AE1596" t="str">
        <f>VLOOKUP(Table_Query_from_Actuarial___Production3[[#This Row],[Kor1]],$AI$3:$AK$105,3,FALSE)</f>
        <v>Misc. Income</v>
      </c>
      <c r="AF1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7" spans="18:32" x14ac:dyDescent="0.2">
      <c r="R1597" t="s">
        <v>33</v>
      </c>
      <c r="S1597" t="s">
        <v>266</v>
      </c>
      <c r="T1597" t="s">
        <v>445</v>
      </c>
      <c r="U1597" s="21">
        <v>8631.2800000000007</v>
      </c>
      <c r="V1597" s="21" t="s">
        <v>368</v>
      </c>
      <c r="W1597" t="str">
        <f>VLOOKUP(Table_Query_from_Actuarial___Production[[#This Row],[Kor1]],$AI$3:$AK$105,3,FALSE)</f>
        <v>Misc. Expense</v>
      </c>
      <c r="X1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7"/>
      <c r="Z1597" t="s">
        <v>10</v>
      </c>
      <c r="AA1597" t="s">
        <v>243</v>
      </c>
      <c r="AB1597" t="s">
        <v>433</v>
      </c>
      <c r="AC1597" s="21">
        <v>39952.300000000003</v>
      </c>
      <c r="AD1597" s="21" t="s">
        <v>368</v>
      </c>
      <c r="AE1597" t="str">
        <f>VLOOKUP(Table_Query_from_Actuarial___Production3[[#This Row],[Kor1]],$AI$3:$AK$105,3,FALSE)</f>
        <v>Commissions</v>
      </c>
      <c r="AF1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8" spans="18:32" x14ac:dyDescent="0.2">
      <c r="R1598" t="s">
        <v>43</v>
      </c>
      <c r="S1598" t="s">
        <v>236</v>
      </c>
      <c r="T1598" t="s">
        <v>356</v>
      </c>
      <c r="U1598" s="21">
        <v>-88.15</v>
      </c>
      <c r="V1598" s="21" t="s">
        <v>368</v>
      </c>
      <c r="W1598" t="str">
        <f>VLOOKUP(Table_Query_from_Actuarial___Production[[#This Row],[Kor1]],$AI$3:$AK$105,3,FALSE)</f>
        <v>Charge-offs</v>
      </c>
      <c r="X1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8"/>
      <c r="Z1598" t="s">
        <v>13</v>
      </c>
      <c r="AA1598" t="s">
        <v>266</v>
      </c>
      <c r="AB1598" t="s">
        <v>351</v>
      </c>
      <c r="AC1598" s="21">
        <v>56801.58</v>
      </c>
      <c r="AD1598" s="21" t="s">
        <v>368</v>
      </c>
      <c r="AE1598" t="str">
        <f>VLOOKUP(Table_Query_from_Actuarial___Production3[[#This Row],[Kor1]],$AI$3:$AK$105,3,FALSE)</f>
        <v>Operating Service Fees</v>
      </c>
      <c r="AF1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599" spans="18:32" x14ac:dyDescent="0.2">
      <c r="R1599" t="s">
        <v>44</v>
      </c>
      <c r="S1599" t="s">
        <v>251</v>
      </c>
      <c r="T1599" t="s">
        <v>433</v>
      </c>
      <c r="U1599" s="21">
        <v>22780.6</v>
      </c>
      <c r="V1599" s="21" t="s">
        <v>368</v>
      </c>
      <c r="W1599" t="str">
        <f>VLOOKUP(Table_Query_from_Actuarial___Production[[#This Row],[Kor1]],$AI$3:$AK$105,3,FALSE)</f>
        <v>Charge-offs</v>
      </c>
      <c r="X1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599"/>
      <c r="Z1599" t="s">
        <v>37</v>
      </c>
      <c r="AA1599" t="s">
        <v>243</v>
      </c>
      <c r="AB1599" t="s">
        <v>433</v>
      </c>
      <c r="AC1599" s="21">
        <v>285.13</v>
      </c>
      <c r="AD1599" s="21" t="s">
        <v>368</v>
      </c>
      <c r="AE1599" t="str">
        <f>VLOOKUP(Table_Query_from_Actuarial___Production3[[#This Row],[Kor1]],$AI$3:$AK$105,3,FALSE)</f>
        <v>Misc. Expense</v>
      </c>
      <c r="AF1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0" spans="18:32" x14ac:dyDescent="0.2">
      <c r="R1600" t="s">
        <v>16</v>
      </c>
      <c r="S1600" t="s">
        <v>258</v>
      </c>
      <c r="T1600" t="s">
        <v>443</v>
      </c>
      <c r="U1600" s="21">
        <v>792080.8</v>
      </c>
      <c r="V1600" s="21" t="s">
        <v>368</v>
      </c>
      <c r="W1600" t="str">
        <f>VLOOKUP(Table_Query_from_Actuarial___Production[[#This Row],[Kor1]],$AI$3:$AK$105,3,FALSE)</f>
        <v>Losses Outstanding</v>
      </c>
      <c r="X1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0"/>
      <c r="Z1600" t="s">
        <v>47</v>
      </c>
      <c r="AA1600" t="s">
        <v>230</v>
      </c>
      <c r="AB1600" t="s">
        <v>441</v>
      </c>
      <c r="AC1600" s="21">
        <v>399.11</v>
      </c>
      <c r="AD1600" s="21" t="s">
        <v>368</v>
      </c>
      <c r="AE1600" t="str">
        <f>VLOOKUP(Table_Query_from_Actuarial___Production3[[#This Row],[Kor1]],$AI$3:$AK$105,3,FALSE)</f>
        <v>Investment Income</v>
      </c>
      <c r="AF1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1" spans="18:32" x14ac:dyDescent="0.2">
      <c r="R1601" t="s">
        <v>14</v>
      </c>
      <c r="S1601" t="s">
        <v>354</v>
      </c>
      <c r="T1601" t="s">
        <v>9</v>
      </c>
      <c r="U1601" s="21">
        <v>103291625.84</v>
      </c>
      <c r="V1601" s="21" t="s">
        <v>369</v>
      </c>
      <c r="W1601" t="str">
        <f>VLOOKUP(Table_Query_from_Actuarial___Production[[#This Row],[Kor1]],$AI$3:$AK$105,3,FALSE)</f>
        <v>Claims Expense</v>
      </c>
      <c r="X1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601"/>
      <c r="Z1601" t="s">
        <v>46</v>
      </c>
      <c r="AA1601" t="s">
        <v>354</v>
      </c>
      <c r="AB1601" t="s">
        <v>441</v>
      </c>
      <c r="AC1601" s="21">
        <v>20707661.739999998</v>
      </c>
      <c r="AD1601" s="21" t="s">
        <v>369</v>
      </c>
      <c r="AE1601" t="str">
        <f>VLOOKUP(Table_Query_from_Actuarial___Production3[[#This Row],[Kor1]],$AI$3:$AK$105,3,FALSE)</f>
        <v>Investment Income</v>
      </c>
      <c r="AF1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602" spans="18:32" x14ac:dyDescent="0.2">
      <c r="R1602" t="s">
        <v>13</v>
      </c>
      <c r="S1602" t="s">
        <v>266</v>
      </c>
      <c r="T1602" t="s">
        <v>441</v>
      </c>
      <c r="U1602" s="21">
        <v>324541.31</v>
      </c>
      <c r="V1602" s="21" t="s">
        <v>368</v>
      </c>
      <c r="W1602" t="str">
        <f>VLOOKUP(Table_Query_from_Actuarial___Production[[#This Row],[Kor1]],$AI$3:$AK$105,3,FALSE)</f>
        <v>Operating Service Fees</v>
      </c>
      <c r="X1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2"/>
      <c r="Z1602" t="s">
        <v>33</v>
      </c>
      <c r="AA1602" t="s">
        <v>246</v>
      </c>
      <c r="AB1602" t="s">
        <v>7</v>
      </c>
      <c r="AC1602" s="21">
        <v>13406.76</v>
      </c>
      <c r="AD1602" s="21" t="s">
        <v>368</v>
      </c>
      <c r="AE1602" t="str">
        <f>VLOOKUP(Table_Query_from_Actuarial___Production3[[#This Row],[Kor1]],$AI$3:$AK$105,3,FALSE)</f>
        <v>Misc. Expense</v>
      </c>
      <c r="AF1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3" spans="18:32" x14ac:dyDescent="0.2">
      <c r="R1603" t="s">
        <v>41</v>
      </c>
      <c r="S1603" t="s">
        <v>257</v>
      </c>
      <c r="T1603" t="s">
        <v>427</v>
      </c>
      <c r="U1603" s="21">
        <v>350.04</v>
      </c>
      <c r="V1603" s="21" t="s">
        <v>368</v>
      </c>
      <c r="W1603" t="str">
        <f>VLOOKUP(Table_Query_from_Actuarial___Production[[#This Row],[Kor1]],$AI$3:$AK$105,3,FALSE)</f>
        <v>Misc. Income</v>
      </c>
      <c r="X1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3"/>
      <c r="Z1603" t="s">
        <v>3</v>
      </c>
      <c r="AA1603" t="s">
        <v>245</v>
      </c>
      <c r="AB1603" t="s">
        <v>442</v>
      </c>
      <c r="AC1603" s="21">
        <v>17836</v>
      </c>
      <c r="AD1603" s="21" t="s">
        <v>368</v>
      </c>
      <c r="AE1603" t="str">
        <f>VLOOKUP(Table_Query_from_Actuarial___Production3[[#This Row],[Kor1]],$AI$3:$AK$105,3,FALSE)</f>
        <v>Premiums Written</v>
      </c>
      <c r="AF1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4" spans="18:32" x14ac:dyDescent="0.2">
      <c r="R1604" t="s">
        <v>31</v>
      </c>
      <c r="S1604" t="s">
        <v>252</v>
      </c>
      <c r="T1604" t="s">
        <v>442</v>
      </c>
      <c r="U1604" s="21">
        <v>1328.84</v>
      </c>
      <c r="V1604" s="21" t="s">
        <v>368</v>
      </c>
      <c r="W1604" t="str">
        <f>VLOOKUP(Table_Query_from_Actuarial___Production[[#This Row],[Kor1]],$AI$3:$AK$105,3,FALSE)</f>
        <v>Misc. Expense</v>
      </c>
      <c r="X1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4"/>
      <c r="Z1604" t="s">
        <v>19</v>
      </c>
      <c r="AA1604" t="s">
        <v>231</v>
      </c>
      <c r="AB1604" t="s">
        <v>5</v>
      </c>
      <c r="AC1604" s="21">
        <v>465</v>
      </c>
      <c r="AD1604" s="21" t="s">
        <v>368</v>
      </c>
      <c r="AE1604" t="str">
        <f>VLOOKUP(Table_Query_from_Actuarial___Production3[[#This Row],[Kor1]],$AI$3:$AK$105,3,FALSE)</f>
        <v>Misc. Expense for Insolvent Companies</v>
      </c>
      <c r="AF1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5" spans="18:32" x14ac:dyDescent="0.2">
      <c r="R1605" t="s">
        <v>16</v>
      </c>
      <c r="S1605" t="s">
        <v>224</v>
      </c>
      <c r="T1605" t="s">
        <v>442</v>
      </c>
      <c r="U1605" s="21">
        <v>3117.55</v>
      </c>
      <c r="V1605" s="21" t="s">
        <v>369</v>
      </c>
      <c r="W1605" t="str">
        <f>VLOOKUP(Table_Query_from_Actuarial___Production[[#This Row],[Kor1]],$AI$3:$AK$105,3,FALSE)</f>
        <v>Losses Outstanding</v>
      </c>
      <c r="X1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605"/>
      <c r="Z1605" t="s">
        <v>13</v>
      </c>
      <c r="AA1605" t="s">
        <v>242</v>
      </c>
      <c r="AB1605" t="s">
        <v>6</v>
      </c>
      <c r="AC1605" s="21">
        <v>49755.07</v>
      </c>
      <c r="AD1605" s="21" t="s">
        <v>368</v>
      </c>
      <c r="AE1605" t="str">
        <f>VLOOKUP(Table_Query_from_Actuarial___Production3[[#This Row],[Kor1]],$AI$3:$AK$105,3,FALSE)</f>
        <v>Operating Service Fees</v>
      </c>
      <c r="AF1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6" spans="18:32" x14ac:dyDescent="0.2">
      <c r="R1606" t="s">
        <v>44</v>
      </c>
      <c r="S1606" t="s">
        <v>255</v>
      </c>
      <c r="T1606" t="s">
        <v>7</v>
      </c>
      <c r="U1606" s="21">
        <v>-4</v>
      </c>
      <c r="V1606" s="21" t="s">
        <v>368</v>
      </c>
      <c r="W1606" t="str">
        <f>VLOOKUP(Table_Query_from_Actuarial___Production[[#This Row],[Kor1]],$AI$3:$AK$105,3,FALSE)</f>
        <v>Charge-offs</v>
      </c>
      <c r="X1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6"/>
      <c r="Z1606" t="s">
        <v>40</v>
      </c>
      <c r="AA1606" t="s">
        <v>247</v>
      </c>
      <c r="AB1606" t="s">
        <v>427</v>
      </c>
      <c r="AC1606" s="21">
        <v>12</v>
      </c>
      <c r="AD1606" s="21" t="s">
        <v>368</v>
      </c>
      <c r="AE1606" t="str">
        <f>VLOOKUP(Table_Query_from_Actuarial___Production3[[#This Row],[Kor1]],$AI$3:$AK$105,3,FALSE)</f>
        <v>Misc. Income</v>
      </c>
      <c r="AF1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7" spans="18:32" x14ac:dyDescent="0.2">
      <c r="R1607" t="s">
        <v>15</v>
      </c>
      <c r="S1607" t="s">
        <v>267</v>
      </c>
      <c r="T1607" t="s">
        <v>445</v>
      </c>
      <c r="U1607" s="21">
        <v>219294.09</v>
      </c>
      <c r="V1607" s="21" t="s">
        <v>368</v>
      </c>
      <c r="W1607" t="str">
        <f>VLOOKUP(Table_Query_from_Actuarial___Production[[#This Row],[Kor1]],$AI$3:$AK$105,3,FALSE)</f>
        <v>Unearned Premiums</v>
      </c>
      <c r="X1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7"/>
      <c r="Z1607" t="s">
        <v>33</v>
      </c>
      <c r="AA1607" t="s">
        <v>264</v>
      </c>
      <c r="AB1607" t="s">
        <v>8</v>
      </c>
      <c r="AC1607" s="21">
        <v>16385.64</v>
      </c>
      <c r="AD1607" s="21" t="s">
        <v>368</v>
      </c>
      <c r="AE1607" t="str">
        <f>VLOOKUP(Table_Query_from_Actuarial___Production3[[#This Row],[Kor1]],$AI$3:$AK$105,3,FALSE)</f>
        <v>Misc. Expense</v>
      </c>
      <c r="AF1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08" spans="18:32" x14ac:dyDescent="0.2">
      <c r="R1608" t="s">
        <v>17</v>
      </c>
      <c r="S1608" t="s">
        <v>237</v>
      </c>
      <c r="T1608" t="s">
        <v>443</v>
      </c>
      <c r="U1608" s="21">
        <v>17035835.149999999</v>
      </c>
      <c r="V1608" s="21" t="s">
        <v>368</v>
      </c>
      <c r="W1608" t="str">
        <f>VLOOKUP(Table_Query_from_Actuarial___Production[[#This Row],[Kor1]],$AI$3:$AK$105,3,FALSE)</f>
        <v>IBNR</v>
      </c>
      <c r="X1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8"/>
      <c r="Z1608" t="s">
        <v>46</v>
      </c>
      <c r="AA1608" t="s">
        <v>226</v>
      </c>
      <c r="AB1608" t="s">
        <v>433</v>
      </c>
      <c r="AC1608" s="21">
        <v>15103.9</v>
      </c>
      <c r="AD1608" s="21" t="s">
        <v>368</v>
      </c>
      <c r="AE1608" t="str">
        <f>VLOOKUP(Table_Query_from_Actuarial___Production3[[#This Row],[Kor1]],$AI$3:$AK$105,3,FALSE)</f>
        <v>Investment Income</v>
      </c>
      <c r="AF1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609" spans="18:32" x14ac:dyDescent="0.2">
      <c r="R1609" t="s">
        <v>43</v>
      </c>
      <c r="S1609" t="s">
        <v>258</v>
      </c>
      <c r="T1609" t="s">
        <v>441</v>
      </c>
      <c r="U1609" s="21">
        <v>9116.7099999999991</v>
      </c>
      <c r="V1609" s="21" t="s">
        <v>368</v>
      </c>
      <c r="W1609" t="str">
        <f>VLOOKUP(Table_Query_from_Actuarial___Production[[#This Row],[Kor1]],$AI$3:$AK$105,3,FALSE)</f>
        <v>Charge-offs</v>
      </c>
      <c r="X1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09"/>
      <c r="Z1609" t="s">
        <v>17</v>
      </c>
      <c r="AA1609" t="s">
        <v>264</v>
      </c>
      <c r="AB1609" t="s">
        <v>442</v>
      </c>
      <c r="AC1609" s="21">
        <v>807146.68</v>
      </c>
      <c r="AD1609" s="21" t="s">
        <v>368</v>
      </c>
      <c r="AE1609" t="str">
        <f>VLOOKUP(Table_Query_from_Actuarial___Production3[[#This Row],[Kor1]],$AI$3:$AK$105,3,FALSE)</f>
        <v>IBNR</v>
      </c>
      <c r="AF1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0" spans="18:32" x14ac:dyDescent="0.2">
      <c r="R1610" t="s">
        <v>48</v>
      </c>
      <c r="S1610" t="s">
        <v>231</v>
      </c>
      <c r="T1610" t="s">
        <v>441</v>
      </c>
      <c r="U1610" s="21">
        <v>11478.35</v>
      </c>
      <c r="V1610" s="21" t="s">
        <v>368</v>
      </c>
      <c r="W1610" t="str">
        <f>VLOOKUP(Table_Query_from_Actuarial___Production[[#This Row],[Kor1]],$AI$3:$AK$105,3,FALSE)</f>
        <v>Anticipated Salvage</v>
      </c>
      <c r="X1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0"/>
      <c r="Z1610" t="s">
        <v>28</v>
      </c>
      <c r="AA1610" t="s">
        <v>259</v>
      </c>
      <c r="AB1610" t="s">
        <v>433</v>
      </c>
      <c r="AC1610" s="21">
        <v>84.1</v>
      </c>
      <c r="AD1610" s="21" t="s">
        <v>368</v>
      </c>
      <c r="AE1610" t="str">
        <f>VLOOKUP(Table_Query_from_Actuarial___Production3[[#This Row],[Kor1]],$AI$3:$AK$105,3,FALSE)</f>
        <v>Misc. Expense</v>
      </c>
      <c r="AF1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1" spans="18:32" x14ac:dyDescent="0.2">
      <c r="R1611" t="s">
        <v>3</v>
      </c>
      <c r="S1611" t="s">
        <v>228</v>
      </c>
      <c r="T1611" t="s">
        <v>441</v>
      </c>
      <c r="U1611" s="21">
        <v>576371</v>
      </c>
      <c r="V1611" s="21" t="s">
        <v>368</v>
      </c>
      <c r="W1611" t="str">
        <f>VLOOKUP(Table_Query_from_Actuarial___Production[[#This Row],[Kor1]],$AI$3:$AK$105,3,FALSE)</f>
        <v>Premiums Written</v>
      </c>
      <c r="X1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1"/>
      <c r="Z1611" t="s">
        <v>43</v>
      </c>
      <c r="AA1611" t="s">
        <v>224</v>
      </c>
      <c r="AB1611" t="s">
        <v>5</v>
      </c>
      <c r="AC1611" s="21">
        <v>56.92</v>
      </c>
      <c r="AD1611" s="21" t="s">
        <v>369</v>
      </c>
      <c r="AE1611" t="str">
        <f>VLOOKUP(Table_Query_from_Actuarial___Production3[[#This Row],[Kor1]],$AI$3:$AK$105,3,FALSE)</f>
        <v>Charge-offs</v>
      </c>
      <c r="AF1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612" spans="18:32" x14ac:dyDescent="0.2">
      <c r="R1612" t="s">
        <v>31</v>
      </c>
      <c r="S1612" t="s">
        <v>255</v>
      </c>
      <c r="T1612" t="s">
        <v>6</v>
      </c>
      <c r="U1612" s="21">
        <v>556.88</v>
      </c>
      <c r="V1612" s="21" t="s">
        <v>368</v>
      </c>
      <c r="W1612" t="str">
        <f>VLOOKUP(Table_Query_from_Actuarial___Production[[#This Row],[Kor1]],$AI$3:$AK$105,3,FALSE)</f>
        <v>Misc. Expense</v>
      </c>
      <c r="X1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2"/>
      <c r="Z1612" t="s">
        <v>37</v>
      </c>
      <c r="AA1612" t="s">
        <v>257</v>
      </c>
      <c r="AB1612" t="s">
        <v>433</v>
      </c>
      <c r="AC1612" s="21">
        <v>7675.93</v>
      </c>
      <c r="AD1612" s="21" t="s">
        <v>368</v>
      </c>
      <c r="AE1612" t="str">
        <f>VLOOKUP(Table_Query_from_Actuarial___Production3[[#This Row],[Kor1]],$AI$3:$AK$105,3,FALSE)</f>
        <v>Misc. Expense</v>
      </c>
      <c r="AF1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3" spans="18:32" x14ac:dyDescent="0.2">
      <c r="R1613" t="s">
        <v>47</v>
      </c>
      <c r="S1613" t="s">
        <v>258</v>
      </c>
      <c r="T1613" t="s">
        <v>443</v>
      </c>
      <c r="U1613" s="21">
        <v>42485.46</v>
      </c>
      <c r="V1613" s="21" t="s">
        <v>368</v>
      </c>
      <c r="W1613" t="str">
        <f>VLOOKUP(Table_Query_from_Actuarial___Production[[#This Row],[Kor1]],$AI$3:$AK$105,3,FALSE)</f>
        <v>Investment Income</v>
      </c>
      <c r="X1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3"/>
      <c r="Z1613" t="s">
        <v>47</v>
      </c>
      <c r="AA1613" t="s">
        <v>237</v>
      </c>
      <c r="AB1613" t="s">
        <v>441</v>
      </c>
      <c r="AC1613" s="21">
        <v>572.84</v>
      </c>
      <c r="AD1613" s="21" t="s">
        <v>368</v>
      </c>
      <c r="AE1613" t="str">
        <f>VLOOKUP(Table_Query_from_Actuarial___Production3[[#This Row],[Kor1]],$AI$3:$AK$105,3,FALSE)</f>
        <v>Investment Income</v>
      </c>
      <c r="AF1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4" spans="18:32" x14ac:dyDescent="0.2">
      <c r="R1614" t="s">
        <v>49</v>
      </c>
      <c r="S1614" t="s">
        <v>234</v>
      </c>
      <c r="T1614" t="s">
        <v>6</v>
      </c>
      <c r="U1614" s="21">
        <v>1545</v>
      </c>
      <c r="V1614" s="21" t="s">
        <v>368</v>
      </c>
      <c r="W1614" t="str">
        <f>VLOOKUP(Table_Query_from_Actuarial___Production[[#This Row],[Kor1]],$AI$3:$AK$105,3,FALSE)</f>
        <v>ALAE Paid</v>
      </c>
      <c r="X1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4"/>
      <c r="Z1614" t="s">
        <v>49</v>
      </c>
      <c r="AA1614" t="s">
        <v>238</v>
      </c>
      <c r="AB1614" t="s">
        <v>8</v>
      </c>
      <c r="AC1614" s="21">
        <v>12054.75</v>
      </c>
      <c r="AD1614" s="21" t="s">
        <v>368</v>
      </c>
      <c r="AE1614" t="str">
        <f>VLOOKUP(Table_Query_from_Actuarial___Production3[[#This Row],[Kor1]],$AI$3:$AK$105,3,FALSE)</f>
        <v>ALAE Paid</v>
      </c>
      <c r="AF1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5" spans="18:32" x14ac:dyDescent="0.2">
      <c r="R1615" t="s">
        <v>20</v>
      </c>
      <c r="S1615" t="s">
        <v>229</v>
      </c>
      <c r="T1615" t="s">
        <v>356</v>
      </c>
      <c r="U1615" s="21">
        <v>17.170000000000002</v>
      </c>
      <c r="V1615" s="21" t="s">
        <v>368</v>
      </c>
      <c r="W1615" t="str">
        <f>VLOOKUP(Table_Query_from_Actuarial___Production[[#This Row],[Kor1]],$AI$3:$AK$105,3,FALSE)</f>
        <v>Misc. Expense</v>
      </c>
      <c r="X1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5"/>
      <c r="Z1615" t="s">
        <v>37</v>
      </c>
      <c r="AA1615" t="s">
        <v>261</v>
      </c>
      <c r="AB1615" t="s">
        <v>9</v>
      </c>
      <c r="AC1615" s="21">
        <v>8780.51</v>
      </c>
      <c r="AD1615" s="21" t="s">
        <v>368</v>
      </c>
      <c r="AE1615" t="str">
        <f>VLOOKUP(Table_Query_from_Actuarial___Production3[[#This Row],[Kor1]],$AI$3:$AK$105,3,FALSE)</f>
        <v>Misc. Expense</v>
      </c>
      <c r="AF1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6" spans="18:32" x14ac:dyDescent="0.2">
      <c r="R1616" t="s">
        <v>37</v>
      </c>
      <c r="S1616" t="s">
        <v>232</v>
      </c>
      <c r="T1616" t="s">
        <v>433</v>
      </c>
      <c r="U1616" s="21">
        <v>2924.26</v>
      </c>
      <c r="V1616" s="21" t="s">
        <v>368</v>
      </c>
      <c r="W1616" t="str">
        <f>VLOOKUP(Table_Query_from_Actuarial___Production[[#This Row],[Kor1]],$AI$3:$AK$105,3,FALSE)</f>
        <v>Misc. Expense</v>
      </c>
      <c r="X1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6"/>
      <c r="Z1616" t="s">
        <v>16</v>
      </c>
      <c r="AA1616" t="s">
        <v>258</v>
      </c>
      <c r="AB1616" t="s">
        <v>427</v>
      </c>
      <c r="AC1616" s="21">
        <v>1470440.54</v>
      </c>
      <c r="AD1616" s="21" t="s">
        <v>368</v>
      </c>
      <c r="AE1616" t="str">
        <f>VLOOKUP(Table_Query_from_Actuarial___Production3[[#This Row],[Kor1]],$AI$3:$AK$105,3,FALSE)</f>
        <v>Losses Outstanding</v>
      </c>
      <c r="AF1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7" spans="18:32" x14ac:dyDescent="0.2">
      <c r="R1617" t="s">
        <v>16</v>
      </c>
      <c r="S1617" t="s">
        <v>224</v>
      </c>
      <c r="T1617" t="s">
        <v>443</v>
      </c>
      <c r="U1617" s="21">
        <v>286603.78999999998</v>
      </c>
      <c r="V1617" s="21" t="s">
        <v>370</v>
      </c>
      <c r="W1617" t="str">
        <f>VLOOKUP(Table_Query_from_Actuarial___Production[[#This Row],[Kor1]],$AI$3:$AK$105,3,FALSE)</f>
        <v>Losses Outstanding</v>
      </c>
      <c r="X1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617"/>
      <c r="Z1617" t="s">
        <v>14</v>
      </c>
      <c r="AA1617" t="s">
        <v>267</v>
      </c>
      <c r="AB1617" t="s">
        <v>442</v>
      </c>
      <c r="AC1617" s="21">
        <v>47840.28</v>
      </c>
      <c r="AD1617" s="21" t="s">
        <v>368</v>
      </c>
      <c r="AE1617" t="str">
        <f>VLOOKUP(Table_Query_from_Actuarial___Production3[[#This Row],[Kor1]],$AI$3:$AK$105,3,FALSE)</f>
        <v>Claims Expense</v>
      </c>
      <c r="AF1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8" spans="18:32" x14ac:dyDescent="0.2">
      <c r="R1618" t="s">
        <v>39</v>
      </c>
      <c r="S1618" t="s">
        <v>4</v>
      </c>
      <c r="T1618" t="s">
        <v>441</v>
      </c>
      <c r="U1618" s="21">
        <v>67239.490000000005</v>
      </c>
      <c r="V1618" s="21" t="s">
        <v>368</v>
      </c>
      <c r="W1618" t="str">
        <f>VLOOKUP(Table_Query_from_Actuarial___Production[[#This Row],[Kor1]],$AI$3:$AK$105,3,FALSE)</f>
        <v>Misc. Income for Insolvent Companies</v>
      </c>
      <c r="X1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8"/>
      <c r="Z1618" t="s">
        <v>23</v>
      </c>
      <c r="AA1618" t="s">
        <v>250</v>
      </c>
      <c r="AB1618" t="s">
        <v>5</v>
      </c>
      <c r="AC1618" s="21">
        <v>4488.12</v>
      </c>
      <c r="AD1618" s="21" t="s">
        <v>368</v>
      </c>
      <c r="AE1618" t="str">
        <f>VLOOKUP(Table_Query_from_Actuarial___Production3[[#This Row],[Kor1]],$AI$3:$AK$105,3,FALSE)</f>
        <v>Misc. Expense</v>
      </c>
      <c r="AF1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19" spans="18:32" x14ac:dyDescent="0.2">
      <c r="R1619" t="s">
        <v>14</v>
      </c>
      <c r="S1619" t="s">
        <v>236</v>
      </c>
      <c r="T1619" t="s">
        <v>6</v>
      </c>
      <c r="U1619" s="21">
        <v>2755.69</v>
      </c>
      <c r="V1619" s="21" t="s">
        <v>368</v>
      </c>
      <c r="W1619" t="str">
        <f>VLOOKUP(Table_Query_from_Actuarial___Production[[#This Row],[Kor1]],$AI$3:$AK$105,3,FALSE)</f>
        <v>Claims Expense</v>
      </c>
      <c r="X1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19"/>
      <c r="Z1619" t="s">
        <v>32</v>
      </c>
      <c r="AA1619" t="s">
        <v>229</v>
      </c>
      <c r="AB1619" t="s">
        <v>9</v>
      </c>
      <c r="AC1619" s="21">
        <v>63801.26</v>
      </c>
      <c r="AD1619" s="21" t="s">
        <v>368</v>
      </c>
      <c r="AE1619" t="str">
        <f>VLOOKUP(Table_Query_from_Actuarial___Production3[[#This Row],[Kor1]],$AI$3:$AK$105,3,FALSE)</f>
        <v>Misc. Expense</v>
      </c>
      <c r="AF1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0" spans="18:32" x14ac:dyDescent="0.2">
      <c r="R1620" t="s">
        <v>439</v>
      </c>
      <c r="S1620" t="s">
        <v>260</v>
      </c>
      <c r="T1620" t="s">
        <v>433</v>
      </c>
      <c r="U1620" s="21">
        <v>99</v>
      </c>
      <c r="V1620" s="21" t="s">
        <v>368</v>
      </c>
      <c r="W1620" t="str">
        <f>VLOOKUP(Table_Query_from_Actuarial___Production[[#This Row],[Kor1]],$AI$3:$AK$105,3,FALSE)</f>
        <v>Operating Service Fees</v>
      </c>
      <c r="X1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0"/>
      <c r="Z1620" t="s">
        <v>43</v>
      </c>
      <c r="AA1620" t="s">
        <v>258</v>
      </c>
      <c r="AB1620" t="s">
        <v>351</v>
      </c>
      <c r="AC1620" s="21">
        <v>597.49</v>
      </c>
      <c r="AD1620" s="21" t="s">
        <v>368</v>
      </c>
      <c r="AE1620" t="str">
        <f>VLOOKUP(Table_Query_from_Actuarial___Production3[[#This Row],[Kor1]],$AI$3:$AK$105,3,FALSE)</f>
        <v>Charge-offs</v>
      </c>
      <c r="AF1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1" spans="18:32" x14ac:dyDescent="0.2">
      <c r="R1621" t="s">
        <v>20</v>
      </c>
      <c r="S1621" t="s">
        <v>241</v>
      </c>
      <c r="T1621" t="s">
        <v>427</v>
      </c>
      <c r="U1621" s="21">
        <v>344.12</v>
      </c>
      <c r="V1621" s="21" t="s">
        <v>368</v>
      </c>
      <c r="W1621" t="str">
        <f>VLOOKUP(Table_Query_from_Actuarial___Production[[#This Row],[Kor1]],$AI$3:$AK$105,3,FALSE)</f>
        <v>Misc. Expense</v>
      </c>
      <c r="X1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1"/>
      <c r="Z1621" t="s">
        <v>39</v>
      </c>
      <c r="AA1621" t="s">
        <v>265</v>
      </c>
      <c r="AB1621" t="s">
        <v>5</v>
      </c>
      <c r="AC1621" s="21">
        <v>13468.62</v>
      </c>
      <c r="AD1621" s="21" t="s">
        <v>368</v>
      </c>
      <c r="AE1621" t="str">
        <f>VLOOKUP(Table_Query_from_Actuarial___Production3[[#This Row],[Kor1]],$AI$3:$AK$105,3,FALSE)</f>
        <v>Misc. Income for Insolvent Companies</v>
      </c>
      <c r="AF1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2" spans="18:32" x14ac:dyDescent="0.2">
      <c r="R1622" t="s">
        <v>40</v>
      </c>
      <c r="S1622" t="s">
        <v>243</v>
      </c>
      <c r="T1622" t="s">
        <v>356</v>
      </c>
      <c r="U1622" s="21">
        <v>15</v>
      </c>
      <c r="V1622" s="21" t="s">
        <v>368</v>
      </c>
      <c r="W1622" t="str">
        <f>VLOOKUP(Table_Query_from_Actuarial___Production[[#This Row],[Kor1]],$AI$3:$AK$105,3,FALSE)</f>
        <v>Misc. Income</v>
      </c>
      <c r="X1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2"/>
      <c r="Z1622" t="s">
        <v>49</v>
      </c>
      <c r="AA1622" t="s">
        <v>258</v>
      </c>
      <c r="AB1622" t="s">
        <v>441</v>
      </c>
      <c r="AC1622" s="21">
        <v>4180</v>
      </c>
      <c r="AD1622" s="21" t="s">
        <v>368</v>
      </c>
      <c r="AE1622" t="str">
        <f>VLOOKUP(Table_Query_from_Actuarial___Production3[[#This Row],[Kor1]],$AI$3:$AK$105,3,FALSE)</f>
        <v>ALAE Paid</v>
      </c>
      <c r="AF1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3" spans="18:32" x14ac:dyDescent="0.2">
      <c r="R1623" t="s">
        <v>31</v>
      </c>
      <c r="S1623" t="s">
        <v>235</v>
      </c>
      <c r="T1623" t="s">
        <v>7</v>
      </c>
      <c r="U1623" s="21">
        <v>1005.81</v>
      </c>
      <c r="V1623" s="21" t="s">
        <v>368</v>
      </c>
      <c r="W1623" t="str">
        <f>VLOOKUP(Table_Query_from_Actuarial___Production[[#This Row],[Kor1]],$AI$3:$AK$105,3,FALSE)</f>
        <v>Misc. Expense</v>
      </c>
      <c r="X1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3"/>
      <c r="Z1623" t="s">
        <v>40</v>
      </c>
      <c r="AA1623" t="s">
        <v>235</v>
      </c>
      <c r="AB1623" t="s">
        <v>6</v>
      </c>
      <c r="AC1623" s="21">
        <v>10.97</v>
      </c>
      <c r="AD1623" s="21" t="s">
        <v>368</v>
      </c>
      <c r="AE1623" t="str">
        <f>VLOOKUP(Table_Query_from_Actuarial___Production3[[#This Row],[Kor1]],$AI$3:$AK$105,3,FALSE)</f>
        <v>Misc. Income</v>
      </c>
      <c r="AF1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4" spans="18:32" x14ac:dyDescent="0.2">
      <c r="R1624" t="s">
        <v>36</v>
      </c>
      <c r="S1624" t="s">
        <v>231</v>
      </c>
      <c r="T1624" t="s">
        <v>445</v>
      </c>
      <c r="U1624" s="21">
        <v>46.98</v>
      </c>
      <c r="V1624" s="21" t="s">
        <v>368</v>
      </c>
      <c r="W1624" t="str">
        <f>VLOOKUP(Table_Query_from_Actuarial___Production[[#This Row],[Kor1]],$AI$3:$AK$105,3,FALSE)</f>
        <v>Misc. Expense</v>
      </c>
      <c r="X1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4"/>
      <c r="Z1624" t="s">
        <v>167</v>
      </c>
      <c r="AA1624" t="s">
        <v>354</v>
      </c>
      <c r="AB1624" t="s">
        <v>7</v>
      </c>
      <c r="AC1624" s="21">
        <v>55111042</v>
      </c>
      <c r="AD1624" s="21" t="s">
        <v>369</v>
      </c>
      <c r="AE1624" t="str">
        <f>VLOOKUP(Table_Query_from_Actuarial___Production3[[#This Row],[Kor1]],$AI$3:$AK$105,3,FALSE)</f>
        <v>Recoupment</v>
      </c>
      <c r="AF1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625" spans="18:32" x14ac:dyDescent="0.2">
      <c r="R1625" t="s">
        <v>14</v>
      </c>
      <c r="S1625" t="s">
        <v>229</v>
      </c>
      <c r="T1625" t="s">
        <v>427</v>
      </c>
      <c r="U1625" s="21">
        <v>9816.9599999999991</v>
      </c>
      <c r="V1625" s="21" t="s">
        <v>368</v>
      </c>
      <c r="W1625" t="str">
        <f>VLOOKUP(Table_Query_from_Actuarial___Production[[#This Row],[Kor1]],$AI$3:$AK$105,3,FALSE)</f>
        <v>Claims Expense</v>
      </c>
      <c r="X1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5"/>
      <c r="Z1625" t="s">
        <v>47</v>
      </c>
      <c r="AA1625" t="s">
        <v>257</v>
      </c>
      <c r="AB1625" t="s">
        <v>351</v>
      </c>
      <c r="AC1625" s="21">
        <v>16529.34</v>
      </c>
      <c r="AD1625" s="21" t="s">
        <v>368</v>
      </c>
      <c r="AE1625" t="str">
        <f>VLOOKUP(Table_Query_from_Actuarial___Production3[[#This Row],[Kor1]],$AI$3:$AK$105,3,FALSE)</f>
        <v>Investment Income</v>
      </c>
      <c r="AF1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6" spans="18:32" x14ac:dyDescent="0.2">
      <c r="R1626" t="s">
        <v>44</v>
      </c>
      <c r="S1626" t="s">
        <v>255</v>
      </c>
      <c r="T1626" t="s">
        <v>351</v>
      </c>
      <c r="U1626" s="21">
        <v>-4</v>
      </c>
      <c r="V1626" s="21" t="s">
        <v>368</v>
      </c>
      <c r="W1626" t="str">
        <f>VLOOKUP(Table_Query_from_Actuarial___Production[[#This Row],[Kor1]],$AI$3:$AK$105,3,FALSE)</f>
        <v>Charge-offs</v>
      </c>
      <c r="X1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6"/>
      <c r="Z1626" t="s">
        <v>37</v>
      </c>
      <c r="AA1626" t="s">
        <v>263</v>
      </c>
      <c r="AB1626" t="s">
        <v>441</v>
      </c>
      <c r="AC1626" s="21">
        <v>465.79</v>
      </c>
      <c r="AD1626" s="21" t="s">
        <v>368</v>
      </c>
      <c r="AE1626" t="str">
        <f>VLOOKUP(Table_Query_from_Actuarial___Production3[[#This Row],[Kor1]],$AI$3:$AK$105,3,FALSE)</f>
        <v>Misc. Expense</v>
      </c>
      <c r="AF1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7" spans="18:32" x14ac:dyDescent="0.2">
      <c r="R1627" t="s">
        <v>10</v>
      </c>
      <c r="S1627" t="s">
        <v>224</v>
      </c>
      <c r="T1627" t="s">
        <v>433</v>
      </c>
      <c r="U1627" s="21">
        <v>622.66</v>
      </c>
      <c r="V1627" s="21" t="s">
        <v>425</v>
      </c>
      <c r="W1627" t="str">
        <f>VLOOKUP(Table_Query_from_Actuarial___Production[[#This Row],[Kor1]],$AI$3:$AK$105,3,FALSE)</f>
        <v>Commissions</v>
      </c>
      <c r="X1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627"/>
      <c r="Z1627" t="s">
        <v>40</v>
      </c>
      <c r="AA1627" t="s">
        <v>260</v>
      </c>
      <c r="AB1627" t="s">
        <v>9</v>
      </c>
      <c r="AC1627" s="21">
        <v>20</v>
      </c>
      <c r="AD1627" s="21" t="s">
        <v>368</v>
      </c>
      <c r="AE1627" t="str">
        <f>VLOOKUP(Table_Query_from_Actuarial___Production3[[#This Row],[Kor1]],$AI$3:$AK$105,3,FALSE)</f>
        <v>Misc. Income</v>
      </c>
      <c r="AF1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8" spans="18:32" x14ac:dyDescent="0.2">
      <c r="R1628" t="s">
        <v>41</v>
      </c>
      <c r="S1628" t="s">
        <v>228</v>
      </c>
      <c r="T1628" t="s">
        <v>445</v>
      </c>
      <c r="U1628" s="21">
        <v>950</v>
      </c>
      <c r="V1628" s="21" t="s">
        <v>368</v>
      </c>
      <c r="W1628" t="str">
        <f>VLOOKUP(Table_Query_from_Actuarial___Production[[#This Row],[Kor1]],$AI$3:$AK$105,3,FALSE)</f>
        <v>Misc. Income</v>
      </c>
      <c r="X1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28"/>
      <c r="Z1628" t="s">
        <v>43</v>
      </c>
      <c r="AA1628" t="s">
        <v>230</v>
      </c>
      <c r="AB1628" t="s">
        <v>427</v>
      </c>
      <c r="AC1628" s="21">
        <v>67989.490000000005</v>
      </c>
      <c r="AD1628" s="21" t="s">
        <v>368</v>
      </c>
      <c r="AE1628" t="str">
        <f>VLOOKUP(Table_Query_from_Actuarial___Production3[[#This Row],[Kor1]],$AI$3:$AK$105,3,FALSE)</f>
        <v>Charge-offs</v>
      </c>
      <c r="AF1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29" spans="18:32" x14ac:dyDescent="0.2">
      <c r="R1629" t="s">
        <v>18</v>
      </c>
      <c r="S1629" t="s">
        <v>226</v>
      </c>
      <c r="T1629" t="s">
        <v>7</v>
      </c>
      <c r="U1629" s="21">
        <v>34712.35</v>
      </c>
      <c r="V1629" s="21" t="s">
        <v>368</v>
      </c>
      <c r="W1629" t="str">
        <f>VLOOKUP(Table_Query_from_Actuarial___Production[[#This Row],[Kor1]],$AI$3:$AK$105,3,FALSE)</f>
        <v>Misc. Expense</v>
      </c>
      <c r="X1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629"/>
      <c r="Z1629" t="s">
        <v>17</v>
      </c>
      <c r="AA1629" t="s">
        <v>225</v>
      </c>
      <c r="AB1629" t="s">
        <v>427</v>
      </c>
      <c r="AC1629" s="21">
        <v>269098.51</v>
      </c>
      <c r="AD1629" s="21" t="s">
        <v>368</v>
      </c>
      <c r="AE1629" t="str">
        <f>VLOOKUP(Table_Query_from_Actuarial___Production3[[#This Row],[Kor1]],$AI$3:$AK$105,3,FALSE)</f>
        <v>IBNR</v>
      </c>
      <c r="AF1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630" spans="18:32" x14ac:dyDescent="0.2">
      <c r="R1630" t="s">
        <v>13</v>
      </c>
      <c r="S1630" t="s">
        <v>258</v>
      </c>
      <c r="T1630" t="s">
        <v>8</v>
      </c>
      <c r="U1630" s="21">
        <v>543796.81999999995</v>
      </c>
      <c r="V1630" s="21" t="s">
        <v>368</v>
      </c>
      <c r="W1630" t="str">
        <f>VLOOKUP(Table_Query_from_Actuarial___Production[[#This Row],[Kor1]],$AI$3:$AK$105,3,FALSE)</f>
        <v>Operating Service Fees</v>
      </c>
      <c r="X1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0"/>
      <c r="Z1630" t="s">
        <v>11</v>
      </c>
      <c r="AA1630" t="s">
        <v>229</v>
      </c>
      <c r="AB1630" t="s">
        <v>5</v>
      </c>
      <c r="AC1630" s="21">
        <v>43691.839999999997</v>
      </c>
      <c r="AD1630" s="21" t="s">
        <v>368</v>
      </c>
      <c r="AE1630" t="str">
        <f>VLOOKUP(Table_Query_from_Actuarial___Production3[[#This Row],[Kor1]],$AI$3:$AK$105,3,FALSE)</f>
        <v>Losses Paid</v>
      </c>
      <c r="AF1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1" spans="18:32" x14ac:dyDescent="0.2">
      <c r="R1631" t="s">
        <v>28</v>
      </c>
      <c r="S1631" t="s">
        <v>259</v>
      </c>
      <c r="T1631" t="s">
        <v>351</v>
      </c>
      <c r="U1631" s="21">
        <v>635.03</v>
      </c>
      <c r="V1631" s="21" t="s">
        <v>368</v>
      </c>
      <c r="W1631" t="str">
        <f>VLOOKUP(Table_Query_from_Actuarial___Production[[#This Row],[Kor1]],$AI$3:$AK$105,3,FALSE)</f>
        <v>Misc. Expense</v>
      </c>
      <c r="X1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1"/>
      <c r="Z1631" t="s">
        <v>31</v>
      </c>
      <c r="AA1631" t="s">
        <v>229</v>
      </c>
      <c r="AB1631" t="s">
        <v>441</v>
      </c>
      <c r="AC1631" s="21">
        <v>909.95</v>
      </c>
      <c r="AD1631" s="21" t="s">
        <v>368</v>
      </c>
      <c r="AE1631" t="str">
        <f>VLOOKUP(Table_Query_from_Actuarial___Production3[[#This Row],[Kor1]],$AI$3:$AK$105,3,FALSE)</f>
        <v>Misc. Expense</v>
      </c>
      <c r="AF1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2" spans="18:32" x14ac:dyDescent="0.2">
      <c r="R1632" t="s">
        <v>40</v>
      </c>
      <c r="S1632" t="s">
        <v>247</v>
      </c>
      <c r="T1632" t="s">
        <v>7</v>
      </c>
      <c r="U1632" s="21">
        <v>113</v>
      </c>
      <c r="V1632" s="21" t="s">
        <v>368</v>
      </c>
      <c r="W1632" t="str">
        <f>VLOOKUP(Table_Query_from_Actuarial___Production[[#This Row],[Kor1]],$AI$3:$AK$105,3,FALSE)</f>
        <v>Misc. Income</v>
      </c>
      <c r="X1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2"/>
      <c r="Z1632" t="s">
        <v>41</v>
      </c>
      <c r="AA1632" t="s">
        <v>253</v>
      </c>
      <c r="AB1632" t="s">
        <v>433</v>
      </c>
      <c r="AC1632" s="21">
        <v>50</v>
      </c>
      <c r="AD1632" s="21" t="s">
        <v>368</v>
      </c>
      <c r="AE1632" t="str">
        <f>VLOOKUP(Table_Query_from_Actuarial___Production3[[#This Row],[Kor1]],$AI$3:$AK$105,3,FALSE)</f>
        <v>Misc. Income</v>
      </c>
      <c r="AF1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3" spans="18:32" x14ac:dyDescent="0.2">
      <c r="R1633" t="s">
        <v>44</v>
      </c>
      <c r="S1633" t="s">
        <v>224</v>
      </c>
      <c r="T1633" t="s">
        <v>441</v>
      </c>
      <c r="U1633" s="21">
        <v>1614.7</v>
      </c>
      <c r="V1633" s="21" t="s">
        <v>368</v>
      </c>
      <c r="W1633" t="str">
        <f>VLOOKUP(Table_Query_from_Actuarial___Production[[#This Row],[Kor1]],$AI$3:$AK$105,3,FALSE)</f>
        <v>Charge-offs</v>
      </c>
      <c r="X1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633"/>
      <c r="Z1633" t="s">
        <v>3</v>
      </c>
      <c r="AA1633" t="s">
        <v>252</v>
      </c>
      <c r="AB1633" t="s">
        <v>441</v>
      </c>
      <c r="AC1633" s="21">
        <v>35137065</v>
      </c>
      <c r="AD1633" s="21" t="s">
        <v>368</v>
      </c>
      <c r="AE1633" t="str">
        <f>VLOOKUP(Table_Query_from_Actuarial___Production3[[#This Row],[Kor1]],$AI$3:$AK$105,3,FALSE)</f>
        <v>Premiums Written</v>
      </c>
      <c r="AF1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4" spans="18:32" x14ac:dyDescent="0.2">
      <c r="R1634" t="s">
        <v>14</v>
      </c>
      <c r="S1634" t="s">
        <v>354</v>
      </c>
      <c r="T1634" t="s">
        <v>6</v>
      </c>
      <c r="U1634" s="21">
        <v>6106698.6600000001</v>
      </c>
      <c r="V1634" s="21" t="s">
        <v>368</v>
      </c>
      <c r="W1634" t="str">
        <f>VLOOKUP(Table_Query_from_Actuarial___Production[[#This Row],[Kor1]],$AI$3:$AK$105,3,FALSE)</f>
        <v>Claims Expense</v>
      </c>
      <c r="X1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634"/>
      <c r="Z1634" t="s">
        <v>14</v>
      </c>
      <c r="AA1634" t="s">
        <v>253</v>
      </c>
      <c r="AB1634" t="s">
        <v>8</v>
      </c>
      <c r="AC1634" s="21">
        <v>292.07</v>
      </c>
      <c r="AD1634" s="21" t="s">
        <v>368</v>
      </c>
      <c r="AE1634" t="str">
        <f>VLOOKUP(Table_Query_from_Actuarial___Production3[[#This Row],[Kor1]],$AI$3:$AK$105,3,FALSE)</f>
        <v>Claims Expense</v>
      </c>
      <c r="AF1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5" spans="18:32" x14ac:dyDescent="0.2">
      <c r="R1635" t="s">
        <v>444</v>
      </c>
      <c r="S1635" t="s">
        <v>246</v>
      </c>
      <c r="T1635" t="s">
        <v>443</v>
      </c>
      <c r="U1635" s="21">
        <v>10167.81</v>
      </c>
      <c r="V1635" s="21" t="s">
        <v>368</v>
      </c>
      <c r="W1635" t="str">
        <f>VLOOKUP(Table_Query_from_Actuarial___Production[[#This Row],[Kor1]],$AI$3:$AK$105,3,FALSE)</f>
        <v>Misc. Expense</v>
      </c>
      <c r="X1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5"/>
      <c r="Z1635" t="s">
        <v>31</v>
      </c>
      <c r="AA1635" t="s">
        <v>267</v>
      </c>
      <c r="AB1635" t="s">
        <v>356</v>
      </c>
      <c r="AC1635" s="21">
        <v>774.15</v>
      </c>
      <c r="AD1635" s="21" t="s">
        <v>368</v>
      </c>
      <c r="AE1635" t="str">
        <f>VLOOKUP(Table_Query_from_Actuarial___Production3[[#This Row],[Kor1]],$AI$3:$AK$105,3,FALSE)</f>
        <v>Misc. Expense</v>
      </c>
      <c r="AF1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6" spans="18:32" x14ac:dyDescent="0.2">
      <c r="R1636" t="s">
        <v>32</v>
      </c>
      <c r="S1636" t="s">
        <v>229</v>
      </c>
      <c r="T1636" t="s">
        <v>427</v>
      </c>
      <c r="U1636" s="21">
        <v>1070.69</v>
      </c>
      <c r="V1636" s="21" t="s">
        <v>368</v>
      </c>
      <c r="W1636" t="str">
        <f>VLOOKUP(Table_Query_from_Actuarial___Production[[#This Row],[Kor1]],$AI$3:$AK$105,3,FALSE)</f>
        <v>Misc. Expense</v>
      </c>
      <c r="X1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6"/>
      <c r="Z1636" t="s">
        <v>20</v>
      </c>
      <c r="AA1636" t="s">
        <v>251</v>
      </c>
      <c r="AB1636" t="s">
        <v>5</v>
      </c>
      <c r="AC1636" s="21">
        <v>25.82</v>
      </c>
      <c r="AD1636" s="21" t="s">
        <v>368</v>
      </c>
      <c r="AE1636" t="str">
        <f>VLOOKUP(Table_Query_from_Actuarial___Production3[[#This Row],[Kor1]],$AI$3:$AK$105,3,FALSE)</f>
        <v>Misc. Expense</v>
      </c>
      <c r="AF1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7" spans="18:32" x14ac:dyDescent="0.2">
      <c r="R1637" t="s">
        <v>41</v>
      </c>
      <c r="S1637" t="s">
        <v>233</v>
      </c>
      <c r="T1637" t="s">
        <v>433</v>
      </c>
      <c r="U1637" s="21">
        <v>150.02000000000001</v>
      </c>
      <c r="V1637" s="21" t="s">
        <v>368</v>
      </c>
      <c r="W1637" t="str">
        <f>VLOOKUP(Table_Query_from_Actuarial___Production[[#This Row],[Kor1]],$AI$3:$AK$105,3,FALSE)</f>
        <v>Misc. Income</v>
      </c>
      <c r="X1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7"/>
      <c r="Z1637" t="s">
        <v>16</v>
      </c>
      <c r="AA1637" t="s">
        <v>242</v>
      </c>
      <c r="AB1637" t="s">
        <v>433</v>
      </c>
      <c r="AC1637" s="21">
        <v>781882.77</v>
      </c>
      <c r="AD1637" s="21" t="s">
        <v>368</v>
      </c>
      <c r="AE1637" t="str">
        <f>VLOOKUP(Table_Query_from_Actuarial___Production3[[#This Row],[Kor1]],$AI$3:$AK$105,3,FALSE)</f>
        <v>Losses Outstanding</v>
      </c>
      <c r="AF1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8" spans="18:32" x14ac:dyDescent="0.2">
      <c r="R1638" t="s">
        <v>47</v>
      </c>
      <c r="S1638" t="s">
        <v>232</v>
      </c>
      <c r="T1638" t="s">
        <v>9</v>
      </c>
      <c r="U1638" s="21">
        <v>524.73</v>
      </c>
      <c r="V1638" s="21" t="s">
        <v>368</v>
      </c>
      <c r="W1638" t="str">
        <f>VLOOKUP(Table_Query_from_Actuarial___Production[[#This Row],[Kor1]],$AI$3:$AK$105,3,FALSE)</f>
        <v>Investment Income</v>
      </c>
      <c r="X1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8"/>
      <c r="Z1638" t="s">
        <v>12</v>
      </c>
      <c r="AA1638" t="s">
        <v>268</v>
      </c>
      <c r="AB1638" t="s">
        <v>443</v>
      </c>
      <c r="AC1638" s="21">
        <v>2.12</v>
      </c>
      <c r="AD1638" s="21" t="s">
        <v>368</v>
      </c>
      <c r="AE1638" t="str">
        <f>VLOOKUP(Table_Query_from_Actuarial___Production3[[#This Row],[Kor1]],$AI$3:$AK$105,3,FALSE)</f>
        <v>Premium Tax</v>
      </c>
      <c r="AF1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39" spans="18:32" x14ac:dyDescent="0.2">
      <c r="R1639" t="s">
        <v>14</v>
      </c>
      <c r="S1639" t="s">
        <v>259</v>
      </c>
      <c r="T1639" t="s">
        <v>7</v>
      </c>
      <c r="U1639" s="21">
        <v>13222.08</v>
      </c>
      <c r="V1639" s="21" t="s">
        <v>368</v>
      </c>
      <c r="W1639" t="str">
        <f>VLOOKUP(Table_Query_from_Actuarial___Production[[#This Row],[Kor1]],$AI$3:$AK$105,3,FALSE)</f>
        <v>Claims Expense</v>
      </c>
      <c r="X1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39"/>
      <c r="Z1639" t="s">
        <v>43</v>
      </c>
      <c r="AA1639" t="s">
        <v>236</v>
      </c>
      <c r="AB1639" t="s">
        <v>356</v>
      </c>
      <c r="AC1639" s="21">
        <v>-88.15</v>
      </c>
      <c r="AD1639" s="21" t="s">
        <v>368</v>
      </c>
      <c r="AE1639" t="str">
        <f>VLOOKUP(Table_Query_from_Actuarial___Production3[[#This Row],[Kor1]],$AI$3:$AK$105,3,FALSE)</f>
        <v>Charge-offs</v>
      </c>
      <c r="AF1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0" spans="18:32" x14ac:dyDescent="0.2">
      <c r="R1640" t="s">
        <v>21</v>
      </c>
      <c r="S1640" t="s">
        <v>228</v>
      </c>
      <c r="T1640" t="s">
        <v>9</v>
      </c>
      <c r="U1640" s="21">
        <v>356.5</v>
      </c>
      <c r="V1640" s="21" t="s">
        <v>368</v>
      </c>
      <c r="W1640" t="str">
        <f>VLOOKUP(Table_Query_from_Actuarial___Production[[#This Row],[Kor1]],$AI$3:$AK$105,3,FALSE)</f>
        <v>Misc. Expense</v>
      </c>
      <c r="X1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0"/>
      <c r="Z1640" t="s">
        <v>44</v>
      </c>
      <c r="AA1640" t="s">
        <v>251</v>
      </c>
      <c r="AB1640" t="s">
        <v>433</v>
      </c>
      <c r="AC1640" s="21">
        <v>22780.6</v>
      </c>
      <c r="AD1640" s="21" t="s">
        <v>368</v>
      </c>
      <c r="AE1640" t="str">
        <f>VLOOKUP(Table_Query_from_Actuarial___Production3[[#This Row],[Kor1]],$AI$3:$AK$105,3,FALSE)</f>
        <v>Charge-offs</v>
      </c>
      <c r="AF1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1" spans="18:32" x14ac:dyDescent="0.2">
      <c r="R1641" t="s">
        <v>31</v>
      </c>
      <c r="S1641" t="s">
        <v>259</v>
      </c>
      <c r="T1641" t="s">
        <v>8</v>
      </c>
      <c r="U1641" s="21">
        <v>428.65</v>
      </c>
      <c r="V1641" s="21" t="s">
        <v>368</v>
      </c>
      <c r="W1641" t="str">
        <f>VLOOKUP(Table_Query_from_Actuarial___Production[[#This Row],[Kor1]],$AI$3:$AK$105,3,FALSE)</f>
        <v>Misc. Expense</v>
      </c>
      <c r="X1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1"/>
      <c r="Z1641" t="s">
        <v>16</v>
      </c>
      <c r="AA1641" t="s">
        <v>258</v>
      </c>
      <c r="AB1641" t="s">
        <v>443</v>
      </c>
      <c r="AC1641" s="21">
        <v>89436.61</v>
      </c>
      <c r="AD1641" s="21" t="s">
        <v>368</v>
      </c>
      <c r="AE1641" t="str">
        <f>VLOOKUP(Table_Query_from_Actuarial___Production3[[#This Row],[Kor1]],$AI$3:$AK$105,3,FALSE)</f>
        <v>Losses Outstanding</v>
      </c>
      <c r="AF1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2" spans="18:32" x14ac:dyDescent="0.2">
      <c r="R1642" t="s">
        <v>32</v>
      </c>
      <c r="S1642" t="s">
        <v>239</v>
      </c>
      <c r="T1642" t="s">
        <v>427</v>
      </c>
      <c r="U1642" s="21">
        <v>1474.49</v>
      </c>
      <c r="V1642" s="21" t="s">
        <v>368</v>
      </c>
      <c r="W1642" t="str">
        <f>VLOOKUP(Table_Query_from_Actuarial___Production[[#This Row],[Kor1]],$AI$3:$AK$105,3,FALSE)</f>
        <v>Misc. Expense</v>
      </c>
      <c r="X1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2"/>
      <c r="Z1642" t="s">
        <v>33</v>
      </c>
      <c r="AA1642" t="s">
        <v>244</v>
      </c>
      <c r="AB1642" t="s">
        <v>5</v>
      </c>
      <c r="AC1642" s="21">
        <v>16967.560000000001</v>
      </c>
      <c r="AD1642" s="21" t="s">
        <v>368</v>
      </c>
      <c r="AE1642" t="str">
        <f>VLOOKUP(Table_Query_from_Actuarial___Production3[[#This Row],[Kor1]],$AI$3:$AK$105,3,FALSE)</f>
        <v>Misc. Expense</v>
      </c>
      <c r="AF1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3" spans="18:32" x14ac:dyDescent="0.2">
      <c r="R1643" t="s">
        <v>37</v>
      </c>
      <c r="S1643" t="s">
        <v>255</v>
      </c>
      <c r="T1643" t="s">
        <v>351</v>
      </c>
      <c r="U1643" s="21">
        <v>149.49</v>
      </c>
      <c r="V1643" s="21" t="s">
        <v>368</v>
      </c>
      <c r="W1643" t="str">
        <f>VLOOKUP(Table_Query_from_Actuarial___Production[[#This Row],[Kor1]],$AI$3:$AK$105,3,FALSE)</f>
        <v>Misc. Expense</v>
      </c>
      <c r="X1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3"/>
      <c r="Z1643" t="s">
        <v>14</v>
      </c>
      <c r="AA1643" t="s">
        <v>354</v>
      </c>
      <c r="AB1643" t="s">
        <v>9</v>
      </c>
      <c r="AC1643" s="21">
        <v>103291645.91</v>
      </c>
      <c r="AD1643" s="21" t="s">
        <v>369</v>
      </c>
      <c r="AE1643" t="str">
        <f>VLOOKUP(Table_Query_from_Actuarial___Production3[[#This Row],[Kor1]],$AI$3:$AK$105,3,FALSE)</f>
        <v>Claims Expense</v>
      </c>
      <c r="AF1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644" spans="18:32" x14ac:dyDescent="0.2">
      <c r="R1644" t="s">
        <v>15</v>
      </c>
      <c r="S1644" t="s">
        <v>232</v>
      </c>
      <c r="T1644" t="s">
        <v>443</v>
      </c>
      <c r="U1644" s="21">
        <v>396161.75</v>
      </c>
      <c r="V1644" s="21" t="s">
        <v>368</v>
      </c>
      <c r="W1644" t="str">
        <f>VLOOKUP(Table_Query_from_Actuarial___Production[[#This Row],[Kor1]],$AI$3:$AK$105,3,FALSE)</f>
        <v>Unearned Premiums</v>
      </c>
      <c r="X1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4"/>
      <c r="Z1644" t="s">
        <v>13</v>
      </c>
      <c r="AA1644" t="s">
        <v>266</v>
      </c>
      <c r="AB1644" t="s">
        <v>441</v>
      </c>
      <c r="AC1644" s="21">
        <v>324541.31</v>
      </c>
      <c r="AD1644" s="21" t="s">
        <v>368</v>
      </c>
      <c r="AE1644" t="str">
        <f>VLOOKUP(Table_Query_from_Actuarial___Production3[[#This Row],[Kor1]],$AI$3:$AK$105,3,FALSE)</f>
        <v>Operating Service Fees</v>
      </c>
      <c r="AF1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5" spans="18:32" x14ac:dyDescent="0.2">
      <c r="R1645" t="s">
        <v>11</v>
      </c>
      <c r="S1645" t="s">
        <v>224</v>
      </c>
      <c r="T1645" t="s">
        <v>351</v>
      </c>
      <c r="U1645" s="21">
        <v>69477.31</v>
      </c>
      <c r="V1645" s="21" t="s">
        <v>369</v>
      </c>
      <c r="W1645" t="str">
        <f>VLOOKUP(Table_Query_from_Actuarial___Production[[#This Row],[Kor1]],$AI$3:$AK$105,3,FALSE)</f>
        <v>Losses Paid</v>
      </c>
      <c r="X1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645"/>
      <c r="Z1645" t="s">
        <v>41</v>
      </c>
      <c r="AA1645" t="s">
        <v>257</v>
      </c>
      <c r="AB1645" t="s">
        <v>427</v>
      </c>
      <c r="AC1645" s="21">
        <v>350.04</v>
      </c>
      <c r="AD1645" s="21" t="s">
        <v>368</v>
      </c>
      <c r="AE1645" t="str">
        <f>VLOOKUP(Table_Query_from_Actuarial___Production3[[#This Row],[Kor1]],$AI$3:$AK$105,3,FALSE)</f>
        <v>Misc. Income</v>
      </c>
      <c r="AF1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6" spans="18:32" x14ac:dyDescent="0.2">
      <c r="R1646" t="s">
        <v>19</v>
      </c>
      <c r="S1646" t="s">
        <v>245</v>
      </c>
      <c r="T1646" t="s">
        <v>8</v>
      </c>
      <c r="U1646" s="21">
        <v>414</v>
      </c>
      <c r="V1646" s="21" t="s">
        <v>368</v>
      </c>
      <c r="W1646" t="str">
        <f>VLOOKUP(Table_Query_from_Actuarial___Production[[#This Row],[Kor1]],$AI$3:$AK$105,3,FALSE)</f>
        <v>Misc. Expense for Insolvent Companies</v>
      </c>
      <c r="X1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6"/>
      <c r="Z1646" t="s">
        <v>31</v>
      </c>
      <c r="AA1646" t="s">
        <v>252</v>
      </c>
      <c r="AB1646" t="s">
        <v>442</v>
      </c>
      <c r="AC1646" s="21">
        <v>1328.84</v>
      </c>
      <c r="AD1646" s="21" t="s">
        <v>368</v>
      </c>
      <c r="AE1646" t="str">
        <f>VLOOKUP(Table_Query_from_Actuarial___Production3[[#This Row],[Kor1]],$AI$3:$AK$105,3,FALSE)</f>
        <v>Misc. Expense</v>
      </c>
      <c r="AF1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7" spans="18:32" x14ac:dyDescent="0.2">
      <c r="R1647" t="s">
        <v>33</v>
      </c>
      <c r="S1647" t="s">
        <v>263</v>
      </c>
      <c r="T1647" t="s">
        <v>8</v>
      </c>
      <c r="U1647" s="21">
        <v>15295.37</v>
      </c>
      <c r="V1647" s="21" t="s">
        <v>368</v>
      </c>
      <c r="W1647" t="str">
        <f>VLOOKUP(Table_Query_from_Actuarial___Production[[#This Row],[Kor1]],$AI$3:$AK$105,3,FALSE)</f>
        <v>Misc. Expense</v>
      </c>
      <c r="X1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7"/>
      <c r="Z1647" t="s">
        <v>16</v>
      </c>
      <c r="AA1647" t="s">
        <v>224</v>
      </c>
      <c r="AB1647" t="s">
        <v>442</v>
      </c>
      <c r="AC1647" s="21">
        <v>2906.16</v>
      </c>
      <c r="AD1647" s="21" t="s">
        <v>369</v>
      </c>
      <c r="AE1647" t="str">
        <f>VLOOKUP(Table_Query_from_Actuarial___Production3[[#This Row],[Kor1]],$AI$3:$AK$105,3,FALSE)</f>
        <v>Losses Outstanding</v>
      </c>
      <c r="AF1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648" spans="18:32" x14ac:dyDescent="0.2">
      <c r="R1648" t="s">
        <v>40</v>
      </c>
      <c r="S1648" t="s">
        <v>240</v>
      </c>
      <c r="T1648" t="s">
        <v>8</v>
      </c>
      <c r="U1648" s="21">
        <v>277.97000000000003</v>
      </c>
      <c r="V1648" s="21" t="s">
        <v>368</v>
      </c>
      <c r="W1648" t="str">
        <f>VLOOKUP(Table_Query_from_Actuarial___Production[[#This Row],[Kor1]],$AI$3:$AK$105,3,FALSE)</f>
        <v>Misc. Income</v>
      </c>
      <c r="X1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8"/>
      <c r="Z1648" t="s">
        <v>44</v>
      </c>
      <c r="AA1648" t="s">
        <v>255</v>
      </c>
      <c r="AB1648" t="s">
        <v>7</v>
      </c>
      <c r="AC1648" s="21">
        <v>-4</v>
      </c>
      <c r="AD1648" s="21" t="s">
        <v>368</v>
      </c>
      <c r="AE1648" t="str">
        <f>VLOOKUP(Table_Query_from_Actuarial___Production3[[#This Row],[Kor1]],$AI$3:$AK$105,3,FALSE)</f>
        <v>Charge-offs</v>
      </c>
      <c r="AF1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49" spans="18:32" x14ac:dyDescent="0.2">
      <c r="R1649" t="s">
        <v>48</v>
      </c>
      <c r="S1649" t="s">
        <v>264</v>
      </c>
      <c r="T1649" t="s">
        <v>433</v>
      </c>
      <c r="U1649" s="21">
        <v>9134.5499999999993</v>
      </c>
      <c r="V1649" s="21" t="s">
        <v>368</v>
      </c>
      <c r="W1649" t="str">
        <f>VLOOKUP(Table_Query_from_Actuarial___Production[[#This Row],[Kor1]],$AI$3:$AK$105,3,FALSE)</f>
        <v>Anticipated Salvage</v>
      </c>
      <c r="X1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49"/>
      <c r="Z1649" t="s">
        <v>31</v>
      </c>
      <c r="AA1649" t="s">
        <v>248</v>
      </c>
      <c r="AB1649" t="s">
        <v>5</v>
      </c>
      <c r="AC1649" s="21">
        <v>7049.8</v>
      </c>
      <c r="AD1649" s="21" t="s">
        <v>368</v>
      </c>
      <c r="AE1649" t="str">
        <f>VLOOKUP(Table_Query_from_Actuarial___Production3[[#This Row],[Kor1]],$AI$3:$AK$105,3,FALSE)</f>
        <v>Misc. Expense</v>
      </c>
      <c r="AF1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0" spans="18:32" x14ac:dyDescent="0.2">
      <c r="R1650" t="s">
        <v>13</v>
      </c>
      <c r="S1650" t="s">
        <v>352</v>
      </c>
      <c r="T1650" t="s">
        <v>9</v>
      </c>
      <c r="U1650" s="21">
        <v>30633.31</v>
      </c>
      <c r="V1650" s="21" t="s">
        <v>369</v>
      </c>
      <c r="W1650" t="str">
        <f>VLOOKUP(Table_Query_from_Actuarial___Production[[#This Row],[Kor1]],$AI$3:$AK$105,3,FALSE)</f>
        <v>Operating Service Fees</v>
      </c>
      <c r="X1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650"/>
      <c r="Z1650" t="s">
        <v>17</v>
      </c>
      <c r="AA1650" t="s">
        <v>237</v>
      </c>
      <c r="AB1650" t="s">
        <v>443</v>
      </c>
      <c r="AC1650" s="21">
        <v>3811749.74</v>
      </c>
      <c r="AD1650" s="21" t="s">
        <v>368</v>
      </c>
      <c r="AE1650" t="str">
        <f>VLOOKUP(Table_Query_from_Actuarial___Production3[[#This Row],[Kor1]],$AI$3:$AK$105,3,FALSE)</f>
        <v>IBNR</v>
      </c>
      <c r="AF1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1" spans="18:32" x14ac:dyDescent="0.2">
      <c r="R1651" t="s">
        <v>31</v>
      </c>
      <c r="S1651" t="s">
        <v>240</v>
      </c>
      <c r="T1651" t="s">
        <v>427</v>
      </c>
      <c r="U1651" s="21">
        <v>276.81</v>
      </c>
      <c r="V1651" s="21" t="s">
        <v>368</v>
      </c>
      <c r="W1651" t="str">
        <f>VLOOKUP(Table_Query_from_Actuarial___Production[[#This Row],[Kor1]],$AI$3:$AK$105,3,FALSE)</f>
        <v>Misc. Expense</v>
      </c>
      <c r="X1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1"/>
      <c r="Z1651" t="s">
        <v>43</v>
      </c>
      <c r="AA1651" t="s">
        <v>258</v>
      </c>
      <c r="AB1651" t="s">
        <v>441</v>
      </c>
      <c r="AC1651" s="21">
        <v>9116.7099999999991</v>
      </c>
      <c r="AD1651" s="21" t="s">
        <v>368</v>
      </c>
      <c r="AE1651" t="str">
        <f>VLOOKUP(Table_Query_from_Actuarial___Production3[[#This Row],[Kor1]],$AI$3:$AK$105,3,FALSE)</f>
        <v>Charge-offs</v>
      </c>
      <c r="AF1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2" spans="18:32" x14ac:dyDescent="0.2">
      <c r="R1652" t="s">
        <v>46</v>
      </c>
      <c r="S1652" t="s">
        <v>354</v>
      </c>
      <c r="T1652" t="s">
        <v>351</v>
      </c>
      <c r="U1652" s="21">
        <v>17361688.039999999</v>
      </c>
      <c r="V1652" s="21" t="s">
        <v>369</v>
      </c>
      <c r="W1652" t="str">
        <f>VLOOKUP(Table_Query_from_Actuarial___Production[[#This Row],[Kor1]],$AI$3:$AK$105,3,FALSE)</f>
        <v>Investment Income</v>
      </c>
      <c r="X1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652"/>
      <c r="Z1652" t="s">
        <v>48</v>
      </c>
      <c r="AA1652" t="s">
        <v>231</v>
      </c>
      <c r="AB1652" t="s">
        <v>441</v>
      </c>
      <c r="AC1652" s="21">
        <v>5231.9399999999996</v>
      </c>
      <c r="AD1652" s="21" t="s">
        <v>368</v>
      </c>
      <c r="AE1652" t="str">
        <f>VLOOKUP(Table_Query_from_Actuarial___Production3[[#This Row],[Kor1]],$AI$3:$AK$105,3,FALSE)</f>
        <v>Anticipated Salvage</v>
      </c>
      <c r="AF1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3" spans="18:32" x14ac:dyDescent="0.2">
      <c r="R1653" t="s">
        <v>18</v>
      </c>
      <c r="S1653" t="s">
        <v>224</v>
      </c>
      <c r="T1653" t="s">
        <v>433</v>
      </c>
      <c r="U1653" s="21">
        <v>177910.17</v>
      </c>
      <c r="V1653" s="21" t="s">
        <v>368</v>
      </c>
      <c r="W1653" t="str">
        <f>VLOOKUP(Table_Query_from_Actuarial___Production[[#This Row],[Kor1]],$AI$3:$AK$105,3,FALSE)</f>
        <v>Misc. Expense</v>
      </c>
      <c r="X1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653"/>
      <c r="Z1653" t="s">
        <v>3</v>
      </c>
      <c r="AA1653" t="s">
        <v>228</v>
      </c>
      <c r="AB1653" t="s">
        <v>441</v>
      </c>
      <c r="AC1653" s="21">
        <v>576371</v>
      </c>
      <c r="AD1653" s="21" t="s">
        <v>368</v>
      </c>
      <c r="AE1653" t="str">
        <f>VLOOKUP(Table_Query_from_Actuarial___Production3[[#This Row],[Kor1]],$AI$3:$AK$105,3,FALSE)</f>
        <v>Premiums Written</v>
      </c>
      <c r="AF1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4" spans="18:32" x14ac:dyDescent="0.2">
      <c r="R1654" t="s">
        <v>12</v>
      </c>
      <c r="S1654" t="s">
        <v>248</v>
      </c>
      <c r="T1654" t="s">
        <v>9</v>
      </c>
      <c r="U1654" s="21">
        <v>1102.3399999999999</v>
      </c>
      <c r="V1654" s="21" t="s">
        <v>368</v>
      </c>
      <c r="W1654" t="str">
        <f>VLOOKUP(Table_Query_from_Actuarial___Production[[#This Row],[Kor1]],$AI$3:$AK$105,3,FALSE)</f>
        <v>Premium Tax</v>
      </c>
      <c r="X1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4"/>
      <c r="Z1654" t="s">
        <v>31</v>
      </c>
      <c r="AA1654" t="s">
        <v>255</v>
      </c>
      <c r="AB1654" t="s">
        <v>6</v>
      </c>
      <c r="AC1654" s="21">
        <v>556.88</v>
      </c>
      <c r="AD1654" s="21" t="s">
        <v>368</v>
      </c>
      <c r="AE1654" t="str">
        <f>VLOOKUP(Table_Query_from_Actuarial___Production3[[#This Row],[Kor1]],$AI$3:$AK$105,3,FALSE)</f>
        <v>Misc. Expense</v>
      </c>
      <c r="AF1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5" spans="18:32" x14ac:dyDescent="0.2">
      <c r="R1655" t="s">
        <v>17</v>
      </c>
      <c r="S1655" t="s">
        <v>234</v>
      </c>
      <c r="T1655" t="s">
        <v>442</v>
      </c>
      <c r="U1655" s="21">
        <v>226655.2</v>
      </c>
      <c r="V1655" s="21" t="s">
        <v>368</v>
      </c>
      <c r="W1655" t="str">
        <f>VLOOKUP(Table_Query_from_Actuarial___Production[[#This Row],[Kor1]],$AI$3:$AK$105,3,FALSE)</f>
        <v>IBNR</v>
      </c>
      <c r="X1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5"/>
      <c r="Z1655" t="s">
        <v>47</v>
      </c>
      <c r="AA1655" t="s">
        <v>258</v>
      </c>
      <c r="AB1655" t="s">
        <v>443</v>
      </c>
      <c r="AC1655" s="21">
        <v>6707.29</v>
      </c>
      <c r="AD1655" s="21" t="s">
        <v>368</v>
      </c>
      <c r="AE1655" t="str">
        <f>VLOOKUP(Table_Query_from_Actuarial___Production3[[#This Row],[Kor1]],$AI$3:$AK$105,3,FALSE)</f>
        <v>Investment Income</v>
      </c>
      <c r="AF1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6" spans="18:32" x14ac:dyDescent="0.2">
      <c r="R1656" t="s">
        <v>48</v>
      </c>
      <c r="S1656" t="s">
        <v>254</v>
      </c>
      <c r="T1656" t="s">
        <v>445</v>
      </c>
      <c r="U1656" s="21">
        <v>18891.88</v>
      </c>
      <c r="V1656" s="21" t="s">
        <v>368</v>
      </c>
      <c r="W1656" t="str">
        <f>VLOOKUP(Table_Query_from_Actuarial___Production[[#This Row],[Kor1]],$AI$3:$AK$105,3,FALSE)</f>
        <v>Anticipated Salvage</v>
      </c>
      <c r="X1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6"/>
      <c r="Z1656" t="s">
        <v>19</v>
      </c>
      <c r="AA1656" t="s">
        <v>267</v>
      </c>
      <c r="AB1656" t="s">
        <v>5</v>
      </c>
      <c r="AC1656" s="21">
        <v>2363</v>
      </c>
      <c r="AD1656" s="21" t="s">
        <v>368</v>
      </c>
      <c r="AE1656" t="str">
        <f>VLOOKUP(Table_Query_from_Actuarial___Production3[[#This Row],[Kor1]],$AI$3:$AK$105,3,FALSE)</f>
        <v>Misc. Expense for Insolvent Companies</v>
      </c>
      <c r="AF1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7" spans="18:32" x14ac:dyDescent="0.2">
      <c r="R1657" t="s">
        <v>44</v>
      </c>
      <c r="S1657" t="s">
        <v>225</v>
      </c>
      <c r="T1657" t="s">
        <v>6</v>
      </c>
      <c r="U1657" s="21">
        <v>78775.259999999995</v>
      </c>
      <c r="V1657" s="21" t="s">
        <v>368</v>
      </c>
      <c r="W1657" t="str">
        <f>VLOOKUP(Table_Query_from_Actuarial___Production[[#This Row],[Kor1]],$AI$3:$AK$105,3,FALSE)</f>
        <v>Charge-offs</v>
      </c>
      <c r="X1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657"/>
      <c r="Z1657" t="s">
        <v>49</v>
      </c>
      <c r="AA1657" t="s">
        <v>234</v>
      </c>
      <c r="AB1657" t="s">
        <v>6</v>
      </c>
      <c r="AC1657" s="21">
        <v>1545</v>
      </c>
      <c r="AD1657" s="21" t="s">
        <v>368</v>
      </c>
      <c r="AE1657" t="str">
        <f>VLOOKUP(Table_Query_from_Actuarial___Production3[[#This Row],[Kor1]],$AI$3:$AK$105,3,FALSE)</f>
        <v>ALAE Paid</v>
      </c>
      <c r="AF1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8" spans="18:32" x14ac:dyDescent="0.2">
      <c r="R1658" t="s">
        <v>12</v>
      </c>
      <c r="S1658" t="s">
        <v>227</v>
      </c>
      <c r="T1658" t="s">
        <v>433</v>
      </c>
      <c r="U1658" s="21">
        <v>138.01</v>
      </c>
      <c r="V1658" s="21" t="s">
        <v>368</v>
      </c>
      <c r="W1658" t="str">
        <f>VLOOKUP(Table_Query_from_Actuarial___Production[[#This Row],[Kor1]],$AI$3:$AK$105,3,FALSE)</f>
        <v>Premium Tax</v>
      </c>
      <c r="X1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8"/>
      <c r="Z1658" t="s">
        <v>20</v>
      </c>
      <c r="AA1658" t="s">
        <v>229</v>
      </c>
      <c r="AB1658" t="s">
        <v>356</v>
      </c>
      <c r="AC1658" s="21">
        <v>17.170000000000002</v>
      </c>
      <c r="AD1658" s="21" t="s">
        <v>368</v>
      </c>
      <c r="AE1658" t="str">
        <f>VLOOKUP(Table_Query_from_Actuarial___Production3[[#This Row],[Kor1]],$AI$3:$AK$105,3,FALSE)</f>
        <v>Misc. Expense</v>
      </c>
      <c r="AF1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59" spans="18:32" x14ac:dyDescent="0.2">
      <c r="R1659" t="s">
        <v>41</v>
      </c>
      <c r="S1659" t="s">
        <v>238</v>
      </c>
      <c r="T1659" t="s">
        <v>9</v>
      </c>
      <c r="U1659" s="21">
        <v>50</v>
      </c>
      <c r="V1659" s="21" t="s">
        <v>368</v>
      </c>
      <c r="W1659" t="str">
        <f>VLOOKUP(Table_Query_from_Actuarial___Production[[#This Row],[Kor1]],$AI$3:$AK$105,3,FALSE)</f>
        <v>Misc. Income</v>
      </c>
      <c r="X1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59"/>
      <c r="Z1659" t="s">
        <v>37</v>
      </c>
      <c r="AA1659" t="s">
        <v>232</v>
      </c>
      <c r="AB1659" t="s">
        <v>433</v>
      </c>
      <c r="AC1659" s="21">
        <v>2924.26</v>
      </c>
      <c r="AD1659" s="21" t="s">
        <v>368</v>
      </c>
      <c r="AE1659" t="str">
        <f>VLOOKUP(Table_Query_from_Actuarial___Production3[[#This Row],[Kor1]],$AI$3:$AK$105,3,FALSE)</f>
        <v>Misc. Expense</v>
      </c>
      <c r="AF1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0" spans="18:32" x14ac:dyDescent="0.2">
      <c r="R1660" t="s">
        <v>39</v>
      </c>
      <c r="S1660" t="s">
        <v>265</v>
      </c>
      <c r="T1660" t="s">
        <v>441</v>
      </c>
      <c r="U1660" s="21">
        <v>294</v>
      </c>
      <c r="V1660" s="21" t="s">
        <v>368</v>
      </c>
      <c r="W1660" t="str">
        <f>VLOOKUP(Table_Query_from_Actuarial___Production[[#This Row],[Kor1]],$AI$3:$AK$105,3,FALSE)</f>
        <v>Misc. Income for Insolvent Companies</v>
      </c>
      <c r="X1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0"/>
      <c r="Z1660" t="s">
        <v>16</v>
      </c>
      <c r="AA1660" t="s">
        <v>224</v>
      </c>
      <c r="AB1660" t="s">
        <v>443</v>
      </c>
      <c r="AC1660" s="21">
        <v>1994.71</v>
      </c>
      <c r="AD1660" s="21" t="s">
        <v>370</v>
      </c>
      <c r="AE1660" t="str">
        <f>VLOOKUP(Table_Query_from_Actuarial___Production3[[#This Row],[Kor1]],$AI$3:$AK$105,3,FALSE)</f>
        <v>Losses Outstanding</v>
      </c>
      <c r="AF1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661" spans="18:32" x14ac:dyDescent="0.2">
      <c r="R1661" t="s">
        <v>41</v>
      </c>
      <c r="S1661" t="s">
        <v>227</v>
      </c>
      <c r="T1661" t="s">
        <v>8</v>
      </c>
      <c r="U1661" s="21">
        <v>900</v>
      </c>
      <c r="V1661" s="21" t="s">
        <v>368</v>
      </c>
      <c r="W1661" t="str">
        <f>VLOOKUP(Table_Query_from_Actuarial___Production[[#This Row],[Kor1]],$AI$3:$AK$105,3,FALSE)</f>
        <v>Misc. Income</v>
      </c>
      <c r="X1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1"/>
      <c r="Z1661" t="s">
        <v>39</v>
      </c>
      <c r="AA1661" t="s">
        <v>4</v>
      </c>
      <c r="AB1661" t="s">
        <v>441</v>
      </c>
      <c r="AC1661" s="21">
        <v>67239.490000000005</v>
      </c>
      <c r="AD1661" s="21" t="s">
        <v>368</v>
      </c>
      <c r="AE1661" t="str">
        <f>VLOOKUP(Table_Query_from_Actuarial___Production3[[#This Row],[Kor1]],$AI$3:$AK$105,3,FALSE)</f>
        <v>Misc. Income for Insolvent Companies</v>
      </c>
      <c r="AF1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2" spans="18:32" x14ac:dyDescent="0.2">
      <c r="R1662" t="s">
        <v>19</v>
      </c>
      <c r="S1662" t="s">
        <v>252</v>
      </c>
      <c r="T1662" t="s">
        <v>8</v>
      </c>
      <c r="U1662" s="21">
        <v>81371</v>
      </c>
      <c r="V1662" s="21" t="s">
        <v>368</v>
      </c>
      <c r="W1662" t="str">
        <f>VLOOKUP(Table_Query_from_Actuarial___Production[[#This Row],[Kor1]],$AI$3:$AK$105,3,FALSE)</f>
        <v>Misc. Expense for Insolvent Companies</v>
      </c>
      <c r="X1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2"/>
      <c r="Z1662" t="s">
        <v>14</v>
      </c>
      <c r="AA1662" t="s">
        <v>236</v>
      </c>
      <c r="AB1662" t="s">
        <v>6</v>
      </c>
      <c r="AC1662" s="21">
        <v>2755.69</v>
      </c>
      <c r="AD1662" s="21" t="s">
        <v>368</v>
      </c>
      <c r="AE1662" t="str">
        <f>VLOOKUP(Table_Query_from_Actuarial___Production3[[#This Row],[Kor1]],$AI$3:$AK$105,3,FALSE)</f>
        <v>Claims Expense</v>
      </c>
      <c r="AF1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3" spans="18:32" x14ac:dyDescent="0.2">
      <c r="R1663" t="s">
        <v>39</v>
      </c>
      <c r="S1663" t="s">
        <v>243</v>
      </c>
      <c r="T1663" t="s">
        <v>427</v>
      </c>
      <c r="U1663" s="21">
        <v>50.93</v>
      </c>
      <c r="V1663" s="21" t="s">
        <v>368</v>
      </c>
      <c r="W1663" t="str">
        <f>VLOOKUP(Table_Query_from_Actuarial___Production[[#This Row],[Kor1]],$AI$3:$AK$105,3,FALSE)</f>
        <v>Misc. Income for Insolvent Companies</v>
      </c>
      <c r="X1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3"/>
      <c r="Z1663" t="s">
        <v>439</v>
      </c>
      <c r="AA1663" t="s">
        <v>260</v>
      </c>
      <c r="AB1663" t="s">
        <v>433</v>
      </c>
      <c r="AC1663" s="21">
        <v>99</v>
      </c>
      <c r="AD1663" s="21" t="s">
        <v>368</v>
      </c>
      <c r="AE1663" t="str">
        <f>VLOOKUP(Table_Query_from_Actuarial___Production3[[#This Row],[Kor1]],$AI$3:$AK$105,3,FALSE)</f>
        <v>Operating Service Fees</v>
      </c>
      <c r="AF1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4" spans="18:32" x14ac:dyDescent="0.2">
      <c r="R1664" t="s">
        <v>10</v>
      </c>
      <c r="S1664" t="s">
        <v>263</v>
      </c>
      <c r="T1664" t="s">
        <v>433</v>
      </c>
      <c r="U1664" s="21">
        <v>52072.4</v>
      </c>
      <c r="V1664" s="21" t="s">
        <v>368</v>
      </c>
      <c r="W1664" t="str">
        <f>VLOOKUP(Table_Query_from_Actuarial___Production[[#This Row],[Kor1]],$AI$3:$AK$105,3,FALSE)</f>
        <v>Commissions</v>
      </c>
      <c r="X1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4"/>
      <c r="Z1664" t="s">
        <v>20</v>
      </c>
      <c r="AA1664" t="s">
        <v>241</v>
      </c>
      <c r="AB1664" t="s">
        <v>427</v>
      </c>
      <c r="AC1664" s="21">
        <v>344.12</v>
      </c>
      <c r="AD1664" s="21" t="s">
        <v>368</v>
      </c>
      <c r="AE1664" t="str">
        <f>VLOOKUP(Table_Query_from_Actuarial___Production3[[#This Row],[Kor1]],$AI$3:$AK$105,3,FALSE)</f>
        <v>Misc. Expense</v>
      </c>
      <c r="AF1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5" spans="18:32" x14ac:dyDescent="0.2">
      <c r="R1665" t="s">
        <v>10</v>
      </c>
      <c r="S1665" t="s">
        <v>224</v>
      </c>
      <c r="T1665" t="s">
        <v>445</v>
      </c>
      <c r="U1665" s="21">
        <v>6178.99</v>
      </c>
      <c r="V1665" s="21" t="s">
        <v>369</v>
      </c>
      <c r="W1665" t="str">
        <f>VLOOKUP(Table_Query_from_Actuarial___Production[[#This Row],[Kor1]],$AI$3:$AK$105,3,FALSE)</f>
        <v>Commissions</v>
      </c>
      <c r="X1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665"/>
      <c r="Z1665" t="s">
        <v>40</v>
      </c>
      <c r="AA1665" t="s">
        <v>243</v>
      </c>
      <c r="AB1665" t="s">
        <v>356</v>
      </c>
      <c r="AC1665" s="21">
        <v>15</v>
      </c>
      <c r="AD1665" s="21" t="s">
        <v>368</v>
      </c>
      <c r="AE1665" t="str">
        <f>VLOOKUP(Table_Query_from_Actuarial___Production3[[#This Row],[Kor1]],$AI$3:$AK$105,3,FALSE)</f>
        <v>Misc. Income</v>
      </c>
      <c r="AF1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6" spans="18:32" x14ac:dyDescent="0.2">
      <c r="R1666" t="s">
        <v>21</v>
      </c>
      <c r="S1666" t="s">
        <v>249</v>
      </c>
      <c r="T1666" t="s">
        <v>6</v>
      </c>
      <c r="U1666" s="21">
        <v>1285.95</v>
      </c>
      <c r="V1666" s="21" t="s">
        <v>368</v>
      </c>
      <c r="W1666" t="str">
        <f>VLOOKUP(Table_Query_from_Actuarial___Production[[#This Row],[Kor1]],$AI$3:$AK$105,3,FALSE)</f>
        <v>Misc. Expense</v>
      </c>
      <c r="X1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6"/>
      <c r="Z1666" t="s">
        <v>31</v>
      </c>
      <c r="AA1666" t="s">
        <v>235</v>
      </c>
      <c r="AB1666" t="s">
        <v>7</v>
      </c>
      <c r="AC1666" s="21">
        <v>1005.81</v>
      </c>
      <c r="AD1666" s="21" t="s">
        <v>368</v>
      </c>
      <c r="AE1666" t="str">
        <f>VLOOKUP(Table_Query_from_Actuarial___Production3[[#This Row],[Kor1]],$AI$3:$AK$105,3,FALSE)</f>
        <v>Misc. Expense</v>
      </c>
      <c r="AF1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7" spans="18:32" x14ac:dyDescent="0.2">
      <c r="R1667" t="s">
        <v>36</v>
      </c>
      <c r="S1667" t="s">
        <v>250</v>
      </c>
      <c r="T1667" t="s">
        <v>7</v>
      </c>
      <c r="U1667" s="21">
        <v>1358.99</v>
      </c>
      <c r="V1667" s="21" t="s">
        <v>368</v>
      </c>
      <c r="W1667" t="str">
        <f>VLOOKUP(Table_Query_from_Actuarial___Production[[#This Row],[Kor1]],$AI$3:$AK$105,3,FALSE)</f>
        <v>Misc. Expense</v>
      </c>
      <c r="X1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7"/>
      <c r="Z1667" t="s">
        <v>14</v>
      </c>
      <c r="AA1667" t="s">
        <v>229</v>
      </c>
      <c r="AB1667" t="s">
        <v>427</v>
      </c>
      <c r="AC1667" s="21">
        <v>9816.9599999999991</v>
      </c>
      <c r="AD1667" s="21" t="s">
        <v>368</v>
      </c>
      <c r="AE1667" t="str">
        <f>VLOOKUP(Table_Query_from_Actuarial___Production3[[#This Row],[Kor1]],$AI$3:$AK$105,3,FALSE)</f>
        <v>Claims Expense</v>
      </c>
      <c r="AF1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8" spans="18:32" x14ac:dyDescent="0.2">
      <c r="R1668" t="s">
        <v>11</v>
      </c>
      <c r="S1668" t="s">
        <v>229</v>
      </c>
      <c r="T1668" t="s">
        <v>441</v>
      </c>
      <c r="U1668" s="21">
        <v>111918.63</v>
      </c>
      <c r="V1668" s="21" t="s">
        <v>368</v>
      </c>
      <c r="W1668" t="str">
        <f>VLOOKUP(Table_Query_from_Actuarial___Production[[#This Row],[Kor1]],$AI$3:$AK$105,3,FALSE)</f>
        <v>Losses Paid</v>
      </c>
      <c r="X1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8"/>
      <c r="Z1668" t="s">
        <v>44</v>
      </c>
      <c r="AA1668" t="s">
        <v>255</v>
      </c>
      <c r="AB1668" t="s">
        <v>351</v>
      </c>
      <c r="AC1668" s="21">
        <v>-4</v>
      </c>
      <c r="AD1668" s="21" t="s">
        <v>368</v>
      </c>
      <c r="AE1668" t="str">
        <f>VLOOKUP(Table_Query_from_Actuarial___Production3[[#This Row],[Kor1]],$AI$3:$AK$105,3,FALSE)</f>
        <v>Charge-offs</v>
      </c>
      <c r="AF1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69" spans="18:32" x14ac:dyDescent="0.2">
      <c r="R1669" t="s">
        <v>33</v>
      </c>
      <c r="S1669" t="s">
        <v>240</v>
      </c>
      <c r="T1669" t="s">
        <v>442</v>
      </c>
      <c r="U1669" s="21">
        <v>16540.03</v>
      </c>
      <c r="V1669" s="21" t="s">
        <v>368</v>
      </c>
      <c r="W1669" t="str">
        <f>VLOOKUP(Table_Query_from_Actuarial___Production[[#This Row],[Kor1]],$AI$3:$AK$105,3,FALSE)</f>
        <v>Misc. Expense</v>
      </c>
      <c r="X1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69"/>
      <c r="Z1669" t="s">
        <v>10</v>
      </c>
      <c r="AA1669" t="s">
        <v>224</v>
      </c>
      <c r="AB1669" t="s">
        <v>433</v>
      </c>
      <c r="AC1669" s="21">
        <v>622.66</v>
      </c>
      <c r="AD1669" s="21" t="s">
        <v>425</v>
      </c>
      <c r="AE1669" t="str">
        <f>VLOOKUP(Table_Query_from_Actuarial___Production3[[#This Row],[Kor1]],$AI$3:$AK$105,3,FALSE)</f>
        <v>Commissions</v>
      </c>
      <c r="AF1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670" spans="18:32" x14ac:dyDescent="0.2">
      <c r="R1670" t="s">
        <v>33</v>
      </c>
      <c r="S1670" t="s">
        <v>242</v>
      </c>
      <c r="T1670" t="s">
        <v>433</v>
      </c>
      <c r="U1670" s="21">
        <v>18245.169999999998</v>
      </c>
      <c r="V1670" s="21" t="s">
        <v>368</v>
      </c>
      <c r="W1670" t="str">
        <f>VLOOKUP(Table_Query_from_Actuarial___Production[[#This Row],[Kor1]],$AI$3:$AK$105,3,FALSE)</f>
        <v>Misc. Expense</v>
      </c>
      <c r="X1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0"/>
      <c r="Z1670" t="s">
        <v>18</v>
      </c>
      <c r="AA1670" t="s">
        <v>226</v>
      </c>
      <c r="AB1670" t="s">
        <v>7</v>
      </c>
      <c r="AC1670" s="21">
        <v>34712.35</v>
      </c>
      <c r="AD1670" s="21" t="s">
        <v>368</v>
      </c>
      <c r="AE1670" t="str">
        <f>VLOOKUP(Table_Query_from_Actuarial___Production3[[#This Row],[Kor1]],$AI$3:$AK$105,3,FALSE)</f>
        <v>Misc. Expense</v>
      </c>
      <c r="AF1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671" spans="18:32" x14ac:dyDescent="0.2">
      <c r="R1671" t="s">
        <v>40</v>
      </c>
      <c r="S1671" t="s">
        <v>254</v>
      </c>
      <c r="T1671" t="s">
        <v>356</v>
      </c>
      <c r="U1671" s="21">
        <v>60</v>
      </c>
      <c r="V1671" s="21" t="s">
        <v>368</v>
      </c>
      <c r="W1671" t="str">
        <f>VLOOKUP(Table_Query_from_Actuarial___Production[[#This Row],[Kor1]],$AI$3:$AK$105,3,FALSE)</f>
        <v>Misc. Income</v>
      </c>
      <c r="X1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1"/>
      <c r="Z1671" t="s">
        <v>13</v>
      </c>
      <c r="AA1671" t="s">
        <v>258</v>
      </c>
      <c r="AB1671" t="s">
        <v>8</v>
      </c>
      <c r="AC1671" s="21">
        <v>543796.81999999995</v>
      </c>
      <c r="AD1671" s="21" t="s">
        <v>368</v>
      </c>
      <c r="AE1671" t="str">
        <f>VLOOKUP(Table_Query_from_Actuarial___Production3[[#This Row],[Kor1]],$AI$3:$AK$105,3,FALSE)</f>
        <v>Operating Service Fees</v>
      </c>
      <c r="AF1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2" spans="18:32" x14ac:dyDescent="0.2">
      <c r="R1672" t="s">
        <v>3</v>
      </c>
      <c r="S1672" t="s">
        <v>234</v>
      </c>
      <c r="T1672" t="s">
        <v>441</v>
      </c>
      <c r="U1672" s="21">
        <v>1123738</v>
      </c>
      <c r="V1672" s="21" t="s">
        <v>368</v>
      </c>
      <c r="W1672" t="str">
        <f>VLOOKUP(Table_Query_from_Actuarial___Production[[#This Row],[Kor1]],$AI$3:$AK$105,3,FALSE)</f>
        <v>Premiums Written</v>
      </c>
      <c r="X1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2"/>
      <c r="Z1672" t="s">
        <v>28</v>
      </c>
      <c r="AA1672" t="s">
        <v>259</v>
      </c>
      <c r="AB1672" t="s">
        <v>351</v>
      </c>
      <c r="AC1672" s="21">
        <v>635.03</v>
      </c>
      <c r="AD1672" s="21" t="s">
        <v>368</v>
      </c>
      <c r="AE1672" t="str">
        <f>VLOOKUP(Table_Query_from_Actuarial___Production3[[#This Row],[Kor1]],$AI$3:$AK$105,3,FALSE)</f>
        <v>Misc. Expense</v>
      </c>
      <c r="AF1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3" spans="18:32" x14ac:dyDescent="0.2">
      <c r="R1673" t="s">
        <v>14</v>
      </c>
      <c r="S1673" t="s">
        <v>229</v>
      </c>
      <c r="T1673" t="s">
        <v>443</v>
      </c>
      <c r="U1673" s="21">
        <v>8290.08</v>
      </c>
      <c r="V1673" s="21" t="s">
        <v>368</v>
      </c>
      <c r="W1673" t="str">
        <f>VLOOKUP(Table_Query_from_Actuarial___Production[[#This Row],[Kor1]],$AI$3:$AK$105,3,FALSE)</f>
        <v>Claims Expense</v>
      </c>
      <c r="X1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3"/>
      <c r="Z1673" t="s">
        <v>40</v>
      </c>
      <c r="AA1673" t="s">
        <v>247</v>
      </c>
      <c r="AB1673" t="s">
        <v>7</v>
      </c>
      <c r="AC1673" s="21">
        <v>113</v>
      </c>
      <c r="AD1673" s="21" t="s">
        <v>368</v>
      </c>
      <c r="AE1673" t="str">
        <f>VLOOKUP(Table_Query_from_Actuarial___Production3[[#This Row],[Kor1]],$AI$3:$AK$105,3,FALSE)</f>
        <v>Misc. Income</v>
      </c>
      <c r="AF1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4" spans="18:32" x14ac:dyDescent="0.2">
      <c r="R1674" t="s">
        <v>44</v>
      </c>
      <c r="S1674" t="s">
        <v>262</v>
      </c>
      <c r="T1674" t="s">
        <v>351</v>
      </c>
      <c r="U1674" s="21">
        <v>8022.2</v>
      </c>
      <c r="V1674" s="21" t="s">
        <v>368</v>
      </c>
      <c r="W1674" t="str">
        <f>VLOOKUP(Table_Query_from_Actuarial___Production[[#This Row],[Kor1]],$AI$3:$AK$105,3,FALSE)</f>
        <v>Charge-offs</v>
      </c>
      <c r="X1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4"/>
      <c r="Z1674" t="s">
        <v>44</v>
      </c>
      <c r="AA1674" t="s">
        <v>224</v>
      </c>
      <c r="AB1674" t="s">
        <v>441</v>
      </c>
      <c r="AC1674" s="21">
        <v>1614.7</v>
      </c>
      <c r="AD1674" s="21" t="s">
        <v>368</v>
      </c>
      <c r="AE1674" t="str">
        <f>VLOOKUP(Table_Query_from_Actuarial___Production3[[#This Row],[Kor1]],$AI$3:$AK$105,3,FALSE)</f>
        <v>Charge-offs</v>
      </c>
      <c r="AF1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675" spans="18:32" x14ac:dyDescent="0.2">
      <c r="R1675" t="s">
        <v>40</v>
      </c>
      <c r="S1675" t="s">
        <v>244</v>
      </c>
      <c r="T1675" t="s">
        <v>7</v>
      </c>
      <c r="U1675" s="21">
        <v>22</v>
      </c>
      <c r="V1675" s="21" t="s">
        <v>368</v>
      </c>
      <c r="W1675" t="str">
        <f>VLOOKUP(Table_Query_from_Actuarial___Production[[#This Row],[Kor1]],$AI$3:$AK$105,3,FALSE)</f>
        <v>Misc. Income</v>
      </c>
      <c r="X1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5"/>
      <c r="Z1675" t="s">
        <v>14</v>
      </c>
      <c r="AA1675" t="s">
        <v>354</v>
      </c>
      <c r="AB1675" t="s">
        <v>6</v>
      </c>
      <c r="AC1675" s="21">
        <v>6106679.3200000003</v>
      </c>
      <c r="AD1675" s="21" t="s">
        <v>368</v>
      </c>
      <c r="AE1675" t="str">
        <f>VLOOKUP(Table_Query_from_Actuarial___Production3[[#This Row],[Kor1]],$AI$3:$AK$105,3,FALSE)</f>
        <v>Claims Expense</v>
      </c>
      <c r="AF1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676" spans="18:32" x14ac:dyDescent="0.2">
      <c r="R1676" t="s">
        <v>41</v>
      </c>
      <c r="S1676" t="s">
        <v>257</v>
      </c>
      <c r="T1676" t="s">
        <v>9</v>
      </c>
      <c r="U1676" s="21">
        <v>600</v>
      </c>
      <c r="V1676" s="21" t="s">
        <v>368</v>
      </c>
      <c r="W1676" t="str">
        <f>VLOOKUP(Table_Query_from_Actuarial___Production[[#This Row],[Kor1]],$AI$3:$AK$105,3,FALSE)</f>
        <v>Misc. Income</v>
      </c>
      <c r="X1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6"/>
      <c r="Z1676" t="s">
        <v>32</v>
      </c>
      <c r="AA1676" t="s">
        <v>229</v>
      </c>
      <c r="AB1676" t="s">
        <v>427</v>
      </c>
      <c r="AC1676" s="21">
        <v>1070.69</v>
      </c>
      <c r="AD1676" s="21" t="s">
        <v>368</v>
      </c>
      <c r="AE1676" t="str">
        <f>VLOOKUP(Table_Query_from_Actuarial___Production3[[#This Row],[Kor1]],$AI$3:$AK$105,3,FALSE)</f>
        <v>Misc. Expense</v>
      </c>
      <c r="AF1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7" spans="18:32" x14ac:dyDescent="0.2">
      <c r="R1677" t="s">
        <v>11</v>
      </c>
      <c r="S1677" t="s">
        <v>354</v>
      </c>
      <c r="T1677" t="s">
        <v>441</v>
      </c>
      <c r="U1677" s="21">
        <v>89737969.379999995</v>
      </c>
      <c r="V1677" s="21" t="s">
        <v>368</v>
      </c>
      <c r="W1677" t="str">
        <f>VLOOKUP(Table_Query_from_Actuarial___Production[[#This Row],[Kor1]],$AI$3:$AK$105,3,FALSE)</f>
        <v>Losses Paid</v>
      </c>
      <c r="X1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677"/>
      <c r="Z1677" t="s">
        <v>41</v>
      </c>
      <c r="AA1677" t="s">
        <v>233</v>
      </c>
      <c r="AB1677" t="s">
        <v>433</v>
      </c>
      <c r="AC1677" s="21">
        <v>150.02000000000001</v>
      </c>
      <c r="AD1677" s="21" t="s">
        <v>368</v>
      </c>
      <c r="AE1677" t="str">
        <f>VLOOKUP(Table_Query_from_Actuarial___Production3[[#This Row],[Kor1]],$AI$3:$AK$105,3,FALSE)</f>
        <v>Misc. Income</v>
      </c>
      <c r="AF1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8" spans="18:32" x14ac:dyDescent="0.2">
      <c r="R1678" t="s">
        <v>14</v>
      </c>
      <c r="S1678" t="s">
        <v>228</v>
      </c>
      <c r="T1678" t="s">
        <v>441</v>
      </c>
      <c r="U1678" s="21">
        <v>40369.379999999997</v>
      </c>
      <c r="V1678" s="21" t="s">
        <v>368</v>
      </c>
      <c r="W1678" t="str">
        <f>VLOOKUP(Table_Query_from_Actuarial___Production[[#This Row],[Kor1]],$AI$3:$AK$105,3,FALSE)</f>
        <v>Claims Expense</v>
      </c>
      <c r="X1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8"/>
      <c r="Z1678" t="s">
        <v>47</v>
      </c>
      <c r="AA1678" t="s">
        <v>232</v>
      </c>
      <c r="AB1678" t="s">
        <v>9</v>
      </c>
      <c r="AC1678" s="21">
        <v>524.73</v>
      </c>
      <c r="AD1678" s="21" t="s">
        <v>368</v>
      </c>
      <c r="AE1678" t="str">
        <f>VLOOKUP(Table_Query_from_Actuarial___Production3[[#This Row],[Kor1]],$AI$3:$AK$105,3,FALSE)</f>
        <v>Investment Income</v>
      </c>
      <c r="AF1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79" spans="18:32" x14ac:dyDescent="0.2">
      <c r="R1679" t="s">
        <v>49</v>
      </c>
      <c r="S1679" t="s">
        <v>230</v>
      </c>
      <c r="T1679" t="s">
        <v>427</v>
      </c>
      <c r="U1679" s="21">
        <v>941275.17</v>
      </c>
      <c r="V1679" s="21" t="s">
        <v>368</v>
      </c>
      <c r="W1679" t="str">
        <f>VLOOKUP(Table_Query_from_Actuarial___Production[[#This Row],[Kor1]],$AI$3:$AK$105,3,FALSE)</f>
        <v>ALAE Paid</v>
      </c>
      <c r="X1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79"/>
      <c r="Z1679" t="s">
        <v>14</v>
      </c>
      <c r="AA1679" t="s">
        <v>259</v>
      </c>
      <c r="AB1679" t="s">
        <v>7</v>
      </c>
      <c r="AC1679" s="21">
        <v>13222.08</v>
      </c>
      <c r="AD1679" s="21" t="s">
        <v>368</v>
      </c>
      <c r="AE1679" t="str">
        <f>VLOOKUP(Table_Query_from_Actuarial___Production3[[#This Row],[Kor1]],$AI$3:$AK$105,3,FALSE)</f>
        <v>Claims Expense</v>
      </c>
      <c r="AF1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0" spans="18:32" x14ac:dyDescent="0.2">
      <c r="R1680" t="s">
        <v>10</v>
      </c>
      <c r="S1680" t="s">
        <v>234</v>
      </c>
      <c r="T1680" t="s">
        <v>351</v>
      </c>
      <c r="U1680" s="21">
        <v>52783.65</v>
      </c>
      <c r="V1680" s="21" t="s">
        <v>368</v>
      </c>
      <c r="W1680" t="str">
        <f>VLOOKUP(Table_Query_from_Actuarial___Production[[#This Row],[Kor1]],$AI$3:$AK$105,3,FALSE)</f>
        <v>Commissions</v>
      </c>
      <c r="X1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0"/>
      <c r="Z1680" t="s">
        <v>21</v>
      </c>
      <c r="AA1680" t="s">
        <v>228</v>
      </c>
      <c r="AB1680" t="s">
        <v>9</v>
      </c>
      <c r="AC1680" s="21">
        <v>356.5</v>
      </c>
      <c r="AD1680" s="21" t="s">
        <v>368</v>
      </c>
      <c r="AE1680" t="str">
        <f>VLOOKUP(Table_Query_from_Actuarial___Production3[[#This Row],[Kor1]],$AI$3:$AK$105,3,FALSE)</f>
        <v>Misc. Expense</v>
      </c>
      <c r="AF1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1" spans="18:32" x14ac:dyDescent="0.2">
      <c r="R1681" t="s">
        <v>167</v>
      </c>
      <c r="S1681" t="s">
        <v>354</v>
      </c>
      <c r="T1681" t="s">
        <v>443</v>
      </c>
      <c r="U1681" s="21">
        <v>-4237948</v>
      </c>
      <c r="V1681" s="21" t="s">
        <v>369</v>
      </c>
      <c r="W1681" t="str">
        <f>VLOOKUP(Table_Query_from_Actuarial___Production[[#This Row],[Kor1]],$AI$3:$AK$105,3,FALSE)</f>
        <v>Recoupment</v>
      </c>
      <c r="X1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681"/>
      <c r="Z1681" t="s">
        <v>31</v>
      </c>
      <c r="AA1681" t="s">
        <v>259</v>
      </c>
      <c r="AB1681" t="s">
        <v>8</v>
      </c>
      <c r="AC1681" s="21">
        <v>428.65</v>
      </c>
      <c r="AD1681" s="21" t="s">
        <v>368</v>
      </c>
      <c r="AE1681" t="str">
        <f>VLOOKUP(Table_Query_from_Actuarial___Production3[[#This Row],[Kor1]],$AI$3:$AK$105,3,FALSE)</f>
        <v>Misc. Expense</v>
      </c>
      <c r="AF1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2" spans="18:32" x14ac:dyDescent="0.2">
      <c r="R1682" t="s">
        <v>44</v>
      </c>
      <c r="S1682" t="s">
        <v>224</v>
      </c>
      <c r="T1682" t="s">
        <v>351</v>
      </c>
      <c r="U1682" s="21">
        <v>1451.83</v>
      </c>
      <c r="V1682" s="21" t="s">
        <v>368</v>
      </c>
      <c r="W1682" t="str">
        <f>VLOOKUP(Table_Query_from_Actuarial___Production[[#This Row],[Kor1]],$AI$3:$AK$105,3,FALSE)</f>
        <v>Charge-offs</v>
      </c>
      <c r="X1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682"/>
      <c r="Z1682" t="s">
        <v>32</v>
      </c>
      <c r="AA1682" t="s">
        <v>239</v>
      </c>
      <c r="AB1682" t="s">
        <v>427</v>
      </c>
      <c r="AC1682" s="21">
        <v>1474.49</v>
      </c>
      <c r="AD1682" s="21" t="s">
        <v>368</v>
      </c>
      <c r="AE1682" t="str">
        <f>VLOOKUP(Table_Query_from_Actuarial___Production3[[#This Row],[Kor1]],$AI$3:$AK$105,3,FALSE)</f>
        <v>Misc. Expense</v>
      </c>
      <c r="AF1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3" spans="18:32" x14ac:dyDescent="0.2">
      <c r="R1683" t="s">
        <v>48</v>
      </c>
      <c r="S1683" t="s">
        <v>240</v>
      </c>
      <c r="T1683" t="s">
        <v>442</v>
      </c>
      <c r="U1683" s="21">
        <v>13357.29</v>
      </c>
      <c r="V1683" s="21" t="s">
        <v>368</v>
      </c>
      <c r="W1683" t="str">
        <f>VLOOKUP(Table_Query_from_Actuarial___Production[[#This Row],[Kor1]],$AI$3:$AK$105,3,FALSE)</f>
        <v>Anticipated Salvage</v>
      </c>
      <c r="X1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3"/>
      <c r="Z1683" t="s">
        <v>37</v>
      </c>
      <c r="AA1683" t="s">
        <v>255</v>
      </c>
      <c r="AB1683" t="s">
        <v>351</v>
      </c>
      <c r="AC1683" s="21">
        <v>149.49</v>
      </c>
      <c r="AD1683" s="21" t="s">
        <v>368</v>
      </c>
      <c r="AE1683" t="str">
        <f>VLOOKUP(Table_Query_from_Actuarial___Production3[[#This Row],[Kor1]],$AI$3:$AK$105,3,FALSE)</f>
        <v>Misc. Expense</v>
      </c>
      <c r="AF1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4" spans="18:32" x14ac:dyDescent="0.2">
      <c r="R1684" t="s">
        <v>3</v>
      </c>
      <c r="S1684" t="s">
        <v>253</v>
      </c>
      <c r="T1684" t="s">
        <v>9</v>
      </c>
      <c r="U1684" s="21">
        <v>2284</v>
      </c>
      <c r="V1684" s="21" t="s">
        <v>368</v>
      </c>
      <c r="W1684" t="str">
        <f>VLOOKUP(Table_Query_from_Actuarial___Production[[#This Row],[Kor1]],$AI$3:$AK$105,3,FALSE)</f>
        <v>Premiums Written</v>
      </c>
      <c r="X1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4"/>
      <c r="Z1684" t="s">
        <v>15</v>
      </c>
      <c r="AA1684" t="s">
        <v>232</v>
      </c>
      <c r="AB1684" t="s">
        <v>443</v>
      </c>
      <c r="AC1684" s="21">
        <v>614695.68999999994</v>
      </c>
      <c r="AD1684" s="21" t="s">
        <v>368</v>
      </c>
      <c r="AE1684" t="str">
        <f>VLOOKUP(Table_Query_from_Actuarial___Production3[[#This Row],[Kor1]],$AI$3:$AK$105,3,FALSE)</f>
        <v>Unearned Premiums</v>
      </c>
      <c r="AF1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5" spans="18:32" x14ac:dyDescent="0.2">
      <c r="R1685" t="s">
        <v>31</v>
      </c>
      <c r="S1685" t="s">
        <v>4</v>
      </c>
      <c r="T1685" t="s">
        <v>442</v>
      </c>
      <c r="U1685" s="21">
        <v>1231.67</v>
      </c>
      <c r="V1685" s="21" t="s">
        <v>368</v>
      </c>
      <c r="W1685" t="str">
        <f>VLOOKUP(Table_Query_from_Actuarial___Production[[#This Row],[Kor1]],$AI$3:$AK$105,3,FALSE)</f>
        <v>Misc. Expense</v>
      </c>
      <c r="X1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5"/>
      <c r="Z1685" t="s">
        <v>11</v>
      </c>
      <c r="AA1685" t="s">
        <v>224</v>
      </c>
      <c r="AB1685" t="s">
        <v>351</v>
      </c>
      <c r="AC1685" s="21">
        <v>69477.31</v>
      </c>
      <c r="AD1685" s="21" t="s">
        <v>369</v>
      </c>
      <c r="AE1685" t="str">
        <f>VLOOKUP(Table_Query_from_Actuarial___Production3[[#This Row],[Kor1]],$AI$3:$AK$105,3,FALSE)</f>
        <v>Losses Paid</v>
      </c>
      <c r="AF1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686" spans="18:32" x14ac:dyDescent="0.2">
      <c r="R1686" t="s">
        <v>33</v>
      </c>
      <c r="S1686" t="s">
        <v>228</v>
      </c>
      <c r="T1686" t="s">
        <v>356</v>
      </c>
      <c r="U1686" s="21">
        <v>17779.57</v>
      </c>
      <c r="V1686" s="21" t="s">
        <v>368</v>
      </c>
      <c r="W1686" t="str">
        <f>VLOOKUP(Table_Query_from_Actuarial___Production[[#This Row],[Kor1]],$AI$3:$AK$105,3,FALSE)</f>
        <v>Misc. Expense</v>
      </c>
      <c r="X1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6"/>
      <c r="Z1686" t="s">
        <v>19</v>
      </c>
      <c r="AA1686" t="s">
        <v>245</v>
      </c>
      <c r="AB1686" t="s">
        <v>8</v>
      </c>
      <c r="AC1686" s="21">
        <v>414</v>
      </c>
      <c r="AD1686" s="21" t="s">
        <v>368</v>
      </c>
      <c r="AE1686" t="str">
        <f>VLOOKUP(Table_Query_from_Actuarial___Production3[[#This Row],[Kor1]],$AI$3:$AK$105,3,FALSE)</f>
        <v>Misc. Expense for Insolvent Companies</v>
      </c>
      <c r="AF1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7" spans="18:32" x14ac:dyDescent="0.2">
      <c r="R1687" t="s">
        <v>46</v>
      </c>
      <c r="S1687" t="s">
        <v>225</v>
      </c>
      <c r="T1687" t="s">
        <v>9</v>
      </c>
      <c r="U1687" s="21">
        <v>15992.01</v>
      </c>
      <c r="V1687" s="21" t="s">
        <v>368</v>
      </c>
      <c r="W1687" t="str">
        <f>VLOOKUP(Table_Query_from_Actuarial___Production[[#This Row],[Kor1]],$AI$3:$AK$105,3,FALSE)</f>
        <v>Investment Income</v>
      </c>
      <c r="X1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687"/>
      <c r="Z1687" t="s">
        <v>33</v>
      </c>
      <c r="AA1687" t="s">
        <v>263</v>
      </c>
      <c r="AB1687" t="s">
        <v>8</v>
      </c>
      <c r="AC1687" s="21">
        <v>15295.37</v>
      </c>
      <c r="AD1687" s="21" t="s">
        <v>368</v>
      </c>
      <c r="AE1687" t="str">
        <f>VLOOKUP(Table_Query_from_Actuarial___Production3[[#This Row],[Kor1]],$AI$3:$AK$105,3,FALSE)</f>
        <v>Misc. Expense</v>
      </c>
      <c r="AF1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8" spans="18:32" x14ac:dyDescent="0.2">
      <c r="R1688" t="s">
        <v>28</v>
      </c>
      <c r="S1688" t="s">
        <v>259</v>
      </c>
      <c r="T1688" t="s">
        <v>441</v>
      </c>
      <c r="U1688" s="21">
        <v>71.47</v>
      </c>
      <c r="V1688" s="21" t="s">
        <v>368</v>
      </c>
      <c r="W1688" t="str">
        <f>VLOOKUP(Table_Query_from_Actuarial___Production[[#This Row],[Kor1]],$AI$3:$AK$105,3,FALSE)</f>
        <v>Misc. Expense</v>
      </c>
      <c r="X1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8"/>
      <c r="Z1688" t="s">
        <v>40</v>
      </c>
      <c r="AA1688" t="s">
        <v>240</v>
      </c>
      <c r="AB1688" t="s">
        <v>8</v>
      </c>
      <c r="AC1688" s="21">
        <v>277.97000000000003</v>
      </c>
      <c r="AD1688" s="21" t="s">
        <v>368</v>
      </c>
      <c r="AE1688" t="str">
        <f>VLOOKUP(Table_Query_from_Actuarial___Production3[[#This Row],[Kor1]],$AI$3:$AK$105,3,FALSE)</f>
        <v>Misc. Income</v>
      </c>
      <c r="AF1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89" spans="18:32" x14ac:dyDescent="0.2">
      <c r="R1689" t="s">
        <v>33</v>
      </c>
      <c r="S1689" t="s">
        <v>227</v>
      </c>
      <c r="T1689" t="s">
        <v>443</v>
      </c>
      <c r="U1689" s="21">
        <v>16763.580000000002</v>
      </c>
      <c r="V1689" s="21" t="s">
        <v>368</v>
      </c>
      <c r="W1689" t="str">
        <f>VLOOKUP(Table_Query_from_Actuarial___Production[[#This Row],[Kor1]],$AI$3:$AK$105,3,FALSE)</f>
        <v>Misc. Expense</v>
      </c>
      <c r="X1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89"/>
      <c r="Z1689" t="s">
        <v>48</v>
      </c>
      <c r="AA1689" t="s">
        <v>264</v>
      </c>
      <c r="AB1689" t="s">
        <v>433</v>
      </c>
      <c r="AC1689" s="21">
        <v>10890.54</v>
      </c>
      <c r="AD1689" s="21" t="s">
        <v>368</v>
      </c>
      <c r="AE1689" t="str">
        <f>VLOOKUP(Table_Query_from_Actuarial___Production3[[#This Row],[Kor1]],$AI$3:$AK$105,3,FALSE)</f>
        <v>Anticipated Salvage</v>
      </c>
      <c r="AF1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0" spans="18:32" x14ac:dyDescent="0.2">
      <c r="R1690" t="s">
        <v>39</v>
      </c>
      <c r="S1690" t="s">
        <v>245</v>
      </c>
      <c r="T1690" t="s">
        <v>433</v>
      </c>
      <c r="U1690" s="21">
        <v>315</v>
      </c>
      <c r="V1690" s="21" t="s">
        <v>368</v>
      </c>
      <c r="W1690" t="str">
        <f>VLOOKUP(Table_Query_from_Actuarial___Production[[#This Row],[Kor1]],$AI$3:$AK$105,3,FALSE)</f>
        <v>Misc. Income for Insolvent Companies</v>
      </c>
      <c r="X1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0"/>
      <c r="Z1690" t="s">
        <v>13</v>
      </c>
      <c r="AA1690" t="s">
        <v>352</v>
      </c>
      <c r="AB1690" t="s">
        <v>9</v>
      </c>
      <c r="AC1690" s="21">
        <v>32047.96</v>
      </c>
      <c r="AD1690" s="21" t="s">
        <v>369</v>
      </c>
      <c r="AE1690" t="str">
        <f>VLOOKUP(Table_Query_from_Actuarial___Production3[[#This Row],[Kor1]],$AI$3:$AK$105,3,FALSE)</f>
        <v>Operating Service Fees</v>
      </c>
      <c r="AF1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691" spans="18:32" x14ac:dyDescent="0.2">
      <c r="R1691" t="s">
        <v>13</v>
      </c>
      <c r="S1691" t="s">
        <v>354</v>
      </c>
      <c r="T1691" t="s">
        <v>9</v>
      </c>
      <c r="U1691" s="21">
        <v>25890934.699999999</v>
      </c>
      <c r="V1691" s="21" t="s">
        <v>368</v>
      </c>
      <c r="W1691" t="str">
        <f>VLOOKUP(Table_Query_from_Actuarial___Production[[#This Row],[Kor1]],$AI$3:$AK$105,3,FALSE)</f>
        <v>Operating Service Fees</v>
      </c>
      <c r="X1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691"/>
      <c r="Z1691" t="s">
        <v>17</v>
      </c>
      <c r="AA1691" t="s">
        <v>231</v>
      </c>
      <c r="AB1691" t="s">
        <v>427</v>
      </c>
      <c r="AC1691" s="21">
        <v>98372.22</v>
      </c>
      <c r="AD1691" s="21" t="s">
        <v>368</v>
      </c>
      <c r="AE1691" t="str">
        <f>VLOOKUP(Table_Query_from_Actuarial___Production3[[#This Row],[Kor1]],$AI$3:$AK$105,3,FALSE)</f>
        <v>IBNR</v>
      </c>
      <c r="AF1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2" spans="18:32" x14ac:dyDescent="0.2">
      <c r="R1692" t="s">
        <v>43</v>
      </c>
      <c r="S1692" t="s">
        <v>226</v>
      </c>
      <c r="T1692" t="s">
        <v>427</v>
      </c>
      <c r="U1692" s="21">
        <v>-6740.6</v>
      </c>
      <c r="V1692" s="21" t="s">
        <v>368</v>
      </c>
      <c r="W1692" t="str">
        <f>VLOOKUP(Table_Query_from_Actuarial___Production[[#This Row],[Kor1]],$AI$3:$AK$105,3,FALSE)</f>
        <v>Charge-offs</v>
      </c>
      <c r="X1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692"/>
      <c r="Z1692" t="s">
        <v>31</v>
      </c>
      <c r="AA1692" t="s">
        <v>240</v>
      </c>
      <c r="AB1692" t="s">
        <v>427</v>
      </c>
      <c r="AC1692" s="21">
        <v>276.81</v>
      </c>
      <c r="AD1692" s="21" t="s">
        <v>368</v>
      </c>
      <c r="AE1692" t="str">
        <f>VLOOKUP(Table_Query_from_Actuarial___Production3[[#This Row],[Kor1]],$AI$3:$AK$105,3,FALSE)</f>
        <v>Misc. Expense</v>
      </c>
      <c r="AF1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3" spans="18:32" x14ac:dyDescent="0.2">
      <c r="R1693" t="s">
        <v>33</v>
      </c>
      <c r="S1693" t="s">
        <v>258</v>
      </c>
      <c r="T1693" t="s">
        <v>427</v>
      </c>
      <c r="U1693" s="21">
        <v>14722.38</v>
      </c>
      <c r="V1693" s="21" t="s">
        <v>368</v>
      </c>
      <c r="W1693" t="str">
        <f>VLOOKUP(Table_Query_from_Actuarial___Production[[#This Row],[Kor1]],$AI$3:$AK$105,3,FALSE)</f>
        <v>Misc. Expense</v>
      </c>
      <c r="X1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3"/>
      <c r="Z1693" t="s">
        <v>46</v>
      </c>
      <c r="AA1693" t="s">
        <v>354</v>
      </c>
      <c r="AB1693" t="s">
        <v>351</v>
      </c>
      <c r="AC1693" s="21">
        <v>17361688.039999999</v>
      </c>
      <c r="AD1693" s="21" t="s">
        <v>369</v>
      </c>
      <c r="AE1693" t="str">
        <f>VLOOKUP(Table_Query_from_Actuarial___Production3[[#This Row],[Kor1]],$AI$3:$AK$105,3,FALSE)</f>
        <v>Investment Income</v>
      </c>
      <c r="AF1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694" spans="18:32" x14ac:dyDescent="0.2">
      <c r="R1694" t="s">
        <v>44</v>
      </c>
      <c r="S1694" t="s">
        <v>246</v>
      </c>
      <c r="T1694" t="s">
        <v>351</v>
      </c>
      <c r="U1694" s="21">
        <v>4128.03</v>
      </c>
      <c r="V1694" s="21" t="s">
        <v>368</v>
      </c>
      <c r="W1694" t="str">
        <f>VLOOKUP(Table_Query_from_Actuarial___Production[[#This Row],[Kor1]],$AI$3:$AK$105,3,FALSE)</f>
        <v>Charge-offs</v>
      </c>
      <c r="X1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4"/>
      <c r="Z1694" t="s">
        <v>18</v>
      </c>
      <c r="AA1694" t="s">
        <v>224</v>
      </c>
      <c r="AB1694" t="s">
        <v>433</v>
      </c>
      <c r="AC1694" s="21">
        <v>177910.17</v>
      </c>
      <c r="AD1694" s="21" t="s">
        <v>368</v>
      </c>
      <c r="AE1694" t="str">
        <f>VLOOKUP(Table_Query_from_Actuarial___Production3[[#This Row],[Kor1]],$AI$3:$AK$105,3,FALSE)</f>
        <v>Misc. Expense</v>
      </c>
      <c r="AF1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695" spans="18:32" x14ac:dyDescent="0.2">
      <c r="R1695" t="s">
        <v>11</v>
      </c>
      <c r="S1695" t="s">
        <v>4</v>
      </c>
      <c r="T1695" t="s">
        <v>427</v>
      </c>
      <c r="U1695" s="21">
        <v>42893816.299999997</v>
      </c>
      <c r="V1695" s="21" t="s">
        <v>368</v>
      </c>
      <c r="W1695" t="str">
        <f>VLOOKUP(Table_Query_from_Actuarial___Production[[#This Row],[Kor1]],$AI$3:$AK$105,3,FALSE)</f>
        <v>Losses Paid</v>
      </c>
      <c r="X1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5"/>
      <c r="Z1695" t="s">
        <v>12</v>
      </c>
      <c r="AA1695" t="s">
        <v>248</v>
      </c>
      <c r="AB1695" t="s">
        <v>9</v>
      </c>
      <c r="AC1695" s="21">
        <v>1102.3399999999999</v>
      </c>
      <c r="AD1695" s="21" t="s">
        <v>368</v>
      </c>
      <c r="AE1695" t="str">
        <f>VLOOKUP(Table_Query_from_Actuarial___Production3[[#This Row],[Kor1]],$AI$3:$AK$105,3,FALSE)</f>
        <v>Premium Tax</v>
      </c>
      <c r="AF1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6" spans="18:32" x14ac:dyDescent="0.2">
      <c r="R1696" t="s">
        <v>13</v>
      </c>
      <c r="S1696" t="s">
        <v>241</v>
      </c>
      <c r="T1696" t="s">
        <v>8</v>
      </c>
      <c r="U1696" s="21">
        <v>127082.48</v>
      </c>
      <c r="V1696" s="21" t="s">
        <v>368</v>
      </c>
      <c r="W1696" t="str">
        <f>VLOOKUP(Table_Query_from_Actuarial___Production[[#This Row],[Kor1]],$AI$3:$AK$105,3,FALSE)</f>
        <v>Operating Service Fees</v>
      </c>
      <c r="X1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6"/>
      <c r="Z1696" t="s">
        <v>17</v>
      </c>
      <c r="AA1696" t="s">
        <v>234</v>
      </c>
      <c r="AB1696" t="s">
        <v>442</v>
      </c>
      <c r="AC1696" s="21">
        <v>280129.21999999997</v>
      </c>
      <c r="AD1696" s="21" t="s">
        <v>368</v>
      </c>
      <c r="AE1696" t="str">
        <f>VLOOKUP(Table_Query_from_Actuarial___Production3[[#This Row],[Kor1]],$AI$3:$AK$105,3,FALSE)</f>
        <v>IBNR</v>
      </c>
      <c r="AF1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7" spans="18:32" x14ac:dyDescent="0.2">
      <c r="R1697" t="s">
        <v>14</v>
      </c>
      <c r="S1697" t="s">
        <v>261</v>
      </c>
      <c r="T1697" t="s">
        <v>427</v>
      </c>
      <c r="U1697" s="21">
        <v>34059.440000000002</v>
      </c>
      <c r="V1697" s="21" t="s">
        <v>368</v>
      </c>
      <c r="W1697" t="str">
        <f>VLOOKUP(Table_Query_from_Actuarial___Production[[#This Row],[Kor1]],$AI$3:$AK$105,3,FALSE)</f>
        <v>Claims Expense</v>
      </c>
      <c r="X1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7"/>
      <c r="Z1697" t="s">
        <v>44</v>
      </c>
      <c r="AA1697" t="s">
        <v>225</v>
      </c>
      <c r="AB1697" t="s">
        <v>6</v>
      </c>
      <c r="AC1697" s="21">
        <v>78775.259999999995</v>
      </c>
      <c r="AD1697" s="21" t="s">
        <v>368</v>
      </c>
      <c r="AE1697" t="str">
        <f>VLOOKUP(Table_Query_from_Actuarial___Production3[[#This Row],[Kor1]],$AI$3:$AK$105,3,FALSE)</f>
        <v>Charge-offs</v>
      </c>
      <c r="AF1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698" spans="18:32" x14ac:dyDescent="0.2">
      <c r="R1698" t="s">
        <v>38</v>
      </c>
      <c r="S1698" t="s">
        <v>224</v>
      </c>
      <c r="T1698" t="s">
        <v>8</v>
      </c>
      <c r="U1698" s="21">
        <v>843841.31</v>
      </c>
      <c r="V1698" s="21" t="s">
        <v>368</v>
      </c>
      <c r="W1698" t="str">
        <f>VLOOKUP(Table_Query_from_Actuarial___Production[[#This Row],[Kor1]],$AI$3:$AK$105,3,FALSE)</f>
        <v>Misc. Income</v>
      </c>
      <c r="X1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698"/>
      <c r="Z1698" t="s">
        <v>12</v>
      </c>
      <c r="AA1698" t="s">
        <v>227</v>
      </c>
      <c r="AB1698" t="s">
        <v>433</v>
      </c>
      <c r="AC1698" s="21">
        <v>138.01</v>
      </c>
      <c r="AD1698" s="21" t="s">
        <v>368</v>
      </c>
      <c r="AE1698" t="str">
        <f>VLOOKUP(Table_Query_from_Actuarial___Production3[[#This Row],[Kor1]],$AI$3:$AK$105,3,FALSE)</f>
        <v>Premium Tax</v>
      </c>
      <c r="AF1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699" spans="18:32" x14ac:dyDescent="0.2">
      <c r="R1699" t="s">
        <v>42</v>
      </c>
      <c r="S1699" t="s">
        <v>4</v>
      </c>
      <c r="T1699" t="s">
        <v>9</v>
      </c>
      <c r="U1699" s="21">
        <v>-209.79</v>
      </c>
      <c r="V1699" s="21" t="s">
        <v>368</v>
      </c>
      <c r="W1699" t="str">
        <f>VLOOKUP(Table_Query_from_Actuarial___Production[[#This Row],[Kor1]],$AI$3:$AK$105,3,FALSE)</f>
        <v>Misc. Income</v>
      </c>
      <c r="X1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699"/>
      <c r="Z1699" t="s">
        <v>41</v>
      </c>
      <c r="AA1699" t="s">
        <v>238</v>
      </c>
      <c r="AB1699" t="s">
        <v>9</v>
      </c>
      <c r="AC1699" s="21">
        <v>50</v>
      </c>
      <c r="AD1699" s="21" t="s">
        <v>368</v>
      </c>
      <c r="AE1699" t="str">
        <f>VLOOKUP(Table_Query_from_Actuarial___Production3[[#This Row],[Kor1]],$AI$3:$AK$105,3,FALSE)</f>
        <v>Misc. Income</v>
      </c>
      <c r="AF1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0" spans="18:32" x14ac:dyDescent="0.2">
      <c r="R1700" t="s">
        <v>19</v>
      </c>
      <c r="S1700" t="s">
        <v>239</v>
      </c>
      <c r="T1700" t="s">
        <v>442</v>
      </c>
      <c r="U1700" s="21">
        <v>2331</v>
      </c>
      <c r="V1700" s="21" t="s">
        <v>368</v>
      </c>
      <c r="W1700" t="str">
        <f>VLOOKUP(Table_Query_from_Actuarial___Production[[#This Row],[Kor1]],$AI$3:$AK$105,3,FALSE)</f>
        <v>Misc. Expense for Insolvent Companies</v>
      </c>
      <c r="X1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0"/>
      <c r="Z1700" t="s">
        <v>39</v>
      </c>
      <c r="AA1700" t="s">
        <v>265</v>
      </c>
      <c r="AB1700" t="s">
        <v>441</v>
      </c>
      <c r="AC1700" s="21">
        <v>294</v>
      </c>
      <c r="AD1700" s="21" t="s">
        <v>368</v>
      </c>
      <c r="AE1700" t="str">
        <f>VLOOKUP(Table_Query_from_Actuarial___Production3[[#This Row],[Kor1]],$AI$3:$AK$105,3,FALSE)</f>
        <v>Misc. Income for Insolvent Companies</v>
      </c>
      <c r="AF1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1" spans="18:32" x14ac:dyDescent="0.2">
      <c r="R1701" t="s">
        <v>44</v>
      </c>
      <c r="S1701" t="s">
        <v>232</v>
      </c>
      <c r="T1701" t="s">
        <v>9</v>
      </c>
      <c r="U1701" s="21">
        <v>8794.25</v>
      </c>
      <c r="V1701" s="21" t="s">
        <v>368</v>
      </c>
      <c r="W1701" t="str">
        <f>VLOOKUP(Table_Query_from_Actuarial___Production[[#This Row],[Kor1]],$AI$3:$AK$105,3,FALSE)</f>
        <v>Charge-offs</v>
      </c>
      <c r="X1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1"/>
      <c r="Z1701" t="s">
        <v>41</v>
      </c>
      <c r="AA1701" t="s">
        <v>227</v>
      </c>
      <c r="AB1701" t="s">
        <v>8</v>
      </c>
      <c r="AC1701" s="21">
        <v>900</v>
      </c>
      <c r="AD1701" s="21" t="s">
        <v>368</v>
      </c>
      <c r="AE1701" t="str">
        <f>VLOOKUP(Table_Query_from_Actuarial___Production3[[#This Row],[Kor1]],$AI$3:$AK$105,3,FALSE)</f>
        <v>Misc. Income</v>
      </c>
      <c r="AF1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2" spans="18:32" x14ac:dyDescent="0.2">
      <c r="R1702" t="s">
        <v>11</v>
      </c>
      <c r="S1702" t="s">
        <v>229</v>
      </c>
      <c r="T1702" t="s">
        <v>351</v>
      </c>
      <c r="U1702" s="21">
        <v>4953.13</v>
      </c>
      <c r="V1702" s="21" t="s">
        <v>368</v>
      </c>
      <c r="W1702" t="str">
        <f>VLOOKUP(Table_Query_from_Actuarial___Production[[#This Row],[Kor1]],$AI$3:$AK$105,3,FALSE)</f>
        <v>Losses Paid</v>
      </c>
      <c r="X1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2"/>
      <c r="Z1702" t="s">
        <v>19</v>
      </c>
      <c r="AA1702" t="s">
        <v>252</v>
      </c>
      <c r="AB1702" t="s">
        <v>8</v>
      </c>
      <c r="AC1702" s="21">
        <v>81371</v>
      </c>
      <c r="AD1702" s="21" t="s">
        <v>368</v>
      </c>
      <c r="AE1702" t="str">
        <f>VLOOKUP(Table_Query_from_Actuarial___Production3[[#This Row],[Kor1]],$AI$3:$AK$105,3,FALSE)</f>
        <v>Misc. Expense for Insolvent Companies</v>
      </c>
      <c r="AF1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3" spans="18:32" x14ac:dyDescent="0.2">
      <c r="R1703" t="s">
        <v>44</v>
      </c>
      <c r="S1703" t="s">
        <v>243</v>
      </c>
      <c r="T1703" t="s">
        <v>9</v>
      </c>
      <c r="U1703" s="21">
        <v>1537.25</v>
      </c>
      <c r="V1703" s="21" t="s">
        <v>368</v>
      </c>
      <c r="W1703" t="str">
        <f>VLOOKUP(Table_Query_from_Actuarial___Production[[#This Row],[Kor1]],$AI$3:$AK$105,3,FALSE)</f>
        <v>Charge-offs</v>
      </c>
      <c r="X1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3"/>
      <c r="Z1703" t="s">
        <v>39</v>
      </c>
      <c r="AA1703" t="s">
        <v>243</v>
      </c>
      <c r="AB1703" t="s">
        <v>427</v>
      </c>
      <c r="AC1703" s="21">
        <v>50.93</v>
      </c>
      <c r="AD1703" s="21" t="s">
        <v>368</v>
      </c>
      <c r="AE1703" t="str">
        <f>VLOOKUP(Table_Query_from_Actuarial___Production3[[#This Row],[Kor1]],$AI$3:$AK$105,3,FALSE)</f>
        <v>Misc. Income for Insolvent Companies</v>
      </c>
      <c r="AF1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4" spans="18:32" x14ac:dyDescent="0.2">
      <c r="R1704" t="s">
        <v>33</v>
      </c>
      <c r="S1704" t="s">
        <v>244</v>
      </c>
      <c r="T1704" t="s">
        <v>441</v>
      </c>
      <c r="U1704" s="21">
        <v>15111.87</v>
      </c>
      <c r="V1704" s="21" t="s">
        <v>368</v>
      </c>
      <c r="W1704" t="str">
        <f>VLOOKUP(Table_Query_from_Actuarial___Production[[#This Row],[Kor1]],$AI$3:$AK$105,3,FALSE)</f>
        <v>Misc. Expense</v>
      </c>
      <c r="X1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4"/>
      <c r="Z1704" t="s">
        <v>10</v>
      </c>
      <c r="AA1704" t="s">
        <v>263</v>
      </c>
      <c r="AB1704" t="s">
        <v>433</v>
      </c>
      <c r="AC1704" s="21">
        <v>52072.4</v>
      </c>
      <c r="AD1704" s="21" t="s">
        <v>368</v>
      </c>
      <c r="AE1704" t="str">
        <f>VLOOKUP(Table_Query_from_Actuarial___Production3[[#This Row],[Kor1]],$AI$3:$AK$105,3,FALSE)</f>
        <v>Commissions</v>
      </c>
      <c r="AF1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5" spans="18:32" x14ac:dyDescent="0.2">
      <c r="R1705" t="s">
        <v>3</v>
      </c>
      <c r="S1705" t="s">
        <v>247</v>
      </c>
      <c r="T1705" t="s">
        <v>356</v>
      </c>
      <c r="U1705" s="21">
        <v>10107</v>
      </c>
      <c r="V1705" s="21" t="s">
        <v>368</v>
      </c>
      <c r="W1705" t="str">
        <f>VLOOKUP(Table_Query_from_Actuarial___Production[[#This Row],[Kor1]],$AI$3:$AK$105,3,FALSE)</f>
        <v>Premiums Written</v>
      </c>
      <c r="X1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5"/>
      <c r="Z1705" t="s">
        <v>21</v>
      </c>
      <c r="AA1705" t="s">
        <v>249</v>
      </c>
      <c r="AB1705" t="s">
        <v>6</v>
      </c>
      <c r="AC1705" s="21">
        <v>1285.95</v>
      </c>
      <c r="AD1705" s="21" t="s">
        <v>368</v>
      </c>
      <c r="AE1705" t="str">
        <f>VLOOKUP(Table_Query_from_Actuarial___Production3[[#This Row],[Kor1]],$AI$3:$AK$105,3,FALSE)</f>
        <v>Misc. Expense</v>
      </c>
      <c r="AF1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6" spans="18:32" x14ac:dyDescent="0.2">
      <c r="R1706" t="s">
        <v>11</v>
      </c>
      <c r="S1706" t="s">
        <v>230</v>
      </c>
      <c r="T1706" t="s">
        <v>445</v>
      </c>
      <c r="U1706" s="21">
        <v>14981.83</v>
      </c>
      <c r="V1706" s="21" t="s">
        <v>368</v>
      </c>
      <c r="W1706" t="str">
        <f>VLOOKUP(Table_Query_from_Actuarial___Production[[#This Row],[Kor1]],$AI$3:$AK$105,3,FALSE)</f>
        <v>Losses Paid</v>
      </c>
      <c r="X1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6"/>
      <c r="Z1706" t="s">
        <v>34</v>
      </c>
      <c r="AA1706" t="s">
        <v>258</v>
      </c>
      <c r="AB1706" t="s">
        <v>5</v>
      </c>
      <c r="AC1706" s="21">
        <v>41.9</v>
      </c>
      <c r="AD1706" s="21" t="s">
        <v>368</v>
      </c>
      <c r="AE1706" t="str">
        <f>VLOOKUP(Table_Query_from_Actuarial___Production3[[#This Row],[Kor1]],$AI$3:$AK$105,3,FALSE)</f>
        <v>Misc. Expense</v>
      </c>
      <c r="AF1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7" spans="18:32" x14ac:dyDescent="0.2">
      <c r="R1707" t="s">
        <v>14</v>
      </c>
      <c r="S1707" t="s">
        <v>239</v>
      </c>
      <c r="T1707" t="s">
        <v>445</v>
      </c>
      <c r="U1707" s="21">
        <v>84449.74</v>
      </c>
      <c r="V1707" s="21" t="s">
        <v>368</v>
      </c>
      <c r="W1707" t="str">
        <f>VLOOKUP(Table_Query_from_Actuarial___Production[[#This Row],[Kor1]],$AI$3:$AK$105,3,FALSE)</f>
        <v>Claims Expense</v>
      </c>
      <c r="X1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7"/>
      <c r="Z1707" t="s">
        <v>36</v>
      </c>
      <c r="AA1707" t="s">
        <v>250</v>
      </c>
      <c r="AB1707" t="s">
        <v>7</v>
      </c>
      <c r="AC1707" s="21">
        <v>1358.99</v>
      </c>
      <c r="AD1707" s="21" t="s">
        <v>368</v>
      </c>
      <c r="AE1707" t="str">
        <f>VLOOKUP(Table_Query_from_Actuarial___Production3[[#This Row],[Kor1]],$AI$3:$AK$105,3,FALSE)</f>
        <v>Misc. Expense</v>
      </c>
      <c r="AF1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8" spans="18:32" x14ac:dyDescent="0.2">
      <c r="R1708" t="s">
        <v>39</v>
      </c>
      <c r="S1708" t="s">
        <v>265</v>
      </c>
      <c r="T1708" t="s">
        <v>351</v>
      </c>
      <c r="U1708" s="21">
        <v>1923</v>
      </c>
      <c r="V1708" s="21" t="s">
        <v>368</v>
      </c>
      <c r="W1708" t="str">
        <f>VLOOKUP(Table_Query_from_Actuarial___Production[[#This Row],[Kor1]],$AI$3:$AK$105,3,FALSE)</f>
        <v>Misc. Income for Insolvent Companies</v>
      </c>
      <c r="X1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8"/>
      <c r="Z1708" t="s">
        <v>11</v>
      </c>
      <c r="AA1708" t="s">
        <v>229</v>
      </c>
      <c r="AB1708" t="s">
        <v>441</v>
      </c>
      <c r="AC1708" s="21">
        <v>111918.63</v>
      </c>
      <c r="AD1708" s="21" t="s">
        <v>368</v>
      </c>
      <c r="AE1708" t="str">
        <f>VLOOKUP(Table_Query_from_Actuarial___Production3[[#This Row],[Kor1]],$AI$3:$AK$105,3,FALSE)</f>
        <v>Losses Paid</v>
      </c>
      <c r="AF1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09" spans="18:32" x14ac:dyDescent="0.2">
      <c r="R1709" t="s">
        <v>48</v>
      </c>
      <c r="S1709" t="s">
        <v>248</v>
      </c>
      <c r="T1709" t="s">
        <v>445</v>
      </c>
      <c r="U1709" s="21">
        <v>260.23</v>
      </c>
      <c r="V1709" s="21" t="s">
        <v>368</v>
      </c>
      <c r="W1709" t="str">
        <f>VLOOKUP(Table_Query_from_Actuarial___Production[[#This Row],[Kor1]],$AI$3:$AK$105,3,FALSE)</f>
        <v>Anticipated Salvage</v>
      </c>
      <c r="X1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09"/>
      <c r="Z1709" t="s">
        <v>33</v>
      </c>
      <c r="AA1709" t="s">
        <v>240</v>
      </c>
      <c r="AB1709" t="s">
        <v>442</v>
      </c>
      <c r="AC1709" s="21">
        <v>16540.03</v>
      </c>
      <c r="AD1709" s="21" t="s">
        <v>368</v>
      </c>
      <c r="AE1709" t="str">
        <f>VLOOKUP(Table_Query_from_Actuarial___Production3[[#This Row],[Kor1]],$AI$3:$AK$105,3,FALSE)</f>
        <v>Misc. Expense</v>
      </c>
      <c r="AF1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0" spans="18:32" x14ac:dyDescent="0.2">
      <c r="R1710" t="s">
        <v>13</v>
      </c>
      <c r="S1710" t="s">
        <v>225</v>
      </c>
      <c r="T1710" t="s">
        <v>442</v>
      </c>
      <c r="U1710" s="21">
        <v>153336.29999999999</v>
      </c>
      <c r="V1710" s="21" t="s">
        <v>368</v>
      </c>
      <c r="W1710" t="str">
        <f>VLOOKUP(Table_Query_from_Actuarial___Production[[#This Row],[Kor1]],$AI$3:$AK$105,3,FALSE)</f>
        <v>Operating Service Fees</v>
      </c>
      <c r="X1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710"/>
      <c r="Z1710" t="s">
        <v>14</v>
      </c>
      <c r="AA1710" t="s">
        <v>228</v>
      </c>
      <c r="AB1710" t="s">
        <v>5</v>
      </c>
      <c r="AC1710" s="21">
        <v>23269.03</v>
      </c>
      <c r="AD1710" s="21" t="s">
        <v>368</v>
      </c>
      <c r="AE1710" t="str">
        <f>VLOOKUP(Table_Query_from_Actuarial___Production3[[#This Row],[Kor1]],$AI$3:$AK$105,3,FALSE)</f>
        <v>Claims Expense</v>
      </c>
      <c r="AF1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1" spans="18:32" x14ac:dyDescent="0.2">
      <c r="R1711" t="s">
        <v>10</v>
      </c>
      <c r="S1711" t="s">
        <v>256</v>
      </c>
      <c r="T1711" t="s">
        <v>351</v>
      </c>
      <c r="U1711" s="21">
        <v>13041.45</v>
      </c>
      <c r="V1711" s="21" t="s">
        <v>368</v>
      </c>
      <c r="W1711" t="str">
        <f>VLOOKUP(Table_Query_from_Actuarial___Production[[#This Row],[Kor1]],$AI$3:$AK$105,3,FALSE)</f>
        <v>Commissions</v>
      </c>
      <c r="X1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1"/>
      <c r="Z1711" t="s">
        <v>33</v>
      </c>
      <c r="AA1711" t="s">
        <v>242</v>
      </c>
      <c r="AB1711" t="s">
        <v>433</v>
      </c>
      <c r="AC1711" s="21">
        <v>18245.169999999998</v>
      </c>
      <c r="AD1711" s="21" t="s">
        <v>368</v>
      </c>
      <c r="AE1711" t="str">
        <f>VLOOKUP(Table_Query_from_Actuarial___Production3[[#This Row],[Kor1]],$AI$3:$AK$105,3,FALSE)</f>
        <v>Misc. Expense</v>
      </c>
      <c r="AF1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2" spans="18:32" x14ac:dyDescent="0.2">
      <c r="R1712" t="s">
        <v>18</v>
      </c>
      <c r="S1712" t="s">
        <v>352</v>
      </c>
      <c r="T1712" t="s">
        <v>7</v>
      </c>
      <c r="U1712" s="21">
        <v>6528.26</v>
      </c>
      <c r="V1712" s="21" t="s">
        <v>368</v>
      </c>
      <c r="W1712" t="str">
        <f>VLOOKUP(Table_Query_from_Actuarial___Production[[#This Row],[Kor1]],$AI$3:$AK$105,3,FALSE)</f>
        <v>Misc. Expense</v>
      </c>
      <c r="X1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712"/>
      <c r="Z1712" t="s">
        <v>40</v>
      </c>
      <c r="AA1712" t="s">
        <v>254</v>
      </c>
      <c r="AB1712" t="s">
        <v>356</v>
      </c>
      <c r="AC1712" s="21">
        <v>60</v>
      </c>
      <c r="AD1712" s="21" t="s">
        <v>368</v>
      </c>
      <c r="AE1712" t="str">
        <f>VLOOKUP(Table_Query_from_Actuarial___Production3[[#This Row],[Kor1]],$AI$3:$AK$105,3,FALSE)</f>
        <v>Misc. Income</v>
      </c>
      <c r="AF1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3" spans="18:32" x14ac:dyDescent="0.2">
      <c r="R1713" t="s">
        <v>11</v>
      </c>
      <c r="S1713" t="s">
        <v>224</v>
      </c>
      <c r="T1713" t="s">
        <v>441</v>
      </c>
      <c r="U1713" s="21">
        <v>10683.67</v>
      </c>
      <c r="V1713" s="21" t="s">
        <v>369</v>
      </c>
      <c r="W1713" t="str">
        <f>VLOOKUP(Table_Query_from_Actuarial___Production[[#This Row],[Kor1]],$AI$3:$AK$105,3,FALSE)</f>
        <v>Losses Paid</v>
      </c>
      <c r="X1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713"/>
      <c r="Z1713" t="s">
        <v>49</v>
      </c>
      <c r="AA1713" t="s">
        <v>258</v>
      </c>
      <c r="AB1713" t="s">
        <v>5</v>
      </c>
      <c r="AC1713" s="21">
        <v>18828.96</v>
      </c>
      <c r="AD1713" s="21" t="s">
        <v>368</v>
      </c>
      <c r="AE1713" t="str">
        <f>VLOOKUP(Table_Query_from_Actuarial___Production3[[#This Row],[Kor1]],$AI$3:$AK$105,3,FALSE)</f>
        <v>ALAE Paid</v>
      </c>
      <c r="AF1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4" spans="18:32" x14ac:dyDescent="0.2">
      <c r="R1714" t="s">
        <v>3</v>
      </c>
      <c r="S1714" t="s">
        <v>231</v>
      </c>
      <c r="T1714" t="s">
        <v>351</v>
      </c>
      <c r="U1714" s="21">
        <v>157739</v>
      </c>
      <c r="V1714" s="21" t="s">
        <v>368</v>
      </c>
      <c r="W1714" t="str">
        <f>VLOOKUP(Table_Query_from_Actuarial___Production[[#This Row],[Kor1]],$AI$3:$AK$105,3,FALSE)</f>
        <v>Premiums Written</v>
      </c>
      <c r="X1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4"/>
      <c r="Z1714" t="s">
        <v>3</v>
      </c>
      <c r="AA1714" t="s">
        <v>234</v>
      </c>
      <c r="AB1714" t="s">
        <v>441</v>
      </c>
      <c r="AC1714" s="21">
        <v>1123738</v>
      </c>
      <c r="AD1714" s="21" t="s">
        <v>368</v>
      </c>
      <c r="AE1714" t="str">
        <f>VLOOKUP(Table_Query_from_Actuarial___Production3[[#This Row],[Kor1]],$AI$3:$AK$105,3,FALSE)</f>
        <v>Premiums Written</v>
      </c>
      <c r="AF1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5" spans="18:32" x14ac:dyDescent="0.2">
      <c r="R1715" t="s">
        <v>10</v>
      </c>
      <c r="S1715" t="s">
        <v>229</v>
      </c>
      <c r="T1715" t="s">
        <v>445</v>
      </c>
      <c r="U1715" s="21">
        <v>1940.5</v>
      </c>
      <c r="V1715" s="21" t="s">
        <v>368</v>
      </c>
      <c r="W1715" t="str">
        <f>VLOOKUP(Table_Query_from_Actuarial___Production[[#This Row],[Kor1]],$AI$3:$AK$105,3,FALSE)</f>
        <v>Commissions</v>
      </c>
      <c r="X1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5"/>
      <c r="Z1715" t="s">
        <v>14</v>
      </c>
      <c r="AA1715" t="s">
        <v>229</v>
      </c>
      <c r="AB1715" t="s">
        <v>443</v>
      </c>
      <c r="AC1715" s="21">
        <v>644.71</v>
      </c>
      <c r="AD1715" s="21" t="s">
        <v>368</v>
      </c>
      <c r="AE1715" t="str">
        <f>VLOOKUP(Table_Query_from_Actuarial___Production3[[#This Row],[Kor1]],$AI$3:$AK$105,3,FALSE)</f>
        <v>Claims Expense</v>
      </c>
      <c r="AF1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6" spans="18:32" x14ac:dyDescent="0.2">
      <c r="R1716" t="s">
        <v>14</v>
      </c>
      <c r="S1716" t="s">
        <v>262</v>
      </c>
      <c r="T1716" t="s">
        <v>445</v>
      </c>
      <c r="U1716" s="21">
        <v>2232.64</v>
      </c>
      <c r="V1716" s="21" t="s">
        <v>368</v>
      </c>
      <c r="W1716" t="str">
        <f>VLOOKUP(Table_Query_from_Actuarial___Production[[#This Row],[Kor1]],$AI$3:$AK$105,3,FALSE)</f>
        <v>Claims Expense</v>
      </c>
      <c r="X1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6"/>
      <c r="Z1716" t="s">
        <v>44</v>
      </c>
      <c r="AA1716" t="s">
        <v>262</v>
      </c>
      <c r="AB1716" t="s">
        <v>351</v>
      </c>
      <c r="AC1716" s="21">
        <v>8022.2</v>
      </c>
      <c r="AD1716" s="21" t="s">
        <v>368</v>
      </c>
      <c r="AE1716" t="str">
        <f>VLOOKUP(Table_Query_from_Actuarial___Production3[[#This Row],[Kor1]],$AI$3:$AK$105,3,FALSE)</f>
        <v>Charge-offs</v>
      </c>
      <c r="AF1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7" spans="18:32" x14ac:dyDescent="0.2">
      <c r="R1717" t="s">
        <v>24</v>
      </c>
      <c r="S1717" t="s">
        <v>259</v>
      </c>
      <c r="T1717" t="s">
        <v>6</v>
      </c>
      <c r="U1717" s="21">
        <v>-2.15</v>
      </c>
      <c r="V1717" s="21" t="s">
        <v>368</v>
      </c>
      <c r="W1717" t="str">
        <f>VLOOKUP(Table_Query_from_Actuarial___Production[[#This Row],[Kor1]],$AI$3:$AK$105,3,FALSE)</f>
        <v>Misc. Expense</v>
      </c>
      <c r="X1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7"/>
      <c r="Z1717" t="s">
        <v>40</v>
      </c>
      <c r="AA1717" t="s">
        <v>244</v>
      </c>
      <c r="AB1717" t="s">
        <v>7</v>
      </c>
      <c r="AC1717" s="21">
        <v>22</v>
      </c>
      <c r="AD1717" s="21" t="s">
        <v>368</v>
      </c>
      <c r="AE1717" t="str">
        <f>VLOOKUP(Table_Query_from_Actuarial___Production3[[#This Row],[Kor1]],$AI$3:$AK$105,3,FALSE)</f>
        <v>Misc. Income</v>
      </c>
      <c r="AF1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8" spans="18:32" x14ac:dyDescent="0.2">
      <c r="R1718" t="s">
        <v>17</v>
      </c>
      <c r="S1718" t="s">
        <v>265</v>
      </c>
      <c r="T1718" t="s">
        <v>433</v>
      </c>
      <c r="U1718" s="21">
        <v>112737.57</v>
      </c>
      <c r="V1718" s="21" t="s">
        <v>368</v>
      </c>
      <c r="W1718" t="str">
        <f>VLOOKUP(Table_Query_from_Actuarial___Production[[#This Row],[Kor1]],$AI$3:$AK$105,3,FALSE)</f>
        <v>IBNR</v>
      </c>
      <c r="X1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8"/>
      <c r="Z1718" t="s">
        <v>41</v>
      </c>
      <c r="AA1718" t="s">
        <v>257</v>
      </c>
      <c r="AB1718" t="s">
        <v>9</v>
      </c>
      <c r="AC1718" s="21">
        <v>600</v>
      </c>
      <c r="AD1718" s="21" t="s">
        <v>368</v>
      </c>
      <c r="AE1718" t="str">
        <f>VLOOKUP(Table_Query_from_Actuarial___Production3[[#This Row],[Kor1]],$AI$3:$AK$105,3,FALSE)</f>
        <v>Misc. Income</v>
      </c>
      <c r="AF1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19" spans="18:32" x14ac:dyDescent="0.2">
      <c r="R1719" t="s">
        <v>77</v>
      </c>
      <c r="S1719" t="s">
        <v>241</v>
      </c>
      <c r="T1719" t="s">
        <v>443</v>
      </c>
      <c r="U1719" s="21">
        <v>3290</v>
      </c>
      <c r="V1719" s="21" t="s">
        <v>368</v>
      </c>
      <c r="W1719" t="str">
        <f>VLOOKUP(Table_Query_from_Actuarial___Production[[#This Row],[Kor1]],$AI$3:$AK$105,3,FALSE)</f>
        <v>PDR</v>
      </c>
      <c r="X1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19"/>
      <c r="Z1719" t="s">
        <v>49</v>
      </c>
      <c r="AA1719" t="s">
        <v>227</v>
      </c>
      <c r="AB1719" t="s">
        <v>5</v>
      </c>
      <c r="AC1719" s="21">
        <v>58.87</v>
      </c>
      <c r="AD1719" s="21" t="s">
        <v>368</v>
      </c>
      <c r="AE1719" t="str">
        <f>VLOOKUP(Table_Query_from_Actuarial___Production3[[#This Row],[Kor1]],$AI$3:$AK$105,3,FALSE)</f>
        <v>ALAE Paid</v>
      </c>
      <c r="AF1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0" spans="18:32" x14ac:dyDescent="0.2">
      <c r="R1720" t="s">
        <v>3</v>
      </c>
      <c r="S1720" t="s">
        <v>259</v>
      </c>
      <c r="T1720" t="s">
        <v>433</v>
      </c>
      <c r="U1720" s="21">
        <v>105541</v>
      </c>
      <c r="V1720" s="21" t="s">
        <v>368</v>
      </c>
      <c r="W1720" t="str">
        <f>VLOOKUP(Table_Query_from_Actuarial___Production[[#This Row],[Kor1]],$AI$3:$AK$105,3,FALSE)</f>
        <v>Premiums Written</v>
      </c>
      <c r="X1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0"/>
      <c r="Z1720" t="s">
        <v>11</v>
      </c>
      <c r="AA1720" t="s">
        <v>354</v>
      </c>
      <c r="AB1720" t="s">
        <v>441</v>
      </c>
      <c r="AC1720" s="21">
        <v>66457017.560000002</v>
      </c>
      <c r="AD1720" s="21" t="s">
        <v>368</v>
      </c>
      <c r="AE1720" t="str">
        <f>VLOOKUP(Table_Query_from_Actuarial___Production3[[#This Row],[Kor1]],$AI$3:$AK$105,3,FALSE)</f>
        <v>Losses Paid</v>
      </c>
      <c r="AF1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721" spans="18:32" x14ac:dyDescent="0.2">
      <c r="R1721" t="s">
        <v>47</v>
      </c>
      <c r="S1721" t="s">
        <v>237</v>
      </c>
      <c r="T1721" t="s">
        <v>433</v>
      </c>
      <c r="U1721" s="21">
        <v>20502.099999999999</v>
      </c>
      <c r="V1721" s="21" t="s">
        <v>368</v>
      </c>
      <c r="W1721" t="str">
        <f>VLOOKUP(Table_Query_from_Actuarial___Production[[#This Row],[Kor1]],$AI$3:$AK$105,3,FALSE)</f>
        <v>Investment Income</v>
      </c>
      <c r="X1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1"/>
      <c r="Z1721" t="s">
        <v>14</v>
      </c>
      <c r="AA1721" t="s">
        <v>228</v>
      </c>
      <c r="AB1721" t="s">
        <v>441</v>
      </c>
      <c r="AC1721" s="21">
        <v>40369.379999999997</v>
      </c>
      <c r="AD1721" s="21" t="s">
        <v>368</v>
      </c>
      <c r="AE1721" t="str">
        <f>VLOOKUP(Table_Query_from_Actuarial___Production3[[#This Row],[Kor1]],$AI$3:$AK$105,3,FALSE)</f>
        <v>Claims Expense</v>
      </c>
      <c r="AF1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2" spans="18:32" x14ac:dyDescent="0.2">
      <c r="R1722" t="s">
        <v>50</v>
      </c>
      <c r="S1722" t="s">
        <v>236</v>
      </c>
      <c r="T1722" t="s">
        <v>433</v>
      </c>
      <c r="U1722" s="21">
        <v>23068.04</v>
      </c>
      <c r="V1722" s="21" t="s">
        <v>368</v>
      </c>
      <c r="W1722" t="str">
        <f>VLOOKUP(Table_Query_from_Actuarial___Production[[#This Row],[Kor1]],$AI$3:$AK$105,3,FALSE)</f>
        <v>ALAE Reserve</v>
      </c>
      <c r="X1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2"/>
      <c r="Z1722" t="s">
        <v>49</v>
      </c>
      <c r="AA1722" t="s">
        <v>230</v>
      </c>
      <c r="AB1722" t="s">
        <v>427</v>
      </c>
      <c r="AC1722" s="21">
        <v>723331.66</v>
      </c>
      <c r="AD1722" s="21" t="s">
        <v>368</v>
      </c>
      <c r="AE1722" t="str">
        <f>VLOOKUP(Table_Query_from_Actuarial___Production3[[#This Row],[Kor1]],$AI$3:$AK$105,3,FALSE)</f>
        <v>ALAE Paid</v>
      </c>
      <c r="AF1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3" spans="18:32" x14ac:dyDescent="0.2">
      <c r="R1723" t="s">
        <v>3</v>
      </c>
      <c r="S1723" t="s">
        <v>267</v>
      </c>
      <c r="T1723" t="s">
        <v>433</v>
      </c>
      <c r="U1723" s="21">
        <v>355863</v>
      </c>
      <c r="V1723" s="21" t="s">
        <v>368</v>
      </c>
      <c r="W1723" t="str">
        <f>VLOOKUP(Table_Query_from_Actuarial___Production[[#This Row],[Kor1]],$AI$3:$AK$105,3,FALSE)</f>
        <v>Premiums Written</v>
      </c>
      <c r="X1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3"/>
      <c r="Z1723" t="s">
        <v>10</v>
      </c>
      <c r="AA1723" t="s">
        <v>234</v>
      </c>
      <c r="AB1723" t="s">
        <v>351</v>
      </c>
      <c r="AC1723" s="21">
        <v>52783.65</v>
      </c>
      <c r="AD1723" s="21" t="s">
        <v>368</v>
      </c>
      <c r="AE1723" t="str">
        <f>VLOOKUP(Table_Query_from_Actuarial___Production3[[#This Row],[Kor1]],$AI$3:$AK$105,3,FALSE)</f>
        <v>Commissions</v>
      </c>
      <c r="AF1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4" spans="18:32" x14ac:dyDescent="0.2">
      <c r="R1724" t="s">
        <v>21</v>
      </c>
      <c r="S1724" t="s">
        <v>245</v>
      </c>
      <c r="T1724" t="s">
        <v>6</v>
      </c>
      <c r="U1724" s="21">
        <v>93.71</v>
      </c>
      <c r="V1724" s="21" t="s">
        <v>368</v>
      </c>
      <c r="W1724" t="str">
        <f>VLOOKUP(Table_Query_from_Actuarial___Production[[#This Row],[Kor1]],$AI$3:$AK$105,3,FALSE)</f>
        <v>Misc. Expense</v>
      </c>
      <c r="X1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4"/>
      <c r="Z1724" t="s">
        <v>167</v>
      </c>
      <c r="AA1724" t="s">
        <v>354</v>
      </c>
      <c r="AB1724" t="s">
        <v>443</v>
      </c>
      <c r="AC1724" s="21">
        <v>-116135244</v>
      </c>
      <c r="AD1724" s="21" t="s">
        <v>369</v>
      </c>
      <c r="AE1724" t="str">
        <f>VLOOKUP(Table_Query_from_Actuarial___Production3[[#This Row],[Kor1]],$AI$3:$AK$105,3,FALSE)</f>
        <v>Recoupment</v>
      </c>
      <c r="AF1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725" spans="18:32" x14ac:dyDescent="0.2">
      <c r="R1725" t="s">
        <v>39</v>
      </c>
      <c r="S1725" t="s">
        <v>253</v>
      </c>
      <c r="T1725" t="s">
        <v>7</v>
      </c>
      <c r="U1725" s="21">
        <v>35</v>
      </c>
      <c r="V1725" s="21" t="s">
        <v>368</v>
      </c>
      <c r="W1725" t="str">
        <f>VLOOKUP(Table_Query_from_Actuarial___Production[[#This Row],[Kor1]],$AI$3:$AK$105,3,FALSE)</f>
        <v>Misc. Income for Insolvent Companies</v>
      </c>
      <c r="X1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5"/>
      <c r="Z1725" t="s">
        <v>44</v>
      </c>
      <c r="AA1725" t="s">
        <v>224</v>
      </c>
      <c r="AB1725" t="s">
        <v>351</v>
      </c>
      <c r="AC1725" s="21">
        <v>1451.83</v>
      </c>
      <c r="AD1725" s="21" t="s">
        <v>368</v>
      </c>
      <c r="AE1725" t="str">
        <f>VLOOKUP(Table_Query_from_Actuarial___Production3[[#This Row],[Kor1]],$AI$3:$AK$105,3,FALSE)</f>
        <v>Charge-offs</v>
      </c>
      <c r="AF1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726" spans="18:32" x14ac:dyDescent="0.2">
      <c r="R1726" t="s">
        <v>12</v>
      </c>
      <c r="S1726" t="s">
        <v>248</v>
      </c>
      <c r="T1726" t="s">
        <v>427</v>
      </c>
      <c r="U1726" s="21">
        <v>7328.26</v>
      </c>
      <c r="V1726" s="21" t="s">
        <v>368</v>
      </c>
      <c r="W1726" t="str">
        <f>VLOOKUP(Table_Query_from_Actuarial___Production[[#This Row],[Kor1]],$AI$3:$AK$105,3,FALSE)</f>
        <v>Premium Tax</v>
      </c>
      <c r="X1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6"/>
      <c r="Z1726" t="s">
        <v>48</v>
      </c>
      <c r="AA1726" t="s">
        <v>240</v>
      </c>
      <c r="AB1726" t="s">
        <v>442</v>
      </c>
      <c r="AC1726" s="21">
        <v>13116.08</v>
      </c>
      <c r="AD1726" s="21" t="s">
        <v>368</v>
      </c>
      <c r="AE1726" t="str">
        <f>VLOOKUP(Table_Query_from_Actuarial___Production3[[#This Row],[Kor1]],$AI$3:$AK$105,3,FALSE)</f>
        <v>Anticipated Salvage</v>
      </c>
      <c r="AF1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7" spans="18:32" x14ac:dyDescent="0.2">
      <c r="R1727" t="s">
        <v>13</v>
      </c>
      <c r="S1727" t="s">
        <v>265</v>
      </c>
      <c r="T1727" t="s">
        <v>6</v>
      </c>
      <c r="U1727" s="21">
        <v>40207.85</v>
      </c>
      <c r="V1727" s="21" t="s">
        <v>368</v>
      </c>
      <c r="W1727" t="str">
        <f>VLOOKUP(Table_Query_from_Actuarial___Production[[#This Row],[Kor1]],$AI$3:$AK$105,3,FALSE)</f>
        <v>Operating Service Fees</v>
      </c>
      <c r="X1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7"/>
      <c r="Z1727" t="s">
        <v>3</v>
      </c>
      <c r="AA1727" t="s">
        <v>253</v>
      </c>
      <c r="AB1727" t="s">
        <v>9</v>
      </c>
      <c r="AC1727" s="21">
        <v>2284</v>
      </c>
      <c r="AD1727" s="21" t="s">
        <v>368</v>
      </c>
      <c r="AE1727" t="str">
        <f>VLOOKUP(Table_Query_from_Actuarial___Production3[[#This Row],[Kor1]],$AI$3:$AK$105,3,FALSE)</f>
        <v>Premiums Written</v>
      </c>
      <c r="AF1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8" spans="18:32" x14ac:dyDescent="0.2">
      <c r="R1728" t="s">
        <v>38</v>
      </c>
      <c r="S1728" t="s">
        <v>226</v>
      </c>
      <c r="T1728" t="s">
        <v>351</v>
      </c>
      <c r="U1728" s="21">
        <v>3500</v>
      </c>
      <c r="V1728" s="21" t="s">
        <v>368</v>
      </c>
      <c r="W1728" t="str">
        <f>VLOOKUP(Table_Query_from_Actuarial___Production[[#This Row],[Kor1]],$AI$3:$AK$105,3,FALSE)</f>
        <v>Misc. Income</v>
      </c>
      <c r="X1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728"/>
      <c r="Z1728" t="s">
        <v>13</v>
      </c>
      <c r="AA1728" t="s">
        <v>266</v>
      </c>
      <c r="AB1728" t="s">
        <v>5</v>
      </c>
      <c r="AC1728" s="21">
        <v>16423.62</v>
      </c>
      <c r="AD1728" s="21" t="s">
        <v>368</v>
      </c>
      <c r="AE1728" t="str">
        <f>VLOOKUP(Table_Query_from_Actuarial___Production3[[#This Row],[Kor1]],$AI$3:$AK$105,3,FALSE)</f>
        <v>Operating Service Fees</v>
      </c>
      <c r="AF1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29" spans="18:32" x14ac:dyDescent="0.2">
      <c r="R1729" t="s">
        <v>47</v>
      </c>
      <c r="S1729" t="s">
        <v>252</v>
      </c>
      <c r="T1729" t="s">
        <v>356</v>
      </c>
      <c r="U1729" s="21">
        <v>59409.9</v>
      </c>
      <c r="V1729" s="21" t="s">
        <v>368</v>
      </c>
      <c r="W1729" t="str">
        <f>VLOOKUP(Table_Query_from_Actuarial___Production[[#This Row],[Kor1]],$AI$3:$AK$105,3,FALSE)</f>
        <v>Investment Income</v>
      </c>
      <c r="X1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29"/>
      <c r="Z1729" t="s">
        <v>31</v>
      </c>
      <c r="AA1729" t="s">
        <v>4</v>
      </c>
      <c r="AB1729" t="s">
        <v>442</v>
      </c>
      <c r="AC1729" s="21">
        <v>1231.67</v>
      </c>
      <c r="AD1729" s="21" t="s">
        <v>368</v>
      </c>
      <c r="AE1729" t="str">
        <f>VLOOKUP(Table_Query_from_Actuarial___Production3[[#This Row],[Kor1]],$AI$3:$AK$105,3,FALSE)</f>
        <v>Misc. Expense</v>
      </c>
      <c r="AF1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0" spans="18:32" x14ac:dyDescent="0.2">
      <c r="R1730" t="s">
        <v>49</v>
      </c>
      <c r="S1730" t="s">
        <v>225</v>
      </c>
      <c r="T1730" t="s">
        <v>6</v>
      </c>
      <c r="U1730" s="21">
        <v>544148.05000000005</v>
      </c>
      <c r="V1730" s="21" t="s">
        <v>368</v>
      </c>
      <c r="W1730" t="str">
        <f>VLOOKUP(Table_Query_from_Actuarial___Production[[#This Row],[Kor1]],$AI$3:$AK$105,3,FALSE)</f>
        <v>ALAE Paid</v>
      </c>
      <c r="X1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730"/>
      <c r="Z1730" t="s">
        <v>33</v>
      </c>
      <c r="AA1730" t="s">
        <v>228</v>
      </c>
      <c r="AB1730" t="s">
        <v>356</v>
      </c>
      <c r="AC1730" s="21">
        <v>17779.57</v>
      </c>
      <c r="AD1730" s="21" t="s">
        <v>368</v>
      </c>
      <c r="AE1730" t="str">
        <f>VLOOKUP(Table_Query_from_Actuarial___Production3[[#This Row],[Kor1]],$AI$3:$AK$105,3,FALSE)</f>
        <v>Misc. Expense</v>
      </c>
      <c r="AF1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1" spans="18:32" x14ac:dyDescent="0.2">
      <c r="R1731" t="s">
        <v>20</v>
      </c>
      <c r="S1731" t="s">
        <v>231</v>
      </c>
      <c r="T1731" t="s">
        <v>442</v>
      </c>
      <c r="U1731" s="21">
        <v>178.74</v>
      </c>
      <c r="V1731" s="21" t="s">
        <v>368</v>
      </c>
      <c r="W1731" t="str">
        <f>VLOOKUP(Table_Query_from_Actuarial___Production[[#This Row],[Kor1]],$AI$3:$AK$105,3,FALSE)</f>
        <v>Misc. Expense</v>
      </c>
      <c r="X1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1"/>
      <c r="Z1731" t="s">
        <v>46</v>
      </c>
      <c r="AA1731" t="s">
        <v>225</v>
      </c>
      <c r="AB1731" t="s">
        <v>9</v>
      </c>
      <c r="AC1731" s="21">
        <v>15992.01</v>
      </c>
      <c r="AD1731" s="21" t="s">
        <v>368</v>
      </c>
      <c r="AE1731" t="str">
        <f>VLOOKUP(Table_Query_from_Actuarial___Production3[[#This Row],[Kor1]],$AI$3:$AK$105,3,FALSE)</f>
        <v>Investment Income</v>
      </c>
      <c r="AF1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732" spans="18:32" x14ac:dyDescent="0.2">
      <c r="R1732" t="s">
        <v>3</v>
      </c>
      <c r="S1732" t="s">
        <v>266</v>
      </c>
      <c r="T1732" t="s">
        <v>9</v>
      </c>
      <c r="U1732" s="21">
        <v>536943</v>
      </c>
      <c r="V1732" s="21" t="s">
        <v>368</v>
      </c>
      <c r="W1732" t="str">
        <f>VLOOKUP(Table_Query_from_Actuarial___Production[[#This Row],[Kor1]],$AI$3:$AK$105,3,FALSE)</f>
        <v>Premiums Written</v>
      </c>
      <c r="X1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2"/>
      <c r="Z1732" t="s">
        <v>28</v>
      </c>
      <c r="AA1732" t="s">
        <v>259</v>
      </c>
      <c r="AB1732" t="s">
        <v>441</v>
      </c>
      <c r="AC1732" s="21">
        <v>71.47</v>
      </c>
      <c r="AD1732" s="21" t="s">
        <v>368</v>
      </c>
      <c r="AE1732" t="str">
        <f>VLOOKUP(Table_Query_from_Actuarial___Production3[[#This Row],[Kor1]],$AI$3:$AK$105,3,FALSE)</f>
        <v>Misc. Expense</v>
      </c>
      <c r="AF1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3" spans="18:32" x14ac:dyDescent="0.2">
      <c r="R1733" t="s">
        <v>41</v>
      </c>
      <c r="S1733" t="s">
        <v>242</v>
      </c>
      <c r="T1733" t="s">
        <v>445</v>
      </c>
      <c r="U1733" s="21">
        <v>549.99</v>
      </c>
      <c r="V1733" s="21" t="s">
        <v>368</v>
      </c>
      <c r="W1733" t="str">
        <f>VLOOKUP(Table_Query_from_Actuarial___Production[[#This Row],[Kor1]],$AI$3:$AK$105,3,FALSE)</f>
        <v>Misc. Income</v>
      </c>
      <c r="X1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3"/>
      <c r="Z1733" t="s">
        <v>47</v>
      </c>
      <c r="AA1733" t="s">
        <v>250</v>
      </c>
      <c r="AB1733" t="s">
        <v>5</v>
      </c>
      <c r="AC1733" s="21">
        <v>4.78</v>
      </c>
      <c r="AD1733" s="21" t="s">
        <v>368</v>
      </c>
      <c r="AE1733" t="str">
        <f>VLOOKUP(Table_Query_from_Actuarial___Production3[[#This Row],[Kor1]],$AI$3:$AK$105,3,FALSE)</f>
        <v>Investment Income</v>
      </c>
      <c r="AF1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4" spans="18:32" x14ac:dyDescent="0.2">
      <c r="R1734" t="s">
        <v>49</v>
      </c>
      <c r="S1734" t="s">
        <v>246</v>
      </c>
      <c r="T1734" t="s">
        <v>351</v>
      </c>
      <c r="U1734" s="21">
        <v>5537.05</v>
      </c>
      <c r="V1734" s="21" t="s">
        <v>368</v>
      </c>
      <c r="W1734" t="str">
        <f>VLOOKUP(Table_Query_from_Actuarial___Production[[#This Row],[Kor1]],$AI$3:$AK$105,3,FALSE)</f>
        <v>ALAE Paid</v>
      </c>
      <c r="X1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4"/>
      <c r="Z1734" t="s">
        <v>3</v>
      </c>
      <c r="AA1734" t="s">
        <v>252</v>
      </c>
      <c r="AB1734" t="s">
        <v>5</v>
      </c>
      <c r="AC1734" s="21">
        <v>6116467</v>
      </c>
      <c r="AD1734" s="21" t="s">
        <v>368</v>
      </c>
      <c r="AE1734" t="str">
        <f>VLOOKUP(Table_Query_from_Actuarial___Production3[[#This Row],[Kor1]],$AI$3:$AK$105,3,FALSE)</f>
        <v>Premiums Written</v>
      </c>
      <c r="AF1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5" spans="18:32" x14ac:dyDescent="0.2">
      <c r="R1735" t="s">
        <v>10</v>
      </c>
      <c r="S1735" t="s">
        <v>240</v>
      </c>
      <c r="T1735" t="s">
        <v>445</v>
      </c>
      <c r="U1735" s="21">
        <v>88631.1</v>
      </c>
      <c r="V1735" s="21" t="s">
        <v>368</v>
      </c>
      <c r="W1735" t="str">
        <f>VLOOKUP(Table_Query_from_Actuarial___Production[[#This Row],[Kor1]],$AI$3:$AK$105,3,FALSE)</f>
        <v>Commissions</v>
      </c>
      <c r="X1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5"/>
      <c r="Z1735" t="s">
        <v>39</v>
      </c>
      <c r="AA1735" t="s">
        <v>245</v>
      </c>
      <c r="AB1735" t="s">
        <v>433</v>
      </c>
      <c r="AC1735" s="21">
        <v>315</v>
      </c>
      <c r="AD1735" s="21" t="s">
        <v>368</v>
      </c>
      <c r="AE1735" t="str">
        <f>VLOOKUP(Table_Query_from_Actuarial___Production3[[#This Row],[Kor1]],$AI$3:$AK$105,3,FALSE)</f>
        <v>Misc. Income for Insolvent Companies</v>
      </c>
      <c r="AF1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6" spans="18:32" x14ac:dyDescent="0.2">
      <c r="R1736" t="s">
        <v>21</v>
      </c>
      <c r="S1736" t="s">
        <v>262</v>
      </c>
      <c r="T1736" t="s">
        <v>442</v>
      </c>
      <c r="U1736" s="21">
        <v>708.49</v>
      </c>
      <c r="V1736" s="21" t="s">
        <v>368</v>
      </c>
      <c r="W1736" t="str">
        <f>VLOOKUP(Table_Query_from_Actuarial___Production[[#This Row],[Kor1]],$AI$3:$AK$105,3,FALSE)</f>
        <v>Misc. Expense</v>
      </c>
      <c r="X1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6"/>
      <c r="Z1736" t="s">
        <v>13</v>
      </c>
      <c r="AA1736" t="s">
        <v>354</v>
      </c>
      <c r="AB1736" t="s">
        <v>9</v>
      </c>
      <c r="AC1736" s="21">
        <v>25890611.010000002</v>
      </c>
      <c r="AD1736" s="21" t="s">
        <v>368</v>
      </c>
      <c r="AE1736" t="str">
        <f>VLOOKUP(Table_Query_from_Actuarial___Production3[[#This Row],[Kor1]],$AI$3:$AK$105,3,FALSE)</f>
        <v>Operating Service Fees</v>
      </c>
      <c r="AF1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737" spans="18:32" x14ac:dyDescent="0.2">
      <c r="R1737" t="s">
        <v>3</v>
      </c>
      <c r="S1737" t="s">
        <v>224</v>
      </c>
      <c r="T1737" t="s">
        <v>433</v>
      </c>
      <c r="U1737" s="21">
        <v>27697.17</v>
      </c>
      <c r="V1737" s="21" t="s">
        <v>425</v>
      </c>
      <c r="W1737" t="str">
        <f>VLOOKUP(Table_Query_from_Actuarial___Production[[#This Row],[Kor1]],$AI$3:$AK$105,3,FALSE)</f>
        <v>Premiums Written</v>
      </c>
      <c r="X1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737"/>
      <c r="Z1737" t="s">
        <v>10</v>
      </c>
      <c r="AA1737" t="s">
        <v>4</v>
      </c>
      <c r="AB1737" t="s">
        <v>5</v>
      </c>
      <c r="AC1737" s="21">
        <v>330072.19</v>
      </c>
      <c r="AD1737" s="21" t="s">
        <v>368</v>
      </c>
      <c r="AE1737" t="str">
        <f>VLOOKUP(Table_Query_from_Actuarial___Production3[[#This Row],[Kor1]],$AI$3:$AK$105,3,FALSE)</f>
        <v>Commissions</v>
      </c>
      <c r="AF1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38" spans="18:32" x14ac:dyDescent="0.2">
      <c r="R1738" t="s">
        <v>44</v>
      </c>
      <c r="S1738" t="s">
        <v>238</v>
      </c>
      <c r="T1738" t="s">
        <v>427</v>
      </c>
      <c r="U1738" s="21">
        <v>10705.4</v>
      </c>
      <c r="V1738" s="21" t="s">
        <v>368</v>
      </c>
      <c r="W1738" t="str">
        <f>VLOOKUP(Table_Query_from_Actuarial___Production[[#This Row],[Kor1]],$AI$3:$AK$105,3,FALSE)</f>
        <v>Charge-offs</v>
      </c>
      <c r="X1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8"/>
      <c r="Z1738" t="s">
        <v>43</v>
      </c>
      <c r="AA1738" t="s">
        <v>226</v>
      </c>
      <c r="AB1738" t="s">
        <v>427</v>
      </c>
      <c r="AC1738" s="21">
        <v>-6740.6</v>
      </c>
      <c r="AD1738" s="21" t="s">
        <v>368</v>
      </c>
      <c r="AE1738" t="str">
        <f>VLOOKUP(Table_Query_from_Actuarial___Production3[[#This Row],[Kor1]],$AI$3:$AK$105,3,FALSE)</f>
        <v>Charge-offs</v>
      </c>
      <c r="AF1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739" spans="18:32" x14ac:dyDescent="0.2">
      <c r="R1739" t="s">
        <v>49</v>
      </c>
      <c r="S1739" t="s">
        <v>263</v>
      </c>
      <c r="T1739" t="s">
        <v>6</v>
      </c>
      <c r="U1739" s="21">
        <v>2144.6999999999998</v>
      </c>
      <c r="V1739" s="21" t="s">
        <v>368</v>
      </c>
      <c r="W1739" t="str">
        <f>VLOOKUP(Table_Query_from_Actuarial___Production[[#This Row],[Kor1]],$AI$3:$AK$105,3,FALSE)</f>
        <v>ALAE Paid</v>
      </c>
      <c r="X1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39"/>
      <c r="Z1739" t="s">
        <v>33</v>
      </c>
      <c r="AA1739" t="s">
        <v>258</v>
      </c>
      <c r="AB1739" t="s">
        <v>427</v>
      </c>
      <c r="AC1739" s="21">
        <v>14722.38</v>
      </c>
      <c r="AD1739" s="21" t="s">
        <v>368</v>
      </c>
      <c r="AE1739" t="str">
        <f>VLOOKUP(Table_Query_from_Actuarial___Production3[[#This Row],[Kor1]],$AI$3:$AK$105,3,FALSE)</f>
        <v>Misc. Expense</v>
      </c>
      <c r="AF1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0" spans="18:32" x14ac:dyDescent="0.2">
      <c r="R1740" t="s">
        <v>50</v>
      </c>
      <c r="S1740" t="s">
        <v>261</v>
      </c>
      <c r="T1740" t="s">
        <v>441</v>
      </c>
      <c r="U1740" s="21">
        <v>24179.32</v>
      </c>
      <c r="V1740" s="21" t="s">
        <v>368</v>
      </c>
      <c r="W1740" t="str">
        <f>VLOOKUP(Table_Query_from_Actuarial___Production[[#This Row],[Kor1]],$AI$3:$AK$105,3,FALSE)</f>
        <v>ALAE Reserve</v>
      </c>
      <c r="X1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0"/>
      <c r="Z1740" t="s">
        <v>44</v>
      </c>
      <c r="AA1740" t="s">
        <v>246</v>
      </c>
      <c r="AB1740" t="s">
        <v>351</v>
      </c>
      <c r="AC1740" s="21">
        <v>4128.03</v>
      </c>
      <c r="AD1740" s="21" t="s">
        <v>368</v>
      </c>
      <c r="AE1740" t="str">
        <f>VLOOKUP(Table_Query_from_Actuarial___Production3[[#This Row],[Kor1]],$AI$3:$AK$105,3,FALSE)</f>
        <v>Charge-offs</v>
      </c>
      <c r="AF1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1" spans="18:32" x14ac:dyDescent="0.2">
      <c r="R1741" t="s">
        <v>13</v>
      </c>
      <c r="S1741" t="s">
        <v>255</v>
      </c>
      <c r="T1741" t="s">
        <v>356</v>
      </c>
      <c r="U1741" s="21">
        <v>68832.84</v>
      </c>
      <c r="V1741" s="21" t="s">
        <v>368</v>
      </c>
      <c r="W1741" t="str">
        <f>VLOOKUP(Table_Query_from_Actuarial___Production[[#This Row],[Kor1]],$AI$3:$AK$105,3,FALSE)</f>
        <v>Operating Service Fees</v>
      </c>
      <c r="X1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1"/>
      <c r="Z1741" t="s">
        <v>11</v>
      </c>
      <c r="AA1741" t="s">
        <v>4</v>
      </c>
      <c r="AB1741" t="s">
        <v>427</v>
      </c>
      <c r="AC1741" s="21">
        <v>32975496.629999999</v>
      </c>
      <c r="AD1741" s="21" t="s">
        <v>368</v>
      </c>
      <c r="AE1741" t="str">
        <f>VLOOKUP(Table_Query_from_Actuarial___Production3[[#This Row],[Kor1]],$AI$3:$AK$105,3,FALSE)</f>
        <v>Losses Paid</v>
      </c>
      <c r="AF1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2" spans="18:32" x14ac:dyDescent="0.2">
      <c r="R1742" t="s">
        <v>12</v>
      </c>
      <c r="S1742" t="s">
        <v>246</v>
      </c>
      <c r="T1742" t="s">
        <v>442</v>
      </c>
      <c r="U1742" s="21">
        <v>44483.97</v>
      </c>
      <c r="V1742" s="21" t="s">
        <v>368</v>
      </c>
      <c r="W1742" t="str">
        <f>VLOOKUP(Table_Query_from_Actuarial___Production[[#This Row],[Kor1]],$AI$3:$AK$105,3,FALSE)</f>
        <v>Premium Tax</v>
      </c>
      <c r="X1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2"/>
      <c r="Z1742" t="s">
        <v>13</v>
      </c>
      <c r="AA1742" t="s">
        <v>241</v>
      </c>
      <c r="AB1742" t="s">
        <v>8</v>
      </c>
      <c r="AC1742" s="21">
        <v>127082.48</v>
      </c>
      <c r="AD1742" s="21" t="s">
        <v>368</v>
      </c>
      <c r="AE1742" t="str">
        <f>VLOOKUP(Table_Query_from_Actuarial___Production3[[#This Row],[Kor1]],$AI$3:$AK$105,3,FALSE)</f>
        <v>Operating Service Fees</v>
      </c>
      <c r="AF1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3" spans="18:32" x14ac:dyDescent="0.2">
      <c r="R1743" t="s">
        <v>31</v>
      </c>
      <c r="S1743" t="s">
        <v>232</v>
      </c>
      <c r="T1743" t="s">
        <v>433</v>
      </c>
      <c r="U1743" s="21">
        <v>940.25</v>
      </c>
      <c r="V1743" s="21" t="s">
        <v>368</v>
      </c>
      <c r="W1743" t="str">
        <f>VLOOKUP(Table_Query_from_Actuarial___Production[[#This Row],[Kor1]],$AI$3:$AK$105,3,FALSE)</f>
        <v>Misc. Expense</v>
      </c>
      <c r="X1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3"/>
      <c r="Z1743" t="s">
        <v>14</v>
      </c>
      <c r="AA1743" t="s">
        <v>261</v>
      </c>
      <c r="AB1743" t="s">
        <v>427</v>
      </c>
      <c r="AC1743" s="21">
        <v>34059.440000000002</v>
      </c>
      <c r="AD1743" s="21" t="s">
        <v>368</v>
      </c>
      <c r="AE1743" t="str">
        <f>VLOOKUP(Table_Query_from_Actuarial___Production3[[#This Row],[Kor1]],$AI$3:$AK$105,3,FALSE)</f>
        <v>Claims Expense</v>
      </c>
      <c r="AF1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4" spans="18:32" x14ac:dyDescent="0.2">
      <c r="R1744" t="s">
        <v>14</v>
      </c>
      <c r="S1744" t="s">
        <v>225</v>
      </c>
      <c r="T1744" t="s">
        <v>442</v>
      </c>
      <c r="U1744" s="21">
        <v>41987</v>
      </c>
      <c r="V1744" s="21" t="s">
        <v>368</v>
      </c>
      <c r="W1744" t="str">
        <f>VLOOKUP(Table_Query_from_Actuarial___Production[[#This Row],[Kor1]],$AI$3:$AK$105,3,FALSE)</f>
        <v>Claims Expense</v>
      </c>
      <c r="X1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744"/>
      <c r="Z1744" t="s">
        <v>38</v>
      </c>
      <c r="AA1744" t="s">
        <v>224</v>
      </c>
      <c r="AB1744" t="s">
        <v>8</v>
      </c>
      <c r="AC1744" s="21">
        <v>843841.31</v>
      </c>
      <c r="AD1744" s="21" t="s">
        <v>368</v>
      </c>
      <c r="AE1744" t="str">
        <f>VLOOKUP(Table_Query_from_Actuarial___Production3[[#This Row],[Kor1]],$AI$3:$AK$105,3,FALSE)</f>
        <v>Misc. Income</v>
      </c>
      <c r="AF1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745" spans="18:32" x14ac:dyDescent="0.2">
      <c r="R1745" t="s">
        <v>39</v>
      </c>
      <c r="S1745" t="s">
        <v>256</v>
      </c>
      <c r="T1745" t="s">
        <v>441</v>
      </c>
      <c r="U1745" s="21">
        <v>1131.23</v>
      </c>
      <c r="V1745" s="21" t="s">
        <v>368</v>
      </c>
      <c r="W1745" t="str">
        <f>VLOOKUP(Table_Query_from_Actuarial___Production[[#This Row],[Kor1]],$AI$3:$AK$105,3,FALSE)</f>
        <v>Misc. Income for Insolvent Companies</v>
      </c>
      <c r="X1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5"/>
      <c r="Z1745" t="s">
        <v>42</v>
      </c>
      <c r="AA1745" t="s">
        <v>4</v>
      </c>
      <c r="AB1745" t="s">
        <v>9</v>
      </c>
      <c r="AC1745" s="21">
        <v>-209.79</v>
      </c>
      <c r="AD1745" s="21" t="s">
        <v>368</v>
      </c>
      <c r="AE1745" t="str">
        <f>VLOOKUP(Table_Query_from_Actuarial___Production3[[#This Row],[Kor1]],$AI$3:$AK$105,3,FALSE)</f>
        <v>Misc. Income</v>
      </c>
      <c r="AF1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6" spans="18:32" x14ac:dyDescent="0.2">
      <c r="R1746" t="s">
        <v>48</v>
      </c>
      <c r="S1746" t="s">
        <v>236</v>
      </c>
      <c r="T1746" t="s">
        <v>441</v>
      </c>
      <c r="U1746" s="21">
        <v>23.66</v>
      </c>
      <c r="V1746" s="21" t="s">
        <v>368</v>
      </c>
      <c r="W1746" t="str">
        <f>VLOOKUP(Table_Query_from_Actuarial___Production[[#This Row],[Kor1]],$AI$3:$AK$105,3,FALSE)</f>
        <v>Anticipated Salvage</v>
      </c>
      <c r="X1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6"/>
      <c r="Z1746" t="s">
        <v>44</v>
      </c>
      <c r="AA1746" t="s">
        <v>232</v>
      </c>
      <c r="AB1746" t="s">
        <v>9</v>
      </c>
      <c r="AC1746" s="21">
        <v>8794.25</v>
      </c>
      <c r="AD1746" s="21" t="s">
        <v>368</v>
      </c>
      <c r="AE1746" t="str">
        <f>VLOOKUP(Table_Query_from_Actuarial___Production3[[#This Row],[Kor1]],$AI$3:$AK$105,3,FALSE)</f>
        <v>Charge-offs</v>
      </c>
      <c r="AF1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7" spans="18:32" x14ac:dyDescent="0.2">
      <c r="R1747" t="s">
        <v>13</v>
      </c>
      <c r="S1747" t="s">
        <v>257</v>
      </c>
      <c r="T1747" t="s">
        <v>441</v>
      </c>
      <c r="U1747" s="21">
        <v>381898.56</v>
      </c>
      <c r="V1747" s="21" t="s">
        <v>368</v>
      </c>
      <c r="W1747" t="str">
        <f>VLOOKUP(Table_Query_from_Actuarial___Production[[#This Row],[Kor1]],$AI$3:$AK$105,3,FALSE)</f>
        <v>Operating Service Fees</v>
      </c>
      <c r="X1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7"/>
      <c r="Z1747" t="s">
        <v>11</v>
      </c>
      <c r="AA1747" t="s">
        <v>229</v>
      </c>
      <c r="AB1747" t="s">
        <v>351</v>
      </c>
      <c r="AC1747" s="21">
        <v>4953.13</v>
      </c>
      <c r="AD1747" s="21" t="s">
        <v>368</v>
      </c>
      <c r="AE1747" t="str">
        <f>VLOOKUP(Table_Query_from_Actuarial___Production3[[#This Row],[Kor1]],$AI$3:$AK$105,3,FALSE)</f>
        <v>Losses Paid</v>
      </c>
      <c r="AF1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8" spans="18:32" x14ac:dyDescent="0.2">
      <c r="R1748" t="s">
        <v>31</v>
      </c>
      <c r="S1748" t="s">
        <v>238</v>
      </c>
      <c r="T1748" t="s">
        <v>427</v>
      </c>
      <c r="U1748" s="21">
        <v>101.2</v>
      </c>
      <c r="V1748" s="21" t="s">
        <v>368</v>
      </c>
      <c r="W1748" t="str">
        <f>VLOOKUP(Table_Query_from_Actuarial___Production[[#This Row],[Kor1]],$AI$3:$AK$105,3,FALSE)</f>
        <v>Misc. Expense</v>
      </c>
      <c r="X1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8"/>
      <c r="Z1748" t="s">
        <v>44</v>
      </c>
      <c r="AA1748" t="s">
        <v>243</v>
      </c>
      <c r="AB1748" t="s">
        <v>9</v>
      </c>
      <c r="AC1748" s="21">
        <v>1537.25</v>
      </c>
      <c r="AD1748" s="21" t="s">
        <v>368</v>
      </c>
      <c r="AE1748" t="str">
        <f>VLOOKUP(Table_Query_from_Actuarial___Production3[[#This Row],[Kor1]],$AI$3:$AK$105,3,FALSE)</f>
        <v>Charge-offs</v>
      </c>
      <c r="AF1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49" spans="18:32" x14ac:dyDescent="0.2">
      <c r="R1749" t="s">
        <v>33</v>
      </c>
      <c r="S1749" t="s">
        <v>244</v>
      </c>
      <c r="T1749" t="s">
        <v>351</v>
      </c>
      <c r="U1749" s="21">
        <v>16249.33</v>
      </c>
      <c r="V1749" s="21" t="s">
        <v>368</v>
      </c>
      <c r="W1749" t="str">
        <f>VLOOKUP(Table_Query_from_Actuarial___Production[[#This Row],[Kor1]],$AI$3:$AK$105,3,FALSE)</f>
        <v>Misc. Expense</v>
      </c>
      <c r="X1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49"/>
      <c r="Z1749" t="s">
        <v>33</v>
      </c>
      <c r="AA1749" t="s">
        <v>244</v>
      </c>
      <c r="AB1749" t="s">
        <v>441</v>
      </c>
      <c r="AC1749" s="21">
        <v>15111.87</v>
      </c>
      <c r="AD1749" s="21" t="s">
        <v>368</v>
      </c>
      <c r="AE1749" t="str">
        <f>VLOOKUP(Table_Query_from_Actuarial___Production3[[#This Row],[Kor1]],$AI$3:$AK$105,3,FALSE)</f>
        <v>Misc. Expense</v>
      </c>
      <c r="AF1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0" spans="18:32" x14ac:dyDescent="0.2">
      <c r="R1750" t="s">
        <v>36</v>
      </c>
      <c r="S1750" t="s">
        <v>252</v>
      </c>
      <c r="T1750" t="s">
        <v>442</v>
      </c>
      <c r="U1750" s="21">
        <v>279657.11</v>
      </c>
      <c r="V1750" s="21" t="s">
        <v>368</v>
      </c>
      <c r="W1750" t="str">
        <f>VLOOKUP(Table_Query_from_Actuarial___Production[[#This Row],[Kor1]],$AI$3:$AK$105,3,FALSE)</f>
        <v>Misc. Expense</v>
      </c>
      <c r="X1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0"/>
      <c r="Z1750" t="s">
        <v>3</v>
      </c>
      <c r="AA1750" t="s">
        <v>247</v>
      </c>
      <c r="AB1750" t="s">
        <v>356</v>
      </c>
      <c r="AC1750" s="21">
        <v>10107</v>
      </c>
      <c r="AD1750" s="21" t="s">
        <v>368</v>
      </c>
      <c r="AE1750" t="str">
        <f>VLOOKUP(Table_Query_from_Actuarial___Production3[[#This Row],[Kor1]],$AI$3:$AK$105,3,FALSE)</f>
        <v>Premiums Written</v>
      </c>
      <c r="AF1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1" spans="18:32" x14ac:dyDescent="0.2">
      <c r="R1751" t="s">
        <v>17</v>
      </c>
      <c r="S1751" t="s">
        <v>4</v>
      </c>
      <c r="T1751" t="s">
        <v>442</v>
      </c>
      <c r="U1751" s="21">
        <v>18202594.879999999</v>
      </c>
      <c r="V1751" s="21" t="s">
        <v>368</v>
      </c>
      <c r="W1751" t="str">
        <f>VLOOKUP(Table_Query_from_Actuarial___Production[[#This Row],[Kor1]],$AI$3:$AK$105,3,FALSE)</f>
        <v>IBNR</v>
      </c>
      <c r="X1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1"/>
      <c r="Z1751" t="s">
        <v>39</v>
      </c>
      <c r="AA1751" t="s">
        <v>265</v>
      </c>
      <c r="AB1751" t="s">
        <v>351</v>
      </c>
      <c r="AC1751" s="21">
        <v>1923</v>
      </c>
      <c r="AD1751" s="21" t="s">
        <v>368</v>
      </c>
      <c r="AE1751" t="str">
        <f>VLOOKUP(Table_Query_from_Actuarial___Production3[[#This Row],[Kor1]],$AI$3:$AK$105,3,FALSE)</f>
        <v>Misc. Income for Insolvent Companies</v>
      </c>
      <c r="AF1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2" spans="18:32" x14ac:dyDescent="0.2">
      <c r="R1752" t="s">
        <v>36</v>
      </c>
      <c r="S1752" t="s">
        <v>264</v>
      </c>
      <c r="T1752" t="s">
        <v>9</v>
      </c>
      <c r="U1752" s="21">
        <v>-62.58</v>
      </c>
      <c r="V1752" s="21" t="s">
        <v>368</v>
      </c>
      <c r="W1752" t="str">
        <f>VLOOKUP(Table_Query_from_Actuarial___Production[[#This Row],[Kor1]],$AI$3:$AK$105,3,FALSE)</f>
        <v>Misc. Expense</v>
      </c>
      <c r="X1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2"/>
      <c r="Z1752" t="s">
        <v>13</v>
      </c>
      <c r="AA1752" t="s">
        <v>225</v>
      </c>
      <c r="AB1752" t="s">
        <v>442</v>
      </c>
      <c r="AC1752" s="21">
        <v>153336.29999999999</v>
      </c>
      <c r="AD1752" s="21" t="s">
        <v>368</v>
      </c>
      <c r="AE1752" t="str">
        <f>VLOOKUP(Table_Query_from_Actuarial___Production3[[#This Row],[Kor1]],$AI$3:$AK$105,3,FALSE)</f>
        <v>Operating Service Fees</v>
      </c>
      <c r="AF1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753" spans="18:32" x14ac:dyDescent="0.2">
      <c r="R1753" t="s">
        <v>22</v>
      </c>
      <c r="S1753" t="s">
        <v>259</v>
      </c>
      <c r="T1753" t="s">
        <v>356</v>
      </c>
      <c r="U1753" s="21">
        <v>18571.75</v>
      </c>
      <c r="V1753" s="21" t="s">
        <v>368</v>
      </c>
      <c r="W1753" t="str">
        <f>VLOOKUP(Table_Query_from_Actuarial___Production[[#This Row],[Kor1]],$AI$3:$AK$105,3,FALSE)</f>
        <v>Misc. Expense</v>
      </c>
      <c r="X1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3"/>
      <c r="Z1753" t="s">
        <v>10</v>
      </c>
      <c r="AA1753" t="s">
        <v>256</v>
      </c>
      <c r="AB1753" t="s">
        <v>351</v>
      </c>
      <c r="AC1753" s="21">
        <v>13041.45</v>
      </c>
      <c r="AD1753" s="21" t="s">
        <v>368</v>
      </c>
      <c r="AE1753" t="str">
        <f>VLOOKUP(Table_Query_from_Actuarial___Production3[[#This Row],[Kor1]],$AI$3:$AK$105,3,FALSE)</f>
        <v>Commissions</v>
      </c>
      <c r="AF1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4" spans="18:32" x14ac:dyDescent="0.2">
      <c r="R1754" t="s">
        <v>43</v>
      </c>
      <c r="S1754" t="s">
        <v>265</v>
      </c>
      <c r="T1754" t="s">
        <v>6</v>
      </c>
      <c r="U1754" s="21">
        <v>-78.849999999999994</v>
      </c>
      <c r="V1754" s="21" t="s">
        <v>368</v>
      </c>
      <c r="W1754" t="str">
        <f>VLOOKUP(Table_Query_from_Actuarial___Production[[#This Row],[Kor1]],$AI$3:$AK$105,3,FALSE)</f>
        <v>Charge-offs</v>
      </c>
      <c r="X1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4"/>
      <c r="Z1754" t="s">
        <v>18</v>
      </c>
      <c r="AA1754" t="s">
        <v>352</v>
      </c>
      <c r="AB1754" t="s">
        <v>7</v>
      </c>
      <c r="AC1754" s="21">
        <v>6528.26</v>
      </c>
      <c r="AD1754" s="21" t="s">
        <v>368</v>
      </c>
      <c r="AE1754" t="str">
        <f>VLOOKUP(Table_Query_from_Actuarial___Production3[[#This Row],[Kor1]],$AI$3:$AK$105,3,FALSE)</f>
        <v>Misc. Expense</v>
      </c>
      <c r="AF1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755" spans="18:32" x14ac:dyDescent="0.2">
      <c r="R1755" t="s">
        <v>11</v>
      </c>
      <c r="S1755" t="s">
        <v>352</v>
      </c>
      <c r="T1755" t="s">
        <v>351</v>
      </c>
      <c r="U1755" s="21">
        <v>37614.68</v>
      </c>
      <c r="V1755" s="21" t="s">
        <v>369</v>
      </c>
      <c r="W1755" t="str">
        <f>VLOOKUP(Table_Query_from_Actuarial___Production[[#This Row],[Kor1]],$AI$3:$AK$105,3,FALSE)</f>
        <v>Losses Paid</v>
      </c>
      <c r="X1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755"/>
      <c r="Z1755" t="s">
        <v>11</v>
      </c>
      <c r="AA1755" t="s">
        <v>224</v>
      </c>
      <c r="AB1755" t="s">
        <v>441</v>
      </c>
      <c r="AC1755" s="21">
        <v>10683.67</v>
      </c>
      <c r="AD1755" s="21" t="s">
        <v>369</v>
      </c>
      <c r="AE1755" t="str">
        <f>VLOOKUP(Table_Query_from_Actuarial___Production3[[#This Row],[Kor1]],$AI$3:$AK$105,3,FALSE)</f>
        <v>Losses Paid</v>
      </c>
      <c r="AF1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756" spans="18:32" x14ac:dyDescent="0.2">
      <c r="R1756" t="s">
        <v>11</v>
      </c>
      <c r="S1756" t="s">
        <v>256</v>
      </c>
      <c r="T1756" t="s">
        <v>9</v>
      </c>
      <c r="U1756" s="21">
        <v>42290.05</v>
      </c>
      <c r="V1756" s="21" t="s">
        <v>368</v>
      </c>
      <c r="W1756" t="str">
        <f>VLOOKUP(Table_Query_from_Actuarial___Production[[#This Row],[Kor1]],$AI$3:$AK$105,3,FALSE)</f>
        <v>Losses Paid</v>
      </c>
      <c r="X1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6"/>
      <c r="Z1756" t="s">
        <v>3</v>
      </c>
      <c r="AA1756" t="s">
        <v>231</v>
      </c>
      <c r="AB1756" t="s">
        <v>351</v>
      </c>
      <c r="AC1756" s="21">
        <v>157739</v>
      </c>
      <c r="AD1756" s="21" t="s">
        <v>368</v>
      </c>
      <c r="AE1756" t="str">
        <f>VLOOKUP(Table_Query_from_Actuarial___Production3[[#This Row],[Kor1]],$AI$3:$AK$105,3,FALSE)</f>
        <v>Premiums Written</v>
      </c>
      <c r="AF1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7" spans="18:32" x14ac:dyDescent="0.2">
      <c r="R1757" t="s">
        <v>31</v>
      </c>
      <c r="S1757" t="s">
        <v>228</v>
      </c>
      <c r="T1757" t="s">
        <v>356</v>
      </c>
      <c r="U1757" s="21">
        <v>965.42</v>
      </c>
      <c r="V1757" s="21" t="s">
        <v>368</v>
      </c>
      <c r="W1757" t="str">
        <f>VLOOKUP(Table_Query_from_Actuarial___Production[[#This Row],[Kor1]],$AI$3:$AK$105,3,FALSE)</f>
        <v>Misc. Expense</v>
      </c>
      <c r="X1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7"/>
      <c r="Z1757" t="s">
        <v>24</v>
      </c>
      <c r="AA1757" t="s">
        <v>259</v>
      </c>
      <c r="AB1757" t="s">
        <v>6</v>
      </c>
      <c r="AC1757" s="21">
        <v>-2.15</v>
      </c>
      <c r="AD1757" s="21" t="s">
        <v>368</v>
      </c>
      <c r="AE1757" t="str">
        <f>VLOOKUP(Table_Query_from_Actuarial___Production3[[#This Row],[Kor1]],$AI$3:$AK$105,3,FALSE)</f>
        <v>Misc. Expense</v>
      </c>
      <c r="AF1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8" spans="18:32" x14ac:dyDescent="0.2">
      <c r="R1758" t="s">
        <v>33</v>
      </c>
      <c r="S1758" t="s">
        <v>256</v>
      </c>
      <c r="T1758" t="s">
        <v>441</v>
      </c>
      <c r="U1758" s="21">
        <v>22680.75</v>
      </c>
      <c r="V1758" s="21" t="s">
        <v>368</v>
      </c>
      <c r="W1758" t="str">
        <f>VLOOKUP(Table_Query_from_Actuarial___Production[[#This Row],[Kor1]],$AI$3:$AK$105,3,FALSE)</f>
        <v>Misc. Expense</v>
      </c>
      <c r="X1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8"/>
      <c r="Z1758" t="s">
        <v>17</v>
      </c>
      <c r="AA1758" t="s">
        <v>265</v>
      </c>
      <c r="AB1758" t="s">
        <v>433</v>
      </c>
      <c r="AC1758" s="21">
        <v>103274.47</v>
      </c>
      <c r="AD1758" s="21" t="s">
        <v>368</v>
      </c>
      <c r="AE1758" t="str">
        <f>VLOOKUP(Table_Query_from_Actuarial___Production3[[#This Row],[Kor1]],$AI$3:$AK$105,3,FALSE)</f>
        <v>IBNR</v>
      </c>
      <c r="AF1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59" spans="18:32" x14ac:dyDescent="0.2">
      <c r="R1759" t="s">
        <v>3</v>
      </c>
      <c r="S1759" t="s">
        <v>231</v>
      </c>
      <c r="T1759" t="s">
        <v>441</v>
      </c>
      <c r="U1759" s="21">
        <v>2239887</v>
      </c>
      <c r="V1759" s="21" t="s">
        <v>368</v>
      </c>
      <c r="W1759" t="str">
        <f>VLOOKUP(Table_Query_from_Actuarial___Production[[#This Row],[Kor1]],$AI$3:$AK$105,3,FALSE)</f>
        <v>Premiums Written</v>
      </c>
      <c r="X1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59"/>
      <c r="Z1759" t="s">
        <v>77</v>
      </c>
      <c r="AA1759" t="s">
        <v>241</v>
      </c>
      <c r="AB1759" t="s">
        <v>443</v>
      </c>
      <c r="AC1759" s="21">
        <v>41547</v>
      </c>
      <c r="AD1759" s="21" t="s">
        <v>368</v>
      </c>
      <c r="AE1759" t="str">
        <f>VLOOKUP(Table_Query_from_Actuarial___Production3[[#This Row],[Kor1]],$AI$3:$AK$105,3,FALSE)</f>
        <v>PDR</v>
      </c>
      <c r="AF1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0" spans="18:32" x14ac:dyDescent="0.2">
      <c r="R1760" t="s">
        <v>20</v>
      </c>
      <c r="S1760" t="s">
        <v>258</v>
      </c>
      <c r="T1760" t="s">
        <v>445</v>
      </c>
      <c r="U1760" s="21">
        <v>284.86</v>
      </c>
      <c r="V1760" s="21" t="s">
        <v>368</v>
      </c>
      <c r="W1760" t="str">
        <f>VLOOKUP(Table_Query_from_Actuarial___Production[[#This Row],[Kor1]],$AI$3:$AK$105,3,FALSE)</f>
        <v>Misc. Expense</v>
      </c>
      <c r="X1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0"/>
      <c r="Z1760" t="s">
        <v>3</v>
      </c>
      <c r="AA1760" t="s">
        <v>259</v>
      </c>
      <c r="AB1760" t="s">
        <v>433</v>
      </c>
      <c r="AC1760" s="21">
        <v>105541</v>
      </c>
      <c r="AD1760" s="21" t="s">
        <v>368</v>
      </c>
      <c r="AE1760" t="str">
        <f>VLOOKUP(Table_Query_from_Actuarial___Production3[[#This Row],[Kor1]],$AI$3:$AK$105,3,FALSE)</f>
        <v>Premiums Written</v>
      </c>
      <c r="AF1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1" spans="18:32" x14ac:dyDescent="0.2">
      <c r="R1761" t="s">
        <v>37</v>
      </c>
      <c r="S1761" t="s">
        <v>230</v>
      </c>
      <c r="T1761" t="s">
        <v>7</v>
      </c>
      <c r="U1761" s="21">
        <v>59107.64</v>
      </c>
      <c r="V1761" s="21" t="s">
        <v>368</v>
      </c>
      <c r="W1761" t="str">
        <f>VLOOKUP(Table_Query_from_Actuarial___Production[[#This Row],[Kor1]],$AI$3:$AK$105,3,FALSE)</f>
        <v>Misc. Expense</v>
      </c>
      <c r="X1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1"/>
      <c r="Z1761" t="s">
        <v>47</v>
      </c>
      <c r="AA1761" t="s">
        <v>237</v>
      </c>
      <c r="AB1761" t="s">
        <v>433</v>
      </c>
      <c r="AC1761" s="21">
        <v>20502.099999999999</v>
      </c>
      <c r="AD1761" s="21" t="s">
        <v>368</v>
      </c>
      <c r="AE1761" t="str">
        <f>VLOOKUP(Table_Query_from_Actuarial___Production3[[#This Row],[Kor1]],$AI$3:$AK$105,3,FALSE)</f>
        <v>Investment Income</v>
      </c>
      <c r="AF1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2" spans="18:32" x14ac:dyDescent="0.2">
      <c r="R1762" t="s">
        <v>39</v>
      </c>
      <c r="S1762" t="s">
        <v>4</v>
      </c>
      <c r="T1762" t="s">
        <v>351</v>
      </c>
      <c r="U1762" s="21">
        <v>138865.74</v>
      </c>
      <c r="V1762" s="21" t="s">
        <v>368</v>
      </c>
      <c r="W1762" t="str">
        <f>VLOOKUP(Table_Query_from_Actuarial___Production[[#This Row],[Kor1]],$AI$3:$AK$105,3,FALSE)</f>
        <v>Misc. Income for Insolvent Companies</v>
      </c>
      <c r="X1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2"/>
      <c r="Z1762" t="s">
        <v>50</v>
      </c>
      <c r="AA1762" t="s">
        <v>236</v>
      </c>
      <c r="AB1762" t="s">
        <v>433</v>
      </c>
      <c r="AC1762" s="21">
        <v>21756.33</v>
      </c>
      <c r="AD1762" s="21" t="s">
        <v>368</v>
      </c>
      <c r="AE1762" t="str">
        <f>VLOOKUP(Table_Query_from_Actuarial___Production3[[#This Row],[Kor1]],$AI$3:$AK$105,3,FALSE)</f>
        <v>ALAE Reserve</v>
      </c>
      <c r="AF1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3" spans="18:32" x14ac:dyDescent="0.2">
      <c r="R1763" t="s">
        <v>44</v>
      </c>
      <c r="S1763" t="s">
        <v>225</v>
      </c>
      <c r="T1763" t="s">
        <v>9</v>
      </c>
      <c r="U1763" s="21">
        <v>17671.7</v>
      </c>
      <c r="V1763" s="21" t="s">
        <v>369</v>
      </c>
      <c r="W1763" t="str">
        <f>VLOOKUP(Table_Query_from_Actuarial___Production[[#This Row],[Kor1]],$AI$3:$AK$105,3,FALSE)</f>
        <v>Charge-offs</v>
      </c>
      <c r="X1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763"/>
      <c r="Z1763" t="s">
        <v>50</v>
      </c>
      <c r="AA1763" t="s">
        <v>249</v>
      </c>
      <c r="AB1763" t="s">
        <v>427</v>
      </c>
      <c r="AC1763" s="21">
        <v>3814.6</v>
      </c>
      <c r="AD1763" s="21" t="s">
        <v>368</v>
      </c>
      <c r="AE1763" t="str">
        <f>VLOOKUP(Table_Query_from_Actuarial___Production3[[#This Row],[Kor1]],$AI$3:$AK$105,3,FALSE)</f>
        <v>ALAE Reserve</v>
      </c>
      <c r="AF1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4" spans="18:32" x14ac:dyDescent="0.2">
      <c r="R1764" t="s">
        <v>31</v>
      </c>
      <c r="S1764" t="s">
        <v>230</v>
      </c>
      <c r="T1764" t="s">
        <v>356</v>
      </c>
      <c r="U1764" s="21">
        <v>3432.39</v>
      </c>
      <c r="V1764" s="21" t="s">
        <v>368</v>
      </c>
      <c r="W1764" t="str">
        <f>VLOOKUP(Table_Query_from_Actuarial___Production[[#This Row],[Kor1]],$AI$3:$AK$105,3,FALSE)</f>
        <v>Misc. Expense</v>
      </c>
      <c r="X1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4"/>
      <c r="Z1764" t="s">
        <v>3</v>
      </c>
      <c r="AA1764" t="s">
        <v>267</v>
      </c>
      <c r="AB1764" t="s">
        <v>433</v>
      </c>
      <c r="AC1764" s="21">
        <v>355863</v>
      </c>
      <c r="AD1764" s="21" t="s">
        <v>368</v>
      </c>
      <c r="AE1764" t="str">
        <f>VLOOKUP(Table_Query_from_Actuarial___Production3[[#This Row],[Kor1]],$AI$3:$AK$105,3,FALSE)</f>
        <v>Premiums Written</v>
      </c>
      <c r="AF1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5" spans="18:32" x14ac:dyDescent="0.2">
      <c r="R1765" t="s">
        <v>33</v>
      </c>
      <c r="S1765" t="s">
        <v>234</v>
      </c>
      <c r="T1765" t="s">
        <v>433</v>
      </c>
      <c r="U1765" s="21">
        <v>15311.03</v>
      </c>
      <c r="V1765" s="21" t="s">
        <v>368</v>
      </c>
      <c r="W1765" t="str">
        <f>VLOOKUP(Table_Query_from_Actuarial___Production[[#This Row],[Kor1]],$AI$3:$AK$105,3,FALSE)</f>
        <v>Misc. Expense</v>
      </c>
      <c r="X1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5"/>
      <c r="Z1765" t="s">
        <v>21</v>
      </c>
      <c r="AA1765" t="s">
        <v>245</v>
      </c>
      <c r="AB1765" t="s">
        <v>6</v>
      </c>
      <c r="AC1765" s="21">
        <v>93.71</v>
      </c>
      <c r="AD1765" s="21" t="s">
        <v>368</v>
      </c>
      <c r="AE1765" t="str">
        <f>VLOOKUP(Table_Query_from_Actuarial___Production3[[#This Row],[Kor1]],$AI$3:$AK$105,3,FALSE)</f>
        <v>Misc. Expense</v>
      </c>
      <c r="AF1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6" spans="18:32" x14ac:dyDescent="0.2">
      <c r="R1766" t="s">
        <v>34</v>
      </c>
      <c r="S1766" t="s">
        <v>249</v>
      </c>
      <c r="T1766" t="s">
        <v>427</v>
      </c>
      <c r="U1766" s="21">
        <v>998.46</v>
      </c>
      <c r="V1766" s="21" t="s">
        <v>368</v>
      </c>
      <c r="W1766" t="str">
        <f>VLOOKUP(Table_Query_from_Actuarial___Production[[#This Row],[Kor1]],$AI$3:$AK$105,3,FALSE)</f>
        <v>Misc. Expense</v>
      </c>
      <c r="X1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6"/>
      <c r="Z1766" t="s">
        <v>39</v>
      </c>
      <c r="AA1766" t="s">
        <v>253</v>
      </c>
      <c r="AB1766" t="s">
        <v>7</v>
      </c>
      <c r="AC1766" s="21">
        <v>35</v>
      </c>
      <c r="AD1766" s="21" t="s">
        <v>368</v>
      </c>
      <c r="AE1766" t="str">
        <f>VLOOKUP(Table_Query_from_Actuarial___Production3[[#This Row],[Kor1]],$AI$3:$AK$105,3,FALSE)</f>
        <v>Misc. Income for Insolvent Companies</v>
      </c>
      <c r="AF1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7" spans="18:32" x14ac:dyDescent="0.2">
      <c r="R1767" t="s">
        <v>40</v>
      </c>
      <c r="S1767" t="s">
        <v>263</v>
      </c>
      <c r="T1767" t="s">
        <v>8</v>
      </c>
      <c r="U1767" s="21">
        <v>177</v>
      </c>
      <c r="V1767" s="21" t="s">
        <v>368</v>
      </c>
      <c r="W1767" t="str">
        <f>VLOOKUP(Table_Query_from_Actuarial___Production[[#This Row],[Kor1]],$AI$3:$AK$105,3,FALSE)</f>
        <v>Misc. Income</v>
      </c>
      <c r="X1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7"/>
      <c r="Z1767" t="s">
        <v>12</v>
      </c>
      <c r="AA1767" t="s">
        <v>248</v>
      </c>
      <c r="AB1767" t="s">
        <v>427</v>
      </c>
      <c r="AC1767" s="21">
        <v>7328.26</v>
      </c>
      <c r="AD1767" s="21" t="s">
        <v>368</v>
      </c>
      <c r="AE1767" t="str">
        <f>VLOOKUP(Table_Query_from_Actuarial___Production3[[#This Row],[Kor1]],$AI$3:$AK$105,3,FALSE)</f>
        <v>Premium Tax</v>
      </c>
      <c r="AF1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8" spans="18:32" x14ac:dyDescent="0.2">
      <c r="R1768" t="s">
        <v>13</v>
      </c>
      <c r="S1768" t="s">
        <v>226</v>
      </c>
      <c r="T1768" t="s">
        <v>427</v>
      </c>
      <c r="U1768" s="21">
        <v>924104.53</v>
      </c>
      <c r="V1768" s="21" t="s">
        <v>368</v>
      </c>
      <c r="W1768" t="str">
        <f>VLOOKUP(Table_Query_from_Actuarial___Production[[#This Row],[Kor1]],$AI$3:$AK$105,3,FALSE)</f>
        <v>Operating Service Fees</v>
      </c>
      <c r="X1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768"/>
      <c r="Z1768" t="s">
        <v>13</v>
      </c>
      <c r="AA1768" t="s">
        <v>265</v>
      </c>
      <c r="AB1768" t="s">
        <v>6</v>
      </c>
      <c r="AC1768" s="21">
        <v>40207.85</v>
      </c>
      <c r="AD1768" s="21" t="s">
        <v>368</v>
      </c>
      <c r="AE1768" t="str">
        <f>VLOOKUP(Table_Query_from_Actuarial___Production3[[#This Row],[Kor1]],$AI$3:$AK$105,3,FALSE)</f>
        <v>Operating Service Fees</v>
      </c>
      <c r="AF1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69" spans="18:32" x14ac:dyDescent="0.2">
      <c r="R1769" t="s">
        <v>13</v>
      </c>
      <c r="S1769" t="s">
        <v>237</v>
      </c>
      <c r="T1769" t="s">
        <v>9</v>
      </c>
      <c r="U1769" s="21">
        <v>3041234.54</v>
      </c>
      <c r="V1769" s="21" t="s">
        <v>368</v>
      </c>
      <c r="W1769" t="str">
        <f>VLOOKUP(Table_Query_from_Actuarial___Production[[#This Row],[Kor1]],$AI$3:$AK$105,3,FALSE)</f>
        <v>Operating Service Fees</v>
      </c>
      <c r="X1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69"/>
      <c r="Z1769" t="s">
        <v>38</v>
      </c>
      <c r="AA1769" t="s">
        <v>226</v>
      </c>
      <c r="AB1769" t="s">
        <v>351</v>
      </c>
      <c r="AC1769" s="21">
        <v>3500</v>
      </c>
      <c r="AD1769" s="21" t="s">
        <v>368</v>
      </c>
      <c r="AE1769" t="str">
        <f>VLOOKUP(Table_Query_from_Actuarial___Production3[[#This Row],[Kor1]],$AI$3:$AK$105,3,FALSE)</f>
        <v>Misc. Income</v>
      </c>
      <c r="AF1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770" spans="18:32" x14ac:dyDescent="0.2">
      <c r="R1770" t="s">
        <v>37</v>
      </c>
      <c r="S1770" t="s">
        <v>256</v>
      </c>
      <c r="T1770" t="s">
        <v>9</v>
      </c>
      <c r="U1770" s="21">
        <v>181.87</v>
      </c>
      <c r="V1770" s="21" t="s">
        <v>368</v>
      </c>
      <c r="W1770" t="str">
        <f>VLOOKUP(Table_Query_from_Actuarial___Production[[#This Row],[Kor1]],$AI$3:$AK$105,3,FALSE)</f>
        <v>Misc. Expense</v>
      </c>
      <c r="X1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0"/>
      <c r="Z1770" t="s">
        <v>47</v>
      </c>
      <c r="AA1770" t="s">
        <v>252</v>
      </c>
      <c r="AB1770" t="s">
        <v>356</v>
      </c>
      <c r="AC1770" s="21">
        <v>59409.9</v>
      </c>
      <c r="AD1770" s="21" t="s">
        <v>368</v>
      </c>
      <c r="AE1770" t="str">
        <f>VLOOKUP(Table_Query_from_Actuarial___Production3[[#This Row],[Kor1]],$AI$3:$AK$105,3,FALSE)</f>
        <v>Investment Income</v>
      </c>
      <c r="AF1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1" spans="18:32" x14ac:dyDescent="0.2">
      <c r="R1771" t="s">
        <v>14</v>
      </c>
      <c r="S1771" t="s">
        <v>224</v>
      </c>
      <c r="T1771" t="s">
        <v>6</v>
      </c>
      <c r="U1771" s="21">
        <v>188119.04000000001</v>
      </c>
      <c r="V1771" s="21" t="s">
        <v>368</v>
      </c>
      <c r="W1771" t="str">
        <f>VLOOKUP(Table_Query_from_Actuarial___Production[[#This Row],[Kor1]],$AI$3:$AK$105,3,FALSE)</f>
        <v>Claims Expense</v>
      </c>
      <c r="X1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771"/>
      <c r="Z1771" t="s">
        <v>49</v>
      </c>
      <c r="AA1771" t="s">
        <v>225</v>
      </c>
      <c r="AB1771" t="s">
        <v>6</v>
      </c>
      <c r="AC1771" s="21">
        <v>544148.05000000005</v>
      </c>
      <c r="AD1771" s="21" t="s">
        <v>368</v>
      </c>
      <c r="AE1771" t="str">
        <f>VLOOKUP(Table_Query_from_Actuarial___Production3[[#This Row],[Kor1]],$AI$3:$AK$105,3,FALSE)</f>
        <v>ALAE Paid</v>
      </c>
      <c r="AF1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772" spans="18:32" x14ac:dyDescent="0.2">
      <c r="R1772" t="s">
        <v>15</v>
      </c>
      <c r="S1772" t="s">
        <v>226</v>
      </c>
      <c r="T1772" t="s">
        <v>445</v>
      </c>
      <c r="U1772" s="21">
        <v>5051397.67</v>
      </c>
      <c r="V1772" s="21" t="s">
        <v>368</v>
      </c>
      <c r="W1772" t="str">
        <f>VLOOKUP(Table_Query_from_Actuarial___Production[[#This Row],[Kor1]],$AI$3:$AK$105,3,FALSE)</f>
        <v>Unearned Premiums</v>
      </c>
      <c r="X1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772"/>
      <c r="Z1772" t="s">
        <v>20</v>
      </c>
      <c r="AA1772" t="s">
        <v>231</v>
      </c>
      <c r="AB1772" t="s">
        <v>442</v>
      </c>
      <c r="AC1772" s="21">
        <v>178.74</v>
      </c>
      <c r="AD1772" s="21" t="s">
        <v>368</v>
      </c>
      <c r="AE1772" t="str">
        <f>VLOOKUP(Table_Query_from_Actuarial___Production3[[#This Row],[Kor1]],$AI$3:$AK$105,3,FALSE)</f>
        <v>Misc. Expense</v>
      </c>
      <c r="AF1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3" spans="18:32" x14ac:dyDescent="0.2">
      <c r="R1773" t="s">
        <v>47</v>
      </c>
      <c r="S1773" t="s">
        <v>250</v>
      </c>
      <c r="T1773" t="s">
        <v>441</v>
      </c>
      <c r="U1773" s="21">
        <v>26.73</v>
      </c>
      <c r="V1773" s="21" t="s">
        <v>368</v>
      </c>
      <c r="W1773" t="str">
        <f>VLOOKUP(Table_Query_from_Actuarial___Production[[#This Row],[Kor1]],$AI$3:$AK$105,3,FALSE)</f>
        <v>Investment Income</v>
      </c>
      <c r="X1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3"/>
      <c r="Z1773" t="s">
        <v>21</v>
      </c>
      <c r="AA1773" t="s">
        <v>261</v>
      </c>
      <c r="AB1773" t="s">
        <v>5</v>
      </c>
      <c r="AC1773" s="21">
        <v>2027.39</v>
      </c>
      <c r="AD1773" s="21" t="s">
        <v>368</v>
      </c>
      <c r="AE1773" t="str">
        <f>VLOOKUP(Table_Query_from_Actuarial___Production3[[#This Row],[Kor1]],$AI$3:$AK$105,3,FALSE)</f>
        <v>Misc. Expense</v>
      </c>
      <c r="AF1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4" spans="18:32" x14ac:dyDescent="0.2">
      <c r="R1774" t="s">
        <v>10</v>
      </c>
      <c r="S1774" t="s">
        <v>246</v>
      </c>
      <c r="T1774" t="s">
        <v>433</v>
      </c>
      <c r="U1774" s="21">
        <v>195866.55</v>
      </c>
      <c r="V1774" s="21" t="s">
        <v>368</v>
      </c>
      <c r="W1774" t="str">
        <f>VLOOKUP(Table_Query_from_Actuarial___Production[[#This Row],[Kor1]],$AI$3:$AK$105,3,FALSE)</f>
        <v>Commissions</v>
      </c>
      <c r="X1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4"/>
      <c r="Z1774" t="s">
        <v>3</v>
      </c>
      <c r="AA1774" t="s">
        <v>266</v>
      </c>
      <c r="AB1774" t="s">
        <v>9</v>
      </c>
      <c r="AC1774" s="21">
        <v>536943</v>
      </c>
      <c r="AD1774" s="21" t="s">
        <v>368</v>
      </c>
      <c r="AE1774" t="str">
        <f>VLOOKUP(Table_Query_from_Actuarial___Production3[[#This Row],[Kor1]],$AI$3:$AK$105,3,FALSE)</f>
        <v>Premiums Written</v>
      </c>
      <c r="AF1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5" spans="18:32" x14ac:dyDescent="0.2">
      <c r="R1775" t="s">
        <v>47</v>
      </c>
      <c r="S1775" t="s">
        <v>247</v>
      </c>
      <c r="T1775" t="s">
        <v>356</v>
      </c>
      <c r="U1775" s="21">
        <v>287.77</v>
      </c>
      <c r="V1775" s="21" t="s">
        <v>368</v>
      </c>
      <c r="W1775" t="str">
        <f>VLOOKUP(Table_Query_from_Actuarial___Production[[#This Row],[Kor1]],$AI$3:$AK$105,3,FALSE)</f>
        <v>Investment Income</v>
      </c>
      <c r="X1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5"/>
      <c r="Z1775" t="s">
        <v>49</v>
      </c>
      <c r="AA1775" t="s">
        <v>246</v>
      </c>
      <c r="AB1775" t="s">
        <v>351</v>
      </c>
      <c r="AC1775" s="21">
        <v>5537.05</v>
      </c>
      <c r="AD1775" s="21" t="s">
        <v>368</v>
      </c>
      <c r="AE1775" t="str">
        <f>VLOOKUP(Table_Query_from_Actuarial___Production3[[#This Row],[Kor1]],$AI$3:$AK$105,3,FALSE)</f>
        <v>ALAE Paid</v>
      </c>
      <c r="AF1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6" spans="18:32" x14ac:dyDescent="0.2">
      <c r="R1776" t="s">
        <v>50</v>
      </c>
      <c r="S1776" t="s">
        <v>238</v>
      </c>
      <c r="T1776" t="s">
        <v>442</v>
      </c>
      <c r="U1776" s="21">
        <v>101963.29</v>
      </c>
      <c r="V1776" s="21" t="s">
        <v>368</v>
      </c>
      <c r="W1776" t="str">
        <f>VLOOKUP(Table_Query_from_Actuarial___Production[[#This Row],[Kor1]],$AI$3:$AK$105,3,FALSE)</f>
        <v>ALAE Reserve</v>
      </c>
      <c r="X1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6"/>
      <c r="Z1776" t="s">
        <v>21</v>
      </c>
      <c r="AA1776" t="s">
        <v>262</v>
      </c>
      <c r="AB1776" t="s">
        <v>442</v>
      </c>
      <c r="AC1776" s="21">
        <v>708.49</v>
      </c>
      <c r="AD1776" s="21" t="s">
        <v>368</v>
      </c>
      <c r="AE1776" t="str">
        <f>VLOOKUP(Table_Query_from_Actuarial___Production3[[#This Row],[Kor1]],$AI$3:$AK$105,3,FALSE)</f>
        <v>Misc. Expense</v>
      </c>
      <c r="AF1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7" spans="18:32" x14ac:dyDescent="0.2">
      <c r="R1777" t="s">
        <v>3</v>
      </c>
      <c r="S1777" t="s">
        <v>354</v>
      </c>
      <c r="T1777" t="s">
        <v>442</v>
      </c>
      <c r="U1777" s="21">
        <v>142918487.38999999</v>
      </c>
      <c r="V1777" s="21" t="s">
        <v>368</v>
      </c>
      <c r="W1777" t="str">
        <f>VLOOKUP(Table_Query_from_Actuarial___Production[[#This Row],[Kor1]],$AI$3:$AK$105,3,FALSE)</f>
        <v>Premiums Written</v>
      </c>
      <c r="X1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777"/>
      <c r="Z1777" t="s">
        <v>3</v>
      </c>
      <c r="AA1777" t="s">
        <v>224</v>
      </c>
      <c r="AB1777" t="s">
        <v>433</v>
      </c>
      <c r="AC1777" s="21">
        <v>29975</v>
      </c>
      <c r="AD1777" s="21" t="s">
        <v>425</v>
      </c>
      <c r="AE1777" t="str">
        <f>VLOOKUP(Table_Query_from_Actuarial___Production3[[#This Row],[Kor1]],$AI$3:$AK$105,3,FALSE)</f>
        <v>Premiums Written</v>
      </c>
      <c r="AF1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778" spans="18:32" x14ac:dyDescent="0.2">
      <c r="R1778" t="s">
        <v>444</v>
      </c>
      <c r="S1778" t="s">
        <v>262</v>
      </c>
      <c r="T1778" t="s">
        <v>443</v>
      </c>
      <c r="U1778" s="21">
        <v>10167.81</v>
      </c>
      <c r="V1778" s="21" t="s">
        <v>368</v>
      </c>
      <c r="W1778" t="str">
        <f>VLOOKUP(Table_Query_from_Actuarial___Production[[#This Row],[Kor1]],$AI$3:$AK$105,3,FALSE)</f>
        <v>Misc. Expense</v>
      </c>
      <c r="X1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8"/>
      <c r="Z1778" t="s">
        <v>44</v>
      </c>
      <c r="AA1778" t="s">
        <v>238</v>
      </c>
      <c r="AB1778" t="s">
        <v>427</v>
      </c>
      <c r="AC1778" s="21">
        <v>10705.4</v>
      </c>
      <c r="AD1778" s="21" t="s">
        <v>368</v>
      </c>
      <c r="AE1778" t="str">
        <f>VLOOKUP(Table_Query_from_Actuarial___Production3[[#This Row],[Kor1]],$AI$3:$AK$105,3,FALSE)</f>
        <v>Charge-offs</v>
      </c>
      <c r="AF1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79" spans="18:32" x14ac:dyDescent="0.2">
      <c r="R1779" t="s">
        <v>32</v>
      </c>
      <c r="S1779" t="s">
        <v>258</v>
      </c>
      <c r="T1779" t="s">
        <v>427</v>
      </c>
      <c r="U1779" s="21">
        <v>10166.91</v>
      </c>
      <c r="V1779" s="21" t="s">
        <v>368</v>
      </c>
      <c r="W1779" t="str">
        <f>VLOOKUP(Table_Query_from_Actuarial___Production[[#This Row],[Kor1]],$AI$3:$AK$105,3,FALSE)</f>
        <v>Misc. Expense</v>
      </c>
      <c r="X1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79"/>
      <c r="Z1779" t="s">
        <v>49</v>
      </c>
      <c r="AA1779" t="s">
        <v>263</v>
      </c>
      <c r="AB1779" t="s">
        <v>6</v>
      </c>
      <c r="AC1779" s="21">
        <v>13.7</v>
      </c>
      <c r="AD1779" s="21" t="s">
        <v>368</v>
      </c>
      <c r="AE1779" t="str">
        <f>VLOOKUP(Table_Query_from_Actuarial___Production3[[#This Row],[Kor1]],$AI$3:$AK$105,3,FALSE)</f>
        <v>ALAE Paid</v>
      </c>
      <c r="AF1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0" spans="18:32" x14ac:dyDescent="0.2">
      <c r="R1780" t="s">
        <v>39</v>
      </c>
      <c r="S1780" t="s">
        <v>231</v>
      </c>
      <c r="T1780" t="s">
        <v>8</v>
      </c>
      <c r="U1780" s="21">
        <v>220</v>
      </c>
      <c r="V1780" s="21" t="s">
        <v>368</v>
      </c>
      <c r="W1780" t="str">
        <f>VLOOKUP(Table_Query_from_Actuarial___Production[[#This Row],[Kor1]],$AI$3:$AK$105,3,FALSE)</f>
        <v>Misc. Income for Insolvent Companies</v>
      </c>
      <c r="X1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0"/>
      <c r="Z1780" t="s">
        <v>50</v>
      </c>
      <c r="AA1780" t="s">
        <v>261</v>
      </c>
      <c r="AB1780" t="s">
        <v>441</v>
      </c>
      <c r="AC1780" s="21">
        <v>17191.34</v>
      </c>
      <c r="AD1780" s="21" t="s">
        <v>368</v>
      </c>
      <c r="AE1780" t="str">
        <f>VLOOKUP(Table_Query_from_Actuarial___Production3[[#This Row],[Kor1]],$AI$3:$AK$105,3,FALSE)</f>
        <v>ALAE Reserve</v>
      </c>
      <c r="AF1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1" spans="18:32" x14ac:dyDescent="0.2">
      <c r="R1781" t="s">
        <v>40</v>
      </c>
      <c r="S1781" t="s">
        <v>230</v>
      </c>
      <c r="T1781" t="s">
        <v>442</v>
      </c>
      <c r="U1781" s="21">
        <v>1652.58</v>
      </c>
      <c r="V1781" s="21" t="s">
        <v>368</v>
      </c>
      <c r="W1781" t="str">
        <f>VLOOKUP(Table_Query_from_Actuarial___Production[[#This Row],[Kor1]],$AI$3:$AK$105,3,FALSE)</f>
        <v>Misc. Income</v>
      </c>
      <c r="X1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1"/>
      <c r="Z1781" t="s">
        <v>13</v>
      </c>
      <c r="AA1781" t="s">
        <v>255</v>
      </c>
      <c r="AB1781" t="s">
        <v>356</v>
      </c>
      <c r="AC1781" s="21">
        <v>68832.84</v>
      </c>
      <c r="AD1781" s="21" t="s">
        <v>368</v>
      </c>
      <c r="AE1781" t="str">
        <f>VLOOKUP(Table_Query_from_Actuarial___Production3[[#This Row],[Kor1]],$AI$3:$AK$105,3,FALSE)</f>
        <v>Operating Service Fees</v>
      </c>
      <c r="AF1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2" spans="18:32" x14ac:dyDescent="0.2">
      <c r="R1782" t="s">
        <v>47</v>
      </c>
      <c r="S1782" t="s">
        <v>231</v>
      </c>
      <c r="T1782" t="s">
        <v>8</v>
      </c>
      <c r="U1782" s="21">
        <v>0.01</v>
      </c>
      <c r="V1782" s="21" t="s">
        <v>368</v>
      </c>
      <c r="W1782" t="str">
        <f>VLOOKUP(Table_Query_from_Actuarial___Production[[#This Row],[Kor1]],$AI$3:$AK$105,3,FALSE)</f>
        <v>Investment Income</v>
      </c>
      <c r="X1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2"/>
      <c r="Z1782" t="s">
        <v>12</v>
      </c>
      <c r="AA1782" t="s">
        <v>246</v>
      </c>
      <c r="AB1782" t="s">
        <v>442</v>
      </c>
      <c r="AC1782" s="21">
        <v>42407.519999999997</v>
      </c>
      <c r="AD1782" s="21" t="s">
        <v>368</v>
      </c>
      <c r="AE1782" t="str">
        <f>VLOOKUP(Table_Query_from_Actuarial___Production3[[#This Row],[Kor1]],$AI$3:$AK$105,3,FALSE)</f>
        <v>Premium Tax</v>
      </c>
      <c r="AF1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3" spans="18:32" x14ac:dyDescent="0.2">
      <c r="R1783" t="s">
        <v>33</v>
      </c>
      <c r="S1783" t="s">
        <v>248</v>
      </c>
      <c r="T1783" t="s">
        <v>8</v>
      </c>
      <c r="U1783" s="21">
        <v>15284.77</v>
      </c>
      <c r="V1783" s="21" t="s">
        <v>368</v>
      </c>
      <c r="W1783" t="str">
        <f>VLOOKUP(Table_Query_from_Actuarial___Production[[#This Row],[Kor1]],$AI$3:$AK$105,3,FALSE)</f>
        <v>Misc. Expense</v>
      </c>
      <c r="X1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3"/>
      <c r="Z1783" t="s">
        <v>31</v>
      </c>
      <c r="AA1783" t="s">
        <v>232</v>
      </c>
      <c r="AB1783" t="s">
        <v>433</v>
      </c>
      <c r="AC1783" s="21">
        <v>940.25</v>
      </c>
      <c r="AD1783" s="21" t="s">
        <v>368</v>
      </c>
      <c r="AE1783" t="str">
        <f>VLOOKUP(Table_Query_from_Actuarial___Production3[[#This Row],[Kor1]],$AI$3:$AK$105,3,FALSE)</f>
        <v>Misc. Expense</v>
      </c>
      <c r="AF1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4" spans="18:32" x14ac:dyDescent="0.2">
      <c r="R1784" t="s">
        <v>3</v>
      </c>
      <c r="S1784" t="s">
        <v>248</v>
      </c>
      <c r="T1784" t="s">
        <v>8</v>
      </c>
      <c r="U1784" s="21">
        <v>41721</v>
      </c>
      <c r="V1784" s="21" t="s">
        <v>368</v>
      </c>
      <c r="W1784" t="str">
        <f>VLOOKUP(Table_Query_from_Actuarial___Production[[#This Row],[Kor1]],$AI$3:$AK$105,3,FALSE)</f>
        <v>Premiums Written</v>
      </c>
      <c r="X1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4"/>
      <c r="Z1784" t="s">
        <v>14</v>
      </c>
      <c r="AA1784" t="s">
        <v>225</v>
      </c>
      <c r="AB1784" t="s">
        <v>442</v>
      </c>
      <c r="AC1784" s="21">
        <v>38769</v>
      </c>
      <c r="AD1784" s="21" t="s">
        <v>368</v>
      </c>
      <c r="AE1784" t="str">
        <f>VLOOKUP(Table_Query_from_Actuarial___Production3[[#This Row],[Kor1]],$AI$3:$AK$105,3,FALSE)</f>
        <v>Claims Expense</v>
      </c>
      <c r="AF1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785" spans="18:32" x14ac:dyDescent="0.2">
      <c r="R1785" t="s">
        <v>20</v>
      </c>
      <c r="S1785" t="s">
        <v>232</v>
      </c>
      <c r="T1785" t="s">
        <v>442</v>
      </c>
      <c r="U1785" s="21">
        <v>178.75</v>
      </c>
      <c r="V1785" s="21" t="s">
        <v>368</v>
      </c>
      <c r="W1785" t="str">
        <f>VLOOKUP(Table_Query_from_Actuarial___Production[[#This Row],[Kor1]],$AI$3:$AK$105,3,FALSE)</f>
        <v>Misc. Expense</v>
      </c>
      <c r="X1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5"/>
      <c r="Z1785" t="s">
        <v>39</v>
      </c>
      <c r="AA1785" t="s">
        <v>256</v>
      </c>
      <c r="AB1785" t="s">
        <v>441</v>
      </c>
      <c r="AC1785" s="21">
        <v>1131.23</v>
      </c>
      <c r="AD1785" s="21" t="s">
        <v>368</v>
      </c>
      <c r="AE1785" t="str">
        <f>VLOOKUP(Table_Query_from_Actuarial___Production3[[#This Row],[Kor1]],$AI$3:$AK$105,3,FALSE)</f>
        <v>Misc. Income for Insolvent Companies</v>
      </c>
      <c r="AF1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6" spans="18:32" x14ac:dyDescent="0.2">
      <c r="R1786" t="s">
        <v>31</v>
      </c>
      <c r="S1786" t="s">
        <v>234</v>
      </c>
      <c r="T1786" t="s">
        <v>433</v>
      </c>
      <c r="U1786" s="21">
        <v>931.69</v>
      </c>
      <c r="V1786" s="21" t="s">
        <v>368</v>
      </c>
      <c r="W1786" t="str">
        <f>VLOOKUP(Table_Query_from_Actuarial___Production[[#This Row],[Kor1]],$AI$3:$AK$105,3,FALSE)</f>
        <v>Misc. Expense</v>
      </c>
      <c r="X1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6"/>
      <c r="Z1786" t="s">
        <v>48</v>
      </c>
      <c r="AA1786" t="s">
        <v>236</v>
      </c>
      <c r="AB1786" t="s">
        <v>441</v>
      </c>
      <c r="AC1786" s="21">
        <v>27.16</v>
      </c>
      <c r="AD1786" s="21" t="s">
        <v>368</v>
      </c>
      <c r="AE1786" t="str">
        <f>VLOOKUP(Table_Query_from_Actuarial___Production3[[#This Row],[Kor1]],$AI$3:$AK$105,3,FALSE)</f>
        <v>Anticipated Salvage</v>
      </c>
      <c r="AF1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7" spans="18:32" x14ac:dyDescent="0.2">
      <c r="R1787" t="s">
        <v>31</v>
      </c>
      <c r="S1787" t="s">
        <v>242</v>
      </c>
      <c r="T1787" t="s">
        <v>442</v>
      </c>
      <c r="U1787" s="21">
        <v>479.45</v>
      </c>
      <c r="V1787" s="21" t="s">
        <v>368</v>
      </c>
      <c r="W1787" t="str">
        <f>VLOOKUP(Table_Query_from_Actuarial___Production[[#This Row],[Kor1]],$AI$3:$AK$105,3,FALSE)</f>
        <v>Misc. Expense</v>
      </c>
      <c r="X1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7"/>
      <c r="Z1787" t="s">
        <v>13</v>
      </c>
      <c r="AA1787" t="s">
        <v>257</v>
      </c>
      <c r="AB1787" t="s">
        <v>441</v>
      </c>
      <c r="AC1787" s="21">
        <v>381898.56</v>
      </c>
      <c r="AD1787" s="21" t="s">
        <v>368</v>
      </c>
      <c r="AE1787" t="str">
        <f>VLOOKUP(Table_Query_from_Actuarial___Production3[[#This Row],[Kor1]],$AI$3:$AK$105,3,FALSE)</f>
        <v>Operating Service Fees</v>
      </c>
      <c r="AF1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8" spans="18:32" x14ac:dyDescent="0.2">
      <c r="R1788" t="s">
        <v>11</v>
      </c>
      <c r="S1788" t="s">
        <v>251</v>
      </c>
      <c r="T1788" t="s">
        <v>356</v>
      </c>
      <c r="U1788" s="21">
        <v>768766.95</v>
      </c>
      <c r="V1788" s="21" t="s">
        <v>368</v>
      </c>
      <c r="W1788" t="str">
        <f>VLOOKUP(Table_Query_from_Actuarial___Production[[#This Row],[Kor1]],$AI$3:$AK$105,3,FALSE)</f>
        <v>Losses Paid</v>
      </c>
      <c r="X1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8"/>
      <c r="Z1788" t="s">
        <v>31</v>
      </c>
      <c r="AA1788" t="s">
        <v>238</v>
      </c>
      <c r="AB1788" t="s">
        <v>427</v>
      </c>
      <c r="AC1788" s="21">
        <v>101.2</v>
      </c>
      <c r="AD1788" s="21" t="s">
        <v>368</v>
      </c>
      <c r="AE1788" t="str">
        <f>VLOOKUP(Table_Query_from_Actuarial___Production3[[#This Row],[Kor1]],$AI$3:$AK$105,3,FALSE)</f>
        <v>Misc. Expense</v>
      </c>
      <c r="AF1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89" spans="18:32" x14ac:dyDescent="0.2">
      <c r="R1789" t="s">
        <v>39</v>
      </c>
      <c r="S1789" t="s">
        <v>240</v>
      </c>
      <c r="T1789" t="s">
        <v>7</v>
      </c>
      <c r="U1789" s="21">
        <v>1811.01</v>
      </c>
      <c r="V1789" s="21" t="s">
        <v>368</v>
      </c>
      <c r="W1789" t="str">
        <f>VLOOKUP(Table_Query_from_Actuarial___Production[[#This Row],[Kor1]],$AI$3:$AK$105,3,FALSE)</f>
        <v>Misc. Income for Insolvent Companies</v>
      </c>
      <c r="X1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89"/>
      <c r="Z1789" t="s">
        <v>33</v>
      </c>
      <c r="AA1789" t="s">
        <v>244</v>
      </c>
      <c r="AB1789" t="s">
        <v>351</v>
      </c>
      <c r="AC1789" s="21">
        <v>16249.33</v>
      </c>
      <c r="AD1789" s="21" t="s">
        <v>368</v>
      </c>
      <c r="AE1789" t="str">
        <f>VLOOKUP(Table_Query_from_Actuarial___Production3[[#This Row],[Kor1]],$AI$3:$AK$105,3,FALSE)</f>
        <v>Misc. Expense</v>
      </c>
      <c r="AF1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0" spans="18:32" x14ac:dyDescent="0.2">
      <c r="R1790" t="s">
        <v>50</v>
      </c>
      <c r="S1790" t="s">
        <v>239</v>
      </c>
      <c r="T1790" t="s">
        <v>442</v>
      </c>
      <c r="U1790" s="21">
        <v>323908.21999999997</v>
      </c>
      <c r="V1790" s="21" t="s">
        <v>368</v>
      </c>
      <c r="W1790" t="str">
        <f>VLOOKUP(Table_Query_from_Actuarial___Production[[#This Row],[Kor1]],$AI$3:$AK$105,3,FALSE)</f>
        <v>ALAE Reserve</v>
      </c>
      <c r="X1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0"/>
      <c r="Z1790" t="s">
        <v>36</v>
      </c>
      <c r="AA1790" t="s">
        <v>252</v>
      </c>
      <c r="AB1790" t="s">
        <v>442</v>
      </c>
      <c r="AC1790" s="21">
        <v>279657.11</v>
      </c>
      <c r="AD1790" s="21" t="s">
        <v>368</v>
      </c>
      <c r="AE1790" t="str">
        <f>VLOOKUP(Table_Query_from_Actuarial___Production3[[#This Row],[Kor1]],$AI$3:$AK$105,3,FALSE)</f>
        <v>Misc. Expense</v>
      </c>
      <c r="AF1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1" spans="18:32" x14ac:dyDescent="0.2">
      <c r="R1791" t="s">
        <v>11</v>
      </c>
      <c r="S1791" t="s">
        <v>244</v>
      </c>
      <c r="T1791" t="s">
        <v>427</v>
      </c>
      <c r="U1791" s="21">
        <v>1247780.8</v>
      </c>
      <c r="V1791" s="21" t="s">
        <v>368</v>
      </c>
      <c r="W1791" t="str">
        <f>VLOOKUP(Table_Query_from_Actuarial___Production[[#This Row],[Kor1]],$AI$3:$AK$105,3,FALSE)</f>
        <v>Losses Paid</v>
      </c>
      <c r="X1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1"/>
      <c r="Z1791" t="s">
        <v>10</v>
      </c>
      <c r="AA1791" t="s">
        <v>224</v>
      </c>
      <c r="AB1791" t="s">
        <v>5</v>
      </c>
      <c r="AC1791" s="21">
        <v>19190.46</v>
      </c>
      <c r="AD1791" s="21" t="s">
        <v>425</v>
      </c>
      <c r="AE1791" t="str">
        <f>VLOOKUP(Table_Query_from_Actuarial___Production3[[#This Row],[Kor1]],$AI$3:$AK$105,3,FALSE)</f>
        <v>Commissions</v>
      </c>
      <c r="AF1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792" spans="18:32" x14ac:dyDescent="0.2">
      <c r="R1792" t="s">
        <v>10</v>
      </c>
      <c r="S1792" t="s">
        <v>237</v>
      </c>
      <c r="T1792" t="s">
        <v>6</v>
      </c>
      <c r="U1792" s="21">
        <v>136857.75</v>
      </c>
      <c r="V1792" s="21" t="s">
        <v>368</v>
      </c>
      <c r="W1792" t="str">
        <f>VLOOKUP(Table_Query_from_Actuarial___Production[[#This Row],[Kor1]],$AI$3:$AK$105,3,FALSE)</f>
        <v>Commissions</v>
      </c>
      <c r="X1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2"/>
      <c r="Z1792" t="s">
        <v>17</v>
      </c>
      <c r="AA1792" t="s">
        <v>4</v>
      </c>
      <c r="AB1792" t="s">
        <v>442</v>
      </c>
      <c r="AC1792" s="21">
        <v>17239166.010000002</v>
      </c>
      <c r="AD1792" s="21" t="s">
        <v>368</v>
      </c>
      <c r="AE1792" t="str">
        <f>VLOOKUP(Table_Query_from_Actuarial___Production3[[#This Row],[Kor1]],$AI$3:$AK$105,3,FALSE)</f>
        <v>IBNR</v>
      </c>
      <c r="AF1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3" spans="18:32" x14ac:dyDescent="0.2">
      <c r="R1793" t="s">
        <v>39</v>
      </c>
      <c r="S1793" t="s">
        <v>256</v>
      </c>
      <c r="T1793" t="s">
        <v>351</v>
      </c>
      <c r="U1793" s="21">
        <v>2155</v>
      </c>
      <c r="V1793" s="21" t="s">
        <v>368</v>
      </c>
      <c r="W1793" t="str">
        <f>VLOOKUP(Table_Query_from_Actuarial___Production[[#This Row],[Kor1]],$AI$3:$AK$105,3,FALSE)</f>
        <v>Misc. Income for Insolvent Companies</v>
      </c>
      <c r="X1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3"/>
      <c r="Z1793" t="s">
        <v>36</v>
      </c>
      <c r="AA1793" t="s">
        <v>264</v>
      </c>
      <c r="AB1793" t="s">
        <v>9</v>
      </c>
      <c r="AC1793" s="21">
        <v>-62.58</v>
      </c>
      <c r="AD1793" s="21" t="s">
        <v>368</v>
      </c>
      <c r="AE1793" t="str">
        <f>VLOOKUP(Table_Query_from_Actuarial___Production3[[#This Row],[Kor1]],$AI$3:$AK$105,3,FALSE)</f>
        <v>Misc. Expense</v>
      </c>
      <c r="AF1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4" spans="18:32" x14ac:dyDescent="0.2">
      <c r="R1794" t="s">
        <v>33</v>
      </c>
      <c r="S1794" t="s">
        <v>256</v>
      </c>
      <c r="T1794" t="s">
        <v>351</v>
      </c>
      <c r="U1794" s="21">
        <v>18945.88</v>
      </c>
      <c r="V1794" s="21" t="s">
        <v>368</v>
      </c>
      <c r="W1794" t="str">
        <f>VLOOKUP(Table_Query_from_Actuarial___Production[[#This Row],[Kor1]],$AI$3:$AK$105,3,FALSE)</f>
        <v>Misc. Expense</v>
      </c>
      <c r="X1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4"/>
      <c r="Z1794" t="s">
        <v>22</v>
      </c>
      <c r="AA1794" t="s">
        <v>259</v>
      </c>
      <c r="AB1794" t="s">
        <v>356</v>
      </c>
      <c r="AC1794" s="21">
        <v>18571.75</v>
      </c>
      <c r="AD1794" s="21" t="s">
        <v>368</v>
      </c>
      <c r="AE1794" t="str">
        <f>VLOOKUP(Table_Query_from_Actuarial___Production3[[#This Row],[Kor1]],$AI$3:$AK$105,3,FALSE)</f>
        <v>Misc. Expense</v>
      </c>
      <c r="AF1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5" spans="18:32" x14ac:dyDescent="0.2">
      <c r="R1795" t="s">
        <v>12</v>
      </c>
      <c r="S1795" t="s">
        <v>241</v>
      </c>
      <c r="T1795" t="s">
        <v>433</v>
      </c>
      <c r="U1795" s="21">
        <v>8735.86</v>
      </c>
      <c r="V1795" s="21" t="s">
        <v>368</v>
      </c>
      <c r="W1795" t="str">
        <f>VLOOKUP(Table_Query_from_Actuarial___Production[[#This Row],[Kor1]],$AI$3:$AK$105,3,FALSE)</f>
        <v>Premium Tax</v>
      </c>
      <c r="X1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5"/>
      <c r="Z1795" t="s">
        <v>43</v>
      </c>
      <c r="AA1795" t="s">
        <v>265</v>
      </c>
      <c r="AB1795" t="s">
        <v>6</v>
      </c>
      <c r="AC1795" s="21">
        <v>-78.849999999999994</v>
      </c>
      <c r="AD1795" s="21" t="s">
        <v>368</v>
      </c>
      <c r="AE1795" t="str">
        <f>VLOOKUP(Table_Query_from_Actuarial___Production3[[#This Row],[Kor1]],$AI$3:$AK$105,3,FALSE)</f>
        <v>Charge-offs</v>
      </c>
      <c r="AF1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6" spans="18:32" x14ac:dyDescent="0.2">
      <c r="R1796" t="s">
        <v>13</v>
      </c>
      <c r="S1796" t="s">
        <v>266</v>
      </c>
      <c r="T1796" t="s">
        <v>433</v>
      </c>
      <c r="U1796" s="21">
        <v>207139.35</v>
      </c>
      <c r="V1796" s="21" t="s">
        <v>368</v>
      </c>
      <c r="W1796" t="str">
        <f>VLOOKUP(Table_Query_from_Actuarial___Production[[#This Row],[Kor1]],$AI$3:$AK$105,3,FALSE)</f>
        <v>Operating Service Fees</v>
      </c>
      <c r="X1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6"/>
      <c r="Z1796" t="s">
        <v>11</v>
      </c>
      <c r="AA1796" t="s">
        <v>352</v>
      </c>
      <c r="AB1796" t="s">
        <v>351</v>
      </c>
      <c r="AC1796" s="21">
        <v>37614.68</v>
      </c>
      <c r="AD1796" s="21" t="s">
        <v>369</v>
      </c>
      <c r="AE1796" t="str">
        <f>VLOOKUP(Table_Query_from_Actuarial___Production3[[#This Row],[Kor1]],$AI$3:$AK$105,3,FALSE)</f>
        <v>Losses Paid</v>
      </c>
      <c r="AF1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797" spans="18:32" x14ac:dyDescent="0.2">
      <c r="R1797" t="s">
        <v>10</v>
      </c>
      <c r="S1797" t="s">
        <v>226</v>
      </c>
      <c r="T1797" t="s">
        <v>351</v>
      </c>
      <c r="U1797" s="21">
        <v>366185.2</v>
      </c>
      <c r="V1797" s="21" t="s">
        <v>368</v>
      </c>
      <c r="W1797" t="str">
        <f>VLOOKUP(Table_Query_from_Actuarial___Production[[#This Row],[Kor1]],$AI$3:$AK$105,3,FALSE)</f>
        <v>Commissions</v>
      </c>
      <c r="X1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797"/>
      <c r="Z1797" t="s">
        <v>11</v>
      </c>
      <c r="AA1797" t="s">
        <v>256</v>
      </c>
      <c r="AB1797" t="s">
        <v>9</v>
      </c>
      <c r="AC1797" s="21">
        <v>42290.05</v>
      </c>
      <c r="AD1797" s="21" t="s">
        <v>368</v>
      </c>
      <c r="AE1797" t="str">
        <f>VLOOKUP(Table_Query_from_Actuarial___Production3[[#This Row],[Kor1]],$AI$3:$AK$105,3,FALSE)</f>
        <v>Losses Paid</v>
      </c>
      <c r="AF1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8" spans="18:32" x14ac:dyDescent="0.2">
      <c r="R1798" t="s">
        <v>10</v>
      </c>
      <c r="S1798" t="s">
        <v>227</v>
      </c>
      <c r="T1798" t="s">
        <v>9</v>
      </c>
      <c r="U1798" s="21">
        <v>8787.65</v>
      </c>
      <c r="V1798" s="21" t="s">
        <v>368</v>
      </c>
      <c r="W1798" t="str">
        <f>VLOOKUP(Table_Query_from_Actuarial___Production[[#This Row],[Kor1]],$AI$3:$AK$105,3,FALSE)</f>
        <v>Commissions</v>
      </c>
      <c r="X1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8"/>
      <c r="Z1798" t="s">
        <v>31</v>
      </c>
      <c r="AA1798" t="s">
        <v>228</v>
      </c>
      <c r="AB1798" t="s">
        <v>356</v>
      </c>
      <c r="AC1798" s="21">
        <v>965.42</v>
      </c>
      <c r="AD1798" s="21" t="s">
        <v>368</v>
      </c>
      <c r="AE1798" t="str">
        <f>VLOOKUP(Table_Query_from_Actuarial___Production3[[#This Row],[Kor1]],$AI$3:$AK$105,3,FALSE)</f>
        <v>Misc. Expense</v>
      </c>
      <c r="AF1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799" spans="18:32" x14ac:dyDescent="0.2">
      <c r="R1799" t="s">
        <v>49</v>
      </c>
      <c r="S1799" t="s">
        <v>237</v>
      </c>
      <c r="T1799" t="s">
        <v>356</v>
      </c>
      <c r="U1799" s="21">
        <v>2042606.28</v>
      </c>
      <c r="V1799" s="21" t="s">
        <v>368</v>
      </c>
      <c r="W1799" t="str">
        <f>VLOOKUP(Table_Query_from_Actuarial___Production[[#This Row],[Kor1]],$AI$3:$AK$105,3,FALSE)</f>
        <v>ALAE Paid</v>
      </c>
      <c r="X1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799"/>
      <c r="Z1799" t="s">
        <v>33</v>
      </c>
      <c r="AA1799" t="s">
        <v>256</v>
      </c>
      <c r="AB1799" t="s">
        <v>441</v>
      </c>
      <c r="AC1799" s="21">
        <v>22680.75</v>
      </c>
      <c r="AD1799" s="21" t="s">
        <v>368</v>
      </c>
      <c r="AE1799" t="str">
        <f>VLOOKUP(Table_Query_from_Actuarial___Production3[[#This Row],[Kor1]],$AI$3:$AK$105,3,FALSE)</f>
        <v>Misc. Expense</v>
      </c>
      <c r="AF1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0" spans="18:32" x14ac:dyDescent="0.2">
      <c r="R1800" t="s">
        <v>33</v>
      </c>
      <c r="S1800" t="s">
        <v>245</v>
      </c>
      <c r="T1800" t="s">
        <v>9</v>
      </c>
      <c r="U1800" s="21">
        <v>11257.39</v>
      </c>
      <c r="V1800" s="21" t="s">
        <v>368</v>
      </c>
      <c r="W1800" t="str">
        <f>VLOOKUP(Table_Query_from_Actuarial___Production[[#This Row],[Kor1]],$AI$3:$AK$105,3,FALSE)</f>
        <v>Misc. Expense</v>
      </c>
      <c r="X1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0"/>
      <c r="Z1800" t="s">
        <v>3</v>
      </c>
      <c r="AA1800" t="s">
        <v>231</v>
      </c>
      <c r="AB1800" t="s">
        <v>441</v>
      </c>
      <c r="AC1800" s="21">
        <v>2239887</v>
      </c>
      <c r="AD1800" s="21" t="s">
        <v>368</v>
      </c>
      <c r="AE1800" t="str">
        <f>VLOOKUP(Table_Query_from_Actuarial___Production3[[#This Row],[Kor1]],$AI$3:$AK$105,3,FALSE)</f>
        <v>Premiums Written</v>
      </c>
      <c r="AF1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1" spans="18:32" x14ac:dyDescent="0.2">
      <c r="R1801" t="s">
        <v>37</v>
      </c>
      <c r="S1801" t="s">
        <v>265</v>
      </c>
      <c r="T1801" t="s">
        <v>8</v>
      </c>
      <c r="U1801" s="21">
        <v>72.88</v>
      </c>
      <c r="V1801" s="21" t="s">
        <v>368</v>
      </c>
      <c r="W1801" t="str">
        <f>VLOOKUP(Table_Query_from_Actuarial___Production[[#This Row],[Kor1]],$AI$3:$AK$105,3,FALSE)</f>
        <v>Misc. Expense</v>
      </c>
      <c r="X1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1"/>
      <c r="Z1801" t="s">
        <v>37</v>
      </c>
      <c r="AA1801" t="s">
        <v>230</v>
      </c>
      <c r="AB1801" t="s">
        <v>7</v>
      </c>
      <c r="AC1801" s="21">
        <v>59107.64</v>
      </c>
      <c r="AD1801" s="21" t="s">
        <v>368</v>
      </c>
      <c r="AE1801" t="str">
        <f>VLOOKUP(Table_Query_from_Actuarial___Production3[[#This Row],[Kor1]],$AI$3:$AK$105,3,FALSE)</f>
        <v>Misc. Expense</v>
      </c>
      <c r="AF1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2" spans="18:32" x14ac:dyDescent="0.2">
      <c r="R1802" t="s">
        <v>43</v>
      </c>
      <c r="S1802" t="s">
        <v>264</v>
      </c>
      <c r="T1802" t="s">
        <v>9</v>
      </c>
      <c r="U1802" s="21">
        <v>968.92</v>
      </c>
      <c r="V1802" s="21" t="s">
        <v>368</v>
      </c>
      <c r="W1802" t="str">
        <f>VLOOKUP(Table_Query_from_Actuarial___Production[[#This Row],[Kor1]],$AI$3:$AK$105,3,FALSE)</f>
        <v>Charge-offs</v>
      </c>
      <c r="X1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2"/>
      <c r="Z1802" t="s">
        <v>39</v>
      </c>
      <c r="AA1802" t="s">
        <v>4</v>
      </c>
      <c r="AB1802" t="s">
        <v>351</v>
      </c>
      <c r="AC1802" s="21">
        <v>137774.74</v>
      </c>
      <c r="AD1802" s="21" t="s">
        <v>368</v>
      </c>
      <c r="AE1802" t="str">
        <f>VLOOKUP(Table_Query_from_Actuarial___Production3[[#This Row],[Kor1]],$AI$3:$AK$105,3,FALSE)</f>
        <v>Misc. Income for Insolvent Companies</v>
      </c>
      <c r="AF1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3" spans="18:32" x14ac:dyDescent="0.2">
      <c r="R1803" t="s">
        <v>44</v>
      </c>
      <c r="S1803" t="s">
        <v>264</v>
      </c>
      <c r="T1803" t="s">
        <v>9</v>
      </c>
      <c r="U1803" s="21">
        <v>40476.42</v>
      </c>
      <c r="V1803" s="21" t="s">
        <v>368</v>
      </c>
      <c r="W1803" t="str">
        <f>VLOOKUP(Table_Query_from_Actuarial___Production[[#This Row],[Kor1]],$AI$3:$AK$105,3,FALSE)</f>
        <v>Charge-offs</v>
      </c>
      <c r="X1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3"/>
      <c r="Z1803" t="s">
        <v>44</v>
      </c>
      <c r="AA1803" t="s">
        <v>225</v>
      </c>
      <c r="AB1803" t="s">
        <v>9</v>
      </c>
      <c r="AC1803" s="21">
        <v>17671.7</v>
      </c>
      <c r="AD1803" s="21" t="s">
        <v>369</v>
      </c>
      <c r="AE1803" t="str">
        <f>VLOOKUP(Table_Query_from_Actuarial___Production3[[#This Row],[Kor1]],$AI$3:$AK$105,3,FALSE)</f>
        <v>Charge-offs</v>
      </c>
      <c r="AF1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804" spans="18:32" x14ac:dyDescent="0.2">
      <c r="R1804" t="s">
        <v>33</v>
      </c>
      <c r="S1804" t="s">
        <v>244</v>
      </c>
      <c r="T1804" t="s">
        <v>433</v>
      </c>
      <c r="U1804" s="21">
        <v>14252.28</v>
      </c>
      <c r="V1804" s="21" t="s">
        <v>368</v>
      </c>
      <c r="W1804" t="str">
        <f>VLOOKUP(Table_Query_from_Actuarial___Production[[#This Row],[Kor1]],$AI$3:$AK$105,3,FALSE)</f>
        <v>Misc. Expense</v>
      </c>
      <c r="X1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4"/>
      <c r="Z1804" t="s">
        <v>31</v>
      </c>
      <c r="AA1804" t="s">
        <v>230</v>
      </c>
      <c r="AB1804" t="s">
        <v>356</v>
      </c>
      <c r="AC1804" s="21">
        <v>3432.39</v>
      </c>
      <c r="AD1804" s="21" t="s">
        <v>368</v>
      </c>
      <c r="AE1804" t="str">
        <f>VLOOKUP(Table_Query_from_Actuarial___Production3[[#This Row],[Kor1]],$AI$3:$AK$105,3,FALSE)</f>
        <v>Misc. Expense</v>
      </c>
      <c r="AF1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5" spans="18:32" x14ac:dyDescent="0.2">
      <c r="R1805" t="s">
        <v>47</v>
      </c>
      <c r="S1805" t="s">
        <v>260</v>
      </c>
      <c r="T1805" t="s">
        <v>427</v>
      </c>
      <c r="U1805" s="21">
        <v>716.58</v>
      </c>
      <c r="V1805" s="21" t="s">
        <v>368</v>
      </c>
      <c r="W1805" t="str">
        <f>VLOOKUP(Table_Query_from_Actuarial___Production[[#This Row],[Kor1]],$AI$3:$AK$105,3,FALSE)</f>
        <v>Investment Income</v>
      </c>
      <c r="X1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5"/>
      <c r="Z1805" t="s">
        <v>33</v>
      </c>
      <c r="AA1805" t="s">
        <v>234</v>
      </c>
      <c r="AB1805" t="s">
        <v>433</v>
      </c>
      <c r="AC1805" s="21">
        <v>15311.03</v>
      </c>
      <c r="AD1805" s="21" t="s">
        <v>368</v>
      </c>
      <c r="AE1805" t="str">
        <f>VLOOKUP(Table_Query_from_Actuarial___Production3[[#This Row],[Kor1]],$AI$3:$AK$105,3,FALSE)</f>
        <v>Misc. Expense</v>
      </c>
      <c r="AF1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6" spans="18:32" x14ac:dyDescent="0.2">
      <c r="R1806" t="s">
        <v>439</v>
      </c>
      <c r="S1806" t="s">
        <v>253</v>
      </c>
      <c r="T1806" t="s">
        <v>443</v>
      </c>
      <c r="U1806" s="21">
        <v>-1182.22</v>
      </c>
      <c r="V1806" s="21" t="s">
        <v>368</v>
      </c>
      <c r="W1806" t="str">
        <f>VLOOKUP(Table_Query_from_Actuarial___Production[[#This Row],[Kor1]],$AI$3:$AK$105,3,FALSE)</f>
        <v>Operating Service Fees</v>
      </c>
      <c r="X1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6"/>
      <c r="Z1806" t="s">
        <v>28</v>
      </c>
      <c r="AA1806" t="s">
        <v>259</v>
      </c>
      <c r="AB1806" t="s">
        <v>5</v>
      </c>
      <c r="AC1806" s="21">
        <v>274.22000000000003</v>
      </c>
      <c r="AD1806" s="21" t="s">
        <v>368</v>
      </c>
      <c r="AE1806" t="str">
        <f>VLOOKUP(Table_Query_from_Actuarial___Production3[[#This Row],[Kor1]],$AI$3:$AK$105,3,FALSE)</f>
        <v>Misc. Expense</v>
      </c>
      <c r="AF1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7" spans="18:32" x14ac:dyDescent="0.2">
      <c r="R1807" t="s">
        <v>48</v>
      </c>
      <c r="S1807" t="s">
        <v>228</v>
      </c>
      <c r="T1807" t="s">
        <v>427</v>
      </c>
      <c r="U1807" s="21">
        <v>996.06</v>
      </c>
      <c r="V1807" s="21" t="s">
        <v>368</v>
      </c>
      <c r="W1807" t="str">
        <f>VLOOKUP(Table_Query_from_Actuarial___Production[[#This Row],[Kor1]],$AI$3:$AK$105,3,FALSE)</f>
        <v>Anticipated Salvage</v>
      </c>
      <c r="X1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7"/>
      <c r="Z1807" t="s">
        <v>34</v>
      </c>
      <c r="AA1807" t="s">
        <v>249</v>
      </c>
      <c r="AB1807" t="s">
        <v>427</v>
      </c>
      <c r="AC1807" s="21">
        <v>998.46</v>
      </c>
      <c r="AD1807" s="21" t="s">
        <v>368</v>
      </c>
      <c r="AE1807" t="str">
        <f>VLOOKUP(Table_Query_from_Actuarial___Production3[[#This Row],[Kor1]],$AI$3:$AK$105,3,FALSE)</f>
        <v>Misc. Expense</v>
      </c>
      <c r="AF1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8" spans="18:32" x14ac:dyDescent="0.2">
      <c r="R1808" t="s">
        <v>17</v>
      </c>
      <c r="S1808" t="s">
        <v>243</v>
      </c>
      <c r="T1808" t="s">
        <v>441</v>
      </c>
      <c r="U1808" s="21">
        <v>35860.370000000003</v>
      </c>
      <c r="V1808" s="21" t="s">
        <v>368</v>
      </c>
      <c r="W1808" t="str">
        <f>VLOOKUP(Table_Query_from_Actuarial___Production[[#This Row],[Kor1]],$AI$3:$AK$105,3,FALSE)</f>
        <v>IBNR</v>
      </c>
      <c r="X1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8"/>
      <c r="Z1808" t="s">
        <v>40</v>
      </c>
      <c r="AA1808" t="s">
        <v>263</v>
      </c>
      <c r="AB1808" t="s">
        <v>8</v>
      </c>
      <c r="AC1808" s="21">
        <v>177</v>
      </c>
      <c r="AD1808" s="21" t="s">
        <v>368</v>
      </c>
      <c r="AE1808" t="str">
        <f>VLOOKUP(Table_Query_from_Actuarial___Production3[[#This Row],[Kor1]],$AI$3:$AK$105,3,FALSE)</f>
        <v>Misc. Income</v>
      </c>
      <c r="AF1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09" spans="18:32" x14ac:dyDescent="0.2">
      <c r="R1809" t="s">
        <v>11</v>
      </c>
      <c r="S1809" t="s">
        <v>252</v>
      </c>
      <c r="T1809" t="s">
        <v>8</v>
      </c>
      <c r="U1809" s="21">
        <v>23039586.559999999</v>
      </c>
      <c r="V1809" s="21" t="s">
        <v>368</v>
      </c>
      <c r="W1809" t="str">
        <f>VLOOKUP(Table_Query_from_Actuarial___Production[[#This Row],[Kor1]],$AI$3:$AK$105,3,FALSE)</f>
        <v>Losses Paid</v>
      </c>
      <c r="X1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09"/>
      <c r="Z1809" t="s">
        <v>13</v>
      </c>
      <c r="AA1809" t="s">
        <v>226</v>
      </c>
      <c r="AB1809" t="s">
        <v>427</v>
      </c>
      <c r="AC1809" s="21">
        <v>924165.47</v>
      </c>
      <c r="AD1809" s="21" t="s">
        <v>368</v>
      </c>
      <c r="AE1809" t="str">
        <f>VLOOKUP(Table_Query_from_Actuarial___Production3[[#This Row],[Kor1]],$AI$3:$AK$105,3,FALSE)</f>
        <v>Operating Service Fees</v>
      </c>
      <c r="AF1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810" spans="18:32" x14ac:dyDescent="0.2">
      <c r="R1810" t="s">
        <v>10</v>
      </c>
      <c r="S1810" t="s">
        <v>259</v>
      </c>
      <c r="T1810" t="s">
        <v>442</v>
      </c>
      <c r="U1810" s="21">
        <v>4126.13</v>
      </c>
      <c r="V1810" s="21" t="s">
        <v>368</v>
      </c>
      <c r="W1810" t="str">
        <f>VLOOKUP(Table_Query_from_Actuarial___Production[[#This Row],[Kor1]],$AI$3:$AK$105,3,FALSE)</f>
        <v>Commissions</v>
      </c>
      <c r="X1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0"/>
      <c r="Z1810" t="s">
        <v>13</v>
      </c>
      <c r="AA1810" t="s">
        <v>237</v>
      </c>
      <c r="AB1810" t="s">
        <v>9</v>
      </c>
      <c r="AC1810" s="21">
        <v>3041234.54</v>
      </c>
      <c r="AD1810" s="21" t="s">
        <v>368</v>
      </c>
      <c r="AE1810" t="str">
        <f>VLOOKUP(Table_Query_from_Actuarial___Production3[[#This Row],[Kor1]],$AI$3:$AK$105,3,FALSE)</f>
        <v>Operating Service Fees</v>
      </c>
      <c r="AF1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1" spans="18:32" x14ac:dyDescent="0.2">
      <c r="R1811" t="s">
        <v>14</v>
      </c>
      <c r="S1811" t="s">
        <v>245</v>
      </c>
      <c r="T1811" t="s">
        <v>7</v>
      </c>
      <c r="U1811" s="21">
        <v>2632.54</v>
      </c>
      <c r="V1811" s="21" t="s">
        <v>368</v>
      </c>
      <c r="W1811" t="str">
        <f>VLOOKUP(Table_Query_from_Actuarial___Production[[#This Row],[Kor1]],$AI$3:$AK$105,3,FALSE)</f>
        <v>Claims Expense</v>
      </c>
      <c r="X1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1"/>
      <c r="Z1811" t="s">
        <v>19</v>
      </c>
      <c r="AA1811" t="s">
        <v>252</v>
      </c>
      <c r="AB1811" t="s">
        <v>5</v>
      </c>
      <c r="AC1811" s="21">
        <v>242344.03</v>
      </c>
      <c r="AD1811" s="21" t="s">
        <v>368</v>
      </c>
      <c r="AE1811" t="str">
        <f>VLOOKUP(Table_Query_from_Actuarial___Production3[[#This Row],[Kor1]],$AI$3:$AK$105,3,FALSE)</f>
        <v>Misc. Expense for Insolvent Companies</v>
      </c>
      <c r="AF1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2" spans="18:32" x14ac:dyDescent="0.2">
      <c r="R1812" t="s">
        <v>31</v>
      </c>
      <c r="S1812" t="s">
        <v>248</v>
      </c>
      <c r="T1812" t="s">
        <v>433</v>
      </c>
      <c r="U1812" s="21">
        <v>895.68</v>
      </c>
      <c r="V1812" s="21" t="s">
        <v>368</v>
      </c>
      <c r="W1812" t="str">
        <f>VLOOKUP(Table_Query_from_Actuarial___Production[[#This Row],[Kor1]],$AI$3:$AK$105,3,FALSE)</f>
        <v>Misc. Expense</v>
      </c>
      <c r="X1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2"/>
      <c r="Z1812" t="s">
        <v>37</v>
      </c>
      <c r="AA1812" t="s">
        <v>256</v>
      </c>
      <c r="AB1812" t="s">
        <v>9</v>
      </c>
      <c r="AC1812" s="21">
        <v>181.87</v>
      </c>
      <c r="AD1812" s="21" t="s">
        <v>368</v>
      </c>
      <c r="AE1812" t="str">
        <f>VLOOKUP(Table_Query_from_Actuarial___Production3[[#This Row],[Kor1]],$AI$3:$AK$105,3,FALSE)</f>
        <v>Misc. Expense</v>
      </c>
      <c r="AF1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3" spans="18:32" x14ac:dyDescent="0.2">
      <c r="R1813" t="s">
        <v>43</v>
      </c>
      <c r="S1813" t="s">
        <v>241</v>
      </c>
      <c r="T1813" t="s">
        <v>356</v>
      </c>
      <c r="U1813" s="21">
        <v>-1837.87</v>
      </c>
      <c r="V1813" s="21" t="s">
        <v>368</v>
      </c>
      <c r="W1813" t="str">
        <f>VLOOKUP(Table_Query_from_Actuarial___Production[[#This Row],[Kor1]],$AI$3:$AK$105,3,FALSE)</f>
        <v>Charge-offs</v>
      </c>
      <c r="X1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3"/>
      <c r="Z1813" t="s">
        <v>14</v>
      </c>
      <c r="AA1813" t="s">
        <v>224</v>
      </c>
      <c r="AB1813" t="s">
        <v>6</v>
      </c>
      <c r="AC1813" s="21">
        <v>188119.04000000001</v>
      </c>
      <c r="AD1813" s="21" t="s">
        <v>368</v>
      </c>
      <c r="AE1813" t="str">
        <f>VLOOKUP(Table_Query_from_Actuarial___Production3[[#This Row],[Kor1]],$AI$3:$AK$105,3,FALSE)</f>
        <v>Claims Expense</v>
      </c>
      <c r="AF1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814" spans="18:32" x14ac:dyDescent="0.2">
      <c r="R1814" t="s">
        <v>10</v>
      </c>
      <c r="S1814" t="s">
        <v>224</v>
      </c>
      <c r="T1814" t="s">
        <v>441</v>
      </c>
      <c r="U1814" s="21">
        <v>665.08</v>
      </c>
      <c r="V1814" s="21" t="s">
        <v>425</v>
      </c>
      <c r="W1814" t="str">
        <f>VLOOKUP(Table_Query_from_Actuarial___Production[[#This Row],[Kor1]],$AI$3:$AK$105,3,FALSE)</f>
        <v>Commissions</v>
      </c>
      <c r="X1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814"/>
      <c r="Z1814" t="s">
        <v>10</v>
      </c>
      <c r="AA1814" t="s">
        <v>263</v>
      </c>
      <c r="AB1814" t="s">
        <v>5</v>
      </c>
      <c r="AC1814" s="21">
        <v>28245.45</v>
      </c>
      <c r="AD1814" s="21" t="s">
        <v>368</v>
      </c>
      <c r="AE1814" t="str">
        <f>VLOOKUP(Table_Query_from_Actuarial___Production3[[#This Row],[Kor1]],$AI$3:$AK$105,3,FALSE)</f>
        <v>Commissions</v>
      </c>
      <c r="AF1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5" spans="18:32" x14ac:dyDescent="0.2">
      <c r="R1815" t="s">
        <v>33</v>
      </c>
      <c r="S1815" t="s">
        <v>232</v>
      </c>
      <c r="T1815" t="s">
        <v>8</v>
      </c>
      <c r="U1815" s="21">
        <v>16199.24</v>
      </c>
      <c r="V1815" s="21" t="s">
        <v>368</v>
      </c>
      <c r="W1815" t="str">
        <f>VLOOKUP(Table_Query_from_Actuarial___Production[[#This Row],[Kor1]],$AI$3:$AK$105,3,FALSE)</f>
        <v>Misc. Expense</v>
      </c>
      <c r="X1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5"/>
      <c r="Z1815" t="s">
        <v>47</v>
      </c>
      <c r="AA1815" t="s">
        <v>250</v>
      </c>
      <c r="AB1815" t="s">
        <v>441</v>
      </c>
      <c r="AC1815" s="21">
        <v>26.73</v>
      </c>
      <c r="AD1815" s="21" t="s">
        <v>368</v>
      </c>
      <c r="AE1815" t="str">
        <f>VLOOKUP(Table_Query_from_Actuarial___Production3[[#This Row],[Kor1]],$AI$3:$AK$105,3,FALSE)</f>
        <v>Investment Income</v>
      </c>
      <c r="AF1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6" spans="18:32" x14ac:dyDescent="0.2">
      <c r="R1816" t="s">
        <v>41</v>
      </c>
      <c r="S1816" t="s">
        <v>252</v>
      </c>
      <c r="T1816" t="s">
        <v>9</v>
      </c>
      <c r="U1816" s="21">
        <v>-2668.64</v>
      </c>
      <c r="V1816" s="21" t="s">
        <v>368</v>
      </c>
      <c r="W1816" t="str">
        <f>VLOOKUP(Table_Query_from_Actuarial___Production[[#This Row],[Kor1]],$AI$3:$AK$105,3,FALSE)</f>
        <v>Misc. Income</v>
      </c>
      <c r="X1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6"/>
      <c r="Z1816" t="s">
        <v>10</v>
      </c>
      <c r="AA1816" t="s">
        <v>246</v>
      </c>
      <c r="AB1816" t="s">
        <v>433</v>
      </c>
      <c r="AC1816" s="21">
        <v>195866.55</v>
      </c>
      <c r="AD1816" s="21" t="s">
        <v>368</v>
      </c>
      <c r="AE1816" t="str">
        <f>VLOOKUP(Table_Query_from_Actuarial___Production3[[#This Row],[Kor1]],$AI$3:$AK$105,3,FALSE)</f>
        <v>Commissions</v>
      </c>
      <c r="AF1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7" spans="18:32" x14ac:dyDescent="0.2">
      <c r="R1817" t="s">
        <v>11</v>
      </c>
      <c r="S1817" t="s">
        <v>352</v>
      </c>
      <c r="T1817" t="s">
        <v>7</v>
      </c>
      <c r="U1817" s="21">
        <v>241730.07</v>
      </c>
      <c r="V1817" s="21" t="s">
        <v>369</v>
      </c>
      <c r="W1817" t="str">
        <f>VLOOKUP(Table_Query_from_Actuarial___Production[[#This Row],[Kor1]],$AI$3:$AK$105,3,FALSE)</f>
        <v>Losses Paid</v>
      </c>
      <c r="X1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817"/>
      <c r="Z1817" t="s">
        <v>47</v>
      </c>
      <c r="AA1817" t="s">
        <v>247</v>
      </c>
      <c r="AB1817" t="s">
        <v>356</v>
      </c>
      <c r="AC1817" s="21">
        <v>287.77</v>
      </c>
      <c r="AD1817" s="21" t="s">
        <v>368</v>
      </c>
      <c r="AE1817" t="str">
        <f>VLOOKUP(Table_Query_from_Actuarial___Production3[[#This Row],[Kor1]],$AI$3:$AK$105,3,FALSE)</f>
        <v>Investment Income</v>
      </c>
      <c r="AF1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8" spans="18:32" x14ac:dyDescent="0.2">
      <c r="R1818" t="s">
        <v>16</v>
      </c>
      <c r="S1818" t="s">
        <v>252</v>
      </c>
      <c r="T1818" t="s">
        <v>442</v>
      </c>
      <c r="U1818" s="21">
        <v>21555717.41</v>
      </c>
      <c r="V1818" s="21" t="s">
        <v>368</v>
      </c>
      <c r="W1818" t="str">
        <f>VLOOKUP(Table_Query_from_Actuarial___Production[[#This Row],[Kor1]],$AI$3:$AK$105,3,FALSE)</f>
        <v>Losses Outstanding</v>
      </c>
      <c r="X1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8"/>
      <c r="Z1818" t="s">
        <v>50</v>
      </c>
      <c r="AA1818" t="s">
        <v>238</v>
      </c>
      <c r="AB1818" t="s">
        <v>442</v>
      </c>
      <c r="AC1818" s="21">
        <v>45176.06</v>
      </c>
      <c r="AD1818" s="21" t="s">
        <v>368</v>
      </c>
      <c r="AE1818" t="str">
        <f>VLOOKUP(Table_Query_from_Actuarial___Production3[[#This Row],[Kor1]],$AI$3:$AK$105,3,FALSE)</f>
        <v>ALAE Reserve</v>
      </c>
      <c r="AF1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19" spans="18:32" x14ac:dyDescent="0.2">
      <c r="R1819" t="s">
        <v>39</v>
      </c>
      <c r="S1819" t="s">
        <v>250</v>
      </c>
      <c r="T1819" t="s">
        <v>351</v>
      </c>
      <c r="U1819" s="21">
        <v>809</v>
      </c>
      <c r="V1819" s="21" t="s">
        <v>368</v>
      </c>
      <c r="W1819" t="str">
        <f>VLOOKUP(Table_Query_from_Actuarial___Production[[#This Row],[Kor1]],$AI$3:$AK$105,3,FALSE)</f>
        <v>Misc. Income for Insolvent Companies</v>
      </c>
      <c r="X1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19"/>
      <c r="Z1819" t="s">
        <v>3</v>
      </c>
      <c r="AA1819" t="s">
        <v>354</v>
      </c>
      <c r="AB1819" t="s">
        <v>442</v>
      </c>
      <c r="AC1819" s="21">
        <v>143546299.41</v>
      </c>
      <c r="AD1819" s="21" t="s">
        <v>368</v>
      </c>
      <c r="AE1819" t="str">
        <f>VLOOKUP(Table_Query_from_Actuarial___Production3[[#This Row],[Kor1]],$AI$3:$AK$105,3,FALSE)</f>
        <v>Premiums Written</v>
      </c>
      <c r="AF1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820" spans="18:32" x14ac:dyDescent="0.2">
      <c r="R1820" t="s">
        <v>18</v>
      </c>
      <c r="S1820" t="s">
        <v>224</v>
      </c>
      <c r="T1820" t="s">
        <v>356</v>
      </c>
      <c r="U1820" s="21">
        <v>4246.3599999999997</v>
      </c>
      <c r="V1820" s="21" t="s">
        <v>369</v>
      </c>
      <c r="W1820" t="str">
        <f>VLOOKUP(Table_Query_from_Actuarial___Production[[#This Row],[Kor1]],$AI$3:$AK$105,3,FALSE)</f>
        <v>Misc. Expense</v>
      </c>
      <c r="X1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820"/>
      <c r="Z1820" t="s">
        <v>32</v>
      </c>
      <c r="AA1820" t="s">
        <v>258</v>
      </c>
      <c r="AB1820" t="s">
        <v>427</v>
      </c>
      <c r="AC1820" s="21">
        <v>10166.91</v>
      </c>
      <c r="AD1820" s="21" t="s">
        <v>368</v>
      </c>
      <c r="AE1820" t="str">
        <f>VLOOKUP(Table_Query_from_Actuarial___Production3[[#This Row],[Kor1]],$AI$3:$AK$105,3,FALSE)</f>
        <v>Misc. Expense</v>
      </c>
      <c r="AF1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1" spans="18:32" x14ac:dyDescent="0.2">
      <c r="R1821" t="s">
        <v>47</v>
      </c>
      <c r="S1821" t="s">
        <v>250</v>
      </c>
      <c r="T1821" t="s">
        <v>351</v>
      </c>
      <c r="U1821" s="21">
        <v>1442.4</v>
      </c>
      <c r="V1821" s="21" t="s">
        <v>368</v>
      </c>
      <c r="W1821" t="str">
        <f>VLOOKUP(Table_Query_from_Actuarial___Production[[#This Row],[Kor1]],$AI$3:$AK$105,3,FALSE)</f>
        <v>Investment Income</v>
      </c>
      <c r="X1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1"/>
      <c r="Z1821" t="s">
        <v>39</v>
      </c>
      <c r="AA1821" t="s">
        <v>231</v>
      </c>
      <c r="AB1821" t="s">
        <v>8</v>
      </c>
      <c r="AC1821" s="21">
        <v>220</v>
      </c>
      <c r="AD1821" s="21" t="s">
        <v>368</v>
      </c>
      <c r="AE1821" t="str">
        <f>VLOOKUP(Table_Query_from_Actuarial___Production3[[#This Row],[Kor1]],$AI$3:$AK$105,3,FALSE)</f>
        <v>Misc. Income for Insolvent Companies</v>
      </c>
      <c r="AF1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2" spans="18:32" x14ac:dyDescent="0.2">
      <c r="R1822" t="s">
        <v>3</v>
      </c>
      <c r="S1822" t="s">
        <v>258</v>
      </c>
      <c r="T1822" t="s">
        <v>442</v>
      </c>
      <c r="U1822" s="21">
        <v>3430326</v>
      </c>
      <c r="V1822" s="21" t="s">
        <v>368</v>
      </c>
      <c r="W1822" t="str">
        <f>VLOOKUP(Table_Query_from_Actuarial___Production[[#This Row],[Kor1]],$AI$3:$AK$105,3,FALSE)</f>
        <v>Premiums Written</v>
      </c>
      <c r="X1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2"/>
      <c r="Z1822" t="s">
        <v>40</v>
      </c>
      <c r="AA1822" t="s">
        <v>230</v>
      </c>
      <c r="AB1822" t="s">
        <v>442</v>
      </c>
      <c r="AC1822" s="21">
        <v>1652.58</v>
      </c>
      <c r="AD1822" s="21" t="s">
        <v>368</v>
      </c>
      <c r="AE1822" t="str">
        <f>VLOOKUP(Table_Query_from_Actuarial___Production3[[#This Row],[Kor1]],$AI$3:$AK$105,3,FALSE)</f>
        <v>Misc. Income</v>
      </c>
      <c r="AF1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3" spans="18:32" x14ac:dyDescent="0.2">
      <c r="R1823" t="s">
        <v>14</v>
      </c>
      <c r="S1823" t="s">
        <v>224</v>
      </c>
      <c r="T1823" t="s">
        <v>445</v>
      </c>
      <c r="U1823" s="21">
        <v>17802.52</v>
      </c>
      <c r="V1823" s="21" t="s">
        <v>368</v>
      </c>
      <c r="W1823" t="str">
        <f>VLOOKUP(Table_Query_from_Actuarial___Production[[#This Row],[Kor1]],$AI$3:$AK$105,3,FALSE)</f>
        <v>Claims Expense</v>
      </c>
      <c r="X1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823"/>
      <c r="Z1823" t="s">
        <v>47</v>
      </c>
      <c r="AA1823" t="s">
        <v>231</v>
      </c>
      <c r="AB1823" t="s">
        <v>8</v>
      </c>
      <c r="AC1823" s="21">
        <v>0.01</v>
      </c>
      <c r="AD1823" s="21" t="s">
        <v>368</v>
      </c>
      <c r="AE1823" t="str">
        <f>VLOOKUP(Table_Query_from_Actuarial___Production3[[#This Row],[Kor1]],$AI$3:$AK$105,3,FALSE)</f>
        <v>Investment Income</v>
      </c>
      <c r="AF1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4" spans="18:32" x14ac:dyDescent="0.2">
      <c r="R1824" t="s">
        <v>13</v>
      </c>
      <c r="S1824" t="s">
        <v>246</v>
      </c>
      <c r="T1824" t="s">
        <v>433</v>
      </c>
      <c r="U1824" s="21">
        <v>715218.85</v>
      </c>
      <c r="V1824" s="21" t="s">
        <v>368</v>
      </c>
      <c r="W1824" t="str">
        <f>VLOOKUP(Table_Query_from_Actuarial___Production[[#This Row],[Kor1]],$AI$3:$AK$105,3,FALSE)</f>
        <v>Operating Service Fees</v>
      </c>
      <c r="X1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4"/>
      <c r="Z1824" t="s">
        <v>33</v>
      </c>
      <c r="AA1824" t="s">
        <v>248</v>
      </c>
      <c r="AB1824" t="s">
        <v>8</v>
      </c>
      <c r="AC1824" s="21">
        <v>15284.77</v>
      </c>
      <c r="AD1824" s="21" t="s">
        <v>368</v>
      </c>
      <c r="AE1824" t="str">
        <f>VLOOKUP(Table_Query_from_Actuarial___Production3[[#This Row],[Kor1]],$AI$3:$AK$105,3,FALSE)</f>
        <v>Misc. Expense</v>
      </c>
      <c r="AF1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5" spans="18:32" x14ac:dyDescent="0.2">
      <c r="R1825" t="s">
        <v>41</v>
      </c>
      <c r="S1825" t="s">
        <v>255</v>
      </c>
      <c r="T1825" t="s">
        <v>7</v>
      </c>
      <c r="U1825" s="21">
        <v>200</v>
      </c>
      <c r="V1825" s="21" t="s">
        <v>368</v>
      </c>
      <c r="W1825" t="str">
        <f>VLOOKUP(Table_Query_from_Actuarial___Production[[#This Row],[Kor1]],$AI$3:$AK$105,3,FALSE)</f>
        <v>Misc. Income</v>
      </c>
      <c r="X1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5"/>
      <c r="Z1825" t="s">
        <v>3</v>
      </c>
      <c r="AA1825" t="s">
        <v>248</v>
      </c>
      <c r="AB1825" t="s">
        <v>8</v>
      </c>
      <c r="AC1825" s="21">
        <v>41721</v>
      </c>
      <c r="AD1825" s="21" t="s">
        <v>368</v>
      </c>
      <c r="AE1825" t="str">
        <f>VLOOKUP(Table_Query_from_Actuarial___Production3[[#This Row],[Kor1]],$AI$3:$AK$105,3,FALSE)</f>
        <v>Premiums Written</v>
      </c>
      <c r="AF1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6" spans="18:32" x14ac:dyDescent="0.2">
      <c r="R1826" t="s">
        <v>13</v>
      </c>
      <c r="S1826" t="s">
        <v>233</v>
      </c>
      <c r="T1826" t="s">
        <v>351</v>
      </c>
      <c r="U1826" s="21">
        <v>130696.73</v>
      </c>
      <c r="V1826" s="21" t="s">
        <v>368</v>
      </c>
      <c r="W1826" t="str">
        <f>VLOOKUP(Table_Query_from_Actuarial___Production[[#This Row],[Kor1]],$AI$3:$AK$105,3,FALSE)</f>
        <v>Operating Service Fees</v>
      </c>
      <c r="X1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6"/>
      <c r="Z1826" t="s">
        <v>20</v>
      </c>
      <c r="AA1826" t="s">
        <v>232</v>
      </c>
      <c r="AB1826" t="s">
        <v>442</v>
      </c>
      <c r="AC1826" s="21">
        <v>178.75</v>
      </c>
      <c r="AD1826" s="21" t="s">
        <v>368</v>
      </c>
      <c r="AE1826" t="str">
        <f>VLOOKUP(Table_Query_from_Actuarial___Production3[[#This Row],[Kor1]],$AI$3:$AK$105,3,FALSE)</f>
        <v>Misc. Expense</v>
      </c>
      <c r="AF1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7" spans="18:32" x14ac:dyDescent="0.2">
      <c r="R1827" t="s">
        <v>31</v>
      </c>
      <c r="S1827" t="s">
        <v>256</v>
      </c>
      <c r="T1827" t="s">
        <v>442</v>
      </c>
      <c r="U1827" s="21">
        <v>246.53</v>
      </c>
      <c r="V1827" s="21" t="s">
        <v>368</v>
      </c>
      <c r="W1827" t="str">
        <f>VLOOKUP(Table_Query_from_Actuarial___Production[[#This Row],[Kor1]],$AI$3:$AK$105,3,FALSE)</f>
        <v>Misc. Expense</v>
      </c>
      <c r="X1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7"/>
      <c r="Z1827" t="s">
        <v>31</v>
      </c>
      <c r="AA1827" t="s">
        <v>234</v>
      </c>
      <c r="AB1827" t="s">
        <v>433</v>
      </c>
      <c r="AC1827" s="21">
        <v>931.69</v>
      </c>
      <c r="AD1827" s="21" t="s">
        <v>368</v>
      </c>
      <c r="AE1827" t="str">
        <f>VLOOKUP(Table_Query_from_Actuarial___Production3[[#This Row],[Kor1]],$AI$3:$AK$105,3,FALSE)</f>
        <v>Misc. Expense</v>
      </c>
      <c r="AF1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8" spans="18:32" x14ac:dyDescent="0.2">
      <c r="R1828" t="s">
        <v>40</v>
      </c>
      <c r="S1828" t="s">
        <v>266</v>
      </c>
      <c r="T1828" t="s">
        <v>441</v>
      </c>
      <c r="U1828" s="21">
        <v>324.02</v>
      </c>
      <c r="V1828" s="21" t="s">
        <v>368</v>
      </c>
      <c r="W1828" t="str">
        <f>VLOOKUP(Table_Query_from_Actuarial___Production[[#This Row],[Kor1]],$AI$3:$AK$105,3,FALSE)</f>
        <v>Misc. Income</v>
      </c>
      <c r="X1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8"/>
      <c r="Z1828" t="s">
        <v>31</v>
      </c>
      <c r="AA1828" t="s">
        <v>242</v>
      </c>
      <c r="AB1828" t="s">
        <v>442</v>
      </c>
      <c r="AC1828" s="21">
        <v>479.45</v>
      </c>
      <c r="AD1828" s="21" t="s">
        <v>368</v>
      </c>
      <c r="AE1828" t="str">
        <f>VLOOKUP(Table_Query_from_Actuarial___Production3[[#This Row],[Kor1]],$AI$3:$AK$105,3,FALSE)</f>
        <v>Misc. Expense</v>
      </c>
      <c r="AF1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29" spans="18:32" x14ac:dyDescent="0.2">
      <c r="R1829" t="s">
        <v>41</v>
      </c>
      <c r="S1829" t="s">
        <v>242</v>
      </c>
      <c r="T1829" t="s">
        <v>6</v>
      </c>
      <c r="U1829" s="21">
        <v>1313.54</v>
      </c>
      <c r="V1829" s="21" t="s">
        <v>368</v>
      </c>
      <c r="W1829" t="str">
        <f>VLOOKUP(Table_Query_from_Actuarial___Production[[#This Row],[Kor1]],$AI$3:$AK$105,3,FALSE)</f>
        <v>Misc. Income</v>
      </c>
      <c r="X1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29"/>
      <c r="Z1829" t="s">
        <v>11</v>
      </c>
      <c r="AA1829" t="s">
        <v>251</v>
      </c>
      <c r="AB1829" t="s">
        <v>356</v>
      </c>
      <c r="AC1829" s="21">
        <v>768766.95</v>
      </c>
      <c r="AD1829" s="21" t="s">
        <v>368</v>
      </c>
      <c r="AE1829" t="str">
        <f>VLOOKUP(Table_Query_from_Actuarial___Production3[[#This Row],[Kor1]],$AI$3:$AK$105,3,FALSE)</f>
        <v>Losses Paid</v>
      </c>
      <c r="AF1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0" spans="18:32" x14ac:dyDescent="0.2">
      <c r="R1830" t="s">
        <v>21</v>
      </c>
      <c r="S1830" t="s">
        <v>261</v>
      </c>
      <c r="T1830" t="s">
        <v>441</v>
      </c>
      <c r="U1830" s="21">
        <v>1462.5</v>
      </c>
      <c r="V1830" s="21" t="s">
        <v>368</v>
      </c>
      <c r="W1830" t="str">
        <f>VLOOKUP(Table_Query_from_Actuarial___Production[[#This Row],[Kor1]],$AI$3:$AK$105,3,FALSE)</f>
        <v>Misc. Expense</v>
      </c>
      <c r="X1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0"/>
      <c r="Z1830" t="s">
        <v>39</v>
      </c>
      <c r="AA1830" t="s">
        <v>240</v>
      </c>
      <c r="AB1830" t="s">
        <v>7</v>
      </c>
      <c r="AC1830" s="21">
        <v>1811.01</v>
      </c>
      <c r="AD1830" s="21" t="s">
        <v>368</v>
      </c>
      <c r="AE1830" t="str">
        <f>VLOOKUP(Table_Query_from_Actuarial___Production3[[#This Row],[Kor1]],$AI$3:$AK$105,3,FALSE)</f>
        <v>Misc. Income for Insolvent Companies</v>
      </c>
      <c r="AF1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1" spans="18:32" x14ac:dyDescent="0.2">
      <c r="R1831" t="s">
        <v>33</v>
      </c>
      <c r="S1831" t="s">
        <v>243</v>
      </c>
      <c r="T1831" t="s">
        <v>6</v>
      </c>
      <c r="U1831" s="21">
        <v>14745.1</v>
      </c>
      <c r="V1831" s="21" t="s">
        <v>368</v>
      </c>
      <c r="W1831" t="str">
        <f>VLOOKUP(Table_Query_from_Actuarial___Production[[#This Row],[Kor1]],$AI$3:$AK$105,3,FALSE)</f>
        <v>Misc. Expense</v>
      </c>
      <c r="X1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1"/>
      <c r="Z1831" t="s">
        <v>50</v>
      </c>
      <c r="AA1831" t="s">
        <v>239</v>
      </c>
      <c r="AB1831" t="s">
        <v>442</v>
      </c>
      <c r="AC1831" s="21">
        <v>301914.96999999997</v>
      </c>
      <c r="AD1831" s="21" t="s">
        <v>368</v>
      </c>
      <c r="AE1831" t="str">
        <f>VLOOKUP(Table_Query_from_Actuarial___Production3[[#This Row],[Kor1]],$AI$3:$AK$105,3,FALSE)</f>
        <v>ALAE Reserve</v>
      </c>
      <c r="AF1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2" spans="18:32" x14ac:dyDescent="0.2">
      <c r="R1832" t="s">
        <v>12</v>
      </c>
      <c r="S1832" t="s">
        <v>266</v>
      </c>
      <c r="T1832" t="s">
        <v>351</v>
      </c>
      <c r="U1832" s="21">
        <v>11883.4</v>
      </c>
      <c r="V1832" s="21" t="s">
        <v>368</v>
      </c>
      <c r="W1832" t="str">
        <f>VLOOKUP(Table_Query_from_Actuarial___Production[[#This Row],[Kor1]],$AI$3:$AK$105,3,FALSE)</f>
        <v>Premium Tax</v>
      </c>
      <c r="X1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2"/>
      <c r="Z1832" t="s">
        <v>11</v>
      </c>
      <c r="AA1832" t="s">
        <v>244</v>
      </c>
      <c r="AB1832" t="s">
        <v>427</v>
      </c>
      <c r="AC1832" s="21">
        <v>1247780.8</v>
      </c>
      <c r="AD1832" s="21" t="s">
        <v>368</v>
      </c>
      <c r="AE1832" t="str">
        <f>VLOOKUP(Table_Query_from_Actuarial___Production3[[#This Row],[Kor1]],$AI$3:$AK$105,3,FALSE)</f>
        <v>Losses Paid</v>
      </c>
      <c r="AF1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3" spans="18:32" x14ac:dyDescent="0.2">
      <c r="R1833" t="s">
        <v>15</v>
      </c>
      <c r="S1833" t="s">
        <v>256</v>
      </c>
      <c r="T1833" t="s">
        <v>445</v>
      </c>
      <c r="U1833" s="21">
        <v>27678.22</v>
      </c>
      <c r="V1833" s="21" t="s">
        <v>368</v>
      </c>
      <c r="W1833" t="str">
        <f>VLOOKUP(Table_Query_from_Actuarial___Production[[#This Row],[Kor1]],$AI$3:$AK$105,3,FALSE)</f>
        <v>Unearned Premiums</v>
      </c>
      <c r="X1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3"/>
      <c r="Z1833" t="s">
        <v>10</v>
      </c>
      <c r="AA1833" t="s">
        <v>237</v>
      </c>
      <c r="AB1833" t="s">
        <v>6</v>
      </c>
      <c r="AC1833" s="21">
        <v>136857.75</v>
      </c>
      <c r="AD1833" s="21" t="s">
        <v>368</v>
      </c>
      <c r="AE1833" t="str">
        <f>VLOOKUP(Table_Query_from_Actuarial___Production3[[#This Row],[Kor1]],$AI$3:$AK$105,3,FALSE)</f>
        <v>Commissions</v>
      </c>
      <c r="AF1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4" spans="18:32" x14ac:dyDescent="0.2">
      <c r="R1834" t="s">
        <v>13</v>
      </c>
      <c r="S1834" t="s">
        <v>224</v>
      </c>
      <c r="T1834" t="s">
        <v>8</v>
      </c>
      <c r="U1834" s="21">
        <v>10543.28</v>
      </c>
      <c r="V1834" s="21" t="s">
        <v>369</v>
      </c>
      <c r="W1834" t="str">
        <f>VLOOKUP(Table_Query_from_Actuarial___Production[[#This Row],[Kor1]],$AI$3:$AK$105,3,FALSE)</f>
        <v>Operating Service Fees</v>
      </c>
      <c r="X1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834"/>
      <c r="Z1834" t="s">
        <v>39</v>
      </c>
      <c r="AA1834" t="s">
        <v>256</v>
      </c>
      <c r="AB1834" t="s">
        <v>351</v>
      </c>
      <c r="AC1834" s="21">
        <v>2155</v>
      </c>
      <c r="AD1834" s="21" t="s">
        <v>368</v>
      </c>
      <c r="AE1834" t="str">
        <f>VLOOKUP(Table_Query_from_Actuarial___Production3[[#This Row],[Kor1]],$AI$3:$AK$105,3,FALSE)</f>
        <v>Misc. Income for Insolvent Companies</v>
      </c>
      <c r="AF1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5" spans="18:32" x14ac:dyDescent="0.2">
      <c r="R1835" t="s">
        <v>41</v>
      </c>
      <c r="S1835" t="s">
        <v>235</v>
      </c>
      <c r="T1835" t="s">
        <v>443</v>
      </c>
      <c r="U1835" s="21">
        <v>1450</v>
      </c>
      <c r="V1835" s="21" t="s">
        <v>368</v>
      </c>
      <c r="W1835" t="str">
        <f>VLOOKUP(Table_Query_from_Actuarial___Production[[#This Row],[Kor1]],$AI$3:$AK$105,3,FALSE)</f>
        <v>Misc. Income</v>
      </c>
      <c r="X1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5"/>
      <c r="Z1835" t="s">
        <v>33</v>
      </c>
      <c r="AA1835" t="s">
        <v>256</v>
      </c>
      <c r="AB1835" t="s">
        <v>351</v>
      </c>
      <c r="AC1835" s="21">
        <v>18945.88</v>
      </c>
      <c r="AD1835" s="21" t="s">
        <v>368</v>
      </c>
      <c r="AE1835" t="str">
        <f>VLOOKUP(Table_Query_from_Actuarial___Production3[[#This Row],[Kor1]],$AI$3:$AK$105,3,FALSE)</f>
        <v>Misc. Expense</v>
      </c>
      <c r="AF1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6" spans="18:32" x14ac:dyDescent="0.2">
      <c r="R1836" t="s">
        <v>19</v>
      </c>
      <c r="S1836" t="s">
        <v>256</v>
      </c>
      <c r="T1836" t="s">
        <v>9</v>
      </c>
      <c r="U1836" s="21">
        <v>409</v>
      </c>
      <c r="V1836" s="21" t="s">
        <v>368</v>
      </c>
      <c r="W1836" t="str">
        <f>VLOOKUP(Table_Query_from_Actuarial___Production[[#This Row],[Kor1]],$AI$3:$AK$105,3,FALSE)</f>
        <v>Misc. Expense for Insolvent Companies</v>
      </c>
      <c r="X1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6"/>
      <c r="Z1836" t="s">
        <v>12</v>
      </c>
      <c r="AA1836" t="s">
        <v>241</v>
      </c>
      <c r="AB1836" t="s">
        <v>433</v>
      </c>
      <c r="AC1836" s="21">
        <v>8735.86</v>
      </c>
      <c r="AD1836" s="21" t="s">
        <v>368</v>
      </c>
      <c r="AE1836" t="str">
        <f>VLOOKUP(Table_Query_from_Actuarial___Production3[[#This Row],[Kor1]],$AI$3:$AK$105,3,FALSE)</f>
        <v>Premium Tax</v>
      </c>
      <c r="AF1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7" spans="18:32" x14ac:dyDescent="0.2">
      <c r="R1837" t="s">
        <v>47</v>
      </c>
      <c r="S1837" t="s">
        <v>262</v>
      </c>
      <c r="T1837" t="s">
        <v>441</v>
      </c>
      <c r="U1837" s="21">
        <v>8.09</v>
      </c>
      <c r="V1837" s="21" t="s">
        <v>368</v>
      </c>
      <c r="W1837" t="str">
        <f>VLOOKUP(Table_Query_from_Actuarial___Production[[#This Row],[Kor1]],$AI$3:$AK$105,3,FALSE)</f>
        <v>Investment Income</v>
      </c>
      <c r="X1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7"/>
      <c r="Z1837" t="s">
        <v>13</v>
      </c>
      <c r="AA1837" t="s">
        <v>266</v>
      </c>
      <c r="AB1837" t="s">
        <v>433</v>
      </c>
      <c r="AC1837" s="21">
        <v>207150.17</v>
      </c>
      <c r="AD1837" s="21" t="s">
        <v>368</v>
      </c>
      <c r="AE1837" t="str">
        <f>VLOOKUP(Table_Query_from_Actuarial___Production3[[#This Row],[Kor1]],$AI$3:$AK$105,3,FALSE)</f>
        <v>Operating Service Fees</v>
      </c>
      <c r="AF1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38" spans="18:32" x14ac:dyDescent="0.2">
      <c r="R1838" t="s">
        <v>16</v>
      </c>
      <c r="S1838" t="s">
        <v>354</v>
      </c>
      <c r="T1838" t="s">
        <v>442</v>
      </c>
      <c r="U1838" s="21">
        <v>90744562.620000005</v>
      </c>
      <c r="V1838" s="21" t="s">
        <v>369</v>
      </c>
      <c r="W1838" t="str">
        <f>VLOOKUP(Table_Query_from_Actuarial___Production[[#This Row],[Kor1]],$AI$3:$AK$105,3,FALSE)</f>
        <v>Losses Outstanding</v>
      </c>
      <c r="X1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838"/>
      <c r="Z1838" t="s">
        <v>10</v>
      </c>
      <c r="AA1838" t="s">
        <v>226</v>
      </c>
      <c r="AB1838" t="s">
        <v>351</v>
      </c>
      <c r="AC1838" s="21">
        <v>366185.2</v>
      </c>
      <c r="AD1838" s="21" t="s">
        <v>368</v>
      </c>
      <c r="AE1838" t="str">
        <f>VLOOKUP(Table_Query_from_Actuarial___Production3[[#This Row],[Kor1]],$AI$3:$AK$105,3,FALSE)</f>
        <v>Commissions</v>
      </c>
      <c r="AF1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839" spans="18:32" x14ac:dyDescent="0.2">
      <c r="R1839" t="s">
        <v>17</v>
      </c>
      <c r="S1839" t="s">
        <v>266</v>
      </c>
      <c r="T1839" t="s">
        <v>443</v>
      </c>
      <c r="U1839" s="21">
        <v>510807.86</v>
      </c>
      <c r="V1839" s="21" t="s">
        <v>368</v>
      </c>
      <c r="W1839" t="str">
        <f>VLOOKUP(Table_Query_from_Actuarial___Production[[#This Row],[Kor1]],$AI$3:$AK$105,3,FALSE)</f>
        <v>IBNR</v>
      </c>
      <c r="X1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39"/>
      <c r="Z1839" t="s">
        <v>10</v>
      </c>
      <c r="AA1839" t="s">
        <v>227</v>
      </c>
      <c r="AB1839" t="s">
        <v>9</v>
      </c>
      <c r="AC1839" s="21">
        <v>8787.65</v>
      </c>
      <c r="AD1839" s="21" t="s">
        <v>368</v>
      </c>
      <c r="AE1839" t="str">
        <f>VLOOKUP(Table_Query_from_Actuarial___Production3[[#This Row],[Kor1]],$AI$3:$AK$105,3,FALSE)</f>
        <v>Commissions</v>
      </c>
      <c r="AF1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0" spans="18:32" x14ac:dyDescent="0.2">
      <c r="R1840" t="s">
        <v>43</v>
      </c>
      <c r="S1840" t="s">
        <v>239</v>
      </c>
      <c r="T1840" t="s">
        <v>443</v>
      </c>
      <c r="U1840" s="21">
        <v>-30535.99</v>
      </c>
      <c r="V1840" s="21" t="s">
        <v>368</v>
      </c>
      <c r="W1840" t="str">
        <f>VLOOKUP(Table_Query_from_Actuarial___Production[[#This Row],[Kor1]],$AI$3:$AK$105,3,FALSE)</f>
        <v>Charge-offs</v>
      </c>
      <c r="X1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0"/>
      <c r="Z1840" t="s">
        <v>49</v>
      </c>
      <c r="AA1840" t="s">
        <v>237</v>
      </c>
      <c r="AB1840" t="s">
        <v>356</v>
      </c>
      <c r="AC1840" s="21">
        <v>1829784.45</v>
      </c>
      <c r="AD1840" s="21" t="s">
        <v>368</v>
      </c>
      <c r="AE1840" t="str">
        <f>VLOOKUP(Table_Query_from_Actuarial___Production3[[#This Row],[Kor1]],$AI$3:$AK$105,3,FALSE)</f>
        <v>ALAE Paid</v>
      </c>
      <c r="AF1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1" spans="18:32" x14ac:dyDescent="0.2">
      <c r="R1841" t="s">
        <v>44</v>
      </c>
      <c r="S1841" t="s">
        <v>239</v>
      </c>
      <c r="T1841" t="s">
        <v>443</v>
      </c>
      <c r="U1841" s="21">
        <v>22762</v>
      </c>
      <c r="V1841" s="21" t="s">
        <v>368</v>
      </c>
      <c r="W1841" t="str">
        <f>VLOOKUP(Table_Query_from_Actuarial___Production[[#This Row],[Kor1]],$AI$3:$AK$105,3,FALSE)</f>
        <v>Charge-offs</v>
      </c>
      <c r="X1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1"/>
      <c r="Z1841" t="s">
        <v>33</v>
      </c>
      <c r="AA1841" t="s">
        <v>245</v>
      </c>
      <c r="AB1841" t="s">
        <v>9</v>
      </c>
      <c r="AC1841" s="21">
        <v>11257.39</v>
      </c>
      <c r="AD1841" s="21" t="s">
        <v>368</v>
      </c>
      <c r="AE1841" t="str">
        <f>VLOOKUP(Table_Query_from_Actuarial___Production3[[#This Row],[Kor1]],$AI$3:$AK$105,3,FALSE)</f>
        <v>Misc. Expense</v>
      </c>
      <c r="AF1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2" spans="18:32" x14ac:dyDescent="0.2">
      <c r="R1842" t="s">
        <v>15</v>
      </c>
      <c r="S1842" t="s">
        <v>265</v>
      </c>
      <c r="T1842" t="s">
        <v>443</v>
      </c>
      <c r="U1842" s="21">
        <v>175107.74</v>
      </c>
      <c r="V1842" s="21" t="s">
        <v>368</v>
      </c>
      <c r="W1842" t="str">
        <f>VLOOKUP(Table_Query_from_Actuarial___Production[[#This Row],[Kor1]],$AI$3:$AK$105,3,FALSE)</f>
        <v>Unearned Premiums</v>
      </c>
      <c r="X1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2"/>
      <c r="Z1842" t="s">
        <v>37</v>
      </c>
      <c r="AA1842" t="s">
        <v>265</v>
      </c>
      <c r="AB1842" t="s">
        <v>8</v>
      </c>
      <c r="AC1842" s="21">
        <v>72.88</v>
      </c>
      <c r="AD1842" s="21" t="s">
        <v>368</v>
      </c>
      <c r="AE1842" t="str">
        <f>VLOOKUP(Table_Query_from_Actuarial___Production3[[#This Row],[Kor1]],$AI$3:$AK$105,3,FALSE)</f>
        <v>Misc. Expense</v>
      </c>
      <c r="AF1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3" spans="18:32" x14ac:dyDescent="0.2">
      <c r="R1843" t="s">
        <v>20</v>
      </c>
      <c r="S1843" t="s">
        <v>238</v>
      </c>
      <c r="T1843" t="s">
        <v>9</v>
      </c>
      <c r="U1843" s="21">
        <v>19.25</v>
      </c>
      <c r="V1843" s="21" t="s">
        <v>368</v>
      </c>
      <c r="W1843" t="str">
        <f>VLOOKUP(Table_Query_from_Actuarial___Production[[#This Row],[Kor1]],$AI$3:$AK$105,3,FALSE)</f>
        <v>Misc. Expense</v>
      </c>
      <c r="X1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3"/>
      <c r="Z1843" t="s">
        <v>43</v>
      </c>
      <c r="AA1843" t="s">
        <v>264</v>
      </c>
      <c r="AB1843" t="s">
        <v>9</v>
      </c>
      <c r="AC1843" s="21">
        <v>968.92</v>
      </c>
      <c r="AD1843" s="21" t="s">
        <v>368</v>
      </c>
      <c r="AE1843" t="str">
        <f>VLOOKUP(Table_Query_from_Actuarial___Production3[[#This Row],[Kor1]],$AI$3:$AK$105,3,FALSE)</f>
        <v>Charge-offs</v>
      </c>
      <c r="AF1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4" spans="18:32" x14ac:dyDescent="0.2">
      <c r="R1844" t="s">
        <v>47</v>
      </c>
      <c r="S1844" t="s">
        <v>248</v>
      </c>
      <c r="T1844" t="s">
        <v>427</v>
      </c>
      <c r="U1844" s="21">
        <v>1490.1</v>
      </c>
      <c r="V1844" s="21" t="s">
        <v>368</v>
      </c>
      <c r="W1844" t="str">
        <f>VLOOKUP(Table_Query_from_Actuarial___Production[[#This Row],[Kor1]],$AI$3:$AK$105,3,FALSE)</f>
        <v>Investment Income</v>
      </c>
      <c r="X1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4"/>
      <c r="Z1844" t="s">
        <v>44</v>
      </c>
      <c r="AA1844" t="s">
        <v>264</v>
      </c>
      <c r="AB1844" t="s">
        <v>9</v>
      </c>
      <c r="AC1844" s="21">
        <v>40476.42</v>
      </c>
      <c r="AD1844" s="21" t="s">
        <v>368</v>
      </c>
      <c r="AE1844" t="str">
        <f>VLOOKUP(Table_Query_from_Actuarial___Production3[[#This Row],[Kor1]],$AI$3:$AK$105,3,FALSE)</f>
        <v>Charge-offs</v>
      </c>
      <c r="AF1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5" spans="18:32" x14ac:dyDescent="0.2">
      <c r="R1845" t="s">
        <v>39</v>
      </c>
      <c r="S1845" t="s">
        <v>227</v>
      </c>
      <c r="T1845" t="s">
        <v>433</v>
      </c>
      <c r="U1845" s="21">
        <v>1126</v>
      </c>
      <c r="V1845" s="21" t="s">
        <v>368</v>
      </c>
      <c r="W1845" t="str">
        <f>VLOOKUP(Table_Query_from_Actuarial___Production[[#This Row],[Kor1]],$AI$3:$AK$105,3,FALSE)</f>
        <v>Misc. Income for Insolvent Companies</v>
      </c>
      <c r="X1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5"/>
      <c r="Z1845" t="s">
        <v>33</v>
      </c>
      <c r="AA1845" t="s">
        <v>244</v>
      </c>
      <c r="AB1845" t="s">
        <v>433</v>
      </c>
      <c r="AC1845" s="21">
        <v>14252.28</v>
      </c>
      <c r="AD1845" s="21" t="s">
        <v>368</v>
      </c>
      <c r="AE1845" t="str">
        <f>VLOOKUP(Table_Query_from_Actuarial___Production3[[#This Row],[Kor1]],$AI$3:$AK$105,3,FALSE)</f>
        <v>Misc. Expense</v>
      </c>
      <c r="AF1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6" spans="18:32" x14ac:dyDescent="0.2">
      <c r="R1846" t="s">
        <v>50</v>
      </c>
      <c r="S1846" t="s">
        <v>246</v>
      </c>
      <c r="T1846" t="s">
        <v>442</v>
      </c>
      <c r="U1846" s="21">
        <v>54014.51</v>
      </c>
      <c r="V1846" s="21" t="s">
        <v>368</v>
      </c>
      <c r="W1846" t="str">
        <f>VLOOKUP(Table_Query_from_Actuarial___Production[[#This Row],[Kor1]],$AI$3:$AK$105,3,FALSE)</f>
        <v>ALAE Reserve</v>
      </c>
      <c r="X1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6"/>
      <c r="Z1846" t="s">
        <v>47</v>
      </c>
      <c r="AA1846" t="s">
        <v>260</v>
      </c>
      <c r="AB1846" t="s">
        <v>427</v>
      </c>
      <c r="AC1846" s="21">
        <v>716.58</v>
      </c>
      <c r="AD1846" s="21" t="s">
        <v>368</v>
      </c>
      <c r="AE1846" t="str">
        <f>VLOOKUP(Table_Query_from_Actuarial___Production3[[#This Row],[Kor1]],$AI$3:$AK$105,3,FALSE)</f>
        <v>Investment Income</v>
      </c>
      <c r="AF1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7" spans="18:32" x14ac:dyDescent="0.2">
      <c r="R1847" t="s">
        <v>41</v>
      </c>
      <c r="S1847" t="s">
        <v>256</v>
      </c>
      <c r="T1847" t="s">
        <v>8</v>
      </c>
      <c r="U1847" s="21">
        <v>150</v>
      </c>
      <c r="V1847" s="21" t="s">
        <v>368</v>
      </c>
      <c r="W1847" t="str">
        <f>VLOOKUP(Table_Query_from_Actuarial___Production[[#This Row],[Kor1]],$AI$3:$AK$105,3,FALSE)</f>
        <v>Misc. Income</v>
      </c>
      <c r="X1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7"/>
      <c r="Z1847" t="s">
        <v>439</v>
      </c>
      <c r="AA1847" t="s">
        <v>253</v>
      </c>
      <c r="AB1847" t="s">
        <v>443</v>
      </c>
      <c r="AC1847" s="21">
        <v>-1182.22</v>
      </c>
      <c r="AD1847" s="21" t="s">
        <v>368</v>
      </c>
      <c r="AE1847" t="str">
        <f>VLOOKUP(Table_Query_from_Actuarial___Production3[[#This Row],[Kor1]],$AI$3:$AK$105,3,FALSE)</f>
        <v>Operating Service Fees</v>
      </c>
      <c r="AF1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8" spans="18:32" x14ac:dyDescent="0.2">
      <c r="R1848" t="s">
        <v>19</v>
      </c>
      <c r="S1848" t="s">
        <v>249</v>
      </c>
      <c r="T1848" t="s">
        <v>433</v>
      </c>
      <c r="U1848" s="21">
        <v>2110</v>
      </c>
      <c r="V1848" s="21" t="s">
        <v>368</v>
      </c>
      <c r="W1848" t="str">
        <f>VLOOKUP(Table_Query_from_Actuarial___Production[[#This Row],[Kor1]],$AI$3:$AK$105,3,FALSE)</f>
        <v>Misc. Expense for Insolvent Companies</v>
      </c>
      <c r="X1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8"/>
      <c r="Z1848" t="s">
        <v>48</v>
      </c>
      <c r="AA1848" t="s">
        <v>228</v>
      </c>
      <c r="AB1848" t="s">
        <v>427</v>
      </c>
      <c r="AC1848" s="21">
        <v>2604.83</v>
      </c>
      <c r="AD1848" s="21" t="s">
        <v>368</v>
      </c>
      <c r="AE1848" t="str">
        <f>VLOOKUP(Table_Query_from_Actuarial___Production3[[#This Row],[Kor1]],$AI$3:$AK$105,3,FALSE)</f>
        <v>Anticipated Salvage</v>
      </c>
      <c r="AF1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49" spans="18:32" x14ac:dyDescent="0.2">
      <c r="R1849" t="s">
        <v>11</v>
      </c>
      <c r="S1849" t="s">
        <v>244</v>
      </c>
      <c r="T1849" t="s">
        <v>9</v>
      </c>
      <c r="U1849" s="21">
        <v>1370033.31</v>
      </c>
      <c r="V1849" s="21" t="s">
        <v>368</v>
      </c>
      <c r="W1849" t="str">
        <f>VLOOKUP(Table_Query_from_Actuarial___Production[[#This Row],[Kor1]],$AI$3:$AK$105,3,FALSE)</f>
        <v>Losses Paid</v>
      </c>
      <c r="X1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49"/>
      <c r="Z1849" t="s">
        <v>17</v>
      </c>
      <c r="AA1849" t="s">
        <v>243</v>
      </c>
      <c r="AB1849" t="s">
        <v>441</v>
      </c>
      <c r="AC1849" s="21">
        <v>59068.97</v>
      </c>
      <c r="AD1849" s="21" t="s">
        <v>368</v>
      </c>
      <c r="AE1849" t="str">
        <f>VLOOKUP(Table_Query_from_Actuarial___Production3[[#This Row],[Kor1]],$AI$3:$AK$105,3,FALSE)</f>
        <v>IBNR</v>
      </c>
      <c r="AF1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0" spans="18:32" x14ac:dyDescent="0.2">
      <c r="R1850" t="s">
        <v>10</v>
      </c>
      <c r="S1850" t="s">
        <v>237</v>
      </c>
      <c r="T1850" t="s">
        <v>445</v>
      </c>
      <c r="U1850" s="21">
        <v>1320764.05</v>
      </c>
      <c r="V1850" s="21" t="s">
        <v>368</v>
      </c>
      <c r="W1850" t="str">
        <f>VLOOKUP(Table_Query_from_Actuarial___Production[[#This Row],[Kor1]],$AI$3:$AK$105,3,FALSE)</f>
        <v>Commissions</v>
      </c>
      <c r="X1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0"/>
      <c r="Z1850" t="s">
        <v>11</v>
      </c>
      <c r="AA1850" t="s">
        <v>252</v>
      </c>
      <c r="AB1850" t="s">
        <v>8</v>
      </c>
      <c r="AC1850" s="21">
        <v>22948683.219999999</v>
      </c>
      <c r="AD1850" s="21" t="s">
        <v>368</v>
      </c>
      <c r="AE1850" t="str">
        <f>VLOOKUP(Table_Query_from_Actuarial___Production3[[#This Row],[Kor1]],$AI$3:$AK$105,3,FALSE)</f>
        <v>Losses Paid</v>
      </c>
      <c r="AF1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1" spans="18:32" x14ac:dyDescent="0.2">
      <c r="R1851" t="s">
        <v>41</v>
      </c>
      <c r="S1851" t="s">
        <v>259</v>
      </c>
      <c r="T1851" t="s">
        <v>445</v>
      </c>
      <c r="U1851" s="21">
        <v>350</v>
      </c>
      <c r="V1851" s="21" t="s">
        <v>368</v>
      </c>
      <c r="W1851" t="str">
        <f>VLOOKUP(Table_Query_from_Actuarial___Production[[#This Row],[Kor1]],$AI$3:$AK$105,3,FALSE)</f>
        <v>Misc. Income</v>
      </c>
      <c r="X1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1"/>
      <c r="Z1851" t="s">
        <v>10</v>
      </c>
      <c r="AA1851" t="s">
        <v>259</v>
      </c>
      <c r="AB1851" t="s">
        <v>442</v>
      </c>
      <c r="AC1851" s="21">
        <v>4126.13</v>
      </c>
      <c r="AD1851" s="21" t="s">
        <v>368</v>
      </c>
      <c r="AE1851" t="str">
        <f>VLOOKUP(Table_Query_from_Actuarial___Production3[[#This Row],[Kor1]],$AI$3:$AK$105,3,FALSE)</f>
        <v>Commissions</v>
      </c>
      <c r="AF1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2" spans="18:32" x14ac:dyDescent="0.2">
      <c r="R1852" t="s">
        <v>48</v>
      </c>
      <c r="S1852" t="s">
        <v>250</v>
      </c>
      <c r="T1852" t="s">
        <v>441</v>
      </c>
      <c r="U1852" s="21">
        <v>6865.17</v>
      </c>
      <c r="V1852" s="21" t="s">
        <v>368</v>
      </c>
      <c r="W1852" t="str">
        <f>VLOOKUP(Table_Query_from_Actuarial___Production[[#This Row],[Kor1]],$AI$3:$AK$105,3,FALSE)</f>
        <v>Anticipated Salvage</v>
      </c>
      <c r="X1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2"/>
      <c r="Z1852" t="s">
        <v>14</v>
      </c>
      <c r="AA1852" t="s">
        <v>245</v>
      </c>
      <c r="AB1852" t="s">
        <v>7</v>
      </c>
      <c r="AC1852" s="21">
        <v>2632.54</v>
      </c>
      <c r="AD1852" s="21" t="s">
        <v>368</v>
      </c>
      <c r="AE1852" t="str">
        <f>VLOOKUP(Table_Query_from_Actuarial___Production3[[#This Row],[Kor1]],$AI$3:$AK$105,3,FALSE)</f>
        <v>Claims Expense</v>
      </c>
      <c r="AF1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3" spans="18:32" x14ac:dyDescent="0.2">
      <c r="R1853" t="s">
        <v>11</v>
      </c>
      <c r="S1853" t="s">
        <v>354</v>
      </c>
      <c r="T1853" t="s">
        <v>433</v>
      </c>
      <c r="U1853" s="21">
        <v>89860063.299999997</v>
      </c>
      <c r="V1853" s="21" t="s">
        <v>368</v>
      </c>
      <c r="W1853" t="str">
        <f>VLOOKUP(Table_Query_from_Actuarial___Production[[#This Row],[Kor1]],$AI$3:$AK$105,3,FALSE)</f>
        <v>Losses Paid</v>
      </c>
      <c r="X1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853"/>
      <c r="Z1853" t="s">
        <v>31</v>
      </c>
      <c r="AA1853" t="s">
        <v>248</v>
      </c>
      <c r="AB1853" t="s">
        <v>433</v>
      </c>
      <c r="AC1853" s="21">
        <v>895.68</v>
      </c>
      <c r="AD1853" s="21" t="s">
        <v>368</v>
      </c>
      <c r="AE1853" t="str">
        <f>VLOOKUP(Table_Query_from_Actuarial___Production3[[#This Row],[Kor1]],$AI$3:$AK$105,3,FALSE)</f>
        <v>Misc. Expense</v>
      </c>
      <c r="AF1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4" spans="18:32" x14ac:dyDescent="0.2">
      <c r="R1854" t="s">
        <v>10</v>
      </c>
      <c r="S1854" t="s">
        <v>226</v>
      </c>
      <c r="T1854" t="s">
        <v>7</v>
      </c>
      <c r="U1854" s="21">
        <v>372166.3</v>
      </c>
      <c r="V1854" s="21" t="s">
        <v>368</v>
      </c>
      <c r="W1854" t="str">
        <f>VLOOKUP(Table_Query_from_Actuarial___Production[[#This Row],[Kor1]],$AI$3:$AK$105,3,FALSE)</f>
        <v>Commissions</v>
      </c>
      <c r="X1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854"/>
      <c r="Z1854" t="s">
        <v>43</v>
      </c>
      <c r="AA1854" t="s">
        <v>241</v>
      </c>
      <c r="AB1854" t="s">
        <v>356</v>
      </c>
      <c r="AC1854" s="21">
        <v>-1837.87</v>
      </c>
      <c r="AD1854" s="21" t="s">
        <v>368</v>
      </c>
      <c r="AE1854" t="str">
        <f>VLOOKUP(Table_Query_from_Actuarial___Production3[[#This Row],[Kor1]],$AI$3:$AK$105,3,FALSE)</f>
        <v>Charge-offs</v>
      </c>
      <c r="AF1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5" spans="18:32" x14ac:dyDescent="0.2">
      <c r="R1855" t="s">
        <v>3</v>
      </c>
      <c r="S1855" t="s">
        <v>254</v>
      </c>
      <c r="T1855" t="s">
        <v>6</v>
      </c>
      <c r="U1855" s="21">
        <v>809644</v>
      </c>
      <c r="V1855" s="21" t="s">
        <v>368</v>
      </c>
      <c r="W1855" t="str">
        <f>VLOOKUP(Table_Query_from_Actuarial___Production[[#This Row],[Kor1]],$AI$3:$AK$105,3,FALSE)</f>
        <v>Premiums Written</v>
      </c>
      <c r="X1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5"/>
      <c r="Z1855" t="s">
        <v>10</v>
      </c>
      <c r="AA1855" t="s">
        <v>224</v>
      </c>
      <c r="AB1855" t="s">
        <v>441</v>
      </c>
      <c r="AC1855" s="21">
        <v>665.08</v>
      </c>
      <c r="AD1855" s="21" t="s">
        <v>425</v>
      </c>
      <c r="AE1855" t="str">
        <f>VLOOKUP(Table_Query_from_Actuarial___Production3[[#This Row],[Kor1]],$AI$3:$AK$105,3,FALSE)</f>
        <v>Commissions</v>
      </c>
      <c r="AF1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856" spans="18:32" x14ac:dyDescent="0.2">
      <c r="R1856" t="s">
        <v>11</v>
      </c>
      <c r="S1856" t="s">
        <v>250</v>
      </c>
      <c r="T1856" t="s">
        <v>9</v>
      </c>
      <c r="U1856" s="21">
        <v>1369673.92</v>
      </c>
      <c r="V1856" s="21" t="s">
        <v>368</v>
      </c>
      <c r="W1856" t="str">
        <f>VLOOKUP(Table_Query_from_Actuarial___Production[[#This Row],[Kor1]],$AI$3:$AK$105,3,FALSE)</f>
        <v>Losses Paid</v>
      </c>
      <c r="X1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6"/>
      <c r="Z1856" t="s">
        <v>33</v>
      </c>
      <c r="AA1856" t="s">
        <v>232</v>
      </c>
      <c r="AB1856" t="s">
        <v>8</v>
      </c>
      <c r="AC1856" s="21">
        <v>16199.24</v>
      </c>
      <c r="AD1856" s="21" t="s">
        <v>368</v>
      </c>
      <c r="AE1856" t="str">
        <f>VLOOKUP(Table_Query_from_Actuarial___Production3[[#This Row],[Kor1]],$AI$3:$AK$105,3,FALSE)</f>
        <v>Misc. Expense</v>
      </c>
      <c r="AF1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7" spans="18:32" x14ac:dyDescent="0.2">
      <c r="R1857" t="s">
        <v>31</v>
      </c>
      <c r="S1857" t="s">
        <v>232</v>
      </c>
      <c r="T1857" t="s">
        <v>441</v>
      </c>
      <c r="U1857" s="21">
        <v>992.55</v>
      </c>
      <c r="V1857" s="21" t="s">
        <v>368</v>
      </c>
      <c r="W1857" t="str">
        <f>VLOOKUP(Table_Query_from_Actuarial___Production[[#This Row],[Kor1]],$AI$3:$AK$105,3,FALSE)</f>
        <v>Misc. Expense</v>
      </c>
      <c r="X1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7"/>
      <c r="Z1857" t="s">
        <v>41</v>
      </c>
      <c r="AA1857" t="s">
        <v>252</v>
      </c>
      <c r="AB1857" t="s">
        <v>9</v>
      </c>
      <c r="AC1857" s="21">
        <v>-2668.64</v>
      </c>
      <c r="AD1857" s="21" t="s">
        <v>368</v>
      </c>
      <c r="AE1857" t="str">
        <f>VLOOKUP(Table_Query_from_Actuarial___Production3[[#This Row],[Kor1]],$AI$3:$AK$105,3,FALSE)</f>
        <v>Misc. Income</v>
      </c>
      <c r="AF1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58" spans="18:32" x14ac:dyDescent="0.2">
      <c r="R1858" t="s">
        <v>32</v>
      </c>
      <c r="S1858" t="s">
        <v>4</v>
      </c>
      <c r="T1858" t="s">
        <v>445</v>
      </c>
      <c r="U1858" s="21">
        <v>1842.47</v>
      </c>
      <c r="V1858" s="21" t="s">
        <v>368</v>
      </c>
      <c r="W1858" t="str">
        <f>VLOOKUP(Table_Query_from_Actuarial___Production[[#This Row],[Kor1]],$AI$3:$AK$105,3,FALSE)</f>
        <v>Misc. Expense</v>
      </c>
      <c r="X1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8"/>
      <c r="Z1858" t="s">
        <v>11</v>
      </c>
      <c r="AA1858" t="s">
        <v>352</v>
      </c>
      <c r="AB1858" t="s">
        <v>7</v>
      </c>
      <c r="AC1858" s="21">
        <v>241730.07</v>
      </c>
      <c r="AD1858" s="21" t="s">
        <v>369</v>
      </c>
      <c r="AE1858" t="str">
        <f>VLOOKUP(Table_Query_from_Actuarial___Production3[[#This Row],[Kor1]],$AI$3:$AK$105,3,FALSE)</f>
        <v>Losses Paid</v>
      </c>
      <c r="AF1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859" spans="18:32" x14ac:dyDescent="0.2">
      <c r="R1859" t="s">
        <v>39</v>
      </c>
      <c r="S1859" t="s">
        <v>252</v>
      </c>
      <c r="T1859" t="s">
        <v>356</v>
      </c>
      <c r="U1859" s="21">
        <v>34090</v>
      </c>
      <c r="V1859" s="21" t="s">
        <v>368</v>
      </c>
      <c r="W1859" t="str">
        <f>VLOOKUP(Table_Query_from_Actuarial___Production[[#This Row],[Kor1]],$AI$3:$AK$105,3,FALSE)</f>
        <v>Misc. Income for Insolvent Companies</v>
      </c>
      <c r="X1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59"/>
      <c r="Z1859" t="s">
        <v>16</v>
      </c>
      <c r="AA1859" t="s">
        <v>252</v>
      </c>
      <c r="AB1859" t="s">
        <v>442</v>
      </c>
      <c r="AC1859" s="21">
        <v>17970981.649999999</v>
      </c>
      <c r="AD1859" s="21" t="s">
        <v>368</v>
      </c>
      <c r="AE1859" t="str">
        <f>VLOOKUP(Table_Query_from_Actuarial___Production3[[#This Row],[Kor1]],$AI$3:$AK$105,3,FALSE)</f>
        <v>Losses Outstanding</v>
      </c>
      <c r="AF1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0" spans="18:32" x14ac:dyDescent="0.2">
      <c r="R1860" t="s">
        <v>13</v>
      </c>
      <c r="S1860" t="s">
        <v>250</v>
      </c>
      <c r="T1860" t="s">
        <v>9</v>
      </c>
      <c r="U1860" s="21">
        <v>214191.16</v>
      </c>
      <c r="V1860" s="21" t="s">
        <v>368</v>
      </c>
      <c r="W1860" t="str">
        <f>VLOOKUP(Table_Query_from_Actuarial___Production[[#This Row],[Kor1]],$AI$3:$AK$105,3,FALSE)</f>
        <v>Operating Service Fees</v>
      </c>
      <c r="X1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0"/>
      <c r="Z1860" t="s">
        <v>39</v>
      </c>
      <c r="AA1860" t="s">
        <v>250</v>
      </c>
      <c r="AB1860" t="s">
        <v>351</v>
      </c>
      <c r="AC1860" s="21">
        <v>809</v>
      </c>
      <c r="AD1860" s="21" t="s">
        <v>368</v>
      </c>
      <c r="AE1860" t="str">
        <f>VLOOKUP(Table_Query_from_Actuarial___Production3[[#This Row],[Kor1]],$AI$3:$AK$105,3,FALSE)</f>
        <v>Misc. Income for Insolvent Companies</v>
      </c>
      <c r="AF1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1" spans="18:32" x14ac:dyDescent="0.2">
      <c r="R1861" t="s">
        <v>41</v>
      </c>
      <c r="S1861" t="s">
        <v>261</v>
      </c>
      <c r="T1861" t="s">
        <v>8</v>
      </c>
      <c r="U1861" s="21">
        <v>450</v>
      </c>
      <c r="V1861" s="21" t="s">
        <v>368</v>
      </c>
      <c r="W1861" t="str">
        <f>VLOOKUP(Table_Query_from_Actuarial___Production[[#This Row],[Kor1]],$AI$3:$AK$105,3,FALSE)</f>
        <v>Misc. Income</v>
      </c>
      <c r="X1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1"/>
      <c r="Z1861" t="s">
        <v>18</v>
      </c>
      <c r="AA1861" t="s">
        <v>224</v>
      </c>
      <c r="AB1861" t="s">
        <v>356</v>
      </c>
      <c r="AC1861" s="21">
        <v>4246.3599999999997</v>
      </c>
      <c r="AD1861" s="21" t="s">
        <v>369</v>
      </c>
      <c r="AE1861" t="str">
        <f>VLOOKUP(Table_Query_from_Actuarial___Production3[[#This Row],[Kor1]],$AI$3:$AK$105,3,FALSE)</f>
        <v>Misc. Expense</v>
      </c>
      <c r="AF1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862" spans="18:32" x14ac:dyDescent="0.2">
      <c r="R1862" t="s">
        <v>12</v>
      </c>
      <c r="S1862" t="s">
        <v>235</v>
      </c>
      <c r="T1862" t="s">
        <v>9</v>
      </c>
      <c r="U1862" s="21">
        <v>29215.14</v>
      </c>
      <c r="V1862" s="21" t="s">
        <v>368</v>
      </c>
      <c r="W1862" t="str">
        <f>VLOOKUP(Table_Query_from_Actuarial___Production[[#This Row],[Kor1]],$AI$3:$AK$105,3,FALSE)</f>
        <v>Premium Tax</v>
      </c>
      <c r="X1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2"/>
      <c r="Z1862" t="s">
        <v>47</v>
      </c>
      <c r="AA1862" t="s">
        <v>250</v>
      </c>
      <c r="AB1862" t="s">
        <v>351</v>
      </c>
      <c r="AC1862" s="21">
        <v>1442.4</v>
      </c>
      <c r="AD1862" s="21" t="s">
        <v>368</v>
      </c>
      <c r="AE1862" t="str">
        <f>VLOOKUP(Table_Query_from_Actuarial___Production3[[#This Row],[Kor1]],$AI$3:$AK$105,3,FALSE)</f>
        <v>Investment Income</v>
      </c>
      <c r="AF1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3" spans="18:32" x14ac:dyDescent="0.2">
      <c r="R1863" t="s">
        <v>444</v>
      </c>
      <c r="S1863" t="s">
        <v>261</v>
      </c>
      <c r="T1863" t="s">
        <v>443</v>
      </c>
      <c r="U1863" s="21">
        <v>10167.81</v>
      </c>
      <c r="V1863" s="21" t="s">
        <v>368</v>
      </c>
      <c r="W1863" t="str">
        <f>VLOOKUP(Table_Query_from_Actuarial___Production[[#This Row],[Kor1]],$AI$3:$AK$105,3,FALSE)</f>
        <v>Misc. Expense</v>
      </c>
      <c r="X1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3"/>
      <c r="Z1863" t="s">
        <v>3</v>
      </c>
      <c r="AA1863" t="s">
        <v>258</v>
      </c>
      <c r="AB1863" t="s">
        <v>442</v>
      </c>
      <c r="AC1863" s="21">
        <v>3485243</v>
      </c>
      <c r="AD1863" s="21" t="s">
        <v>368</v>
      </c>
      <c r="AE1863" t="str">
        <f>VLOOKUP(Table_Query_from_Actuarial___Production3[[#This Row],[Kor1]],$AI$3:$AK$105,3,FALSE)</f>
        <v>Premiums Written</v>
      </c>
      <c r="AF1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4" spans="18:32" x14ac:dyDescent="0.2">
      <c r="R1864" t="s">
        <v>43</v>
      </c>
      <c r="S1864" t="s">
        <v>235</v>
      </c>
      <c r="T1864" t="s">
        <v>8</v>
      </c>
      <c r="U1864" s="21">
        <v>-138.97999999999999</v>
      </c>
      <c r="V1864" s="21" t="s">
        <v>368</v>
      </c>
      <c r="W1864" t="str">
        <f>VLOOKUP(Table_Query_from_Actuarial___Production[[#This Row],[Kor1]],$AI$3:$AK$105,3,FALSE)</f>
        <v>Charge-offs</v>
      </c>
      <c r="X1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4"/>
      <c r="Z1864" t="s">
        <v>13</v>
      </c>
      <c r="AA1864" t="s">
        <v>246</v>
      </c>
      <c r="AB1864" t="s">
        <v>433</v>
      </c>
      <c r="AC1864" s="21">
        <v>715218.85</v>
      </c>
      <c r="AD1864" s="21" t="s">
        <v>368</v>
      </c>
      <c r="AE1864" t="str">
        <f>VLOOKUP(Table_Query_from_Actuarial___Production3[[#This Row],[Kor1]],$AI$3:$AK$105,3,FALSE)</f>
        <v>Operating Service Fees</v>
      </c>
      <c r="AF1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5" spans="18:32" x14ac:dyDescent="0.2">
      <c r="R1865" t="s">
        <v>46</v>
      </c>
      <c r="S1865" t="s">
        <v>352</v>
      </c>
      <c r="T1865" t="s">
        <v>8</v>
      </c>
      <c r="U1865" s="21">
        <v>0.39</v>
      </c>
      <c r="V1865" s="21" t="s">
        <v>368</v>
      </c>
      <c r="W1865" t="str">
        <f>VLOOKUP(Table_Query_from_Actuarial___Production[[#This Row],[Kor1]],$AI$3:$AK$105,3,FALSE)</f>
        <v>Investment Income</v>
      </c>
      <c r="X1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865"/>
      <c r="Z1865" t="s">
        <v>41</v>
      </c>
      <c r="AA1865" t="s">
        <v>255</v>
      </c>
      <c r="AB1865" t="s">
        <v>7</v>
      </c>
      <c r="AC1865" s="21">
        <v>200</v>
      </c>
      <c r="AD1865" s="21" t="s">
        <v>368</v>
      </c>
      <c r="AE1865" t="str">
        <f>VLOOKUP(Table_Query_from_Actuarial___Production3[[#This Row],[Kor1]],$AI$3:$AK$105,3,FALSE)</f>
        <v>Misc. Income</v>
      </c>
      <c r="AF1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6" spans="18:32" x14ac:dyDescent="0.2">
      <c r="R1866" t="s">
        <v>33</v>
      </c>
      <c r="S1866" t="s">
        <v>252</v>
      </c>
      <c r="T1866" t="s">
        <v>442</v>
      </c>
      <c r="U1866" s="21">
        <v>34854.71</v>
      </c>
      <c r="V1866" s="21" t="s">
        <v>368</v>
      </c>
      <c r="W1866" t="str">
        <f>VLOOKUP(Table_Query_from_Actuarial___Production[[#This Row],[Kor1]],$AI$3:$AK$105,3,FALSE)</f>
        <v>Misc. Expense</v>
      </c>
      <c r="X1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6"/>
      <c r="Z1866" t="s">
        <v>13</v>
      </c>
      <c r="AA1866" t="s">
        <v>233</v>
      </c>
      <c r="AB1866" t="s">
        <v>351</v>
      </c>
      <c r="AC1866" s="21">
        <v>130696.73</v>
      </c>
      <c r="AD1866" s="21" t="s">
        <v>368</v>
      </c>
      <c r="AE1866" t="str">
        <f>VLOOKUP(Table_Query_from_Actuarial___Production3[[#This Row],[Kor1]],$AI$3:$AK$105,3,FALSE)</f>
        <v>Operating Service Fees</v>
      </c>
      <c r="AF1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7" spans="18:32" x14ac:dyDescent="0.2">
      <c r="R1867" t="s">
        <v>44</v>
      </c>
      <c r="S1867" t="s">
        <v>239</v>
      </c>
      <c r="T1867" t="s">
        <v>427</v>
      </c>
      <c r="U1867" s="21">
        <v>-1</v>
      </c>
      <c r="V1867" s="21" t="s">
        <v>368</v>
      </c>
      <c r="W1867" t="str">
        <f>VLOOKUP(Table_Query_from_Actuarial___Production[[#This Row],[Kor1]],$AI$3:$AK$105,3,FALSE)</f>
        <v>Charge-offs</v>
      </c>
      <c r="X1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7"/>
      <c r="Z1867" t="s">
        <v>31</v>
      </c>
      <c r="AA1867" t="s">
        <v>256</v>
      </c>
      <c r="AB1867" t="s">
        <v>442</v>
      </c>
      <c r="AC1867" s="21">
        <v>246.53</v>
      </c>
      <c r="AD1867" s="21" t="s">
        <v>368</v>
      </c>
      <c r="AE1867" t="str">
        <f>VLOOKUP(Table_Query_from_Actuarial___Production3[[#This Row],[Kor1]],$AI$3:$AK$105,3,FALSE)</f>
        <v>Misc. Expense</v>
      </c>
      <c r="AF1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8" spans="18:32" x14ac:dyDescent="0.2">
      <c r="R1868" t="s">
        <v>14</v>
      </c>
      <c r="S1868" t="s">
        <v>248</v>
      </c>
      <c r="T1868" t="s">
        <v>442</v>
      </c>
      <c r="U1868" s="21">
        <v>46396.68</v>
      </c>
      <c r="V1868" s="21" t="s">
        <v>368</v>
      </c>
      <c r="W1868" t="str">
        <f>VLOOKUP(Table_Query_from_Actuarial___Production[[#This Row],[Kor1]],$AI$3:$AK$105,3,FALSE)</f>
        <v>Claims Expense</v>
      </c>
      <c r="X1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8"/>
      <c r="Z1868" t="s">
        <v>40</v>
      </c>
      <c r="AA1868" t="s">
        <v>266</v>
      </c>
      <c r="AB1868" t="s">
        <v>441</v>
      </c>
      <c r="AC1868" s="21">
        <v>324.02</v>
      </c>
      <c r="AD1868" s="21" t="s">
        <v>368</v>
      </c>
      <c r="AE1868" t="str">
        <f>VLOOKUP(Table_Query_from_Actuarial___Production3[[#This Row],[Kor1]],$AI$3:$AK$105,3,FALSE)</f>
        <v>Misc. Income</v>
      </c>
      <c r="AF1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69" spans="18:32" x14ac:dyDescent="0.2">
      <c r="R1869" t="s">
        <v>43</v>
      </c>
      <c r="S1869" t="s">
        <v>230</v>
      </c>
      <c r="T1869" t="s">
        <v>9</v>
      </c>
      <c r="U1869" s="21">
        <v>26635.81</v>
      </c>
      <c r="V1869" s="21" t="s">
        <v>368</v>
      </c>
      <c r="W1869" t="str">
        <f>VLOOKUP(Table_Query_from_Actuarial___Production[[#This Row],[Kor1]],$AI$3:$AK$105,3,FALSE)</f>
        <v>Charge-offs</v>
      </c>
      <c r="X1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69"/>
      <c r="Z1869" t="s">
        <v>41</v>
      </c>
      <c r="AA1869" t="s">
        <v>242</v>
      </c>
      <c r="AB1869" t="s">
        <v>6</v>
      </c>
      <c r="AC1869" s="21">
        <v>1313.54</v>
      </c>
      <c r="AD1869" s="21" t="s">
        <v>368</v>
      </c>
      <c r="AE1869" t="str">
        <f>VLOOKUP(Table_Query_from_Actuarial___Production3[[#This Row],[Kor1]],$AI$3:$AK$105,3,FALSE)</f>
        <v>Misc. Income</v>
      </c>
      <c r="AF1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0" spans="18:32" x14ac:dyDescent="0.2">
      <c r="R1870" t="s">
        <v>47</v>
      </c>
      <c r="S1870" t="s">
        <v>232</v>
      </c>
      <c r="T1870" t="s">
        <v>433</v>
      </c>
      <c r="U1870" s="21">
        <v>1799.37</v>
      </c>
      <c r="V1870" s="21" t="s">
        <v>368</v>
      </c>
      <c r="W1870" t="str">
        <f>VLOOKUP(Table_Query_from_Actuarial___Production[[#This Row],[Kor1]],$AI$3:$AK$105,3,FALSE)</f>
        <v>Investment Income</v>
      </c>
      <c r="X1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0"/>
      <c r="Z1870" t="s">
        <v>21</v>
      </c>
      <c r="AA1870" t="s">
        <v>261</v>
      </c>
      <c r="AB1870" t="s">
        <v>441</v>
      </c>
      <c r="AC1870" s="21">
        <v>1462.5</v>
      </c>
      <c r="AD1870" s="21" t="s">
        <v>368</v>
      </c>
      <c r="AE1870" t="str">
        <f>VLOOKUP(Table_Query_from_Actuarial___Production3[[#This Row],[Kor1]],$AI$3:$AK$105,3,FALSE)</f>
        <v>Misc. Expense</v>
      </c>
      <c r="AF1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1" spans="18:32" x14ac:dyDescent="0.2">
      <c r="R1871" t="s">
        <v>39</v>
      </c>
      <c r="S1871" t="s">
        <v>4</v>
      </c>
      <c r="T1871" t="s">
        <v>433</v>
      </c>
      <c r="U1871" s="21">
        <v>76660.52</v>
      </c>
      <c r="V1871" s="21" t="s">
        <v>368</v>
      </c>
      <c r="W1871" t="str">
        <f>VLOOKUP(Table_Query_from_Actuarial___Production[[#This Row],[Kor1]],$AI$3:$AK$105,3,FALSE)</f>
        <v>Misc. Income for Insolvent Companies</v>
      </c>
      <c r="X1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1"/>
      <c r="Z1871" t="s">
        <v>33</v>
      </c>
      <c r="AA1871" t="s">
        <v>243</v>
      </c>
      <c r="AB1871" t="s">
        <v>6</v>
      </c>
      <c r="AC1871" s="21">
        <v>14745.1</v>
      </c>
      <c r="AD1871" s="21" t="s">
        <v>368</v>
      </c>
      <c r="AE1871" t="str">
        <f>VLOOKUP(Table_Query_from_Actuarial___Production3[[#This Row],[Kor1]],$AI$3:$AK$105,3,FALSE)</f>
        <v>Misc. Expense</v>
      </c>
      <c r="AF1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2" spans="18:32" x14ac:dyDescent="0.2">
      <c r="R1872" t="s">
        <v>15</v>
      </c>
      <c r="S1872" t="s">
        <v>243</v>
      </c>
      <c r="T1872" t="s">
        <v>443</v>
      </c>
      <c r="U1872" s="21">
        <v>92817.09</v>
      </c>
      <c r="V1872" s="21" t="s">
        <v>368</v>
      </c>
      <c r="W1872" t="str">
        <f>VLOOKUP(Table_Query_from_Actuarial___Production[[#This Row],[Kor1]],$AI$3:$AK$105,3,FALSE)</f>
        <v>Unearned Premiums</v>
      </c>
      <c r="X1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2"/>
      <c r="Z1872" t="s">
        <v>12</v>
      </c>
      <c r="AA1872" t="s">
        <v>266</v>
      </c>
      <c r="AB1872" t="s">
        <v>351</v>
      </c>
      <c r="AC1872" s="21">
        <v>11883.4</v>
      </c>
      <c r="AD1872" s="21" t="s">
        <v>368</v>
      </c>
      <c r="AE1872" t="str">
        <f>VLOOKUP(Table_Query_from_Actuarial___Production3[[#This Row],[Kor1]],$AI$3:$AK$105,3,FALSE)</f>
        <v>Premium Tax</v>
      </c>
      <c r="AF1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3" spans="18:32" x14ac:dyDescent="0.2">
      <c r="R1873" t="s">
        <v>44</v>
      </c>
      <c r="S1873" t="s">
        <v>235</v>
      </c>
      <c r="T1873" t="s">
        <v>356</v>
      </c>
      <c r="U1873" s="21">
        <v>3642</v>
      </c>
      <c r="V1873" s="21" t="s">
        <v>368</v>
      </c>
      <c r="W1873" t="str">
        <f>VLOOKUP(Table_Query_from_Actuarial___Production[[#This Row],[Kor1]],$AI$3:$AK$105,3,FALSE)</f>
        <v>Charge-offs</v>
      </c>
      <c r="X1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3"/>
      <c r="Z1873" t="s">
        <v>13</v>
      </c>
      <c r="AA1873" t="s">
        <v>224</v>
      </c>
      <c r="AB1873" t="s">
        <v>8</v>
      </c>
      <c r="AC1873" s="21">
        <v>10543.28</v>
      </c>
      <c r="AD1873" s="21" t="s">
        <v>369</v>
      </c>
      <c r="AE1873" t="str">
        <f>VLOOKUP(Table_Query_from_Actuarial___Production3[[#This Row],[Kor1]],$AI$3:$AK$105,3,FALSE)</f>
        <v>Operating Service Fees</v>
      </c>
      <c r="AF1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874" spans="18:32" x14ac:dyDescent="0.2">
      <c r="R1874" t="s">
        <v>3</v>
      </c>
      <c r="S1874" t="s">
        <v>4</v>
      </c>
      <c r="T1874" t="s">
        <v>8</v>
      </c>
      <c r="U1874" s="21">
        <v>17731161</v>
      </c>
      <c r="V1874" s="21" t="s">
        <v>368</v>
      </c>
      <c r="W1874" t="str">
        <f>VLOOKUP(Table_Query_from_Actuarial___Production[[#This Row],[Kor1]],$AI$3:$AK$105,3,FALSE)</f>
        <v>Premiums Written</v>
      </c>
      <c r="X1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4"/>
      <c r="Z1874" t="s">
        <v>3</v>
      </c>
      <c r="AA1874" t="s">
        <v>231</v>
      </c>
      <c r="AB1874" t="s">
        <v>5</v>
      </c>
      <c r="AC1874" s="21">
        <v>34669</v>
      </c>
      <c r="AD1874" s="21" t="s">
        <v>368</v>
      </c>
      <c r="AE1874" t="str">
        <f>VLOOKUP(Table_Query_from_Actuarial___Production3[[#This Row],[Kor1]],$AI$3:$AK$105,3,FALSE)</f>
        <v>Premiums Written</v>
      </c>
      <c r="AF1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5" spans="18:32" x14ac:dyDescent="0.2">
      <c r="R1875" t="s">
        <v>37</v>
      </c>
      <c r="S1875" t="s">
        <v>240</v>
      </c>
      <c r="T1875" t="s">
        <v>356</v>
      </c>
      <c r="U1875" s="21">
        <v>3553.17</v>
      </c>
      <c r="V1875" s="21" t="s">
        <v>368</v>
      </c>
      <c r="W1875" t="str">
        <f>VLOOKUP(Table_Query_from_Actuarial___Production[[#This Row],[Kor1]],$AI$3:$AK$105,3,FALSE)</f>
        <v>Misc. Expense</v>
      </c>
      <c r="X1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5"/>
      <c r="Z1875" t="s">
        <v>41</v>
      </c>
      <c r="AA1875" t="s">
        <v>235</v>
      </c>
      <c r="AB1875" t="s">
        <v>443</v>
      </c>
      <c r="AC1875" s="21">
        <v>1050</v>
      </c>
      <c r="AD1875" s="21" t="s">
        <v>368</v>
      </c>
      <c r="AE1875" t="str">
        <f>VLOOKUP(Table_Query_from_Actuarial___Production3[[#This Row],[Kor1]],$AI$3:$AK$105,3,FALSE)</f>
        <v>Misc. Income</v>
      </c>
      <c r="AF1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6" spans="18:32" x14ac:dyDescent="0.2">
      <c r="R1876" t="s">
        <v>48</v>
      </c>
      <c r="S1876" t="s">
        <v>232</v>
      </c>
      <c r="T1876" t="s">
        <v>445</v>
      </c>
      <c r="U1876" s="21">
        <v>2217.67</v>
      </c>
      <c r="V1876" s="21" t="s">
        <v>368</v>
      </c>
      <c r="W1876" t="str">
        <f>VLOOKUP(Table_Query_from_Actuarial___Production[[#This Row],[Kor1]],$AI$3:$AK$105,3,FALSE)</f>
        <v>Anticipated Salvage</v>
      </c>
      <c r="X1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6"/>
      <c r="Z1876" t="s">
        <v>19</v>
      </c>
      <c r="AA1876" t="s">
        <v>256</v>
      </c>
      <c r="AB1876" t="s">
        <v>9</v>
      </c>
      <c r="AC1876" s="21">
        <v>409</v>
      </c>
      <c r="AD1876" s="21" t="s">
        <v>368</v>
      </c>
      <c r="AE1876" t="str">
        <f>VLOOKUP(Table_Query_from_Actuarial___Production3[[#This Row],[Kor1]],$AI$3:$AK$105,3,FALSE)</f>
        <v>Misc. Expense for Insolvent Companies</v>
      </c>
      <c r="AF1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7" spans="18:32" x14ac:dyDescent="0.2">
      <c r="R1877" t="s">
        <v>10</v>
      </c>
      <c r="S1877" t="s">
        <v>241</v>
      </c>
      <c r="T1877" t="s">
        <v>445</v>
      </c>
      <c r="U1877" s="21">
        <v>11742.9</v>
      </c>
      <c r="V1877" s="21" t="s">
        <v>368</v>
      </c>
      <c r="W1877" t="str">
        <f>VLOOKUP(Table_Query_from_Actuarial___Production[[#This Row],[Kor1]],$AI$3:$AK$105,3,FALSE)</f>
        <v>Commissions</v>
      </c>
      <c r="X1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7"/>
      <c r="Z1877" t="s">
        <v>41</v>
      </c>
      <c r="AA1877" t="s">
        <v>240</v>
      </c>
      <c r="AB1877" t="s">
        <v>5</v>
      </c>
      <c r="AC1877" s="21">
        <v>299.99</v>
      </c>
      <c r="AD1877" s="21" t="s">
        <v>368</v>
      </c>
      <c r="AE1877" t="str">
        <f>VLOOKUP(Table_Query_from_Actuarial___Production3[[#This Row],[Kor1]],$AI$3:$AK$105,3,FALSE)</f>
        <v>Misc. Income</v>
      </c>
      <c r="AF1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8" spans="18:32" x14ac:dyDescent="0.2">
      <c r="R1878" t="s">
        <v>40</v>
      </c>
      <c r="S1878" t="s">
        <v>246</v>
      </c>
      <c r="T1878" t="s">
        <v>442</v>
      </c>
      <c r="U1878" s="21">
        <v>803.01</v>
      </c>
      <c r="V1878" s="21" t="s">
        <v>368</v>
      </c>
      <c r="W1878" t="str">
        <f>VLOOKUP(Table_Query_from_Actuarial___Production[[#This Row],[Kor1]],$AI$3:$AK$105,3,FALSE)</f>
        <v>Misc. Income</v>
      </c>
      <c r="X1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8"/>
      <c r="Z1878" t="s">
        <v>47</v>
      </c>
      <c r="AA1878" t="s">
        <v>262</v>
      </c>
      <c r="AB1878" t="s">
        <v>441</v>
      </c>
      <c r="AC1878" s="21">
        <v>8.09</v>
      </c>
      <c r="AD1878" s="21" t="s">
        <v>368</v>
      </c>
      <c r="AE1878" t="str">
        <f>VLOOKUP(Table_Query_from_Actuarial___Production3[[#This Row],[Kor1]],$AI$3:$AK$105,3,FALSE)</f>
        <v>Investment Income</v>
      </c>
      <c r="AF1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79" spans="18:32" x14ac:dyDescent="0.2">
      <c r="R1879" t="s">
        <v>31</v>
      </c>
      <c r="S1879" t="s">
        <v>238</v>
      </c>
      <c r="T1879" t="s">
        <v>442</v>
      </c>
      <c r="U1879" s="21">
        <v>811.68</v>
      </c>
      <c r="V1879" s="21" t="s">
        <v>368</v>
      </c>
      <c r="W1879" t="str">
        <f>VLOOKUP(Table_Query_from_Actuarial___Production[[#This Row],[Kor1]],$AI$3:$AK$105,3,FALSE)</f>
        <v>Misc. Expense</v>
      </c>
      <c r="X1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79"/>
      <c r="Z1879" t="s">
        <v>16</v>
      </c>
      <c r="AA1879" t="s">
        <v>354</v>
      </c>
      <c r="AB1879" t="s">
        <v>442</v>
      </c>
      <c r="AC1879" s="21">
        <v>219245128.63999999</v>
      </c>
      <c r="AD1879" s="21" t="s">
        <v>369</v>
      </c>
      <c r="AE1879" t="str">
        <f>VLOOKUP(Table_Query_from_Actuarial___Production3[[#This Row],[Kor1]],$AI$3:$AK$105,3,FALSE)</f>
        <v>Losses Outstanding</v>
      </c>
      <c r="AF1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880" spans="18:32" x14ac:dyDescent="0.2">
      <c r="R1880" t="s">
        <v>20</v>
      </c>
      <c r="S1880" t="s">
        <v>249</v>
      </c>
      <c r="T1880" t="s">
        <v>351</v>
      </c>
      <c r="U1880" s="21">
        <v>152.22999999999999</v>
      </c>
      <c r="V1880" s="21" t="s">
        <v>368</v>
      </c>
      <c r="W1880" t="str">
        <f>VLOOKUP(Table_Query_from_Actuarial___Production[[#This Row],[Kor1]],$AI$3:$AK$105,3,FALSE)</f>
        <v>Misc. Expense</v>
      </c>
      <c r="X1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0"/>
      <c r="Z1880" t="s">
        <v>17</v>
      </c>
      <c r="AA1880" t="s">
        <v>266</v>
      </c>
      <c r="AB1880" t="s">
        <v>443</v>
      </c>
      <c r="AC1880" s="21">
        <v>194588.28</v>
      </c>
      <c r="AD1880" s="21" t="s">
        <v>368</v>
      </c>
      <c r="AE1880" t="str">
        <f>VLOOKUP(Table_Query_from_Actuarial___Production3[[#This Row],[Kor1]],$AI$3:$AK$105,3,FALSE)</f>
        <v>IBNR</v>
      </c>
      <c r="AF1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1" spans="18:32" x14ac:dyDescent="0.2">
      <c r="R1881" t="s">
        <v>47</v>
      </c>
      <c r="S1881" t="s">
        <v>262</v>
      </c>
      <c r="T1881" t="s">
        <v>351</v>
      </c>
      <c r="U1881" s="21">
        <v>657.71</v>
      </c>
      <c r="V1881" s="21" t="s">
        <v>368</v>
      </c>
      <c r="W1881" t="str">
        <f>VLOOKUP(Table_Query_from_Actuarial___Production[[#This Row],[Kor1]],$AI$3:$AK$105,3,FALSE)</f>
        <v>Investment Income</v>
      </c>
      <c r="X1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1"/>
      <c r="Z1881" t="s">
        <v>39</v>
      </c>
      <c r="AA1881" t="s">
        <v>256</v>
      </c>
      <c r="AB1881" t="s">
        <v>5</v>
      </c>
      <c r="AC1881" s="21">
        <v>5221.75</v>
      </c>
      <c r="AD1881" s="21" t="s">
        <v>368</v>
      </c>
      <c r="AE1881" t="str">
        <f>VLOOKUP(Table_Query_from_Actuarial___Production3[[#This Row],[Kor1]],$AI$3:$AK$105,3,FALSE)</f>
        <v>Misc. Income for Insolvent Companies</v>
      </c>
      <c r="AF1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2" spans="18:32" x14ac:dyDescent="0.2">
      <c r="R1882" t="s">
        <v>43</v>
      </c>
      <c r="S1882" t="s">
        <v>233</v>
      </c>
      <c r="T1882" t="s">
        <v>356</v>
      </c>
      <c r="U1882" s="21">
        <v>79.3</v>
      </c>
      <c r="V1882" s="21" t="s">
        <v>368</v>
      </c>
      <c r="W1882" t="str">
        <f>VLOOKUP(Table_Query_from_Actuarial___Production[[#This Row],[Kor1]],$AI$3:$AK$105,3,FALSE)</f>
        <v>Charge-offs</v>
      </c>
      <c r="X1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2"/>
      <c r="Z1882" t="s">
        <v>15</v>
      </c>
      <c r="AA1882" t="s">
        <v>265</v>
      </c>
      <c r="AB1882" t="s">
        <v>443</v>
      </c>
      <c r="AC1882" s="21">
        <v>71852.899999999994</v>
      </c>
      <c r="AD1882" s="21" t="s">
        <v>368</v>
      </c>
      <c r="AE1882" t="str">
        <f>VLOOKUP(Table_Query_from_Actuarial___Production3[[#This Row],[Kor1]],$AI$3:$AK$105,3,FALSE)</f>
        <v>Unearned Premiums</v>
      </c>
      <c r="AF1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3" spans="18:32" x14ac:dyDescent="0.2">
      <c r="R1883" t="s">
        <v>20</v>
      </c>
      <c r="S1883" t="s">
        <v>231</v>
      </c>
      <c r="T1883" t="s">
        <v>356</v>
      </c>
      <c r="U1883" s="21">
        <v>88.13</v>
      </c>
      <c r="V1883" s="21" t="s">
        <v>368</v>
      </c>
      <c r="W1883" t="str">
        <f>VLOOKUP(Table_Query_from_Actuarial___Production[[#This Row],[Kor1]],$AI$3:$AK$105,3,FALSE)</f>
        <v>Misc. Expense</v>
      </c>
      <c r="X1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3"/>
      <c r="Z1883" t="s">
        <v>20</v>
      </c>
      <c r="AA1883" t="s">
        <v>238</v>
      </c>
      <c r="AB1883" t="s">
        <v>9</v>
      </c>
      <c r="AC1883" s="21">
        <v>19.25</v>
      </c>
      <c r="AD1883" s="21" t="s">
        <v>368</v>
      </c>
      <c r="AE1883" t="str">
        <f>VLOOKUP(Table_Query_from_Actuarial___Production3[[#This Row],[Kor1]],$AI$3:$AK$105,3,FALSE)</f>
        <v>Misc. Expense</v>
      </c>
      <c r="AF1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4" spans="18:32" x14ac:dyDescent="0.2">
      <c r="R1884" t="s">
        <v>37</v>
      </c>
      <c r="S1884" t="s">
        <v>234</v>
      </c>
      <c r="T1884" t="s">
        <v>6</v>
      </c>
      <c r="U1884" s="21">
        <v>968.24</v>
      </c>
      <c r="V1884" s="21" t="s">
        <v>368</v>
      </c>
      <c r="W1884" t="str">
        <f>VLOOKUP(Table_Query_from_Actuarial___Production[[#This Row],[Kor1]],$AI$3:$AK$105,3,FALSE)</f>
        <v>Misc. Expense</v>
      </c>
      <c r="X1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4"/>
      <c r="Z1884" t="s">
        <v>47</v>
      </c>
      <c r="AA1884" t="s">
        <v>248</v>
      </c>
      <c r="AB1884" t="s">
        <v>427</v>
      </c>
      <c r="AC1884" s="21">
        <v>1490.1</v>
      </c>
      <c r="AD1884" s="21" t="s">
        <v>368</v>
      </c>
      <c r="AE1884" t="str">
        <f>VLOOKUP(Table_Query_from_Actuarial___Production3[[#This Row],[Kor1]],$AI$3:$AK$105,3,FALSE)</f>
        <v>Investment Income</v>
      </c>
      <c r="AF1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5" spans="18:32" x14ac:dyDescent="0.2">
      <c r="R1885" t="s">
        <v>37</v>
      </c>
      <c r="S1885" t="s">
        <v>246</v>
      </c>
      <c r="T1885" t="s">
        <v>442</v>
      </c>
      <c r="U1885" s="21">
        <v>17.239999999999998</v>
      </c>
      <c r="V1885" s="21" t="s">
        <v>368</v>
      </c>
      <c r="W1885" t="str">
        <f>VLOOKUP(Table_Query_from_Actuarial___Production[[#This Row],[Kor1]],$AI$3:$AK$105,3,FALSE)</f>
        <v>Misc. Expense</v>
      </c>
      <c r="X1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5"/>
      <c r="Z1885" t="s">
        <v>3</v>
      </c>
      <c r="AA1885" t="s">
        <v>248</v>
      </c>
      <c r="AB1885" t="s">
        <v>5</v>
      </c>
      <c r="AC1885" s="21">
        <v>31165</v>
      </c>
      <c r="AD1885" s="21" t="s">
        <v>368</v>
      </c>
      <c r="AE1885" t="str">
        <f>VLOOKUP(Table_Query_from_Actuarial___Production3[[#This Row],[Kor1]],$AI$3:$AK$105,3,FALSE)</f>
        <v>Premiums Written</v>
      </c>
      <c r="AF1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6" spans="18:32" x14ac:dyDescent="0.2">
      <c r="R1886" t="s">
        <v>50</v>
      </c>
      <c r="S1886" t="s">
        <v>226</v>
      </c>
      <c r="T1886" t="s">
        <v>443</v>
      </c>
      <c r="U1886" s="21">
        <v>250665</v>
      </c>
      <c r="V1886" s="21" t="s">
        <v>368</v>
      </c>
      <c r="W1886" t="str">
        <f>VLOOKUP(Table_Query_from_Actuarial___Production[[#This Row],[Kor1]],$AI$3:$AK$105,3,FALSE)</f>
        <v>ALAE Reserve</v>
      </c>
      <c r="X1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886"/>
      <c r="Z1886" t="s">
        <v>39</v>
      </c>
      <c r="AA1886" t="s">
        <v>227</v>
      </c>
      <c r="AB1886" t="s">
        <v>433</v>
      </c>
      <c r="AC1886" s="21">
        <v>1126</v>
      </c>
      <c r="AD1886" s="21" t="s">
        <v>368</v>
      </c>
      <c r="AE1886" t="str">
        <f>VLOOKUP(Table_Query_from_Actuarial___Production3[[#This Row],[Kor1]],$AI$3:$AK$105,3,FALSE)</f>
        <v>Misc. Income for Insolvent Companies</v>
      </c>
      <c r="AF1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7" spans="18:32" x14ac:dyDescent="0.2">
      <c r="R1887" t="s">
        <v>11</v>
      </c>
      <c r="S1887" t="s">
        <v>243</v>
      </c>
      <c r="T1887" t="s">
        <v>442</v>
      </c>
      <c r="U1887" s="21">
        <v>773334.5</v>
      </c>
      <c r="V1887" s="21" t="s">
        <v>368</v>
      </c>
      <c r="W1887" t="str">
        <f>VLOOKUP(Table_Query_from_Actuarial___Production[[#This Row],[Kor1]],$AI$3:$AK$105,3,FALSE)</f>
        <v>Losses Paid</v>
      </c>
      <c r="X1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7"/>
      <c r="Z1887" t="s">
        <v>50</v>
      </c>
      <c r="AA1887" t="s">
        <v>246</v>
      </c>
      <c r="AB1887" t="s">
        <v>442</v>
      </c>
      <c r="AC1887" s="21">
        <v>71977.48</v>
      </c>
      <c r="AD1887" s="21" t="s">
        <v>368</v>
      </c>
      <c r="AE1887" t="str">
        <f>VLOOKUP(Table_Query_from_Actuarial___Production3[[#This Row],[Kor1]],$AI$3:$AK$105,3,FALSE)</f>
        <v>ALAE Reserve</v>
      </c>
      <c r="AF1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8" spans="18:32" x14ac:dyDescent="0.2">
      <c r="R1888" t="s">
        <v>12</v>
      </c>
      <c r="S1888" t="s">
        <v>266</v>
      </c>
      <c r="T1888" t="s">
        <v>7</v>
      </c>
      <c r="U1888" s="21">
        <v>23396.32</v>
      </c>
      <c r="V1888" s="21" t="s">
        <v>368</v>
      </c>
      <c r="W1888" t="str">
        <f>VLOOKUP(Table_Query_from_Actuarial___Production[[#This Row],[Kor1]],$AI$3:$AK$105,3,FALSE)</f>
        <v>Premium Tax</v>
      </c>
      <c r="X1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8"/>
      <c r="Z1888" t="s">
        <v>41</v>
      </c>
      <c r="AA1888" t="s">
        <v>256</v>
      </c>
      <c r="AB1888" t="s">
        <v>8</v>
      </c>
      <c r="AC1888" s="21">
        <v>150</v>
      </c>
      <c r="AD1888" s="21" t="s">
        <v>368</v>
      </c>
      <c r="AE1888" t="str">
        <f>VLOOKUP(Table_Query_from_Actuarial___Production3[[#This Row],[Kor1]],$AI$3:$AK$105,3,FALSE)</f>
        <v>Misc. Income</v>
      </c>
      <c r="AF1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89" spans="18:32" x14ac:dyDescent="0.2">
      <c r="R1889" t="s">
        <v>39</v>
      </c>
      <c r="S1889" t="s">
        <v>240</v>
      </c>
      <c r="T1889" t="s">
        <v>351</v>
      </c>
      <c r="U1889" s="21">
        <v>3359.99</v>
      </c>
      <c r="V1889" s="21" t="s">
        <v>368</v>
      </c>
      <c r="W1889" t="str">
        <f>VLOOKUP(Table_Query_from_Actuarial___Production[[#This Row],[Kor1]],$AI$3:$AK$105,3,FALSE)</f>
        <v>Misc. Income for Insolvent Companies</v>
      </c>
      <c r="X1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89"/>
      <c r="Z1889" t="s">
        <v>19</v>
      </c>
      <c r="AA1889" t="s">
        <v>249</v>
      </c>
      <c r="AB1889" t="s">
        <v>433</v>
      </c>
      <c r="AC1889" s="21">
        <v>2110</v>
      </c>
      <c r="AD1889" s="21" t="s">
        <v>368</v>
      </c>
      <c r="AE1889" t="str">
        <f>VLOOKUP(Table_Query_from_Actuarial___Production3[[#This Row],[Kor1]],$AI$3:$AK$105,3,FALSE)</f>
        <v>Misc. Expense for Insolvent Companies</v>
      </c>
      <c r="AF1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0" spans="18:32" x14ac:dyDescent="0.2">
      <c r="R1890" t="s">
        <v>40</v>
      </c>
      <c r="S1890" t="s">
        <v>233</v>
      </c>
      <c r="T1890" t="s">
        <v>8</v>
      </c>
      <c r="U1890" s="21">
        <v>257838.01</v>
      </c>
      <c r="V1890" s="21" t="s">
        <v>368</v>
      </c>
      <c r="W1890" t="str">
        <f>VLOOKUP(Table_Query_from_Actuarial___Production[[#This Row],[Kor1]],$AI$3:$AK$105,3,FALSE)</f>
        <v>Misc. Income</v>
      </c>
      <c r="X1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0"/>
      <c r="Z1890" t="s">
        <v>11</v>
      </c>
      <c r="AA1890" t="s">
        <v>244</v>
      </c>
      <c r="AB1890" t="s">
        <v>9</v>
      </c>
      <c r="AC1890" s="21">
        <v>1370033.31</v>
      </c>
      <c r="AD1890" s="21" t="s">
        <v>368</v>
      </c>
      <c r="AE1890" t="str">
        <f>VLOOKUP(Table_Query_from_Actuarial___Production3[[#This Row],[Kor1]],$AI$3:$AK$105,3,FALSE)</f>
        <v>Losses Paid</v>
      </c>
      <c r="AF1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1" spans="18:32" x14ac:dyDescent="0.2">
      <c r="R1891" t="s">
        <v>43</v>
      </c>
      <c r="S1891" t="s">
        <v>255</v>
      </c>
      <c r="T1891" t="s">
        <v>7</v>
      </c>
      <c r="U1891" s="21">
        <v>-0.89</v>
      </c>
      <c r="V1891" s="21" t="s">
        <v>368</v>
      </c>
      <c r="W1891" t="str">
        <f>VLOOKUP(Table_Query_from_Actuarial___Production[[#This Row],[Kor1]],$AI$3:$AK$105,3,FALSE)</f>
        <v>Charge-offs</v>
      </c>
      <c r="X1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1"/>
      <c r="Z1891" t="s">
        <v>11</v>
      </c>
      <c r="AA1891" t="s">
        <v>249</v>
      </c>
      <c r="AB1891" t="s">
        <v>5</v>
      </c>
      <c r="AC1891" s="21">
        <v>50982.83</v>
      </c>
      <c r="AD1891" s="21" t="s">
        <v>368</v>
      </c>
      <c r="AE1891" t="str">
        <f>VLOOKUP(Table_Query_from_Actuarial___Production3[[#This Row],[Kor1]],$AI$3:$AK$105,3,FALSE)</f>
        <v>Losses Paid</v>
      </c>
      <c r="AF1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2" spans="18:32" x14ac:dyDescent="0.2">
      <c r="R1892" t="s">
        <v>48</v>
      </c>
      <c r="S1892" t="s">
        <v>268</v>
      </c>
      <c r="T1892" t="s">
        <v>442</v>
      </c>
      <c r="U1892" s="21">
        <v>2014.63</v>
      </c>
      <c r="V1892" s="21" t="s">
        <v>368</v>
      </c>
      <c r="W1892" t="str">
        <f>VLOOKUP(Table_Query_from_Actuarial___Production[[#This Row],[Kor1]],$AI$3:$AK$105,3,FALSE)</f>
        <v>Anticipated Salvage</v>
      </c>
      <c r="X1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2"/>
      <c r="Z1892" t="s">
        <v>48</v>
      </c>
      <c r="AA1892" t="s">
        <v>250</v>
      </c>
      <c r="AB1892" t="s">
        <v>441</v>
      </c>
      <c r="AC1892" s="21">
        <v>12969.66</v>
      </c>
      <c r="AD1892" s="21" t="s">
        <v>368</v>
      </c>
      <c r="AE1892" t="str">
        <f>VLOOKUP(Table_Query_from_Actuarial___Production3[[#This Row],[Kor1]],$AI$3:$AK$105,3,FALSE)</f>
        <v>Anticipated Salvage</v>
      </c>
      <c r="AF1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3" spans="18:32" x14ac:dyDescent="0.2">
      <c r="R1893" t="s">
        <v>40</v>
      </c>
      <c r="S1893" t="s">
        <v>257</v>
      </c>
      <c r="T1893" t="s">
        <v>443</v>
      </c>
      <c r="U1893" s="21">
        <v>505.01</v>
      </c>
      <c r="V1893" s="21" t="s">
        <v>368</v>
      </c>
      <c r="W1893" t="str">
        <f>VLOOKUP(Table_Query_from_Actuarial___Production[[#This Row],[Kor1]],$AI$3:$AK$105,3,FALSE)</f>
        <v>Misc. Income</v>
      </c>
      <c r="X1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3"/>
      <c r="Z1893" t="s">
        <v>11</v>
      </c>
      <c r="AA1893" t="s">
        <v>354</v>
      </c>
      <c r="AB1893" t="s">
        <v>433</v>
      </c>
      <c r="AC1893" s="21">
        <v>71350716.090000004</v>
      </c>
      <c r="AD1893" s="21" t="s">
        <v>368</v>
      </c>
      <c r="AE1893" t="str">
        <f>VLOOKUP(Table_Query_from_Actuarial___Production3[[#This Row],[Kor1]],$AI$3:$AK$105,3,FALSE)</f>
        <v>Losses Paid</v>
      </c>
      <c r="AF1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894" spans="18:32" x14ac:dyDescent="0.2">
      <c r="R1894" t="s">
        <v>49</v>
      </c>
      <c r="S1894" t="s">
        <v>241</v>
      </c>
      <c r="T1894" t="s">
        <v>356</v>
      </c>
      <c r="U1894" s="21">
        <v>17100.61</v>
      </c>
      <c r="V1894" s="21" t="s">
        <v>368</v>
      </c>
      <c r="W1894" t="str">
        <f>VLOOKUP(Table_Query_from_Actuarial___Production[[#This Row],[Kor1]],$AI$3:$AK$105,3,FALSE)</f>
        <v>ALAE Paid</v>
      </c>
      <c r="X1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4"/>
      <c r="Z1894" t="s">
        <v>10</v>
      </c>
      <c r="AA1894" t="s">
        <v>226</v>
      </c>
      <c r="AB1894" t="s">
        <v>7</v>
      </c>
      <c r="AC1894" s="21">
        <v>372166.3</v>
      </c>
      <c r="AD1894" s="21" t="s">
        <v>368</v>
      </c>
      <c r="AE1894" t="str">
        <f>VLOOKUP(Table_Query_from_Actuarial___Production3[[#This Row],[Kor1]],$AI$3:$AK$105,3,FALSE)</f>
        <v>Commissions</v>
      </c>
      <c r="AF1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895" spans="18:32" x14ac:dyDescent="0.2">
      <c r="R1895" t="s">
        <v>31</v>
      </c>
      <c r="S1895" t="s">
        <v>236</v>
      </c>
      <c r="T1895" t="s">
        <v>433</v>
      </c>
      <c r="U1895" s="21">
        <v>904.42</v>
      </c>
      <c r="V1895" s="21" t="s">
        <v>368</v>
      </c>
      <c r="W1895" t="str">
        <f>VLOOKUP(Table_Query_from_Actuarial___Production[[#This Row],[Kor1]],$AI$3:$AK$105,3,FALSE)</f>
        <v>Misc. Expense</v>
      </c>
      <c r="X1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5"/>
      <c r="Z1895" t="s">
        <v>3</v>
      </c>
      <c r="AA1895" t="s">
        <v>254</v>
      </c>
      <c r="AB1895" t="s">
        <v>6</v>
      </c>
      <c r="AC1895" s="21">
        <v>809644</v>
      </c>
      <c r="AD1895" s="21" t="s">
        <v>368</v>
      </c>
      <c r="AE1895" t="str">
        <f>VLOOKUP(Table_Query_from_Actuarial___Production3[[#This Row],[Kor1]],$AI$3:$AK$105,3,FALSE)</f>
        <v>Premiums Written</v>
      </c>
      <c r="AF1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6" spans="18:32" x14ac:dyDescent="0.2">
      <c r="R1896" t="s">
        <v>50</v>
      </c>
      <c r="S1896" t="s">
        <v>230</v>
      </c>
      <c r="T1896" t="s">
        <v>442</v>
      </c>
      <c r="U1896" s="21">
        <v>819712.8</v>
      </c>
      <c r="V1896" s="21" t="s">
        <v>368</v>
      </c>
      <c r="W1896" t="str">
        <f>VLOOKUP(Table_Query_from_Actuarial___Production[[#This Row],[Kor1]],$AI$3:$AK$105,3,FALSE)</f>
        <v>ALAE Reserve</v>
      </c>
      <c r="X1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6"/>
      <c r="Z1896" t="s">
        <v>11</v>
      </c>
      <c r="AA1896" t="s">
        <v>250</v>
      </c>
      <c r="AB1896" t="s">
        <v>9</v>
      </c>
      <c r="AC1896" s="21">
        <v>1369673.92</v>
      </c>
      <c r="AD1896" s="21" t="s">
        <v>368</v>
      </c>
      <c r="AE1896" t="str">
        <f>VLOOKUP(Table_Query_from_Actuarial___Production3[[#This Row],[Kor1]],$AI$3:$AK$105,3,FALSE)</f>
        <v>Losses Paid</v>
      </c>
      <c r="AF1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7" spans="18:32" x14ac:dyDescent="0.2">
      <c r="R1897" t="s">
        <v>3</v>
      </c>
      <c r="S1897" t="s">
        <v>267</v>
      </c>
      <c r="T1897" t="s">
        <v>441</v>
      </c>
      <c r="U1897" s="21">
        <v>1737548</v>
      </c>
      <c r="V1897" s="21" t="s">
        <v>368</v>
      </c>
      <c r="W1897" t="str">
        <f>VLOOKUP(Table_Query_from_Actuarial___Production[[#This Row],[Kor1]],$AI$3:$AK$105,3,FALSE)</f>
        <v>Premiums Written</v>
      </c>
      <c r="X1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7"/>
      <c r="Z1897" t="s">
        <v>31</v>
      </c>
      <c r="AA1897" t="s">
        <v>232</v>
      </c>
      <c r="AB1897" t="s">
        <v>441</v>
      </c>
      <c r="AC1897" s="21">
        <v>992.55</v>
      </c>
      <c r="AD1897" s="21" t="s">
        <v>368</v>
      </c>
      <c r="AE1897" t="str">
        <f>VLOOKUP(Table_Query_from_Actuarial___Production3[[#This Row],[Kor1]],$AI$3:$AK$105,3,FALSE)</f>
        <v>Misc. Expense</v>
      </c>
      <c r="AF1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8" spans="18:32" x14ac:dyDescent="0.2">
      <c r="R1898" t="s">
        <v>10</v>
      </c>
      <c r="S1898" t="s">
        <v>248</v>
      </c>
      <c r="T1898" t="s">
        <v>433</v>
      </c>
      <c r="U1898" s="21">
        <v>29965.59</v>
      </c>
      <c r="V1898" s="21" t="s">
        <v>368</v>
      </c>
      <c r="W1898" t="str">
        <f>VLOOKUP(Table_Query_from_Actuarial___Production[[#This Row],[Kor1]],$AI$3:$AK$105,3,FALSE)</f>
        <v>Commissions</v>
      </c>
      <c r="X1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8"/>
      <c r="Z1898" t="s">
        <v>39</v>
      </c>
      <c r="AA1898" t="s">
        <v>252</v>
      </c>
      <c r="AB1898" t="s">
        <v>356</v>
      </c>
      <c r="AC1898" s="21">
        <v>34090</v>
      </c>
      <c r="AD1898" s="21" t="s">
        <v>368</v>
      </c>
      <c r="AE1898" t="str">
        <f>VLOOKUP(Table_Query_from_Actuarial___Production3[[#This Row],[Kor1]],$AI$3:$AK$105,3,FALSE)</f>
        <v>Misc. Income for Insolvent Companies</v>
      </c>
      <c r="AF1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899" spans="18:32" x14ac:dyDescent="0.2">
      <c r="R1899" t="s">
        <v>444</v>
      </c>
      <c r="S1899" t="s">
        <v>241</v>
      </c>
      <c r="T1899" t="s">
        <v>443</v>
      </c>
      <c r="U1899" s="21">
        <v>10167.82</v>
      </c>
      <c r="V1899" s="21" t="s">
        <v>368</v>
      </c>
      <c r="W1899" t="str">
        <f>VLOOKUP(Table_Query_from_Actuarial___Production[[#This Row],[Kor1]],$AI$3:$AK$105,3,FALSE)</f>
        <v>Misc. Expense</v>
      </c>
      <c r="X1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899"/>
      <c r="Z1899" t="s">
        <v>13</v>
      </c>
      <c r="AA1899" t="s">
        <v>250</v>
      </c>
      <c r="AB1899" t="s">
        <v>9</v>
      </c>
      <c r="AC1899" s="21">
        <v>214191.16</v>
      </c>
      <c r="AD1899" s="21" t="s">
        <v>368</v>
      </c>
      <c r="AE1899" t="str">
        <f>VLOOKUP(Table_Query_from_Actuarial___Production3[[#This Row],[Kor1]],$AI$3:$AK$105,3,FALSE)</f>
        <v>Operating Service Fees</v>
      </c>
      <c r="AF1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0" spans="18:32" x14ac:dyDescent="0.2">
      <c r="R1900" t="s">
        <v>11</v>
      </c>
      <c r="S1900" t="s">
        <v>257</v>
      </c>
      <c r="T1900" t="s">
        <v>442</v>
      </c>
      <c r="U1900" s="21">
        <v>603540.64</v>
      </c>
      <c r="V1900" s="21" t="s">
        <v>368</v>
      </c>
      <c r="W1900" t="str">
        <f>VLOOKUP(Table_Query_from_Actuarial___Production[[#This Row],[Kor1]],$AI$3:$AK$105,3,FALSE)</f>
        <v>Losses Paid</v>
      </c>
      <c r="X1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0"/>
      <c r="Z1900" t="s">
        <v>41</v>
      </c>
      <c r="AA1900" t="s">
        <v>261</v>
      </c>
      <c r="AB1900" t="s">
        <v>8</v>
      </c>
      <c r="AC1900" s="21">
        <v>450</v>
      </c>
      <c r="AD1900" s="21" t="s">
        <v>368</v>
      </c>
      <c r="AE1900" t="str">
        <f>VLOOKUP(Table_Query_from_Actuarial___Production3[[#This Row],[Kor1]],$AI$3:$AK$105,3,FALSE)</f>
        <v>Misc. Income</v>
      </c>
      <c r="AF1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1" spans="18:32" x14ac:dyDescent="0.2">
      <c r="R1901" t="s">
        <v>14</v>
      </c>
      <c r="S1901" t="s">
        <v>257</v>
      </c>
      <c r="T1901" t="s">
        <v>9</v>
      </c>
      <c r="U1901" s="21">
        <v>129062.52</v>
      </c>
      <c r="V1901" s="21" t="s">
        <v>368</v>
      </c>
      <c r="W1901" t="str">
        <f>VLOOKUP(Table_Query_from_Actuarial___Production[[#This Row],[Kor1]],$AI$3:$AK$105,3,FALSE)</f>
        <v>Claims Expense</v>
      </c>
      <c r="X1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1"/>
      <c r="Z1901" t="s">
        <v>12</v>
      </c>
      <c r="AA1901" t="s">
        <v>235</v>
      </c>
      <c r="AB1901" t="s">
        <v>9</v>
      </c>
      <c r="AC1901" s="21">
        <v>29215.14</v>
      </c>
      <c r="AD1901" s="21" t="s">
        <v>368</v>
      </c>
      <c r="AE1901" t="str">
        <f>VLOOKUP(Table_Query_from_Actuarial___Production3[[#This Row],[Kor1]],$AI$3:$AK$105,3,FALSE)</f>
        <v>Premium Tax</v>
      </c>
      <c r="AF1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2" spans="18:32" x14ac:dyDescent="0.2">
      <c r="R1902" t="s">
        <v>20</v>
      </c>
      <c r="S1902" t="s">
        <v>243</v>
      </c>
      <c r="T1902" t="s">
        <v>445</v>
      </c>
      <c r="U1902" s="21">
        <v>56.95</v>
      </c>
      <c r="V1902" s="21" t="s">
        <v>368</v>
      </c>
      <c r="W1902" t="str">
        <f>VLOOKUP(Table_Query_from_Actuarial___Production[[#This Row],[Kor1]],$AI$3:$AK$105,3,FALSE)</f>
        <v>Misc. Expense</v>
      </c>
      <c r="X1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2"/>
      <c r="Z1902" t="s">
        <v>43</v>
      </c>
      <c r="AA1902" t="s">
        <v>235</v>
      </c>
      <c r="AB1902" t="s">
        <v>8</v>
      </c>
      <c r="AC1902" s="21">
        <v>-138.97999999999999</v>
      </c>
      <c r="AD1902" s="21" t="s">
        <v>368</v>
      </c>
      <c r="AE1902" t="str">
        <f>VLOOKUP(Table_Query_from_Actuarial___Production3[[#This Row],[Kor1]],$AI$3:$AK$105,3,FALSE)</f>
        <v>Charge-offs</v>
      </c>
      <c r="AF1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3" spans="18:32" x14ac:dyDescent="0.2">
      <c r="R1903" t="s">
        <v>37</v>
      </c>
      <c r="S1903" t="s">
        <v>230</v>
      </c>
      <c r="T1903" t="s">
        <v>427</v>
      </c>
      <c r="U1903" s="21">
        <v>91520.65</v>
      </c>
      <c r="V1903" s="21" t="s">
        <v>368</v>
      </c>
      <c r="W1903" t="str">
        <f>VLOOKUP(Table_Query_from_Actuarial___Production[[#This Row],[Kor1]],$AI$3:$AK$105,3,FALSE)</f>
        <v>Misc. Expense</v>
      </c>
      <c r="X1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3"/>
      <c r="Z1903" t="s">
        <v>46</v>
      </c>
      <c r="AA1903" t="s">
        <v>352</v>
      </c>
      <c r="AB1903" t="s">
        <v>8</v>
      </c>
      <c r="AC1903" s="21">
        <v>0.39</v>
      </c>
      <c r="AD1903" s="21" t="s">
        <v>368</v>
      </c>
      <c r="AE1903" t="str">
        <f>VLOOKUP(Table_Query_from_Actuarial___Production3[[#This Row],[Kor1]],$AI$3:$AK$105,3,FALSE)</f>
        <v>Investment Income</v>
      </c>
      <c r="AF1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904" spans="18:32" x14ac:dyDescent="0.2">
      <c r="R1904" t="s">
        <v>40</v>
      </c>
      <c r="S1904" t="s">
        <v>262</v>
      </c>
      <c r="T1904" t="s">
        <v>9</v>
      </c>
      <c r="U1904" s="21">
        <v>43</v>
      </c>
      <c r="V1904" s="21" t="s">
        <v>368</v>
      </c>
      <c r="W1904" t="str">
        <f>VLOOKUP(Table_Query_from_Actuarial___Production[[#This Row],[Kor1]],$AI$3:$AK$105,3,FALSE)</f>
        <v>Misc. Income</v>
      </c>
      <c r="X1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4"/>
      <c r="Z1904" t="s">
        <v>33</v>
      </c>
      <c r="AA1904" t="s">
        <v>252</v>
      </c>
      <c r="AB1904" t="s">
        <v>442</v>
      </c>
      <c r="AC1904" s="21">
        <v>34854.71</v>
      </c>
      <c r="AD1904" s="21" t="s">
        <v>368</v>
      </c>
      <c r="AE1904" t="str">
        <f>VLOOKUP(Table_Query_from_Actuarial___Production3[[#This Row],[Kor1]],$AI$3:$AK$105,3,FALSE)</f>
        <v>Misc. Expense</v>
      </c>
      <c r="AF1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5" spans="18:32" x14ac:dyDescent="0.2">
      <c r="R1905" t="s">
        <v>13</v>
      </c>
      <c r="S1905" t="s">
        <v>227</v>
      </c>
      <c r="T1905" t="s">
        <v>8</v>
      </c>
      <c r="U1905" s="21">
        <v>4697.9799999999996</v>
      </c>
      <c r="V1905" s="21" t="s">
        <v>368</v>
      </c>
      <c r="W1905" t="str">
        <f>VLOOKUP(Table_Query_from_Actuarial___Production[[#This Row],[Kor1]],$AI$3:$AK$105,3,FALSE)</f>
        <v>Operating Service Fees</v>
      </c>
      <c r="X1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5"/>
      <c r="Z1905" t="s">
        <v>44</v>
      </c>
      <c r="AA1905" t="s">
        <v>239</v>
      </c>
      <c r="AB1905" t="s">
        <v>427</v>
      </c>
      <c r="AC1905" s="21">
        <v>-1</v>
      </c>
      <c r="AD1905" s="21" t="s">
        <v>368</v>
      </c>
      <c r="AE1905" t="str">
        <f>VLOOKUP(Table_Query_from_Actuarial___Production3[[#This Row],[Kor1]],$AI$3:$AK$105,3,FALSE)</f>
        <v>Charge-offs</v>
      </c>
      <c r="AF1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6" spans="18:32" x14ac:dyDescent="0.2">
      <c r="R1906" t="s">
        <v>13</v>
      </c>
      <c r="S1906" t="s">
        <v>258</v>
      </c>
      <c r="T1906" t="s">
        <v>441</v>
      </c>
      <c r="U1906" s="21">
        <v>620795.19999999995</v>
      </c>
      <c r="V1906" s="21" t="s">
        <v>368</v>
      </c>
      <c r="W1906" t="str">
        <f>VLOOKUP(Table_Query_from_Actuarial___Production[[#This Row],[Kor1]],$AI$3:$AK$105,3,FALSE)</f>
        <v>Operating Service Fees</v>
      </c>
      <c r="X1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6"/>
      <c r="Z1906" t="s">
        <v>16</v>
      </c>
      <c r="AA1906" t="s">
        <v>224</v>
      </c>
      <c r="AB1906" t="s">
        <v>356</v>
      </c>
      <c r="AC1906" s="21">
        <v>-695.5</v>
      </c>
      <c r="AD1906" s="21" t="s">
        <v>425</v>
      </c>
      <c r="AE1906" t="str">
        <f>VLOOKUP(Table_Query_from_Actuarial___Production3[[#This Row],[Kor1]],$AI$3:$AK$105,3,FALSE)</f>
        <v>Losses Outstanding</v>
      </c>
      <c r="AF1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907" spans="18:32" x14ac:dyDescent="0.2">
      <c r="R1907" t="s">
        <v>43</v>
      </c>
      <c r="S1907" t="s">
        <v>237</v>
      </c>
      <c r="T1907" t="s">
        <v>356</v>
      </c>
      <c r="U1907" s="21">
        <v>-759.01</v>
      </c>
      <c r="V1907" s="21" t="s">
        <v>368</v>
      </c>
      <c r="W1907" t="str">
        <f>VLOOKUP(Table_Query_from_Actuarial___Production[[#This Row],[Kor1]],$AI$3:$AK$105,3,FALSE)</f>
        <v>Charge-offs</v>
      </c>
      <c r="X1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7"/>
      <c r="Z1907" t="s">
        <v>14</v>
      </c>
      <c r="AA1907" t="s">
        <v>248</v>
      </c>
      <c r="AB1907" t="s">
        <v>442</v>
      </c>
      <c r="AC1907" s="21">
        <v>38564.160000000003</v>
      </c>
      <c r="AD1907" s="21" t="s">
        <v>368</v>
      </c>
      <c r="AE1907" t="str">
        <f>VLOOKUP(Table_Query_from_Actuarial___Production3[[#This Row],[Kor1]],$AI$3:$AK$105,3,FALSE)</f>
        <v>Claims Expense</v>
      </c>
      <c r="AF1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8" spans="18:32" x14ac:dyDescent="0.2">
      <c r="R1908" t="s">
        <v>10</v>
      </c>
      <c r="S1908" t="s">
        <v>235</v>
      </c>
      <c r="T1908" t="s">
        <v>443</v>
      </c>
      <c r="U1908" s="21">
        <v>2813.95</v>
      </c>
      <c r="V1908" s="21" t="s">
        <v>368</v>
      </c>
      <c r="W1908" t="str">
        <f>VLOOKUP(Table_Query_from_Actuarial___Production[[#This Row],[Kor1]],$AI$3:$AK$105,3,FALSE)</f>
        <v>Commissions</v>
      </c>
      <c r="X1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8"/>
      <c r="Z1908" t="s">
        <v>43</v>
      </c>
      <c r="AA1908" t="s">
        <v>230</v>
      </c>
      <c r="AB1908" t="s">
        <v>9</v>
      </c>
      <c r="AC1908" s="21">
        <v>26635.81</v>
      </c>
      <c r="AD1908" s="21" t="s">
        <v>368</v>
      </c>
      <c r="AE1908" t="str">
        <f>VLOOKUP(Table_Query_from_Actuarial___Production3[[#This Row],[Kor1]],$AI$3:$AK$105,3,FALSE)</f>
        <v>Charge-offs</v>
      </c>
      <c r="AF1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09" spans="18:32" x14ac:dyDescent="0.2">
      <c r="R1909" t="s">
        <v>12</v>
      </c>
      <c r="S1909" t="s">
        <v>237</v>
      </c>
      <c r="T1909" t="s">
        <v>9</v>
      </c>
      <c r="U1909" s="21">
        <v>187126.29</v>
      </c>
      <c r="V1909" s="21" t="s">
        <v>368</v>
      </c>
      <c r="W1909" t="str">
        <f>VLOOKUP(Table_Query_from_Actuarial___Production[[#This Row],[Kor1]],$AI$3:$AK$105,3,FALSE)</f>
        <v>Premium Tax</v>
      </c>
      <c r="X1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09"/>
      <c r="Z1909" t="s">
        <v>47</v>
      </c>
      <c r="AA1909" t="s">
        <v>232</v>
      </c>
      <c r="AB1909" t="s">
        <v>433</v>
      </c>
      <c r="AC1909" s="21">
        <v>1799.37</v>
      </c>
      <c r="AD1909" s="21" t="s">
        <v>368</v>
      </c>
      <c r="AE1909" t="str">
        <f>VLOOKUP(Table_Query_from_Actuarial___Production3[[#This Row],[Kor1]],$AI$3:$AK$105,3,FALSE)</f>
        <v>Investment Income</v>
      </c>
      <c r="AF1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0" spans="18:32" x14ac:dyDescent="0.2">
      <c r="R1910" t="s">
        <v>3</v>
      </c>
      <c r="S1910" t="s">
        <v>244</v>
      </c>
      <c r="T1910" t="s">
        <v>443</v>
      </c>
      <c r="U1910" s="21">
        <v>3140336</v>
      </c>
      <c r="V1910" s="21" t="s">
        <v>368</v>
      </c>
      <c r="W1910" t="str">
        <f>VLOOKUP(Table_Query_from_Actuarial___Production[[#This Row],[Kor1]],$AI$3:$AK$105,3,FALSE)</f>
        <v>Premiums Written</v>
      </c>
      <c r="X1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0"/>
      <c r="Z1910" t="s">
        <v>39</v>
      </c>
      <c r="AA1910" t="s">
        <v>4</v>
      </c>
      <c r="AB1910" t="s">
        <v>433</v>
      </c>
      <c r="AC1910" s="21">
        <v>76660.52</v>
      </c>
      <c r="AD1910" s="21" t="s">
        <v>368</v>
      </c>
      <c r="AE1910" t="str">
        <f>VLOOKUP(Table_Query_from_Actuarial___Production3[[#This Row],[Kor1]],$AI$3:$AK$105,3,FALSE)</f>
        <v>Misc. Income for Insolvent Companies</v>
      </c>
      <c r="AF1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1" spans="18:32" x14ac:dyDescent="0.2">
      <c r="R1911" t="s">
        <v>17</v>
      </c>
      <c r="S1911" t="s">
        <v>242</v>
      </c>
      <c r="T1911" t="s">
        <v>7</v>
      </c>
      <c r="U1911" s="21">
        <v>50000</v>
      </c>
      <c r="V1911" s="21" t="s">
        <v>368</v>
      </c>
      <c r="W1911" t="str">
        <f>VLOOKUP(Table_Query_from_Actuarial___Production[[#This Row],[Kor1]],$AI$3:$AK$105,3,FALSE)</f>
        <v>IBNR</v>
      </c>
      <c r="X1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1"/>
      <c r="Z1911" t="s">
        <v>15</v>
      </c>
      <c r="AA1911" t="s">
        <v>243</v>
      </c>
      <c r="AB1911" t="s">
        <v>443</v>
      </c>
      <c r="AC1911" s="21">
        <v>69198.649999999994</v>
      </c>
      <c r="AD1911" s="21" t="s">
        <v>368</v>
      </c>
      <c r="AE1911" t="str">
        <f>VLOOKUP(Table_Query_from_Actuarial___Production3[[#This Row],[Kor1]],$AI$3:$AK$105,3,FALSE)</f>
        <v>Unearned Premiums</v>
      </c>
      <c r="AF1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2" spans="18:32" x14ac:dyDescent="0.2">
      <c r="R1912" t="s">
        <v>19</v>
      </c>
      <c r="S1912" t="s">
        <v>228</v>
      </c>
      <c r="T1912" t="s">
        <v>356</v>
      </c>
      <c r="U1912" s="21">
        <v>195</v>
      </c>
      <c r="V1912" s="21" t="s">
        <v>368</v>
      </c>
      <c r="W1912" t="str">
        <f>VLOOKUP(Table_Query_from_Actuarial___Production[[#This Row],[Kor1]],$AI$3:$AK$105,3,FALSE)</f>
        <v>Misc. Expense for Insolvent Companies</v>
      </c>
      <c r="X1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2"/>
      <c r="Z1912" t="s">
        <v>44</v>
      </c>
      <c r="AA1912" t="s">
        <v>235</v>
      </c>
      <c r="AB1912" t="s">
        <v>356</v>
      </c>
      <c r="AC1912" s="21">
        <v>3642</v>
      </c>
      <c r="AD1912" s="21" t="s">
        <v>368</v>
      </c>
      <c r="AE1912" t="str">
        <f>VLOOKUP(Table_Query_from_Actuarial___Production3[[#This Row],[Kor1]],$AI$3:$AK$105,3,FALSE)</f>
        <v>Charge-offs</v>
      </c>
      <c r="AF1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3" spans="18:32" x14ac:dyDescent="0.2">
      <c r="R1913" t="s">
        <v>39</v>
      </c>
      <c r="S1913" t="s">
        <v>232</v>
      </c>
      <c r="T1913" t="s">
        <v>441</v>
      </c>
      <c r="U1913" s="21">
        <v>4618.59</v>
      </c>
      <c r="V1913" s="21" t="s">
        <v>368</v>
      </c>
      <c r="W1913" t="str">
        <f>VLOOKUP(Table_Query_from_Actuarial___Production[[#This Row],[Kor1]],$AI$3:$AK$105,3,FALSE)</f>
        <v>Misc. Income for Insolvent Companies</v>
      </c>
      <c r="X1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3"/>
      <c r="Z1913" t="s">
        <v>3</v>
      </c>
      <c r="AA1913" t="s">
        <v>4</v>
      </c>
      <c r="AB1913" t="s">
        <v>8</v>
      </c>
      <c r="AC1913" s="21">
        <v>17731161</v>
      </c>
      <c r="AD1913" s="21" t="s">
        <v>368</v>
      </c>
      <c r="AE1913" t="str">
        <f>VLOOKUP(Table_Query_from_Actuarial___Production3[[#This Row],[Kor1]],$AI$3:$AK$105,3,FALSE)</f>
        <v>Premiums Written</v>
      </c>
      <c r="AF1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4" spans="18:32" x14ac:dyDescent="0.2">
      <c r="R1914" t="s">
        <v>47</v>
      </c>
      <c r="S1914" t="s">
        <v>228</v>
      </c>
      <c r="T1914" t="s">
        <v>9</v>
      </c>
      <c r="U1914" s="21">
        <v>122.16</v>
      </c>
      <c r="V1914" s="21" t="s">
        <v>368</v>
      </c>
      <c r="W1914" t="str">
        <f>VLOOKUP(Table_Query_from_Actuarial___Production[[#This Row],[Kor1]],$AI$3:$AK$105,3,FALSE)</f>
        <v>Investment Income</v>
      </c>
      <c r="X1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4"/>
      <c r="Z1914" t="s">
        <v>37</v>
      </c>
      <c r="AA1914" t="s">
        <v>240</v>
      </c>
      <c r="AB1914" t="s">
        <v>356</v>
      </c>
      <c r="AC1914" s="21">
        <v>3553.17</v>
      </c>
      <c r="AD1914" s="21" t="s">
        <v>368</v>
      </c>
      <c r="AE1914" t="str">
        <f>VLOOKUP(Table_Query_from_Actuarial___Production3[[#This Row],[Kor1]],$AI$3:$AK$105,3,FALSE)</f>
        <v>Misc. Expense</v>
      </c>
      <c r="AF1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5" spans="18:32" x14ac:dyDescent="0.2">
      <c r="R1915" t="s">
        <v>17</v>
      </c>
      <c r="S1915" t="s">
        <v>262</v>
      </c>
      <c r="T1915" t="s">
        <v>442</v>
      </c>
      <c r="U1915" s="21">
        <v>15780.77</v>
      </c>
      <c r="V1915" s="21" t="s">
        <v>368</v>
      </c>
      <c r="W1915" t="str">
        <f>VLOOKUP(Table_Query_from_Actuarial___Production[[#This Row],[Kor1]],$AI$3:$AK$105,3,FALSE)</f>
        <v>IBNR</v>
      </c>
      <c r="X1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5"/>
      <c r="Z1915" t="s">
        <v>40</v>
      </c>
      <c r="AA1915" t="s">
        <v>246</v>
      </c>
      <c r="AB1915" t="s">
        <v>442</v>
      </c>
      <c r="AC1915" s="21">
        <v>803.01</v>
      </c>
      <c r="AD1915" s="21" t="s">
        <v>368</v>
      </c>
      <c r="AE1915" t="str">
        <f>VLOOKUP(Table_Query_from_Actuarial___Production3[[#This Row],[Kor1]],$AI$3:$AK$105,3,FALSE)</f>
        <v>Misc. Income</v>
      </c>
      <c r="AF1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6" spans="18:32" x14ac:dyDescent="0.2">
      <c r="R1916" t="s">
        <v>40</v>
      </c>
      <c r="S1916" t="s">
        <v>259</v>
      </c>
      <c r="T1916" t="s">
        <v>441</v>
      </c>
      <c r="U1916" s="21">
        <v>554</v>
      </c>
      <c r="V1916" s="21" t="s">
        <v>368</v>
      </c>
      <c r="W1916" t="str">
        <f>VLOOKUP(Table_Query_from_Actuarial___Production[[#This Row],[Kor1]],$AI$3:$AK$105,3,FALSE)</f>
        <v>Misc. Income</v>
      </c>
      <c r="X1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6"/>
      <c r="Z1916" t="s">
        <v>31</v>
      </c>
      <c r="AA1916" t="s">
        <v>238</v>
      </c>
      <c r="AB1916" t="s">
        <v>442</v>
      </c>
      <c r="AC1916" s="21">
        <v>811.68</v>
      </c>
      <c r="AD1916" s="21" t="s">
        <v>368</v>
      </c>
      <c r="AE1916" t="str">
        <f>VLOOKUP(Table_Query_from_Actuarial___Production3[[#This Row],[Kor1]],$AI$3:$AK$105,3,FALSE)</f>
        <v>Misc. Expense</v>
      </c>
      <c r="AF1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7" spans="18:32" x14ac:dyDescent="0.2">
      <c r="R1917" t="s">
        <v>47</v>
      </c>
      <c r="S1917" t="s">
        <v>253</v>
      </c>
      <c r="T1917" t="s">
        <v>443</v>
      </c>
      <c r="U1917" s="21">
        <v>1307.42</v>
      </c>
      <c r="V1917" s="21" t="s">
        <v>368</v>
      </c>
      <c r="W1917" t="str">
        <f>VLOOKUP(Table_Query_from_Actuarial___Production[[#This Row],[Kor1]],$AI$3:$AK$105,3,FALSE)</f>
        <v>Investment Income</v>
      </c>
      <c r="X1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7"/>
      <c r="Z1917" t="s">
        <v>35</v>
      </c>
      <c r="AA1917" t="s">
        <v>4</v>
      </c>
      <c r="AB1917" t="s">
        <v>5</v>
      </c>
      <c r="AC1917" s="21">
        <v>-270</v>
      </c>
      <c r="AD1917" s="21" t="s">
        <v>368</v>
      </c>
      <c r="AE1917" t="str">
        <f>VLOOKUP(Table_Query_from_Actuarial___Production3[[#This Row],[Kor1]],$AI$3:$AK$105,3,FALSE)</f>
        <v>Misc. Expense</v>
      </c>
      <c r="AF1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8" spans="18:32" x14ac:dyDescent="0.2">
      <c r="R1918" t="s">
        <v>11</v>
      </c>
      <c r="S1918" t="s">
        <v>231</v>
      </c>
      <c r="T1918" t="s">
        <v>433</v>
      </c>
      <c r="U1918" s="21">
        <v>4477482.04</v>
      </c>
      <c r="V1918" s="21" t="s">
        <v>368</v>
      </c>
      <c r="W1918" t="str">
        <f>VLOOKUP(Table_Query_from_Actuarial___Production[[#This Row],[Kor1]],$AI$3:$AK$105,3,FALSE)</f>
        <v>Losses Paid</v>
      </c>
      <c r="X1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8"/>
      <c r="Z1918" t="s">
        <v>20</v>
      </c>
      <c r="AA1918" t="s">
        <v>249</v>
      </c>
      <c r="AB1918" t="s">
        <v>351</v>
      </c>
      <c r="AC1918" s="21">
        <v>152.22999999999999</v>
      </c>
      <c r="AD1918" s="21" t="s">
        <v>368</v>
      </c>
      <c r="AE1918" t="str">
        <f>VLOOKUP(Table_Query_from_Actuarial___Production3[[#This Row],[Kor1]],$AI$3:$AK$105,3,FALSE)</f>
        <v>Misc. Expense</v>
      </c>
      <c r="AF1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19" spans="18:32" x14ac:dyDescent="0.2">
      <c r="R1919" t="s">
        <v>47</v>
      </c>
      <c r="S1919" t="s">
        <v>264</v>
      </c>
      <c r="T1919" t="s">
        <v>441</v>
      </c>
      <c r="U1919" s="21">
        <v>53.4</v>
      </c>
      <c r="V1919" s="21" t="s">
        <v>368</v>
      </c>
      <c r="W1919" t="str">
        <f>VLOOKUP(Table_Query_from_Actuarial___Production[[#This Row],[Kor1]],$AI$3:$AK$105,3,FALSE)</f>
        <v>Investment Income</v>
      </c>
      <c r="X1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19"/>
      <c r="Z1919" t="s">
        <v>47</v>
      </c>
      <c r="AA1919" t="s">
        <v>262</v>
      </c>
      <c r="AB1919" t="s">
        <v>351</v>
      </c>
      <c r="AC1919" s="21">
        <v>657.71</v>
      </c>
      <c r="AD1919" s="21" t="s">
        <v>368</v>
      </c>
      <c r="AE1919" t="str">
        <f>VLOOKUP(Table_Query_from_Actuarial___Production3[[#This Row],[Kor1]],$AI$3:$AK$105,3,FALSE)</f>
        <v>Investment Income</v>
      </c>
      <c r="AF1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0" spans="18:32" x14ac:dyDescent="0.2">
      <c r="R1920" t="s">
        <v>13</v>
      </c>
      <c r="S1920" t="s">
        <v>224</v>
      </c>
      <c r="T1920" t="s">
        <v>356</v>
      </c>
      <c r="U1920" s="21">
        <v>119687.61</v>
      </c>
      <c r="V1920" s="21" t="s">
        <v>370</v>
      </c>
      <c r="W1920" t="str">
        <f>VLOOKUP(Table_Query_from_Actuarial___Production[[#This Row],[Kor1]],$AI$3:$AK$105,3,FALSE)</f>
        <v>Operating Service Fees</v>
      </c>
      <c r="X1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920"/>
      <c r="Z1920" t="s">
        <v>43</v>
      </c>
      <c r="AA1920" t="s">
        <v>233</v>
      </c>
      <c r="AB1920" t="s">
        <v>356</v>
      </c>
      <c r="AC1920" s="21">
        <v>79.3</v>
      </c>
      <c r="AD1920" s="21" t="s">
        <v>368</v>
      </c>
      <c r="AE1920" t="str">
        <f>VLOOKUP(Table_Query_from_Actuarial___Production3[[#This Row],[Kor1]],$AI$3:$AK$105,3,FALSE)</f>
        <v>Charge-offs</v>
      </c>
      <c r="AF1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1" spans="18:32" x14ac:dyDescent="0.2">
      <c r="R1921" t="s">
        <v>50</v>
      </c>
      <c r="S1921" t="s">
        <v>225</v>
      </c>
      <c r="T1921" t="s">
        <v>443</v>
      </c>
      <c r="U1921" s="21">
        <v>26026.59</v>
      </c>
      <c r="V1921" s="21" t="s">
        <v>368</v>
      </c>
      <c r="W1921" t="str">
        <f>VLOOKUP(Table_Query_from_Actuarial___Production[[#This Row],[Kor1]],$AI$3:$AK$105,3,FALSE)</f>
        <v>ALAE Reserve</v>
      </c>
      <c r="X1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921"/>
      <c r="Z1921" t="s">
        <v>16</v>
      </c>
      <c r="AA1921" t="s">
        <v>225</v>
      </c>
      <c r="AB1921" t="s">
        <v>356</v>
      </c>
      <c r="AC1921" s="21">
        <v>53000</v>
      </c>
      <c r="AD1921" s="21" t="s">
        <v>368</v>
      </c>
      <c r="AE1921" t="str">
        <f>VLOOKUP(Table_Query_from_Actuarial___Production3[[#This Row],[Kor1]],$AI$3:$AK$105,3,FALSE)</f>
        <v>Losses Outstanding</v>
      </c>
      <c r="AF1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922" spans="18:32" x14ac:dyDescent="0.2">
      <c r="R1922" t="s">
        <v>44</v>
      </c>
      <c r="S1922" t="s">
        <v>234</v>
      </c>
      <c r="T1922" t="s">
        <v>9</v>
      </c>
      <c r="U1922" s="21">
        <v>4940.8</v>
      </c>
      <c r="V1922" s="21" t="s">
        <v>368</v>
      </c>
      <c r="W1922" t="str">
        <f>VLOOKUP(Table_Query_from_Actuarial___Production[[#This Row],[Kor1]],$AI$3:$AK$105,3,FALSE)</f>
        <v>Charge-offs</v>
      </c>
      <c r="X1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2"/>
      <c r="Z1922" t="s">
        <v>20</v>
      </c>
      <c r="AA1922" t="s">
        <v>231</v>
      </c>
      <c r="AB1922" t="s">
        <v>356</v>
      </c>
      <c r="AC1922" s="21">
        <v>88.13</v>
      </c>
      <c r="AD1922" s="21" t="s">
        <v>368</v>
      </c>
      <c r="AE1922" t="str">
        <f>VLOOKUP(Table_Query_from_Actuarial___Production3[[#This Row],[Kor1]],$AI$3:$AK$105,3,FALSE)</f>
        <v>Misc. Expense</v>
      </c>
      <c r="AF1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3" spans="18:32" x14ac:dyDescent="0.2">
      <c r="R1923" t="s">
        <v>47</v>
      </c>
      <c r="S1923" t="s">
        <v>261</v>
      </c>
      <c r="T1923" t="s">
        <v>7</v>
      </c>
      <c r="U1923" s="21">
        <v>0.13</v>
      </c>
      <c r="V1923" s="21" t="s">
        <v>368</v>
      </c>
      <c r="W1923" t="str">
        <f>VLOOKUP(Table_Query_from_Actuarial___Production[[#This Row],[Kor1]],$AI$3:$AK$105,3,FALSE)</f>
        <v>Investment Income</v>
      </c>
      <c r="X1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3"/>
      <c r="Z1923" t="s">
        <v>37</v>
      </c>
      <c r="AA1923" t="s">
        <v>234</v>
      </c>
      <c r="AB1923" t="s">
        <v>6</v>
      </c>
      <c r="AC1923" s="21">
        <v>968.24</v>
      </c>
      <c r="AD1923" s="21" t="s">
        <v>368</v>
      </c>
      <c r="AE1923" t="str">
        <f>VLOOKUP(Table_Query_from_Actuarial___Production3[[#This Row],[Kor1]],$AI$3:$AK$105,3,FALSE)</f>
        <v>Misc. Expense</v>
      </c>
      <c r="AF1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4" spans="18:32" x14ac:dyDescent="0.2">
      <c r="R1924" t="s">
        <v>10</v>
      </c>
      <c r="S1924" t="s">
        <v>267</v>
      </c>
      <c r="T1924" t="s">
        <v>351</v>
      </c>
      <c r="U1924" s="21">
        <v>7543.96</v>
      </c>
      <c r="V1924" s="21" t="s">
        <v>368</v>
      </c>
      <c r="W1924" t="str">
        <f>VLOOKUP(Table_Query_from_Actuarial___Production[[#This Row],[Kor1]],$AI$3:$AK$105,3,FALSE)</f>
        <v>Commissions</v>
      </c>
      <c r="X1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4"/>
      <c r="Z1924" t="s">
        <v>50</v>
      </c>
      <c r="AA1924" t="s">
        <v>226</v>
      </c>
      <c r="AB1924" t="s">
        <v>443</v>
      </c>
      <c r="AC1924" s="21">
        <v>63555</v>
      </c>
      <c r="AD1924" s="21" t="s">
        <v>368</v>
      </c>
      <c r="AE1924" t="str">
        <f>VLOOKUP(Table_Query_from_Actuarial___Production3[[#This Row],[Kor1]],$AI$3:$AK$105,3,FALSE)</f>
        <v>ALAE Reserve</v>
      </c>
      <c r="AF1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925" spans="18:32" x14ac:dyDescent="0.2">
      <c r="R1925" t="s">
        <v>34</v>
      </c>
      <c r="S1925" t="s">
        <v>4</v>
      </c>
      <c r="T1925" t="s">
        <v>8</v>
      </c>
      <c r="U1925" s="21">
        <v>18.11</v>
      </c>
      <c r="V1925" s="21" t="s">
        <v>368</v>
      </c>
      <c r="W1925" t="str">
        <f>VLOOKUP(Table_Query_from_Actuarial___Production[[#This Row],[Kor1]],$AI$3:$AK$105,3,FALSE)</f>
        <v>Misc. Expense</v>
      </c>
      <c r="X1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5"/>
      <c r="Z1925" t="s">
        <v>11</v>
      </c>
      <c r="AA1925" t="s">
        <v>243</v>
      </c>
      <c r="AB1925" t="s">
        <v>442</v>
      </c>
      <c r="AC1925" s="21">
        <v>125630.16</v>
      </c>
      <c r="AD1925" s="21" t="s">
        <v>368</v>
      </c>
      <c r="AE1925" t="str">
        <f>VLOOKUP(Table_Query_from_Actuarial___Production3[[#This Row],[Kor1]],$AI$3:$AK$105,3,FALSE)</f>
        <v>Losses Paid</v>
      </c>
      <c r="AF1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6" spans="18:32" x14ac:dyDescent="0.2">
      <c r="R1926" t="s">
        <v>20</v>
      </c>
      <c r="S1926" t="s">
        <v>250</v>
      </c>
      <c r="T1926" t="s">
        <v>356</v>
      </c>
      <c r="U1926" s="21">
        <v>369.32</v>
      </c>
      <c r="V1926" s="21" t="s">
        <v>368</v>
      </c>
      <c r="W1926" t="str">
        <f>VLOOKUP(Table_Query_from_Actuarial___Production[[#This Row],[Kor1]],$AI$3:$AK$105,3,FALSE)</f>
        <v>Misc. Expense</v>
      </c>
      <c r="X1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6"/>
      <c r="Z1926" t="s">
        <v>12</v>
      </c>
      <c r="AA1926" t="s">
        <v>266</v>
      </c>
      <c r="AB1926" t="s">
        <v>7</v>
      </c>
      <c r="AC1926" s="21">
        <v>23396.32</v>
      </c>
      <c r="AD1926" s="21" t="s">
        <v>368</v>
      </c>
      <c r="AE1926" t="str">
        <f>VLOOKUP(Table_Query_from_Actuarial___Production3[[#This Row],[Kor1]],$AI$3:$AK$105,3,FALSE)</f>
        <v>Premium Tax</v>
      </c>
      <c r="AF1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7" spans="18:32" x14ac:dyDescent="0.2">
      <c r="R1927" t="s">
        <v>3</v>
      </c>
      <c r="S1927" t="s">
        <v>4</v>
      </c>
      <c r="T1927" t="s">
        <v>443</v>
      </c>
      <c r="U1927" s="21">
        <v>37599816</v>
      </c>
      <c r="V1927" s="21" t="s">
        <v>368</v>
      </c>
      <c r="W1927" t="str">
        <f>VLOOKUP(Table_Query_from_Actuarial___Production[[#This Row],[Kor1]],$AI$3:$AK$105,3,FALSE)</f>
        <v>Premiums Written</v>
      </c>
      <c r="X1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7"/>
      <c r="Z1927" t="s">
        <v>39</v>
      </c>
      <c r="AA1927" t="s">
        <v>240</v>
      </c>
      <c r="AB1927" t="s">
        <v>351</v>
      </c>
      <c r="AC1927" s="21">
        <v>3359.99</v>
      </c>
      <c r="AD1927" s="21" t="s">
        <v>368</v>
      </c>
      <c r="AE1927" t="str">
        <f>VLOOKUP(Table_Query_from_Actuarial___Production3[[#This Row],[Kor1]],$AI$3:$AK$105,3,FALSE)</f>
        <v>Misc. Income for Insolvent Companies</v>
      </c>
      <c r="AF1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8" spans="18:32" x14ac:dyDescent="0.2">
      <c r="R1928" t="s">
        <v>41</v>
      </c>
      <c r="S1928" t="s">
        <v>259</v>
      </c>
      <c r="T1928" t="s">
        <v>6</v>
      </c>
      <c r="U1928" s="21">
        <v>400</v>
      </c>
      <c r="V1928" s="21" t="s">
        <v>368</v>
      </c>
      <c r="W1928" t="str">
        <f>VLOOKUP(Table_Query_from_Actuarial___Production[[#This Row],[Kor1]],$AI$3:$AK$105,3,FALSE)</f>
        <v>Misc. Income</v>
      </c>
      <c r="X1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8"/>
      <c r="Z1928" t="s">
        <v>40</v>
      </c>
      <c r="AA1928" t="s">
        <v>233</v>
      </c>
      <c r="AB1928" t="s">
        <v>8</v>
      </c>
      <c r="AC1928" s="21">
        <v>257838.01</v>
      </c>
      <c r="AD1928" s="21" t="s">
        <v>368</v>
      </c>
      <c r="AE1928" t="str">
        <f>VLOOKUP(Table_Query_from_Actuarial___Production3[[#This Row],[Kor1]],$AI$3:$AK$105,3,FALSE)</f>
        <v>Misc. Income</v>
      </c>
      <c r="AF1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29" spans="18:32" x14ac:dyDescent="0.2">
      <c r="R1929" t="s">
        <v>40</v>
      </c>
      <c r="S1929" t="s">
        <v>259</v>
      </c>
      <c r="T1929" t="s">
        <v>351</v>
      </c>
      <c r="U1929" s="21">
        <v>748.66</v>
      </c>
      <c r="V1929" s="21" t="s">
        <v>368</v>
      </c>
      <c r="W1929" t="str">
        <f>VLOOKUP(Table_Query_from_Actuarial___Production[[#This Row],[Kor1]],$AI$3:$AK$105,3,FALSE)</f>
        <v>Misc. Income</v>
      </c>
      <c r="X1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29"/>
      <c r="Z1929" t="s">
        <v>43</v>
      </c>
      <c r="AA1929" t="s">
        <v>255</v>
      </c>
      <c r="AB1929" t="s">
        <v>7</v>
      </c>
      <c r="AC1929" s="21">
        <v>-0.89</v>
      </c>
      <c r="AD1929" s="21" t="s">
        <v>368</v>
      </c>
      <c r="AE1929" t="str">
        <f>VLOOKUP(Table_Query_from_Actuarial___Production3[[#This Row],[Kor1]],$AI$3:$AK$105,3,FALSE)</f>
        <v>Charge-offs</v>
      </c>
      <c r="AF1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0" spans="18:32" x14ac:dyDescent="0.2">
      <c r="R1930" t="s">
        <v>40</v>
      </c>
      <c r="S1930" t="s">
        <v>261</v>
      </c>
      <c r="T1930" t="s">
        <v>8</v>
      </c>
      <c r="U1930" s="21">
        <v>17</v>
      </c>
      <c r="V1930" s="21" t="s">
        <v>368</v>
      </c>
      <c r="W1930" t="str">
        <f>VLOOKUP(Table_Query_from_Actuarial___Production[[#This Row],[Kor1]],$AI$3:$AK$105,3,FALSE)</f>
        <v>Misc. Income</v>
      </c>
      <c r="X1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0"/>
      <c r="Z1930" t="s">
        <v>48</v>
      </c>
      <c r="AA1930" t="s">
        <v>268</v>
      </c>
      <c r="AB1930" t="s">
        <v>442</v>
      </c>
      <c r="AC1930" s="21">
        <v>2808.61</v>
      </c>
      <c r="AD1930" s="21" t="s">
        <v>368</v>
      </c>
      <c r="AE1930" t="str">
        <f>VLOOKUP(Table_Query_from_Actuarial___Production3[[#This Row],[Kor1]],$AI$3:$AK$105,3,FALSE)</f>
        <v>Anticipated Salvage</v>
      </c>
      <c r="AF1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1" spans="18:32" x14ac:dyDescent="0.2">
      <c r="R1931" t="s">
        <v>16</v>
      </c>
      <c r="S1931" t="s">
        <v>354</v>
      </c>
      <c r="T1931" t="s">
        <v>9</v>
      </c>
      <c r="U1931" s="21">
        <v>437030.7</v>
      </c>
      <c r="V1931" s="21" t="s">
        <v>369</v>
      </c>
      <c r="W1931" t="str">
        <f>VLOOKUP(Table_Query_from_Actuarial___Production[[#This Row],[Kor1]],$AI$3:$AK$105,3,FALSE)</f>
        <v>Losses Outstanding</v>
      </c>
      <c r="X1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931"/>
      <c r="Z1931" t="s">
        <v>12</v>
      </c>
      <c r="AA1931" t="s">
        <v>227</v>
      </c>
      <c r="AB1931" t="s">
        <v>5</v>
      </c>
      <c r="AC1931" s="21">
        <v>7002.16</v>
      </c>
      <c r="AD1931" s="21" t="s">
        <v>368</v>
      </c>
      <c r="AE1931" t="str">
        <f>VLOOKUP(Table_Query_from_Actuarial___Production3[[#This Row],[Kor1]],$AI$3:$AK$105,3,FALSE)</f>
        <v>Premium Tax</v>
      </c>
      <c r="AF1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2" spans="18:32" x14ac:dyDescent="0.2">
      <c r="R1932" t="s">
        <v>10</v>
      </c>
      <c r="S1932" t="s">
        <v>241</v>
      </c>
      <c r="T1932" t="s">
        <v>6</v>
      </c>
      <c r="U1932" s="21">
        <v>26676.44</v>
      </c>
      <c r="V1932" s="21" t="s">
        <v>368</v>
      </c>
      <c r="W1932" t="str">
        <f>VLOOKUP(Table_Query_from_Actuarial___Production[[#This Row],[Kor1]],$AI$3:$AK$105,3,FALSE)</f>
        <v>Commissions</v>
      </c>
      <c r="X1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2"/>
      <c r="Z1932" t="s">
        <v>40</v>
      </c>
      <c r="AA1932" t="s">
        <v>257</v>
      </c>
      <c r="AB1932" t="s">
        <v>443</v>
      </c>
      <c r="AC1932" s="21">
        <v>500.02</v>
      </c>
      <c r="AD1932" s="21" t="s">
        <v>368</v>
      </c>
      <c r="AE1932" t="str">
        <f>VLOOKUP(Table_Query_from_Actuarial___Production3[[#This Row],[Kor1]],$AI$3:$AK$105,3,FALSE)</f>
        <v>Misc. Income</v>
      </c>
      <c r="AF1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3" spans="18:32" x14ac:dyDescent="0.2">
      <c r="R1933" t="s">
        <v>50</v>
      </c>
      <c r="S1933" t="s">
        <v>260</v>
      </c>
      <c r="T1933" t="s">
        <v>441</v>
      </c>
      <c r="U1933" s="21">
        <v>162.24</v>
      </c>
      <c r="V1933" s="21" t="s">
        <v>368</v>
      </c>
      <c r="W1933" t="str">
        <f>VLOOKUP(Table_Query_from_Actuarial___Production[[#This Row],[Kor1]],$AI$3:$AK$105,3,FALSE)</f>
        <v>ALAE Reserve</v>
      </c>
      <c r="X1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3"/>
      <c r="Z1933" t="s">
        <v>49</v>
      </c>
      <c r="AA1933" t="s">
        <v>241</v>
      </c>
      <c r="AB1933" t="s">
        <v>356</v>
      </c>
      <c r="AC1933" s="21">
        <v>17100.61</v>
      </c>
      <c r="AD1933" s="21" t="s">
        <v>368</v>
      </c>
      <c r="AE1933" t="str">
        <f>VLOOKUP(Table_Query_from_Actuarial___Production3[[#This Row],[Kor1]],$AI$3:$AK$105,3,FALSE)</f>
        <v>ALAE Paid</v>
      </c>
      <c r="AF1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4" spans="18:32" x14ac:dyDescent="0.2">
      <c r="R1934" t="s">
        <v>13</v>
      </c>
      <c r="S1934" t="s">
        <v>247</v>
      </c>
      <c r="T1934" t="s">
        <v>9</v>
      </c>
      <c r="U1934" s="21">
        <v>2104.86</v>
      </c>
      <c r="V1934" s="21" t="s">
        <v>368</v>
      </c>
      <c r="W1934" t="str">
        <f>VLOOKUP(Table_Query_from_Actuarial___Production[[#This Row],[Kor1]],$AI$3:$AK$105,3,FALSE)</f>
        <v>Operating Service Fees</v>
      </c>
      <c r="X1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4"/>
      <c r="Z1934" t="s">
        <v>31</v>
      </c>
      <c r="AA1934" t="s">
        <v>236</v>
      </c>
      <c r="AB1934" t="s">
        <v>433</v>
      </c>
      <c r="AC1934" s="21">
        <v>904.42</v>
      </c>
      <c r="AD1934" s="21" t="s">
        <v>368</v>
      </c>
      <c r="AE1934" t="str">
        <f>VLOOKUP(Table_Query_from_Actuarial___Production3[[#This Row],[Kor1]],$AI$3:$AK$105,3,FALSE)</f>
        <v>Misc. Expense</v>
      </c>
      <c r="AF1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5" spans="18:32" x14ac:dyDescent="0.2">
      <c r="R1935" t="s">
        <v>17</v>
      </c>
      <c r="S1935" t="s">
        <v>267</v>
      </c>
      <c r="T1935" t="s">
        <v>442</v>
      </c>
      <c r="U1935" s="21">
        <v>99842.46</v>
      </c>
      <c r="V1935" s="21" t="s">
        <v>368</v>
      </c>
      <c r="W1935" t="str">
        <f>VLOOKUP(Table_Query_from_Actuarial___Production[[#This Row],[Kor1]],$AI$3:$AK$105,3,FALSE)</f>
        <v>IBNR</v>
      </c>
      <c r="X1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5"/>
      <c r="Z1935" t="s">
        <v>50</v>
      </c>
      <c r="AA1935" t="s">
        <v>230</v>
      </c>
      <c r="AB1935" t="s">
        <v>442</v>
      </c>
      <c r="AC1935" s="21">
        <v>1251300.32</v>
      </c>
      <c r="AD1935" s="21" t="s">
        <v>368</v>
      </c>
      <c r="AE1935" t="str">
        <f>VLOOKUP(Table_Query_from_Actuarial___Production3[[#This Row],[Kor1]],$AI$3:$AK$105,3,FALSE)</f>
        <v>ALAE Reserve</v>
      </c>
      <c r="AF1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6" spans="18:32" x14ac:dyDescent="0.2">
      <c r="R1936" t="s">
        <v>31</v>
      </c>
      <c r="S1936" t="s">
        <v>253</v>
      </c>
      <c r="T1936" t="s">
        <v>6</v>
      </c>
      <c r="U1936" s="21">
        <v>921.6</v>
      </c>
      <c r="V1936" s="21" t="s">
        <v>368</v>
      </c>
      <c r="W1936" t="str">
        <f>VLOOKUP(Table_Query_from_Actuarial___Production[[#This Row],[Kor1]],$AI$3:$AK$105,3,FALSE)</f>
        <v>Misc. Expense</v>
      </c>
      <c r="X1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6"/>
      <c r="Z1936" t="s">
        <v>155</v>
      </c>
      <c r="AA1936" t="s">
        <v>354</v>
      </c>
      <c r="AB1936" t="s">
        <v>443</v>
      </c>
      <c r="AC1936" s="21">
        <v>86212</v>
      </c>
      <c r="AD1936" s="21" t="s">
        <v>368</v>
      </c>
      <c r="AE1936" t="str">
        <f>VLOOKUP(Table_Query_from_Actuarial___Production3[[#This Row],[Kor1]],$AI$3:$AK$105,3,FALSE)</f>
        <v>Advance Premium</v>
      </c>
      <c r="AF1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937" spans="18:32" x14ac:dyDescent="0.2">
      <c r="R1937" t="s">
        <v>40</v>
      </c>
      <c r="S1937" t="s">
        <v>266</v>
      </c>
      <c r="T1937" t="s">
        <v>6</v>
      </c>
      <c r="U1937" s="21">
        <v>114</v>
      </c>
      <c r="V1937" s="21" t="s">
        <v>368</v>
      </c>
      <c r="W1937" t="str">
        <f>VLOOKUP(Table_Query_from_Actuarial___Production[[#This Row],[Kor1]],$AI$3:$AK$105,3,FALSE)</f>
        <v>Misc. Income</v>
      </c>
      <c r="X1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37"/>
      <c r="Z1937" t="s">
        <v>3</v>
      </c>
      <c r="AA1937" t="s">
        <v>267</v>
      </c>
      <c r="AB1937" t="s">
        <v>441</v>
      </c>
      <c r="AC1937" s="21">
        <v>1737548</v>
      </c>
      <c r="AD1937" s="21" t="s">
        <v>368</v>
      </c>
      <c r="AE1937" t="str">
        <f>VLOOKUP(Table_Query_from_Actuarial___Production3[[#This Row],[Kor1]],$AI$3:$AK$105,3,FALSE)</f>
        <v>Premiums Written</v>
      </c>
      <c r="AF1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8" spans="18:32" x14ac:dyDescent="0.2">
      <c r="R1938" t="s">
        <v>138</v>
      </c>
      <c r="S1938" t="s">
        <v>354</v>
      </c>
      <c r="T1938" t="s">
        <v>445</v>
      </c>
      <c r="U1938" s="21">
        <v>8103.89</v>
      </c>
      <c r="V1938" s="21" t="s">
        <v>368</v>
      </c>
      <c r="W1938" t="str">
        <f>VLOOKUP(Table_Query_from_Actuarial___Production[[#This Row],[Kor1]],$AI$3:$AK$105,3,FALSE)</f>
        <v>Advance Ceding Expense</v>
      </c>
      <c r="X1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938"/>
      <c r="Z1938" t="s">
        <v>37</v>
      </c>
      <c r="AA1938" t="s">
        <v>227</v>
      </c>
      <c r="AB1938" t="s">
        <v>5</v>
      </c>
      <c r="AC1938" s="21">
        <v>38.11</v>
      </c>
      <c r="AD1938" s="21" t="s">
        <v>368</v>
      </c>
      <c r="AE1938" t="str">
        <f>VLOOKUP(Table_Query_from_Actuarial___Production3[[#This Row],[Kor1]],$AI$3:$AK$105,3,FALSE)</f>
        <v>Misc. Expense</v>
      </c>
      <c r="AF1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39" spans="18:32" x14ac:dyDescent="0.2">
      <c r="R1939" t="s">
        <v>11</v>
      </c>
      <c r="S1939" t="s">
        <v>225</v>
      </c>
      <c r="T1939" t="s">
        <v>8</v>
      </c>
      <c r="U1939" s="21">
        <v>229065.75</v>
      </c>
      <c r="V1939" s="21" t="s">
        <v>369</v>
      </c>
      <c r="W1939" t="str">
        <f>VLOOKUP(Table_Query_from_Actuarial___Production[[#This Row],[Kor1]],$AI$3:$AK$105,3,FALSE)</f>
        <v>Losses Paid</v>
      </c>
      <c r="X1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939"/>
      <c r="Z1939" t="s">
        <v>10</v>
      </c>
      <c r="AA1939" t="s">
        <v>248</v>
      </c>
      <c r="AB1939" t="s">
        <v>433</v>
      </c>
      <c r="AC1939" s="21">
        <v>29965.59</v>
      </c>
      <c r="AD1939" s="21" t="s">
        <v>368</v>
      </c>
      <c r="AE1939" t="str">
        <f>VLOOKUP(Table_Query_from_Actuarial___Production3[[#This Row],[Kor1]],$AI$3:$AK$105,3,FALSE)</f>
        <v>Commissions</v>
      </c>
      <c r="AF1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0" spans="18:32" x14ac:dyDescent="0.2">
      <c r="R1940" t="s">
        <v>49</v>
      </c>
      <c r="S1940" t="s">
        <v>256</v>
      </c>
      <c r="T1940" t="s">
        <v>356</v>
      </c>
      <c r="U1940" s="21">
        <v>27580.27</v>
      </c>
      <c r="V1940" s="21" t="s">
        <v>368</v>
      </c>
      <c r="W1940" t="str">
        <f>VLOOKUP(Table_Query_from_Actuarial___Production[[#This Row],[Kor1]],$AI$3:$AK$105,3,FALSE)</f>
        <v>ALAE Paid</v>
      </c>
      <c r="X1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0"/>
      <c r="Z1940" t="s">
        <v>13</v>
      </c>
      <c r="AA1940" t="s">
        <v>240</v>
      </c>
      <c r="AB1940" t="s">
        <v>5</v>
      </c>
      <c r="AC1940" s="21">
        <v>153945.78</v>
      </c>
      <c r="AD1940" s="21" t="s">
        <v>368</v>
      </c>
      <c r="AE1940" t="str">
        <f>VLOOKUP(Table_Query_from_Actuarial___Production3[[#This Row],[Kor1]],$AI$3:$AK$105,3,FALSE)</f>
        <v>Operating Service Fees</v>
      </c>
      <c r="AF1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1" spans="18:32" x14ac:dyDescent="0.2">
      <c r="R1941" t="s">
        <v>13</v>
      </c>
      <c r="S1941" t="s">
        <v>239</v>
      </c>
      <c r="T1941" t="s">
        <v>351</v>
      </c>
      <c r="U1941" s="21">
        <v>92288.15</v>
      </c>
      <c r="V1941" s="21" t="s">
        <v>368</v>
      </c>
      <c r="W1941" t="str">
        <f>VLOOKUP(Table_Query_from_Actuarial___Production[[#This Row],[Kor1]],$AI$3:$AK$105,3,FALSE)</f>
        <v>Operating Service Fees</v>
      </c>
      <c r="X1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1"/>
      <c r="Z1941" t="s">
        <v>11</v>
      </c>
      <c r="AA1941" t="s">
        <v>257</v>
      </c>
      <c r="AB1941" t="s">
        <v>442</v>
      </c>
      <c r="AC1941" s="21">
        <v>148617.35999999999</v>
      </c>
      <c r="AD1941" s="21" t="s">
        <v>368</v>
      </c>
      <c r="AE1941" t="str">
        <f>VLOOKUP(Table_Query_from_Actuarial___Production3[[#This Row],[Kor1]],$AI$3:$AK$105,3,FALSE)</f>
        <v>Losses Paid</v>
      </c>
      <c r="AF1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2" spans="18:32" x14ac:dyDescent="0.2">
      <c r="R1942" t="s">
        <v>40</v>
      </c>
      <c r="S1942" t="s">
        <v>255</v>
      </c>
      <c r="T1942" t="s">
        <v>351</v>
      </c>
      <c r="U1942" s="21">
        <v>327</v>
      </c>
      <c r="V1942" s="21" t="s">
        <v>368</v>
      </c>
      <c r="W1942" t="str">
        <f>VLOOKUP(Table_Query_from_Actuarial___Production[[#This Row],[Kor1]],$AI$3:$AK$105,3,FALSE)</f>
        <v>Misc. Income</v>
      </c>
      <c r="X1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2"/>
      <c r="Z1942" t="s">
        <v>14</v>
      </c>
      <c r="AA1942" t="s">
        <v>257</v>
      </c>
      <c r="AB1942" t="s">
        <v>9</v>
      </c>
      <c r="AC1942" s="21">
        <v>129062.52</v>
      </c>
      <c r="AD1942" s="21" t="s">
        <v>368</v>
      </c>
      <c r="AE1942" t="str">
        <f>VLOOKUP(Table_Query_from_Actuarial___Production3[[#This Row],[Kor1]],$AI$3:$AK$105,3,FALSE)</f>
        <v>Claims Expense</v>
      </c>
      <c r="AF1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3" spans="18:32" x14ac:dyDescent="0.2">
      <c r="R1943" t="s">
        <v>41</v>
      </c>
      <c r="S1943" t="s">
        <v>240</v>
      </c>
      <c r="T1943" t="s">
        <v>433</v>
      </c>
      <c r="U1943" s="21">
        <v>149.97999999999999</v>
      </c>
      <c r="V1943" s="21" t="s">
        <v>368</v>
      </c>
      <c r="W1943" t="str">
        <f>VLOOKUP(Table_Query_from_Actuarial___Production[[#This Row],[Kor1]],$AI$3:$AK$105,3,FALSE)</f>
        <v>Misc. Income</v>
      </c>
      <c r="X1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3"/>
      <c r="Z1943" t="s">
        <v>37</v>
      </c>
      <c r="AA1943" t="s">
        <v>230</v>
      </c>
      <c r="AB1943" t="s">
        <v>427</v>
      </c>
      <c r="AC1943" s="21">
        <v>91520.65</v>
      </c>
      <c r="AD1943" s="21" t="s">
        <v>368</v>
      </c>
      <c r="AE1943" t="str">
        <f>VLOOKUP(Table_Query_from_Actuarial___Production3[[#This Row],[Kor1]],$AI$3:$AK$105,3,FALSE)</f>
        <v>Misc. Expense</v>
      </c>
      <c r="AF1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4" spans="18:32" x14ac:dyDescent="0.2">
      <c r="R1944" t="s">
        <v>14</v>
      </c>
      <c r="S1944" t="s">
        <v>227</v>
      </c>
      <c r="T1944" t="s">
        <v>9</v>
      </c>
      <c r="U1944" s="21">
        <v>14632.81</v>
      </c>
      <c r="V1944" s="21" t="s">
        <v>368</v>
      </c>
      <c r="W1944" t="str">
        <f>VLOOKUP(Table_Query_from_Actuarial___Production[[#This Row],[Kor1]],$AI$3:$AK$105,3,FALSE)</f>
        <v>Claims Expense</v>
      </c>
      <c r="X1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4"/>
      <c r="Z1944" t="s">
        <v>40</v>
      </c>
      <c r="AA1944" t="s">
        <v>262</v>
      </c>
      <c r="AB1944" t="s">
        <v>9</v>
      </c>
      <c r="AC1944" s="21">
        <v>43</v>
      </c>
      <c r="AD1944" s="21" t="s">
        <v>368</v>
      </c>
      <c r="AE1944" t="str">
        <f>VLOOKUP(Table_Query_from_Actuarial___Production3[[#This Row],[Kor1]],$AI$3:$AK$105,3,FALSE)</f>
        <v>Misc. Income</v>
      </c>
      <c r="AF1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5" spans="18:32" x14ac:dyDescent="0.2">
      <c r="R1945" t="s">
        <v>31</v>
      </c>
      <c r="S1945" t="s">
        <v>234</v>
      </c>
      <c r="T1945" t="s">
        <v>441</v>
      </c>
      <c r="U1945" s="21">
        <v>972.72</v>
      </c>
      <c r="V1945" s="21" t="s">
        <v>368</v>
      </c>
      <c r="W1945" t="str">
        <f>VLOOKUP(Table_Query_from_Actuarial___Production[[#This Row],[Kor1]],$AI$3:$AK$105,3,FALSE)</f>
        <v>Misc. Expense</v>
      </c>
      <c r="X1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5"/>
      <c r="Z1945" t="s">
        <v>13</v>
      </c>
      <c r="AA1945" t="s">
        <v>227</v>
      </c>
      <c r="AB1945" t="s">
        <v>8</v>
      </c>
      <c r="AC1945" s="21">
        <v>4697.9799999999996</v>
      </c>
      <c r="AD1945" s="21" t="s">
        <v>368</v>
      </c>
      <c r="AE1945" t="str">
        <f>VLOOKUP(Table_Query_from_Actuarial___Production3[[#This Row],[Kor1]],$AI$3:$AK$105,3,FALSE)</f>
        <v>Operating Service Fees</v>
      </c>
      <c r="AF1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6" spans="18:32" x14ac:dyDescent="0.2">
      <c r="R1946" t="s">
        <v>13</v>
      </c>
      <c r="S1946" t="s">
        <v>251</v>
      </c>
      <c r="T1946" t="s">
        <v>8</v>
      </c>
      <c r="U1946" s="21">
        <v>8121.31</v>
      </c>
      <c r="V1946" s="21" t="s">
        <v>368</v>
      </c>
      <c r="W1946" t="str">
        <f>VLOOKUP(Table_Query_from_Actuarial___Production[[#This Row],[Kor1]],$AI$3:$AK$105,3,FALSE)</f>
        <v>Operating Service Fees</v>
      </c>
      <c r="X1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6"/>
      <c r="Z1946" t="s">
        <v>12</v>
      </c>
      <c r="AA1946" t="s">
        <v>257</v>
      </c>
      <c r="AB1946" t="s">
        <v>5</v>
      </c>
      <c r="AC1946" s="21">
        <v>27867.22</v>
      </c>
      <c r="AD1946" s="21" t="s">
        <v>368</v>
      </c>
      <c r="AE1946" t="str">
        <f>VLOOKUP(Table_Query_from_Actuarial___Production3[[#This Row],[Kor1]],$AI$3:$AK$105,3,FALSE)</f>
        <v>Premium Tax</v>
      </c>
      <c r="AF1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7" spans="18:32" x14ac:dyDescent="0.2">
      <c r="R1947" t="s">
        <v>3</v>
      </c>
      <c r="S1947" t="s">
        <v>265</v>
      </c>
      <c r="T1947" t="s">
        <v>443</v>
      </c>
      <c r="U1947" s="21">
        <v>738719</v>
      </c>
      <c r="V1947" s="21" t="s">
        <v>368</v>
      </c>
      <c r="W1947" t="str">
        <f>VLOOKUP(Table_Query_from_Actuarial___Production[[#This Row],[Kor1]],$AI$3:$AK$105,3,FALSE)</f>
        <v>Premiums Written</v>
      </c>
      <c r="X1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7"/>
      <c r="Z1947" t="s">
        <v>39</v>
      </c>
      <c r="AA1947" t="s">
        <v>227</v>
      </c>
      <c r="AB1947" t="s">
        <v>5</v>
      </c>
      <c r="AC1947" s="21">
        <v>195994.22</v>
      </c>
      <c r="AD1947" s="21" t="s">
        <v>368</v>
      </c>
      <c r="AE1947" t="str">
        <f>VLOOKUP(Table_Query_from_Actuarial___Production3[[#This Row],[Kor1]],$AI$3:$AK$105,3,FALSE)</f>
        <v>Misc. Income for Insolvent Companies</v>
      </c>
      <c r="AF1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8" spans="18:32" x14ac:dyDescent="0.2">
      <c r="R1948" t="s">
        <v>34</v>
      </c>
      <c r="S1948" t="s">
        <v>254</v>
      </c>
      <c r="T1948" t="s">
        <v>6</v>
      </c>
      <c r="U1948" s="21">
        <v>1.39</v>
      </c>
      <c r="V1948" s="21" t="s">
        <v>368</v>
      </c>
      <c r="W1948" t="str">
        <f>VLOOKUP(Table_Query_from_Actuarial___Production[[#This Row],[Kor1]],$AI$3:$AK$105,3,FALSE)</f>
        <v>Misc. Expense</v>
      </c>
      <c r="X1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8"/>
      <c r="Z1948" t="s">
        <v>13</v>
      </c>
      <c r="AA1948" t="s">
        <v>258</v>
      </c>
      <c r="AB1948" t="s">
        <v>441</v>
      </c>
      <c r="AC1948" s="21">
        <v>620795.19999999995</v>
      </c>
      <c r="AD1948" s="21" t="s">
        <v>368</v>
      </c>
      <c r="AE1948" t="str">
        <f>VLOOKUP(Table_Query_from_Actuarial___Production3[[#This Row],[Kor1]],$AI$3:$AK$105,3,FALSE)</f>
        <v>Operating Service Fees</v>
      </c>
      <c r="AF1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49" spans="18:32" x14ac:dyDescent="0.2">
      <c r="R1949" t="s">
        <v>11</v>
      </c>
      <c r="S1949" t="s">
        <v>228</v>
      </c>
      <c r="T1949" t="s">
        <v>356</v>
      </c>
      <c r="U1949" s="21">
        <v>5725.76</v>
      </c>
      <c r="V1949" s="21" t="s">
        <v>368</v>
      </c>
      <c r="W1949" t="str">
        <f>VLOOKUP(Table_Query_from_Actuarial___Production[[#This Row],[Kor1]],$AI$3:$AK$105,3,FALSE)</f>
        <v>Losses Paid</v>
      </c>
      <c r="X1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49"/>
      <c r="Z1949" t="s">
        <v>43</v>
      </c>
      <c r="AA1949" t="s">
        <v>237</v>
      </c>
      <c r="AB1949" t="s">
        <v>356</v>
      </c>
      <c r="AC1949" s="21">
        <v>-759.01</v>
      </c>
      <c r="AD1949" s="21" t="s">
        <v>368</v>
      </c>
      <c r="AE1949" t="str">
        <f>VLOOKUP(Table_Query_from_Actuarial___Production3[[#This Row],[Kor1]],$AI$3:$AK$105,3,FALSE)</f>
        <v>Charge-offs</v>
      </c>
      <c r="AF1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0" spans="18:32" x14ac:dyDescent="0.2">
      <c r="R1950" t="s">
        <v>41</v>
      </c>
      <c r="S1950" t="s">
        <v>247</v>
      </c>
      <c r="T1950" t="s">
        <v>9</v>
      </c>
      <c r="U1950" s="21">
        <v>800</v>
      </c>
      <c r="V1950" s="21" t="s">
        <v>368</v>
      </c>
      <c r="W1950" t="str">
        <f>VLOOKUP(Table_Query_from_Actuarial___Production[[#This Row],[Kor1]],$AI$3:$AK$105,3,FALSE)</f>
        <v>Misc. Income</v>
      </c>
      <c r="X1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0"/>
      <c r="Z1950" t="s">
        <v>10</v>
      </c>
      <c r="AA1950" t="s">
        <v>235</v>
      </c>
      <c r="AB1950" t="s">
        <v>443</v>
      </c>
      <c r="AC1950" s="21">
        <v>653.5</v>
      </c>
      <c r="AD1950" s="21" t="s">
        <v>368</v>
      </c>
      <c r="AE1950" t="str">
        <f>VLOOKUP(Table_Query_from_Actuarial___Production3[[#This Row],[Kor1]],$AI$3:$AK$105,3,FALSE)</f>
        <v>Commissions</v>
      </c>
      <c r="AF1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1" spans="18:32" x14ac:dyDescent="0.2">
      <c r="R1951" t="s">
        <v>47</v>
      </c>
      <c r="S1951" t="s">
        <v>234</v>
      </c>
      <c r="T1951" t="s">
        <v>9</v>
      </c>
      <c r="U1951" s="21">
        <v>244.34</v>
      </c>
      <c r="V1951" s="21" t="s">
        <v>368</v>
      </c>
      <c r="W1951" t="str">
        <f>VLOOKUP(Table_Query_from_Actuarial___Production[[#This Row],[Kor1]],$AI$3:$AK$105,3,FALSE)</f>
        <v>Investment Income</v>
      </c>
      <c r="X1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1"/>
      <c r="Z1951" t="s">
        <v>12</v>
      </c>
      <c r="AA1951" t="s">
        <v>237</v>
      </c>
      <c r="AB1951" t="s">
        <v>9</v>
      </c>
      <c r="AC1951" s="21">
        <v>187126.29</v>
      </c>
      <c r="AD1951" s="21" t="s">
        <v>368</v>
      </c>
      <c r="AE1951" t="str">
        <f>VLOOKUP(Table_Query_from_Actuarial___Production3[[#This Row],[Kor1]],$AI$3:$AK$105,3,FALSE)</f>
        <v>Premium Tax</v>
      </c>
      <c r="AF1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2" spans="18:32" x14ac:dyDescent="0.2">
      <c r="R1952" t="s">
        <v>439</v>
      </c>
      <c r="S1952" t="s">
        <v>227</v>
      </c>
      <c r="T1952" t="s">
        <v>433</v>
      </c>
      <c r="U1952" s="21">
        <v>439</v>
      </c>
      <c r="V1952" s="21" t="s">
        <v>368</v>
      </c>
      <c r="W1952" t="str">
        <f>VLOOKUP(Table_Query_from_Actuarial___Production[[#This Row],[Kor1]],$AI$3:$AK$105,3,FALSE)</f>
        <v>Operating Service Fees</v>
      </c>
      <c r="X1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2"/>
      <c r="Z1952" t="s">
        <v>3</v>
      </c>
      <c r="AA1952" t="s">
        <v>244</v>
      </c>
      <c r="AB1952" t="s">
        <v>443</v>
      </c>
      <c r="AC1952" s="21">
        <v>1038959</v>
      </c>
      <c r="AD1952" s="21" t="s">
        <v>368</v>
      </c>
      <c r="AE1952" t="str">
        <f>VLOOKUP(Table_Query_from_Actuarial___Production3[[#This Row],[Kor1]],$AI$3:$AK$105,3,FALSE)</f>
        <v>Premiums Written</v>
      </c>
      <c r="AF1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3" spans="18:32" x14ac:dyDescent="0.2">
      <c r="R1953" t="s">
        <v>10</v>
      </c>
      <c r="S1953" t="s">
        <v>235</v>
      </c>
      <c r="T1953" t="s">
        <v>427</v>
      </c>
      <c r="U1953" s="21">
        <v>40619.25</v>
      </c>
      <c r="V1953" s="21" t="s">
        <v>368</v>
      </c>
      <c r="W1953" t="str">
        <f>VLOOKUP(Table_Query_from_Actuarial___Production[[#This Row],[Kor1]],$AI$3:$AK$105,3,FALSE)</f>
        <v>Commissions</v>
      </c>
      <c r="X1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3"/>
      <c r="Z1953" t="s">
        <v>19</v>
      </c>
      <c r="AA1953" t="s">
        <v>228</v>
      </c>
      <c r="AB1953" t="s">
        <v>356</v>
      </c>
      <c r="AC1953" s="21">
        <v>195</v>
      </c>
      <c r="AD1953" s="21" t="s">
        <v>368</v>
      </c>
      <c r="AE1953" t="str">
        <f>VLOOKUP(Table_Query_from_Actuarial___Production3[[#This Row],[Kor1]],$AI$3:$AK$105,3,FALSE)</f>
        <v>Misc. Expense for Insolvent Companies</v>
      </c>
      <c r="AF1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4" spans="18:32" x14ac:dyDescent="0.2">
      <c r="R1954" t="s">
        <v>10</v>
      </c>
      <c r="S1954" t="s">
        <v>255</v>
      </c>
      <c r="T1954" t="s">
        <v>9</v>
      </c>
      <c r="U1954" s="21">
        <v>33957.300000000003</v>
      </c>
      <c r="V1954" s="21" t="s">
        <v>368</v>
      </c>
      <c r="W1954" t="str">
        <f>VLOOKUP(Table_Query_from_Actuarial___Production[[#This Row],[Kor1]],$AI$3:$AK$105,3,FALSE)</f>
        <v>Commissions</v>
      </c>
      <c r="X1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4"/>
      <c r="Z1954" t="s">
        <v>39</v>
      </c>
      <c r="AA1954" t="s">
        <v>232</v>
      </c>
      <c r="AB1954" t="s">
        <v>441</v>
      </c>
      <c r="AC1954" s="21">
        <v>4618.59</v>
      </c>
      <c r="AD1954" s="21" t="s">
        <v>368</v>
      </c>
      <c r="AE1954" t="str">
        <f>VLOOKUP(Table_Query_from_Actuarial___Production3[[#This Row],[Kor1]],$AI$3:$AK$105,3,FALSE)</f>
        <v>Misc. Income for Insolvent Companies</v>
      </c>
      <c r="AF1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5" spans="18:32" x14ac:dyDescent="0.2">
      <c r="R1955" t="s">
        <v>14</v>
      </c>
      <c r="S1955" t="s">
        <v>233</v>
      </c>
      <c r="T1955" t="s">
        <v>356</v>
      </c>
      <c r="U1955" s="21">
        <v>32969.9</v>
      </c>
      <c r="V1955" s="21" t="s">
        <v>368</v>
      </c>
      <c r="W1955" t="str">
        <f>VLOOKUP(Table_Query_from_Actuarial___Production[[#This Row],[Kor1]],$AI$3:$AK$105,3,FALSE)</f>
        <v>Claims Expense</v>
      </c>
      <c r="X1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5"/>
      <c r="Z1955" t="s">
        <v>47</v>
      </c>
      <c r="AA1955" t="s">
        <v>228</v>
      </c>
      <c r="AB1955" t="s">
        <v>9</v>
      </c>
      <c r="AC1955" s="21">
        <v>122.16</v>
      </c>
      <c r="AD1955" s="21" t="s">
        <v>368</v>
      </c>
      <c r="AE1955" t="str">
        <f>VLOOKUP(Table_Query_from_Actuarial___Production3[[#This Row],[Kor1]],$AI$3:$AK$105,3,FALSE)</f>
        <v>Investment Income</v>
      </c>
      <c r="AF1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6" spans="18:32" x14ac:dyDescent="0.2">
      <c r="R1956" t="s">
        <v>46</v>
      </c>
      <c r="S1956" t="s">
        <v>225</v>
      </c>
      <c r="T1956" t="s">
        <v>445</v>
      </c>
      <c r="U1956" s="21">
        <v>36134.339999999997</v>
      </c>
      <c r="V1956" s="21" t="s">
        <v>369</v>
      </c>
      <c r="W1956" t="str">
        <f>VLOOKUP(Table_Query_from_Actuarial___Production[[#This Row],[Kor1]],$AI$3:$AK$105,3,FALSE)</f>
        <v>Investment Income</v>
      </c>
      <c r="X1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956"/>
      <c r="Z1956" t="s">
        <v>17</v>
      </c>
      <c r="AA1956" t="s">
        <v>262</v>
      </c>
      <c r="AB1956" t="s">
        <v>442</v>
      </c>
      <c r="AC1956" s="21">
        <v>23745.96</v>
      </c>
      <c r="AD1956" s="21" t="s">
        <v>368</v>
      </c>
      <c r="AE1956" t="str">
        <f>VLOOKUP(Table_Query_from_Actuarial___Production3[[#This Row],[Kor1]],$AI$3:$AK$105,3,FALSE)</f>
        <v>IBNR</v>
      </c>
      <c r="AF1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7" spans="18:32" x14ac:dyDescent="0.2">
      <c r="R1957" t="s">
        <v>49</v>
      </c>
      <c r="S1957" t="s">
        <v>265</v>
      </c>
      <c r="T1957" t="s">
        <v>441</v>
      </c>
      <c r="U1957" s="21">
        <v>84718.33</v>
      </c>
      <c r="V1957" s="21" t="s">
        <v>368</v>
      </c>
      <c r="W1957" t="str">
        <f>VLOOKUP(Table_Query_from_Actuarial___Production[[#This Row],[Kor1]],$AI$3:$AK$105,3,FALSE)</f>
        <v>ALAE Paid</v>
      </c>
      <c r="X1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7"/>
      <c r="Z1957" t="s">
        <v>40</v>
      </c>
      <c r="AA1957" t="s">
        <v>259</v>
      </c>
      <c r="AB1957" t="s">
        <v>441</v>
      </c>
      <c r="AC1957" s="21">
        <v>554</v>
      </c>
      <c r="AD1957" s="21" t="s">
        <v>368</v>
      </c>
      <c r="AE1957" t="str">
        <f>VLOOKUP(Table_Query_from_Actuarial___Production3[[#This Row],[Kor1]],$AI$3:$AK$105,3,FALSE)</f>
        <v>Misc. Income</v>
      </c>
      <c r="AF1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8" spans="18:32" x14ac:dyDescent="0.2">
      <c r="R1958" t="s">
        <v>31</v>
      </c>
      <c r="S1958" t="s">
        <v>238</v>
      </c>
      <c r="T1958" t="s">
        <v>7</v>
      </c>
      <c r="U1958" s="21">
        <v>892.44</v>
      </c>
      <c r="V1958" s="21" t="s">
        <v>368</v>
      </c>
      <c r="W1958" t="str">
        <f>VLOOKUP(Table_Query_from_Actuarial___Production[[#This Row],[Kor1]],$AI$3:$AK$105,3,FALSE)</f>
        <v>Misc. Expense</v>
      </c>
      <c r="X1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8"/>
      <c r="Z1958" t="s">
        <v>47</v>
      </c>
      <c r="AA1958" t="s">
        <v>253</v>
      </c>
      <c r="AB1958" t="s">
        <v>443</v>
      </c>
      <c r="AC1958" s="21">
        <v>276.64999999999998</v>
      </c>
      <c r="AD1958" s="21" t="s">
        <v>368</v>
      </c>
      <c r="AE1958" t="str">
        <f>VLOOKUP(Table_Query_from_Actuarial___Production3[[#This Row],[Kor1]],$AI$3:$AK$105,3,FALSE)</f>
        <v>Investment Income</v>
      </c>
      <c r="AF1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59" spans="18:32" x14ac:dyDescent="0.2">
      <c r="R1959" t="s">
        <v>31</v>
      </c>
      <c r="S1959" t="s">
        <v>254</v>
      </c>
      <c r="T1959" t="s">
        <v>9</v>
      </c>
      <c r="U1959" s="21">
        <v>524.15</v>
      </c>
      <c r="V1959" s="21" t="s">
        <v>368</v>
      </c>
      <c r="W1959" t="str">
        <f>VLOOKUP(Table_Query_from_Actuarial___Production[[#This Row],[Kor1]],$AI$3:$AK$105,3,FALSE)</f>
        <v>Misc. Expense</v>
      </c>
      <c r="X1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59"/>
      <c r="Z1959" t="s">
        <v>11</v>
      </c>
      <c r="AA1959" t="s">
        <v>231</v>
      </c>
      <c r="AB1959" t="s">
        <v>433</v>
      </c>
      <c r="AC1959" s="21">
        <v>3291674.99</v>
      </c>
      <c r="AD1959" s="21" t="s">
        <v>368</v>
      </c>
      <c r="AE1959" t="str">
        <f>VLOOKUP(Table_Query_from_Actuarial___Production3[[#This Row],[Kor1]],$AI$3:$AK$105,3,FALSE)</f>
        <v>Losses Paid</v>
      </c>
      <c r="AF1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0" spans="18:32" x14ac:dyDescent="0.2">
      <c r="R1960" t="s">
        <v>3</v>
      </c>
      <c r="S1960" t="s">
        <v>245</v>
      </c>
      <c r="T1960" t="s">
        <v>8</v>
      </c>
      <c r="U1960" s="21">
        <v>147367</v>
      </c>
      <c r="V1960" s="21" t="s">
        <v>368</v>
      </c>
      <c r="W1960" t="str">
        <f>VLOOKUP(Table_Query_from_Actuarial___Production[[#This Row],[Kor1]],$AI$3:$AK$105,3,FALSE)</f>
        <v>Premiums Written</v>
      </c>
      <c r="X1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0"/>
      <c r="Z1960" t="s">
        <v>47</v>
      </c>
      <c r="AA1960" t="s">
        <v>264</v>
      </c>
      <c r="AB1960" t="s">
        <v>441</v>
      </c>
      <c r="AC1960" s="21">
        <v>53.4</v>
      </c>
      <c r="AD1960" s="21" t="s">
        <v>368</v>
      </c>
      <c r="AE1960" t="str">
        <f>VLOOKUP(Table_Query_from_Actuarial___Production3[[#This Row],[Kor1]],$AI$3:$AK$105,3,FALSE)</f>
        <v>Investment Income</v>
      </c>
      <c r="AF1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1" spans="18:32" x14ac:dyDescent="0.2">
      <c r="R1961" t="s">
        <v>14</v>
      </c>
      <c r="S1961" t="s">
        <v>224</v>
      </c>
      <c r="T1961" t="s">
        <v>8</v>
      </c>
      <c r="U1961" s="21">
        <v>271121.94</v>
      </c>
      <c r="V1961" s="21" t="s">
        <v>370</v>
      </c>
      <c r="W1961" t="str">
        <f>VLOOKUP(Table_Query_from_Actuarial___Production[[#This Row],[Kor1]],$AI$3:$AK$105,3,FALSE)</f>
        <v>Claims Expense</v>
      </c>
      <c r="X1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961"/>
      <c r="Z1961" t="s">
        <v>13</v>
      </c>
      <c r="AA1961" t="s">
        <v>224</v>
      </c>
      <c r="AB1961" t="s">
        <v>356</v>
      </c>
      <c r="AC1961" s="21">
        <v>119687.61</v>
      </c>
      <c r="AD1961" s="21" t="s">
        <v>370</v>
      </c>
      <c r="AE1961" t="str">
        <f>VLOOKUP(Table_Query_from_Actuarial___Production3[[#This Row],[Kor1]],$AI$3:$AK$105,3,FALSE)</f>
        <v>Operating Service Fees</v>
      </c>
      <c r="AF1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962" spans="18:32" x14ac:dyDescent="0.2">
      <c r="R1962" t="s">
        <v>48</v>
      </c>
      <c r="S1962" t="s">
        <v>262</v>
      </c>
      <c r="T1962" t="s">
        <v>433</v>
      </c>
      <c r="U1962" s="21">
        <v>369.21</v>
      </c>
      <c r="V1962" s="21" t="s">
        <v>368</v>
      </c>
      <c r="W1962" t="str">
        <f>VLOOKUP(Table_Query_from_Actuarial___Production[[#This Row],[Kor1]],$AI$3:$AK$105,3,FALSE)</f>
        <v>Anticipated Salvage</v>
      </c>
      <c r="X1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2"/>
      <c r="Z1962" t="s">
        <v>44</v>
      </c>
      <c r="AA1962" t="s">
        <v>234</v>
      </c>
      <c r="AB1962" t="s">
        <v>9</v>
      </c>
      <c r="AC1962" s="21">
        <v>4940.8</v>
      </c>
      <c r="AD1962" s="21" t="s">
        <v>368</v>
      </c>
      <c r="AE1962" t="str">
        <f>VLOOKUP(Table_Query_from_Actuarial___Production3[[#This Row],[Kor1]],$AI$3:$AK$105,3,FALSE)</f>
        <v>Charge-offs</v>
      </c>
      <c r="AF1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3" spans="18:32" x14ac:dyDescent="0.2">
      <c r="R1963" t="s">
        <v>44</v>
      </c>
      <c r="S1963" t="s">
        <v>238</v>
      </c>
      <c r="T1963" t="s">
        <v>9</v>
      </c>
      <c r="U1963" s="21">
        <v>8036.2</v>
      </c>
      <c r="V1963" s="21" t="s">
        <v>368</v>
      </c>
      <c r="W1963" t="str">
        <f>VLOOKUP(Table_Query_from_Actuarial___Production[[#This Row],[Kor1]],$AI$3:$AK$105,3,FALSE)</f>
        <v>Charge-offs</v>
      </c>
      <c r="X1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3"/>
      <c r="Z1963" t="s">
        <v>47</v>
      </c>
      <c r="AA1963" t="s">
        <v>261</v>
      </c>
      <c r="AB1963" t="s">
        <v>7</v>
      </c>
      <c r="AC1963" s="21">
        <v>0.13</v>
      </c>
      <c r="AD1963" s="21" t="s">
        <v>368</v>
      </c>
      <c r="AE1963" t="str">
        <f>VLOOKUP(Table_Query_from_Actuarial___Production3[[#This Row],[Kor1]],$AI$3:$AK$105,3,FALSE)</f>
        <v>Investment Income</v>
      </c>
      <c r="AF1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4" spans="18:32" x14ac:dyDescent="0.2">
      <c r="R1964" t="s">
        <v>47</v>
      </c>
      <c r="S1964" t="s">
        <v>264</v>
      </c>
      <c r="T1964" t="s">
        <v>351</v>
      </c>
      <c r="U1964" s="21">
        <v>2555.85</v>
      </c>
      <c r="V1964" s="21" t="s">
        <v>368</v>
      </c>
      <c r="W1964" t="str">
        <f>VLOOKUP(Table_Query_from_Actuarial___Production[[#This Row],[Kor1]],$AI$3:$AK$105,3,FALSE)</f>
        <v>Investment Income</v>
      </c>
      <c r="X1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4"/>
      <c r="Z1964" t="s">
        <v>10</v>
      </c>
      <c r="AA1964" t="s">
        <v>267</v>
      </c>
      <c r="AB1964" t="s">
        <v>351</v>
      </c>
      <c r="AC1964" s="21">
        <v>7543.96</v>
      </c>
      <c r="AD1964" s="21" t="s">
        <v>368</v>
      </c>
      <c r="AE1964" t="str">
        <f>VLOOKUP(Table_Query_from_Actuarial___Production3[[#This Row],[Kor1]],$AI$3:$AK$105,3,FALSE)</f>
        <v>Commissions</v>
      </c>
      <c r="AF1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5" spans="18:32" x14ac:dyDescent="0.2">
      <c r="R1965" t="s">
        <v>439</v>
      </c>
      <c r="S1965" t="s">
        <v>259</v>
      </c>
      <c r="T1965" t="s">
        <v>443</v>
      </c>
      <c r="U1965" s="21">
        <v>-2633.13</v>
      </c>
      <c r="V1965" s="21" t="s">
        <v>368</v>
      </c>
      <c r="W1965" t="str">
        <f>VLOOKUP(Table_Query_from_Actuarial___Production[[#This Row],[Kor1]],$AI$3:$AK$105,3,FALSE)</f>
        <v>Operating Service Fees</v>
      </c>
      <c r="X1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5"/>
      <c r="Z1965" t="s">
        <v>34</v>
      </c>
      <c r="AA1965" t="s">
        <v>4</v>
      </c>
      <c r="AB1965" t="s">
        <v>8</v>
      </c>
      <c r="AC1965" s="21">
        <v>18.11</v>
      </c>
      <c r="AD1965" s="21" t="s">
        <v>368</v>
      </c>
      <c r="AE1965" t="str">
        <f>VLOOKUP(Table_Query_from_Actuarial___Production3[[#This Row],[Kor1]],$AI$3:$AK$105,3,FALSE)</f>
        <v>Misc. Expense</v>
      </c>
      <c r="AF1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6" spans="18:32" x14ac:dyDescent="0.2">
      <c r="R1966" t="s">
        <v>13</v>
      </c>
      <c r="S1966" t="s">
        <v>4</v>
      </c>
      <c r="T1966" t="s">
        <v>445</v>
      </c>
      <c r="U1966" s="21">
        <v>2467363.5299999998</v>
      </c>
      <c r="V1966" s="21" t="s">
        <v>368</v>
      </c>
      <c r="W1966" t="str">
        <f>VLOOKUP(Table_Query_from_Actuarial___Production[[#This Row],[Kor1]],$AI$3:$AK$105,3,FALSE)</f>
        <v>Operating Service Fees</v>
      </c>
      <c r="X1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6"/>
      <c r="Z1966" t="s">
        <v>20</v>
      </c>
      <c r="AA1966" t="s">
        <v>250</v>
      </c>
      <c r="AB1966" t="s">
        <v>356</v>
      </c>
      <c r="AC1966" s="21">
        <v>369.32</v>
      </c>
      <c r="AD1966" s="21" t="s">
        <v>368</v>
      </c>
      <c r="AE1966" t="str">
        <f>VLOOKUP(Table_Query_from_Actuarial___Production3[[#This Row],[Kor1]],$AI$3:$AK$105,3,FALSE)</f>
        <v>Misc. Expense</v>
      </c>
      <c r="AF1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7" spans="18:32" x14ac:dyDescent="0.2">
      <c r="R1967" t="s">
        <v>40</v>
      </c>
      <c r="S1967" t="s">
        <v>257</v>
      </c>
      <c r="T1967" t="s">
        <v>7</v>
      </c>
      <c r="U1967" s="21">
        <v>966.31</v>
      </c>
      <c r="V1967" s="21" t="s">
        <v>368</v>
      </c>
      <c r="W1967" t="str">
        <f>VLOOKUP(Table_Query_from_Actuarial___Production[[#This Row],[Kor1]],$AI$3:$AK$105,3,FALSE)</f>
        <v>Misc. Income</v>
      </c>
      <c r="X1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7"/>
      <c r="Z1967" t="s">
        <v>3</v>
      </c>
      <c r="AA1967" t="s">
        <v>4</v>
      </c>
      <c r="AB1967" t="s">
        <v>443</v>
      </c>
      <c r="AC1967" s="21">
        <v>14490531</v>
      </c>
      <c r="AD1967" s="21" t="s">
        <v>368</v>
      </c>
      <c r="AE1967" t="str">
        <f>VLOOKUP(Table_Query_from_Actuarial___Production3[[#This Row],[Kor1]],$AI$3:$AK$105,3,FALSE)</f>
        <v>Premiums Written</v>
      </c>
      <c r="AF1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8" spans="18:32" x14ac:dyDescent="0.2">
      <c r="R1968" t="s">
        <v>40</v>
      </c>
      <c r="S1968" t="s">
        <v>267</v>
      </c>
      <c r="T1968" t="s">
        <v>356</v>
      </c>
      <c r="U1968" s="21">
        <v>13</v>
      </c>
      <c r="V1968" s="21" t="s">
        <v>368</v>
      </c>
      <c r="W1968" t="str">
        <f>VLOOKUP(Table_Query_from_Actuarial___Production[[#This Row],[Kor1]],$AI$3:$AK$105,3,FALSE)</f>
        <v>Misc. Income</v>
      </c>
      <c r="X1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8"/>
      <c r="Z1968" t="s">
        <v>41</v>
      </c>
      <c r="AA1968" t="s">
        <v>259</v>
      </c>
      <c r="AB1968" t="s">
        <v>6</v>
      </c>
      <c r="AC1968" s="21">
        <v>400</v>
      </c>
      <c r="AD1968" s="21" t="s">
        <v>368</v>
      </c>
      <c r="AE1968" t="str">
        <f>VLOOKUP(Table_Query_from_Actuarial___Production3[[#This Row],[Kor1]],$AI$3:$AK$105,3,FALSE)</f>
        <v>Misc. Income</v>
      </c>
      <c r="AF1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69" spans="18:32" x14ac:dyDescent="0.2">
      <c r="R1969" t="s">
        <v>40</v>
      </c>
      <c r="S1969" t="s">
        <v>241</v>
      </c>
      <c r="T1969" t="s">
        <v>8</v>
      </c>
      <c r="U1969" s="21">
        <v>2.0099999999999998</v>
      </c>
      <c r="V1969" s="21" t="s">
        <v>368</v>
      </c>
      <c r="W1969" t="str">
        <f>VLOOKUP(Table_Query_from_Actuarial___Production[[#This Row],[Kor1]],$AI$3:$AK$105,3,FALSE)</f>
        <v>Misc. Income</v>
      </c>
      <c r="X1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69"/>
      <c r="Z1969" t="s">
        <v>40</v>
      </c>
      <c r="AA1969" t="s">
        <v>259</v>
      </c>
      <c r="AB1969" t="s">
        <v>351</v>
      </c>
      <c r="AC1969" s="21">
        <v>748.66</v>
      </c>
      <c r="AD1969" s="21" t="s">
        <v>368</v>
      </c>
      <c r="AE1969" t="str">
        <f>VLOOKUP(Table_Query_from_Actuarial___Production3[[#This Row],[Kor1]],$AI$3:$AK$105,3,FALSE)</f>
        <v>Misc. Income</v>
      </c>
      <c r="AF1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0" spans="18:32" x14ac:dyDescent="0.2">
      <c r="R1970" t="s">
        <v>31</v>
      </c>
      <c r="S1970" t="s">
        <v>4</v>
      </c>
      <c r="T1970" t="s">
        <v>8</v>
      </c>
      <c r="U1970" s="21">
        <v>453.26</v>
      </c>
      <c r="V1970" s="21" t="s">
        <v>368</v>
      </c>
      <c r="W1970" t="str">
        <f>VLOOKUP(Table_Query_from_Actuarial___Production[[#This Row],[Kor1]],$AI$3:$AK$105,3,FALSE)</f>
        <v>Misc. Expense</v>
      </c>
      <c r="X1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0"/>
      <c r="Z1970" t="s">
        <v>40</v>
      </c>
      <c r="AA1970" t="s">
        <v>261</v>
      </c>
      <c r="AB1970" t="s">
        <v>8</v>
      </c>
      <c r="AC1970" s="21">
        <v>17</v>
      </c>
      <c r="AD1970" s="21" t="s">
        <v>368</v>
      </c>
      <c r="AE1970" t="str">
        <f>VLOOKUP(Table_Query_from_Actuarial___Production3[[#This Row],[Kor1]],$AI$3:$AK$105,3,FALSE)</f>
        <v>Misc. Income</v>
      </c>
      <c r="AF1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1" spans="18:32" x14ac:dyDescent="0.2">
      <c r="R1971" t="s">
        <v>47</v>
      </c>
      <c r="S1971" t="s">
        <v>238</v>
      </c>
      <c r="T1971" t="s">
        <v>356</v>
      </c>
      <c r="U1971" s="21">
        <v>3952.15</v>
      </c>
      <c r="V1971" s="21" t="s">
        <v>368</v>
      </c>
      <c r="W1971" t="str">
        <f>VLOOKUP(Table_Query_from_Actuarial___Production[[#This Row],[Kor1]],$AI$3:$AK$105,3,FALSE)</f>
        <v>Investment Income</v>
      </c>
      <c r="X1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1"/>
      <c r="Z1971" t="s">
        <v>16</v>
      </c>
      <c r="AA1971" t="s">
        <v>354</v>
      </c>
      <c r="AB1971" t="s">
        <v>9</v>
      </c>
      <c r="AC1971" s="21">
        <v>743558.49</v>
      </c>
      <c r="AD1971" s="21" t="s">
        <v>369</v>
      </c>
      <c r="AE1971" t="str">
        <f>VLOOKUP(Table_Query_from_Actuarial___Production3[[#This Row],[Kor1]],$AI$3:$AK$105,3,FALSE)</f>
        <v>Losses Outstanding</v>
      </c>
      <c r="AF1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972" spans="18:32" x14ac:dyDescent="0.2">
      <c r="R1972" t="s">
        <v>47</v>
      </c>
      <c r="S1972" t="s">
        <v>259</v>
      </c>
      <c r="T1972" t="s">
        <v>356</v>
      </c>
      <c r="U1972" s="21">
        <v>3152.28</v>
      </c>
      <c r="V1972" s="21" t="s">
        <v>368</v>
      </c>
      <c r="W1972" t="str">
        <f>VLOOKUP(Table_Query_from_Actuarial___Production[[#This Row],[Kor1]],$AI$3:$AK$105,3,FALSE)</f>
        <v>Investment Income</v>
      </c>
      <c r="X1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2"/>
      <c r="Z1972" t="s">
        <v>10</v>
      </c>
      <c r="AA1972" t="s">
        <v>241</v>
      </c>
      <c r="AB1972" t="s">
        <v>6</v>
      </c>
      <c r="AC1972" s="21">
        <v>26676.44</v>
      </c>
      <c r="AD1972" s="21" t="s">
        <v>368</v>
      </c>
      <c r="AE1972" t="str">
        <f>VLOOKUP(Table_Query_from_Actuarial___Production3[[#This Row],[Kor1]],$AI$3:$AK$105,3,FALSE)</f>
        <v>Commissions</v>
      </c>
      <c r="AF1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3" spans="18:32" x14ac:dyDescent="0.2">
      <c r="R1973" t="s">
        <v>18</v>
      </c>
      <c r="S1973" t="s">
        <v>224</v>
      </c>
      <c r="T1973" t="s">
        <v>7</v>
      </c>
      <c r="U1973" s="21">
        <v>199160.11</v>
      </c>
      <c r="V1973" s="21" t="s">
        <v>370</v>
      </c>
      <c r="W1973" t="str">
        <f>VLOOKUP(Table_Query_from_Actuarial___Production[[#This Row],[Kor1]],$AI$3:$AK$105,3,FALSE)</f>
        <v>Misc. Expense</v>
      </c>
      <c r="X1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973"/>
      <c r="Z1973" t="s">
        <v>50</v>
      </c>
      <c r="AA1973" t="s">
        <v>260</v>
      </c>
      <c r="AB1973" t="s">
        <v>441</v>
      </c>
      <c r="AC1973" s="21">
        <v>182.35</v>
      </c>
      <c r="AD1973" s="21" t="s">
        <v>368</v>
      </c>
      <c r="AE1973" t="str">
        <f>VLOOKUP(Table_Query_from_Actuarial___Production3[[#This Row],[Kor1]],$AI$3:$AK$105,3,FALSE)</f>
        <v>ALAE Reserve</v>
      </c>
      <c r="AF1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4" spans="18:32" x14ac:dyDescent="0.2">
      <c r="R1974" t="s">
        <v>17</v>
      </c>
      <c r="S1974" t="s">
        <v>243</v>
      </c>
      <c r="T1974" t="s">
        <v>433</v>
      </c>
      <c r="U1974" s="21">
        <v>49169.75</v>
      </c>
      <c r="V1974" s="21" t="s">
        <v>368</v>
      </c>
      <c r="W1974" t="str">
        <f>VLOOKUP(Table_Query_from_Actuarial___Production[[#This Row],[Kor1]],$AI$3:$AK$105,3,FALSE)</f>
        <v>IBNR</v>
      </c>
      <c r="X1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4"/>
      <c r="Z1974" t="s">
        <v>13</v>
      </c>
      <c r="AA1974" t="s">
        <v>247</v>
      </c>
      <c r="AB1974" t="s">
        <v>9</v>
      </c>
      <c r="AC1974" s="21">
        <v>2104.86</v>
      </c>
      <c r="AD1974" s="21" t="s">
        <v>368</v>
      </c>
      <c r="AE1974" t="str">
        <f>VLOOKUP(Table_Query_from_Actuarial___Production3[[#This Row],[Kor1]],$AI$3:$AK$105,3,FALSE)</f>
        <v>Operating Service Fees</v>
      </c>
      <c r="AF1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5" spans="18:32" x14ac:dyDescent="0.2">
      <c r="R1975" t="s">
        <v>3</v>
      </c>
      <c r="S1975" t="s">
        <v>265</v>
      </c>
      <c r="T1975" t="s">
        <v>427</v>
      </c>
      <c r="U1975" s="21">
        <v>1131561</v>
      </c>
      <c r="V1975" s="21" t="s">
        <v>368</v>
      </c>
      <c r="W1975" t="str">
        <f>VLOOKUP(Table_Query_from_Actuarial___Production[[#This Row],[Kor1]],$AI$3:$AK$105,3,FALSE)</f>
        <v>Premiums Written</v>
      </c>
      <c r="X1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5"/>
      <c r="Z1975" t="s">
        <v>17</v>
      </c>
      <c r="AA1975" t="s">
        <v>267</v>
      </c>
      <c r="AB1975" t="s">
        <v>442</v>
      </c>
      <c r="AC1975" s="21">
        <v>198640.62</v>
      </c>
      <c r="AD1975" s="21" t="s">
        <v>368</v>
      </c>
      <c r="AE1975" t="str">
        <f>VLOOKUP(Table_Query_from_Actuarial___Production3[[#This Row],[Kor1]],$AI$3:$AK$105,3,FALSE)</f>
        <v>IBNR</v>
      </c>
      <c r="AF1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6" spans="18:32" x14ac:dyDescent="0.2">
      <c r="R1976" t="s">
        <v>43</v>
      </c>
      <c r="S1976" t="s">
        <v>246</v>
      </c>
      <c r="T1976" t="s">
        <v>356</v>
      </c>
      <c r="U1976" s="21">
        <v>-6.22</v>
      </c>
      <c r="V1976" s="21" t="s">
        <v>368</v>
      </c>
      <c r="W1976" t="str">
        <f>VLOOKUP(Table_Query_from_Actuarial___Production[[#This Row],[Kor1]],$AI$3:$AK$105,3,FALSE)</f>
        <v>Charge-offs</v>
      </c>
      <c r="X1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6"/>
      <c r="Z1976" t="s">
        <v>31</v>
      </c>
      <c r="AA1976" t="s">
        <v>253</v>
      </c>
      <c r="AB1976" t="s">
        <v>6</v>
      </c>
      <c r="AC1976" s="21">
        <v>921.6</v>
      </c>
      <c r="AD1976" s="21" t="s">
        <v>368</v>
      </c>
      <c r="AE1976" t="str">
        <f>VLOOKUP(Table_Query_from_Actuarial___Production3[[#This Row],[Kor1]],$AI$3:$AK$105,3,FALSE)</f>
        <v>Misc. Expense</v>
      </c>
      <c r="AF1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7" spans="18:32" x14ac:dyDescent="0.2">
      <c r="R1977" t="s">
        <v>3</v>
      </c>
      <c r="S1977" t="s">
        <v>230</v>
      </c>
      <c r="T1977" t="s">
        <v>445</v>
      </c>
      <c r="U1977" s="21">
        <v>5028315</v>
      </c>
      <c r="V1977" s="21" t="s">
        <v>368</v>
      </c>
      <c r="W1977" t="str">
        <f>VLOOKUP(Table_Query_from_Actuarial___Production[[#This Row],[Kor1]],$AI$3:$AK$105,3,FALSE)</f>
        <v>Premiums Written</v>
      </c>
      <c r="X1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7"/>
      <c r="Z1977" t="s">
        <v>40</v>
      </c>
      <c r="AA1977" t="s">
        <v>266</v>
      </c>
      <c r="AB1977" t="s">
        <v>6</v>
      </c>
      <c r="AC1977" s="21">
        <v>114</v>
      </c>
      <c r="AD1977" s="21" t="s">
        <v>368</v>
      </c>
      <c r="AE1977" t="str">
        <f>VLOOKUP(Table_Query_from_Actuarial___Production3[[#This Row],[Kor1]],$AI$3:$AK$105,3,FALSE)</f>
        <v>Misc. Income</v>
      </c>
      <c r="AF1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78" spans="18:32" x14ac:dyDescent="0.2">
      <c r="R1978" t="s">
        <v>10</v>
      </c>
      <c r="S1978" t="s">
        <v>265</v>
      </c>
      <c r="T1978" t="s">
        <v>443</v>
      </c>
      <c r="U1978" s="21">
        <v>47062.55</v>
      </c>
      <c r="V1978" s="21" t="s">
        <v>368</v>
      </c>
      <c r="W1978" t="str">
        <f>VLOOKUP(Table_Query_from_Actuarial___Production[[#This Row],[Kor1]],$AI$3:$AK$105,3,FALSE)</f>
        <v>Commissions</v>
      </c>
      <c r="X1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8"/>
      <c r="Z1978" t="s">
        <v>11</v>
      </c>
      <c r="AA1978" t="s">
        <v>225</v>
      </c>
      <c r="AB1978" t="s">
        <v>8</v>
      </c>
      <c r="AC1978" s="21">
        <v>229065.75</v>
      </c>
      <c r="AD1978" s="21" t="s">
        <v>369</v>
      </c>
      <c r="AE1978" t="str">
        <f>VLOOKUP(Table_Query_from_Actuarial___Production3[[#This Row],[Kor1]],$AI$3:$AK$105,3,FALSE)</f>
        <v>Losses Paid</v>
      </c>
      <c r="AF1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979" spans="18:32" x14ac:dyDescent="0.2">
      <c r="R1979" t="s">
        <v>13</v>
      </c>
      <c r="S1979" t="s">
        <v>263</v>
      </c>
      <c r="T1979" t="s">
        <v>356</v>
      </c>
      <c r="U1979" s="21">
        <v>86747.31</v>
      </c>
      <c r="V1979" s="21" t="s">
        <v>368</v>
      </c>
      <c r="W1979" t="str">
        <f>VLOOKUP(Table_Query_from_Actuarial___Production[[#This Row],[Kor1]],$AI$3:$AK$105,3,FALSE)</f>
        <v>Operating Service Fees</v>
      </c>
      <c r="X1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79"/>
      <c r="Z1979" t="s">
        <v>49</v>
      </c>
      <c r="AA1979" t="s">
        <v>256</v>
      </c>
      <c r="AB1979" t="s">
        <v>356</v>
      </c>
      <c r="AC1979" s="21">
        <v>27580.27</v>
      </c>
      <c r="AD1979" s="21" t="s">
        <v>368</v>
      </c>
      <c r="AE1979" t="str">
        <f>VLOOKUP(Table_Query_from_Actuarial___Production3[[#This Row],[Kor1]],$AI$3:$AK$105,3,FALSE)</f>
        <v>ALAE Paid</v>
      </c>
      <c r="AF1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0" spans="18:32" x14ac:dyDescent="0.2">
      <c r="R1980" t="s">
        <v>14</v>
      </c>
      <c r="S1980" t="s">
        <v>239</v>
      </c>
      <c r="T1980" t="s">
        <v>356</v>
      </c>
      <c r="U1980" s="21">
        <v>72337.41</v>
      </c>
      <c r="V1980" s="21" t="s">
        <v>368</v>
      </c>
      <c r="W1980" t="str">
        <f>VLOOKUP(Table_Query_from_Actuarial___Production[[#This Row],[Kor1]],$AI$3:$AK$105,3,FALSE)</f>
        <v>Claims Expense</v>
      </c>
      <c r="X1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0"/>
      <c r="Z1980" t="s">
        <v>13</v>
      </c>
      <c r="AA1980" t="s">
        <v>239</v>
      </c>
      <c r="AB1980" t="s">
        <v>351</v>
      </c>
      <c r="AC1980" s="21">
        <v>92288.15</v>
      </c>
      <c r="AD1980" s="21" t="s">
        <v>368</v>
      </c>
      <c r="AE1980" t="str">
        <f>VLOOKUP(Table_Query_from_Actuarial___Production3[[#This Row],[Kor1]],$AI$3:$AK$105,3,FALSE)</f>
        <v>Operating Service Fees</v>
      </c>
      <c r="AF1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1" spans="18:32" x14ac:dyDescent="0.2">
      <c r="R1981" t="s">
        <v>31</v>
      </c>
      <c r="S1981" t="s">
        <v>259</v>
      </c>
      <c r="T1981" t="s">
        <v>433</v>
      </c>
      <c r="U1981" s="21">
        <v>1087.04</v>
      </c>
      <c r="V1981" s="21" t="s">
        <v>368</v>
      </c>
      <c r="W1981" t="str">
        <f>VLOOKUP(Table_Query_from_Actuarial___Production[[#This Row],[Kor1]],$AI$3:$AK$105,3,FALSE)</f>
        <v>Misc. Expense</v>
      </c>
      <c r="X1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1"/>
      <c r="Z1981" t="s">
        <v>40</v>
      </c>
      <c r="AA1981" t="s">
        <v>255</v>
      </c>
      <c r="AB1981" t="s">
        <v>351</v>
      </c>
      <c r="AC1981" s="21">
        <v>327</v>
      </c>
      <c r="AD1981" s="21" t="s">
        <v>368</v>
      </c>
      <c r="AE1981" t="str">
        <f>VLOOKUP(Table_Query_from_Actuarial___Production3[[#This Row],[Kor1]],$AI$3:$AK$105,3,FALSE)</f>
        <v>Misc. Income</v>
      </c>
      <c r="AF1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2" spans="18:32" x14ac:dyDescent="0.2">
      <c r="R1982" t="s">
        <v>39</v>
      </c>
      <c r="S1982" t="s">
        <v>249</v>
      </c>
      <c r="T1982" t="s">
        <v>433</v>
      </c>
      <c r="U1982" s="21">
        <v>7447</v>
      </c>
      <c r="V1982" s="21" t="s">
        <v>368</v>
      </c>
      <c r="W1982" t="str">
        <f>VLOOKUP(Table_Query_from_Actuarial___Production[[#This Row],[Kor1]],$AI$3:$AK$105,3,FALSE)</f>
        <v>Misc. Income for Insolvent Companies</v>
      </c>
      <c r="X1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2"/>
      <c r="Z1982" t="s">
        <v>41</v>
      </c>
      <c r="AA1982" t="s">
        <v>240</v>
      </c>
      <c r="AB1982" t="s">
        <v>433</v>
      </c>
      <c r="AC1982" s="21">
        <v>149.97999999999999</v>
      </c>
      <c r="AD1982" s="21" t="s">
        <v>368</v>
      </c>
      <c r="AE1982" t="str">
        <f>VLOOKUP(Table_Query_from_Actuarial___Production3[[#This Row],[Kor1]],$AI$3:$AK$105,3,FALSE)</f>
        <v>Misc. Income</v>
      </c>
      <c r="AF1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3" spans="18:32" x14ac:dyDescent="0.2">
      <c r="R1983" t="s">
        <v>11</v>
      </c>
      <c r="S1983" t="s">
        <v>224</v>
      </c>
      <c r="T1983" t="s">
        <v>6</v>
      </c>
      <c r="U1983" s="21">
        <v>758588.46</v>
      </c>
      <c r="V1983" s="21" t="s">
        <v>370</v>
      </c>
      <c r="W1983" t="str">
        <f>VLOOKUP(Table_Query_from_Actuarial___Production[[#This Row],[Kor1]],$AI$3:$AK$105,3,FALSE)</f>
        <v>Losses Paid</v>
      </c>
      <c r="X1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983"/>
      <c r="Z1983" t="s">
        <v>14</v>
      </c>
      <c r="AA1983" t="s">
        <v>227</v>
      </c>
      <c r="AB1983" t="s">
        <v>9</v>
      </c>
      <c r="AC1983" s="21">
        <v>14632.81</v>
      </c>
      <c r="AD1983" s="21" t="s">
        <v>368</v>
      </c>
      <c r="AE1983" t="str">
        <f>VLOOKUP(Table_Query_from_Actuarial___Production3[[#This Row],[Kor1]],$AI$3:$AK$105,3,FALSE)</f>
        <v>Claims Expense</v>
      </c>
      <c r="AF1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4" spans="18:32" x14ac:dyDescent="0.2">
      <c r="R1984" t="s">
        <v>19</v>
      </c>
      <c r="S1984" t="s">
        <v>260</v>
      </c>
      <c r="T1984" t="s">
        <v>442</v>
      </c>
      <c r="U1984" s="21">
        <v>36</v>
      </c>
      <c r="V1984" s="21" t="s">
        <v>368</v>
      </c>
      <c r="W1984" t="str">
        <f>VLOOKUP(Table_Query_from_Actuarial___Production[[#This Row],[Kor1]],$AI$3:$AK$105,3,FALSE)</f>
        <v>Misc. Expense for Insolvent Companies</v>
      </c>
      <c r="X1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4"/>
      <c r="Z1984" t="s">
        <v>31</v>
      </c>
      <c r="AA1984" t="s">
        <v>234</v>
      </c>
      <c r="AB1984" t="s">
        <v>441</v>
      </c>
      <c r="AC1984" s="21">
        <v>972.72</v>
      </c>
      <c r="AD1984" s="21" t="s">
        <v>368</v>
      </c>
      <c r="AE1984" t="str">
        <f>VLOOKUP(Table_Query_from_Actuarial___Production3[[#This Row],[Kor1]],$AI$3:$AK$105,3,FALSE)</f>
        <v>Misc. Expense</v>
      </c>
      <c r="AF1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5" spans="18:32" x14ac:dyDescent="0.2">
      <c r="R1985" t="s">
        <v>12</v>
      </c>
      <c r="S1985" t="s">
        <v>227</v>
      </c>
      <c r="T1985" t="s">
        <v>8</v>
      </c>
      <c r="U1985" s="21">
        <v>813.25</v>
      </c>
      <c r="V1985" s="21" t="s">
        <v>368</v>
      </c>
      <c r="W1985" t="str">
        <f>VLOOKUP(Table_Query_from_Actuarial___Production[[#This Row],[Kor1]],$AI$3:$AK$105,3,FALSE)</f>
        <v>Premium Tax</v>
      </c>
      <c r="X1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5"/>
      <c r="Z1985" t="s">
        <v>13</v>
      </c>
      <c r="AA1985" t="s">
        <v>251</v>
      </c>
      <c r="AB1985" t="s">
        <v>8</v>
      </c>
      <c r="AC1985" s="21">
        <v>8121.31</v>
      </c>
      <c r="AD1985" s="21" t="s">
        <v>368</v>
      </c>
      <c r="AE1985" t="str">
        <f>VLOOKUP(Table_Query_from_Actuarial___Production3[[#This Row],[Kor1]],$AI$3:$AK$105,3,FALSE)</f>
        <v>Operating Service Fees</v>
      </c>
      <c r="AF1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6" spans="18:32" x14ac:dyDescent="0.2">
      <c r="R1986" t="s">
        <v>32</v>
      </c>
      <c r="S1986" t="s">
        <v>237</v>
      </c>
      <c r="T1986" t="s">
        <v>356</v>
      </c>
      <c r="U1986" s="21">
        <v>35604.089999999997</v>
      </c>
      <c r="V1986" s="21" t="s">
        <v>368</v>
      </c>
      <c r="W1986" t="str">
        <f>VLOOKUP(Table_Query_from_Actuarial___Production[[#This Row],[Kor1]],$AI$3:$AK$105,3,FALSE)</f>
        <v>Misc. Expense</v>
      </c>
      <c r="X1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6"/>
      <c r="Z1986" t="s">
        <v>3</v>
      </c>
      <c r="AA1986" t="s">
        <v>265</v>
      </c>
      <c r="AB1986" t="s">
        <v>443</v>
      </c>
      <c r="AC1986" s="21">
        <v>94622</v>
      </c>
      <c r="AD1986" s="21" t="s">
        <v>368</v>
      </c>
      <c r="AE1986" t="str">
        <f>VLOOKUP(Table_Query_from_Actuarial___Production3[[#This Row],[Kor1]],$AI$3:$AK$105,3,FALSE)</f>
        <v>Premiums Written</v>
      </c>
      <c r="AF1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7" spans="18:32" x14ac:dyDescent="0.2">
      <c r="R1987" t="s">
        <v>48</v>
      </c>
      <c r="S1987" t="s">
        <v>247</v>
      </c>
      <c r="T1987" t="s">
        <v>433</v>
      </c>
      <c r="U1987" s="21">
        <v>0.93</v>
      </c>
      <c r="V1987" s="21" t="s">
        <v>368</v>
      </c>
      <c r="W1987" t="str">
        <f>VLOOKUP(Table_Query_from_Actuarial___Production[[#This Row],[Kor1]],$AI$3:$AK$105,3,FALSE)</f>
        <v>Anticipated Salvage</v>
      </c>
      <c r="X1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7"/>
      <c r="Z1987" t="s">
        <v>34</v>
      </c>
      <c r="AA1987" t="s">
        <v>254</v>
      </c>
      <c r="AB1987" t="s">
        <v>6</v>
      </c>
      <c r="AC1987" s="21">
        <v>1.39</v>
      </c>
      <c r="AD1987" s="21" t="s">
        <v>368</v>
      </c>
      <c r="AE1987" t="str">
        <f>VLOOKUP(Table_Query_from_Actuarial___Production3[[#This Row],[Kor1]],$AI$3:$AK$105,3,FALSE)</f>
        <v>Misc. Expense</v>
      </c>
      <c r="AF1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8" spans="18:32" x14ac:dyDescent="0.2">
      <c r="R1988" t="s">
        <v>14</v>
      </c>
      <c r="S1988" t="s">
        <v>237</v>
      </c>
      <c r="T1988" t="s">
        <v>442</v>
      </c>
      <c r="U1988" s="21">
        <v>5450210.0999999996</v>
      </c>
      <c r="V1988" s="21" t="s">
        <v>368</v>
      </c>
      <c r="W1988" t="str">
        <f>VLOOKUP(Table_Query_from_Actuarial___Production[[#This Row],[Kor1]],$AI$3:$AK$105,3,FALSE)</f>
        <v>Claims Expense</v>
      </c>
      <c r="X1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88"/>
      <c r="Z1988" t="s">
        <v>11</v>
      </c>
      <c r="AA1988" t="s">
        <v>228</v>
      </c>
      <c r="AB1988" t="s">
        <v>356</v>
      </c>
      <c r="AC1988" s="21">
        <v>5725.76</v>
      </c>
      <c r="AD1988" s="21" t="s">
        <v>368</v>
      </c>
      <c r="AE1988" t="str">
        <f>VLOOKUP(Table_Query_from_Actuarial___Production3[[#This Row],[Kor1]],$AI$3:$AK$105,3,FALSE)</f>
        <v>Losses Paid</v>
      </c>
      <c r="AF1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89" spans="18:32" x14ac:dyDescent="0.2">
      <c r="R1989" t="s">
        <v>38</v>
      </c>
      <c r="S1989" t="s">
        <v>354</v>
      </c>
      <c r="T1989" t="s">
        <v>9</v>
      </c>
      <c r="U1989" s="21">
        <v>14370.16</v>
      </c>
      <c r="V1989" s="21" t="s">
        <v>368</v>
      </c>
      <c r="W1989" t="str">
        <f>VLOOKUP(Table_Query_from_Actuarial___Production[[#This Row],[Kor1]],$AI$3:$AK$105,3,FALSE)</f>
        <v>Misc. Income</v>
      </c>
      <c r="X1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989"/>
      <c r="Z1989" t="s">
        <v>41</v>
      </c>
      <c r="AA1989" t="s">
        <v>247</v>
      </c>
      <c r="AB1989" t="s">
        <v>9</v>
      </c>
      <c r="AC1989" s="21">
        <v>800</v>
      </c>
      <c r="AD1989" s="21" t="s">
        <v>368</v>
      </c>
      <c r="AE1989" t="str">
        <f>VLOOKUP(Table_Query_from_Actuarial___Production3[[#This Row],[Kor1]],$AI$3:$AK$105,3,FALSE)</f>
        <v>Misc. Income</v>
      </c>
      <c r="AF1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0" spans="18:32" x14ac:dyDescent="0.2">
      <c r="R1990" t="s">
        <v>3</v>
      </c>
      <c r="S1990" t="s">
        <v>233</v>
      </c>
      <c r="T1990" t="s">
        <v>6</v>
      </c>
      <c r="U1990" s="21">
        <v>208485</v>
      </c>
      <c r="V1990" s="21" t="s">
        <v>368</v>
      </c>
      <c r="W1990" t="str">
        <f>VLOOKUP(Table_Query_from_Actuarial___Production[[#This Row],[Kor1]],$AI$3:$AK$105,3,FALSE)</f>
        <v>Premiums Written</v>
      </c>
      <c r="X1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0"/>
      <c r="Z1990" t="s">
        <v>47</v>
      </c>
      <c r="AA1990" t="s">
        <v>234</v>
      </c>
      <c r="AB1990" t="s">
        <v>9</v>
      </c>
      <c r="AC1990" s="21">
        <v>244.34</v>
      </c>
      <c r="AD1990" s="21" t="s">
        <v>368</v>
      </c>
      <c r="AE1990" t="str">
        <f>VLOOKUP(Table_Query_from_Actuarial___Production3[[#This Row],[Kor1]],$AI$3:$AK$105,3,FALSE)</f>
        <v>Investment Income</v>
      </c>
      <c r="AF1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1" spans="18:32" x14ac:dyDescent="0.2">
      <c r="R1991" t="s">
        <v>12</v>
      </c>
      <c r="S1991" t="s">
        <v>233</v>
      </c>
      <c r="T1991" t="s">
        <v>7</v>
      </c>
      <c r="U1991" s="21">
        <v>8352.84</v>
      </c>
      <c r="V1991" s="21" t="s">
        <v>368</v>
      </c>
      <c r="W1991" t="str">
        <f>VLOOKUP(Table_Query_from_Actuarial___Production[[#This Row],[Kor1]],$AI$3:$AK$105,3,FALSE)</f>
        <v>Premium Tax</v>
      </c>
      <c r="X1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1"/>
      <c r="Z1991" t="s">
        <v>439</v>
      </c>
      <c r="AA1991" t="s">
        <v>227</v>
      </c>
      <c r="AB1991" t="s">
        <v>433</v>
      </c>
      <c r="AC1991" s="21">
        <v>439</v>
      </c>
      <c r="AD1991" s="21" t="s">
        <v>368</v>
      </c>
      <c r="AE1991" t="str">
        <f>VLOOKUP(Table_Query_from_Actuarial___Production3[[#This Row],[Kor1]],$AI$3:$AK$105,3,FALSE)</f>
        <v>Operating Service Fees</v>
      </c>
      <c r="AF1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2" spans="18:32" x14ac:dyDescent="0.2">
      <c r="R1992" t="s">
        <v>10</v>
      </c>
      <c r="S1992" t="s">
        <v>248</v>
      </c>
      <c r="T1992" t="s">
        <v>351</v>
      </c>
      <c r="U1992" s="21">
        <v>5011.18</v>
      </c>
      <c r="V1992" s="21" t="s">
        <v>368</v>
      </c>
      <c r="W1992" t="str">
        <f>VLOOKUP(Table_Query_from_Actuarial___Production[[#This Row],[Kor1]],$AI$3:$AK$105,3,FALSE)</f>
        <v>Commissions</v>
      </c>
      <c r="X1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2"/>
      <c r="Z1992" t="s">
        <v>3</v>
      </c>
      <c r="AA1992" t="s">
        <v>259</v>
      </c>
      <c r="AB1992" t="s">
        <v>5</v>
      </c>
      <c r="AC1992" s="21">
        <v>187077</v>
      </c>
      <c r="AD1992" s="21" t="s">
        <v>368</v>
      </c>
      <c r="AE1992" t="str">
        <f>VLOOKUP(Table_Query_from_Actuarial___Production3[[#This Row],[Kor1]],$AI$3:$AK$105,3,FALSE)</f>
        <v>Premiums Written</v>
      </c>
      <c r="AF1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3" spans="18:32" x14ac:dyDescent="0.2">
      <c r="R1993" t="s">
        <v>13</v>
      </c>
      <c r="S1993" t="s">
        <v>265</v>
      </c>
      <c r="T1993" t="s">
        <v>445</v>
      </c>
      <c r="U1993" s="21">
        <v>56885.14</v>
      </c>
      <c r="V1993" s="21" t="s">
        <v>368</v>
      </c>
      <c r="W1993" t="str">
        <f>VLOOKUP(Table_Query_from_Actuarial___Production[[#This Row],[Kor1]],$AI$3:$AK$105,3,FALSE)</f>
        <v>Operating Service Fees</v>
      </c>
      <c r="X1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3"/>
      <c r="Z1993" t="s">
        <v>10</v>
      </c>
      <c r="AA1993" t="s">
        <v>235</v>
      </c>
      <c r="AB1993" t="s">
        <v>427</v>
      </c>
      <c r="AC1993" s="21">
        <v>40619.25</v>
      </c>
      <c r="AD1993" s="21" t="s">
        <v>368</v>
      </c>
      <c r="AE1993" t="str">
        <f>VLOOKUP(Table_Query_from_Actuarial___Production3[[#This Row],[Kor1]],$AI$3:$AK$105,3,FALSE)</f>
        <v>Commissions</v>
      </c>
      <c r="AF1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4" spans="18:32" x14ac:dyDescent="0.2">
      <c r="R1994" t="s">
        <v>48</v>
      </c>
      <c r="S1994" t="s">
        <v>260</v>
      </c>
      <c r="T1994" t="s">
        <v>443</v>
      </c>
      <c r="U1994" s="21">
        <v>224.26</v>
      </c>
      <c r="V1994" s="21" t="s">
        <v>368</v>
      </c>
      <c r="W1994" t="str">
        <f>VLOOKUP(Table_Query_from_Actuarial___Production[[#This Row],[Kor1]],$AI$3:$AK$105,3,FALSE)</f>
        <v>Anticipated Salvage</v>
      </c>
      <c r="X1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4"/>
      <c r="Z1994" t="s">
        <v>10</v>
      </c>
      <c r="AA1994" t="s">
        <v>255</v>
      </c>
      <c r="AB1994" t="s">
        <v>9</v>
      </c>
      <c r="AC1994" s="21">
        <v>33957.300000000003</v>
      </c>
      <c r="AD1994" s="21" t="s">
        <v>368</v>
      </c>
      <c r="AE1994" t="str">
        <f>VLOOKUP(Table_Query_from_Actuarial___Production3[[#This Row],[Kor1]],$AI$3:$AK$105,3,FALSE)</f>
        <v>Commissions</v>
      </c>
      <c r="AF1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5" spans="18:32" x14ac:dyDescent="0.2">
      <c r="R1995" t="s">
        <v>3</v>
      </c>
      <c r="S1995" t="s">
        <v>229</v>
      </c>
      <c r="T1995" t="s">
        <v>442</v>
      </c>
      <c r="U1995" s="21">
        <v>95478</v>
      </c>
      <c r="V1995" s="21" t="s">
        <v>368</v>
      </c>
      <c r="W1995" t="str">
        <f>VLOOKUP(Table_Query_from_Actuarial___Production[[#This Row],[Kor1]],$AI$3:$AK$105,3,FALSE)</f>
        <v>Premiums Written</v>
      </c>
      <c r="X1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5"/>
      <c r="Z1995" t="s">
        <v>11</v>
      </c>
      <c r="AA1995" t="s">
        <v>252</v>
      </c>
      <c r="AB1995" t="s">
        <v>5</v>
      </c>
      <c r="AC1995" s="21">
        <v>6679768.7300000004</v>
      </c>
      <c r="AD1995" s="21" t="s">
        <v>368</v>
      </c>
      <c r="AE1995" t="str">
        <f>VLOOKUP(Table_Query_from_Actuarial___Production3[[#This Row],[Kor1]],$AI$3:$AK$105,3,FALSE)</f>
        <v>Losses Paid</v>
      </c>
      <c r="AF1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6" spans="18:32" x14ac:dyDescent="0.2">
      <c r="R1996" t="s">
        <v>10</v>
      </c>
      <c r="S1996" t="s">
        <v>262</v>
      </c>
      <c r="T1996" t="s">
        <v>442</v>
      </c>
      <c r="U1996" s="21">
        <v>8916.7999999999993</v>
      </c>
      <c r="V1996" s="21" t="s">
        <v>368</v>
      </c>
      <c r="W1996" t="str">
        <f>VLOOKUP(Table_Query_from_Actuarial___Production[[#This Row],[Kor1]],$AI$3:$AK$105,3,FALSE)</f>
        <v>Commissions</v>
      </c>
      <c r="X1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6"/>
      <c r="Z1996" t="s">
        <v>14</v>
      </c>
      <c r="AA1996" t="s">
        <v>233</v>
      </c>
      <c r="AB1996" t="s">
        <v>356</v>
      </c>
      <c r="AC1996" s="21">
        <v>32969.9</v>
      </c>
      <c r="AD1996" s="21" t="s">
        <v>368</v>
      </c>
      <c r="AE1996" t="str">
        <f>VLOOKUP(Table_Query_from_Actuarial___Production3[[#This Row],[Kor1]],$AI$3:$AK$105,3,FALSE)</f>
        <v>Claims Expense</v>
      </c>
      <c r="AF1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7" spans="18:32" x14ac:dyDescent="0.2">
      <c r="R1997" t="s">
        <v>31</v>
      </c>
      <c r="S1997" t="s">
        <v>260</v>
      </c>
      <c r="T1997" t="s">
        <v>442</v>
      </c>
      <c r="U1997" s="21">
        <v>1016.1</v>
      </c>
      <c r="V1997" s="21" t="s">
        <v>368</v>
      </c>
      <c r="W1997" t="str">
        <f>VLOOKUP(Table_Query_from_Actuarial___Production[[#This Row],[Kor1]],$AI$3:$AK$105,3,FALSE)</f>
        <v>Misc. Expense</v>
      </c>
      <c r="X1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7"/>
      <c r="Z1997" t="s">
        <v>49</v>
      </c>
      <c r="AA1997" t="s">
        <v>265</v>
      </c>
      <c r="AB1997" t="s">
        <v>441</v>
      </c>
      <c r="AC1997" s="21">
        <v>31432.89</v>
      </c>
      <c r="AD1997" s="21" t="s">
        <v>368</v>
      </c>
      <c r="AE1997" t="str">
        <f>VLOOKUP(Table_Query_from_Actuarial___Production3[[#This Row],[Kor1]],$AI$3:$AK$105,3,FALSE)</f>
        <v>ALAE Paid</v>
      </c>
      <c r="AF1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8" spans="18:32" x14ac:dyDescent="0.2">
      <c r="R1998" t="s">
        <v>19</v>
      </c>
      <c r="S1998" t="s">
        <v>238</v>
      </c>
      <c r="T1998" t="s">
        <v>427</v>
      </c>
      <c r="U1998" s="21">
        <v>1296.01</v>
      </c>
      <c r="V1998" s="21" t="s">
        <v>368</v>
      </c>
      <c r="W1998" t="str">
        <f>VLOOKUP(Table_Query_from_Actuarial___Production[[#This Row],[Kor1]],$AI$3:$AK$105,3,FALSE)</f>
        <v>Misc. Expense for Insolvent Companies</v>
      </c>
      <c r="X1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8"/>
      <c r="Z1998" t="s">
        <v>17</v>
      </c>
      <c r="AA1998" t="s">
        <v>266</v>
      </c>
      <c r="AB1998" t="s">
        <v>427</v>
      </c>
      <c r="AC1998" s="21">
        <v>65808.259999999995</v>
      </c>
      <c r="AD1998" s="21" t="s">
        <v>368</v>
      </c>
      <c r="AE1998" t="str">
        <f>VLOOKUP(Table_Query_from_Actuarial___Production3[[#This Row],[Kor1]],$AI$3:$AK$105,3,FALSE)</f>
        <v>IBNR</v>
      </c>
      <c r="AF1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999" spans="18:32" x14ac:dyDescent="0.2">
      <c r="R1999" t="s">
        <v>40</v>
      </c>
      <c r="S1999" t="s">
        <v>242</v>
      </c>
      <c r="T1999" t="s">
        <v>442</v>
      </c>
      <c r="U1999" s="21">
        <v>1332.62</v>
      </c>
      <c r="V1999" s="21" t="s">
        <v>368</v>
      </c>
      <c r="W1999" t="str">
        <f>VLOOKUP(Table_Query_from_Actuarial___Production[[#This Row],[Kor1]],$AI$3:$AK$105,3,FALSE)</f>
        <v>Misc. Income</v>
      </c>
      <c r="X1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999"/>
      <c r="Z1999" t="s">
        <v>31</v>
      </c>
      <c r="AA1999" t="s">
        <v>238</v>
      </c>
      <c r="AB1999" t="s">
        <v>7</v>
      </c>
      <c r="AC1999" s="21">
        <v>892.44</v>
      </c>
      <c r="AD1999" s="21" t="s">
        <v>368</v>
      </c>
      <c r="AE1999" t="str">
        <f>VLOOKUP(Table_Query_from_Actuarial___Production3[[#This Row],[Kor1]],$AI$3:$AK$105,3,FALSE)</f>
        <v>Misc. Expense</v>
      </c>
      <c r="AF1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0" spans="18:32" x14ac:dyDescent="0.2">
      <c r="R2000" t="s">
        <v>21</v>
      </c>
      <c r="S2000" t="s">
        <v>239</v>
      </c>
      <c r="T2000" t="s">
        <v>9</v>
      </c>
      <c r="U2000" s="21">
        <v>526.25</v>
      </c>
      <c r="V2000" s="21" t="s">
        <v>368</v>
      </c>
      <c r="W2000" t="str">
        <f>VLOOKUP(Table_Query_from_Actuarial___Production[[#This Row],[Kor1]],$AI$3:$AK$105,3,FALSE)</f>
        <v>Misc. Expense</v>
      </c>
      <c r="X2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0"/>
      <c r="Z2000" t="s">
        <v>31</v>
      </c>
      <c r="AA2000" t="s">
        <v>254</v>
      </c>
      <c r="AB2000" t="s">
        <v>9</v>
      </c>
      <c r="AC2000" s="21">
        <v>524.15</v>
      </c>
      <c r="AD2000" s="21" t="s">
        <v>368</v>
      </c>
      <c r="AE2000" t="str">
        <f>VLOOKUP(Table_Query_from_Actuarial___Production3[[#This Row],[Kor1]],$AI$3:$AK$105,3,FALSE)</f>
        <v>Misc. Expense</v>
      </c>
      <c r="AF2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1" spans="18:32" x14ac:dyDescent="0.2">
      <c r="R2001" t="s">
        <v>47</v>
      </c>
      <c r="S2001" t="s">
        <v>242</v>
      </c>
      <c r="T2001" t="s">
        <v>356</v>
      </c>
      <c r="U2001" s="21">
        <v>5209.3500000000004</v>
      </c>
      <c r="V2001" s="21" t="s">
        <v>368</v>
      </c>
      <c r="W2001" t="str">
        <f>VLOOKUP(Table_Query_from_Actuarial___Production[[#This Row],[Kor1]],$AI$3:$AK$105,3,FALSE)</f>
        <v>Investment Income</v>
      </c>
      <c r="X2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1"/>
      <c r="Z2001" t="s">
        <v>3</v>
      </c>
      <c r="AA2001" t="s">
        <v>245</v>
      </c>
      <c r="AB2001" t="s">
        <v>8</v>
      </c>
      <c r="AC2001" s="21">
        <v>147367</v>
      </c>
      <c r="AD2001" s="21" t="s">
        <v>368</v>
      </c>
      <c r="AE2001" t="str">
        <f>VLOOKUP(Table_Query_from_Actuarial___Production3[[#This Row],[Kor1]],$AI$3:$AK$105,3,FALSE)</f>
        <v>Premiums Written</v>
      </c>
      <c r="AF2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2" spans="18:32" x14ac:dyDescent="0.2">
      <c r="R2002" t="s">
        <v>3</v>
      </c>
      <c r="S2002" t="s">
        <v>354</v>
      </c>
      <c r="T2002" t="s">
        <v>427</v>
      </c>
      <c r="U2002" s="21">
        <v>956598472.33000004</v>
      </c>
      <c r="V2002" s="21" t="s">
        <v>369</v>
      </c>
      <c r="W2002" t="str">
        <f>VLOOKUP(Table_Query_from_Actuarial___Production[[#This Row],[Kor1]],$AI$3:$AK$105,3,FALSE)</f>
        <v>Premiums Written</v>
      </c>
      <c r="X2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002"/>
      <c r="Z2002" t="s">
        <v>14</v>
      </c>
      <c r="AA2002" t="s">
        <v>224</v>
      </c>
      <c r="AB2002" t="s">
        <v>8</v>
      </c>
      <c r="AC2002" s="21">
        <v>271121.94</v>
      </c>
      <c r="AD2002" s="21" t="s">
        <v>370</v>
      </c>
      <c r="AE2002" t="str">
        <f>VLOOKUP(Table_Query_from_Actuarial___Production3[[#This Row],[Kor1]],$AI$3:$AK$105,3,FALSE)</f>
        <v>Claims Expense</v>
      </c>
      <c r="AF2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003" spans="18:32" x14ac:dyDescent="0.2">
      <c r="R2003" t="s">
        <v>14</v>
      </c>
      <c r="S2003" t="s">
        <v>263</v>
      </c>
      <c r="T2003" t="s">
        <v>8</v>
      </c>
      <c r="U2003" s="21">
        <v>24903.599999999999</v>
      </c>
      <c r="V2003" s="21" t="s">
        <v>368</v>
      </c>
      <c r="W2003" t="str">
        <f>VLOOKUP(Table_Query_from_Actuarial___Production[[#This Row],[Kor1]],$AI$3:$AK$105,3,FALSE)</f>
        <v>Claims Expense</v>
      </c>
      <c r="X2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3"/>
      <c r="Z2003" t="s">
        <v>48</v>
      </c>
      <c r="AA2003" t="s">
        <v>262</v>
      </c>
      <c r="AB2003" t="s">
        <v>433</v>
      </c>
      <c r="AC2003" s="21">
        <v>182.94</v>
      </c>
      <c r="AD2003" s="21" t="s">
        <v>368</v>
      </c>
      <c r="AE2003" t="str">
        <f>VLOOKUP(Table_Query_from_Actuarial___Production3[[#This Row],[Kor1]],$AI$3:$AK$105,3,FALSE)</f>
        <v>Anticipated Salvage</v>
      </c>
      <c r="AF2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4" spans="18:32" x14ac:dyDescent="0.2">
      <c r="R2004" t="s">
        <v>10</v>
      </c>
      <c r="S2004" t="s">
        <v>4</v>
      </c>
      <c r="T2004" t="s">
        <v>443</v>
      </c>
      <c r="U2004" s="21">
        <v>3671760.85</v>
      </c>
      <c r="V2004" s="21" t="s">
        <v>368</v>
      </c>
      <c r="W2004" t="str">
        <f>VLOOKUP(Table_Query_from_Actuarial___Production[[#This Row],[Kor1]],$AI$3:$AK$105,3,FALSE)</f>
        <v>Commissions</v>
      </c>
      <c r="X2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4"/>
      <c r="Z2004" t="s">
        <v>40</v>
      </c>
      <c r="AA2004" t="s">
        <v>236</v>
      </c>
      <c r="AB2004" t="s">
        <v>5</v>
      </c>
      <c r="AC2004" s="21">
        <v>106</v>
      </c>
      <c r="AD2004" s="21" t="s">
        <v>368</v>
      </c>
      <c r="AE2004" t="str">
        <f>VLOOKUP(Table_Query_from_Actuarial___Production3[[#This Row],[Kor1]],$AI$3:$AK$105,3,FALSE)</f>
        <v>Misc. Income</v>
      </c>
      <c r="AF2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5" spans="18:32" x14ac:dyDescent="0.2">
      <c r="R2005" t="s">
        <v>43</v>
      </c>
      <c r="S2005" t="s">
        <v>256</v>
      </c>
      <c r="T2005" t="s">
        <v>356</v>
      </c>
      <c r="U2005" s="21">
        <v>-0.42</v>
      </c>
      <c r="V2005" s="21" t="s">
        <v>368</v>
      </c>
      <c r="W2005" t="str">
        <f>VLOOKUP(Table_Query_from_Actuarial___Production[[#This Row],[Kor1]],$AI$3:$AK$105,3,FALSE)</f>
        <v>Charge-offs</v>
      </c>
      <c r="X2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5"/>
      <c r="Z2005" t="s">
        <v>44</v>
      </c>
      <c r="AA2005" t="s">
        <v>238</v>
      </c>
      <c r="AB2005" t="s">
        <v>9</v>
      </c>
      <c r="AC2005" s="21">
        <v>8036.2</v>
      </c>
      <c r="AD2005" s="21" t="s">
        <v>368</v>
      </c>
      <c r="AE2005" t="str">
        <f>VLOOKUP(Table_Query_from_Actuarial___Production3[[#This Row],[Kor1]],$AI$3:$AK$105,3,FALSE)</f>
        <v>Charge-offs</v>
      </c>
      <c r="AF2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6" spans="18:32" x14ac:dyDescent="0.2">
      <c r="R2006" t="s">
        <v>10</v>
      </c>
      <c r="S2006" t="s">
        <v>265</v>
      </c>
      <c r="T2006" t="s">
        <v>427</v>
      </c>
      <c r="U2006" s="21">
        <v>64695.08</v>
      </c>
      <c r="V2006" s="21" t="s">
        <v>368</v>
      </c>
      <c r="W2006" t="str">
        <f>VLOOKUP(Table_Query_from_Actuarial___Production[[#This Row],[Kor1]],$AI$3:$AK$105,3,FALSE)</f>
        <v>Commissions</v>
      </c>
      <c r="X2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6"/>
      <c r="Z2006" t="s">
        <v>47</v>
      </c>
      <c r="AA2006" t="s">
        <v>264</v>
      </c>
      <c r="AB2006" t="s">
        <v>351</v>
      </c>
      <c r="AC2006" s="21">
        <v>2555.85</v>
      </c>
      <c r="AD2006" s="21" t="s">
        <v>368</v>
      </c>
      <c r="AE2006" t="str">
        <f>VLOOKUP(Table_Query_from_Actuarial___Production3[[#This Row],[Kor1]],$AI$3:$AK$105,3,FALSE)</f>
        <v>Investment Income</v>
      </c>
      <c r="AF2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7" spans="18:32" x14ac:dyDescent="0.2">
      <c r="R2007" t="s">
        <v>40</v>
      </c>
      <c r="S2007" t="s">
        <v>236</v>
      </c>
      <c r="T2007" t="s">
        <v>8</v>
      </c>
      <c r="U2007" s="21">
        <v>28</v>
      </c>
      <c r="V2007" s="21" t="s">
        <v>368</v>
      </c>
      <c r="W2007" t="str">
        <f>VLOOKUP(Table_Query_from_Actuarial___Production[[#This Row],[Kor1]],$AI$3:$AK$105,3,FALSE)</f>
        <v>Misc. Income</v>
      </c>
      <c r="X2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7"/>
      <c r="Z2007" t="s">
        <v>439</v>
      </c>
      <c r="AA2007" t="s">
        <v>259</v>
      </c>
      <c r="AB2007" t="s">
        <v>443</v>
      </c>
      <c r="AC2007" s="21">
        <v>-2633.13</v>
      </c>
      <c r="AD2007" s="21" t="s">
        <v>368</v>
      </c>
      <c r="AE2007" t="str">
        <f>VLOOKUP(Table_Query_from_Actuarial___Production3[[#This Row],[Kor1]],$AI$3:$AK$105,3,FALSE)</f>
        <v>Operating Service Fees</v>
      </c>
      <c r="AF2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8" spans="18:32" x14ac:dyDescent="0.2">
      <c r="R2008" t="s">
        <v>3</v>
      </c>
      <c r="S2008" t="s">
        <v>241</v>
      </c>
      <c r="T2008" t="s">
        <v>6</v>
      </c>
      <c r="U2008" s="21">
        <v>320477</v>
      </c>
      <c r="V2008" s="21" t="s">
        <v>368</v>
      </c>
      <c r="W2008" t="str">
        <f>VLOOKUP(Table_Query_from_Actuarial___Production[[#This Row],[Kor1]],$AI$3:$AK$105,3,FALSE)</f>
        <v>Premiums Written</v>
      </c>
      <c r="X2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8"/>
      <c r="Z2008" t="s">
        <v>43</v>
      </c>
      <c r="AA2008" t="s">
        <v>235</v>
      </c>
      <c r="AB2008" t="s">
        <v>5</v>
      </c>
      <c r="AC2008" s="21">
        <v>1443.82</v>
      </c>
      <c r="AD2008" s="21" t="s">
        <v>368</v>
      </c>
      <c r="AE2008" t="str">
        <f>VLOOKUP(Table_Query_from_Actuarial___Production3[[#This Row],[Kor1]],$AI$3:$AK$105,3,FALSE)</f>
        <v>Charge-offs</v>
      </c>
      <c r="AF2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09" spans="18:32" x14ac:dyDescent="0.2">
      <c r="R2009" t="s">
        <v>39</v>
      </c>
      <c r="S2009" t="s">
        <v>245</v>
      </c>
      <c r="T2009" t="s">
        <v>8</v>
      </c>
      <c r="U2009" s="21">
        <v>283</v>
      </c>
      <c r="V2009" s="21" t="s">
        <v>368</v>
      </c>
      <c r="W2009" t="str">
        <f>VLOOKUP(Table_Query_from_Actuarial___Production[[#This Row],[Kor1]],$AI$3:$AK$105,3,FALSE)</f>
        <v>Misc. Income for Insolvent Companies</v>
      </c>
      <c r="X2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09"/>
      <c r="Z2009" t="s">
        <v>40</v>
      </c>
      <c r="AA2009" t="s">
        <v>257</v>
      </c>
      <c r="AB2009" t="s">
        <v>7</v>
      </c>
      <c r="AC2009" s="21">
        <v>966.31</v>
      </c>
      <c r="AD2009" s="21" t="s">
        <v>368</v>
      </c>
      <c r="AE2009" t="str">
        <f>VLOOKUP(Table_Query_from_Actuarial___Production3[[#This Row],[Kor1]],$AI$3:$AK$105,3,FALSE)</f>
        <v>Misc. Income</v>
      </c>
      <c r="AF2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0" spans="18:32" x14ac:dyDescent="0.2">
      <c r="R2010" t="s">
        <v>47</v>
      </c>
      <c r="S2010" t="s">
        <v>229</v>
      </c>
      <c r="T2010" t="s">
        <v>442</v>
      </c>
      <c r="U2010" s="21">
        <v>2011.03</v>
      </c>
      <c r="V2010" s="21" t="s">
        <v>368</v>
      </c>
      <c r="W2010" t="str">
        <f>VLOOKUP(Table_Query_from_Actuarial___Production[[#This Row],[Kor1]],$AI$3:$AK$105,3,FALSE)</f>
        <v>Investment Income</v>
      </c>
      <c r="X2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0"/>
      <c r="Z2010" t="s">
        <v>40</v>
      </c>
      <c r="AA2010" t="s">
        <v>267</v>
      </c>
      <c r="AB2010" t="s">
        <v>356</v>
      </c>
      <c r="AC2010" s="21">
        <v>13</v>
      </c>
      <c r="AD2010" s="21" t="s">
        <v>368</v>
      </c>
      <c r="AE2010" t="str">
        <f>VLOOKUP(Table_Query_from_Actuarial___Production3[[#This Row],[Kor1]],$AI$3:$AK$105,3,FALSE)</f>
        <v>Misc. Income</v>
      </c>
      <c r="AF2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1" spans="18:32" x14ac:dyDescent="0.2">
      <c r="R2011" t="s">
        <v>11</v>
      </c>
      <c r="S2011" t="s">
        <v>224</v>
      </c>
      <c r="T2011" t="s">
        <v>442</v>
      </c>
      <c r="U2011" s="21">
        <v>1074675.93</v>
      </c>
      <c r="V2011" s="21" t="s">
        <v>368</v>
      </c>
      <c r="W2011" t="str">
        <f>VLOOKUP(Table_Query_from_Actuarial___Production[[#This Row],[Kor1]],$AI$3:$AK$105,3,FALSE)</f>
        <v>Losses Paid</v>
      </c>
      <c r="X2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011"/>
      <c r="Z2011" t="s">
        <v>40</v>
      </c>
      <c r="AA2011" t="s">
        <v>241</v>
      </c>
      <c r="AB2011" t="s">
        <v>8</v>
      </c>
      <c r="AC2011" s="21">
        <v>2.0099999999999998</v>
      </c>
      <c r="AD2011" s="21" t="s">
        <v>368</v>
      </c>
      <c r="AE2011" t="str">
        <f>VLOOKUP(Table_Query_from_Actuarial___Production3[[#This Row],[Kor1]],$AI$3:$AK$105,3,FALSE)</f>
        <v>Misc. Income</v>
      </c>
      <c r="AF2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2" spans="18:32" x14ac:dyDescent="0.2">
      <c r="R2012" t="s">
        <v>13</v>
      </c>
      <c r="S2012" t="s">
        <v>224</v>
      </c>
      <c r="T2012" t="s">
        <v>9</v>
      </c>
      <c r="U2012" s="21">
        <v>325293.71000000002</v>
      </c>
      <c r="V2012" s="21" t="s">
        <v>368</v>
      </c>
      <c r="W2012" t="str">
        <f>VLOOKUP(Table_Query_from_Actuarial___Production[[#This Row],[Kor1]],$AI$3:$AK$105,3,FALSE)</f>
        <v>Operating Service Fees</v>
      </c>
      <c r="X2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012"/>
      <c r="Z2012" t="s">
        <v>31</v>
      </c>
      <c r="AA2012" t="s">
        <v>4</v>
      </c>
      <c r="AB2012" t="s">
        <v>8</v>
      </c>
      <c r="AC2012" s="21">
        <v>453.26</v>
      </c>
      <c r="AD2012" s="21" t="s">
        <v>368</v>
      </c>
      <c r="AE2012" t="str">
        <f>VLOOKUP(Table_Query_from_Actuarial___Production3[[#This Row],[Kor1]],$AI$3:$AK$105,3,FALSE)</f>
        <v>Misc. Expense</v>
      </c>
      <c r="AF2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3" spans="18:32" x14ac:dyDescent="0.2">
      <c r="R2013" t="s">
        <v>31</v>
      </c>
      <c r="S2013" t="s">
        <v>244</v>
      </c>
      <c r="T2013" t="s">
        <v>8</v>
      </c>
      <c r="U2013" s="21">
        <v>536.20000000000005</v>
      </c>
      <c r="V2013" s="21" t="s">
        <v>368</v>
      </c>
      <c r="W2013" t="str">
        <f>VLOOKUP(Table_Query_from_Actuarial___Production[[#This Row],[Kor1]],$AI$3:$AK$105,3,FALSE)</f>
        <v>Misc. Expense</v>
      </c>
      <c r="X2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3"/>
      <c r="Z2013" t="s">
        <v>47</v>
      </c>
      <c r="AA2013" t="s">
        <v>238</v>
      </c>
      <c r="AB2013" t="s">
        <v>356</v>
      </c>
      <c r="AC2013" s="21">
        <v>3952.15</v>
      </c>
      <c r="AD2013" s="21" t="s">
        <v>368</v>
      </c>
      <c r="AE2013" t="str">
        <f>VLOOKUP(Table_Query_from_Actuarial___Production3[[#This Row],[Kor1]],$AI$3:$AK$105,3,FALSE)</f>
        <v>Investment Income</v>
      </c>
      <c r="AF2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4" spans="18:32" x14ac:dyDescent="0.2">
      <c r="R2014" t="s">
        <v>47</v>
      </c>
      <c r="S2014" t="s">
        <v>260</v>
      </c>
      <c r="T2014" t="s">
        <v>9</v>
      </c>
      <c r="U2014" s="21">
        <v>38.21</v>
      </c>
      <c r="V2014" s="21" t="s">
        <v>368</v>
      </c>
      <c r="W2014" t="str">
        <f>VLOOKUP(Table_Query_from_Actuarial___Production[[#This Row],[Kor1]],$AI$3:$AK$105,3,FALSE)</f>
        <v>Investment Income</v>
      </c>
      <c r="X2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4"/>
      <c r="Z2014" t="s">
        <v>47</v>
      </c>
      <c r="AA2014" t="s">
        <v>259</v>
      </c>
      <c r="AB2014" t="s">
        <v>356</v>
      </c>
      <c r="AC2014" s="21">
        <v>3152.28</v>
      </c>
      <c r="AD2014" s="21" t="s">
        <v>368</v>
      </c>
      <c r="AE2014" t="str">
        <f>VLOOKUP(Table_Query_from_Actuarial___Production3[[#This Row],[Kor1]],$AI$3:$AK$105,3,FALSE)</f>
        <v>Investment Income</v>
      </c>
      <c r="AF2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5" spans="18:32" x14ac:dyDescent="0.2">
      <c r="R2015" t="s">
        <v>49</v>
      </c>
      <c r="S2015" t="s">
        <v>240</v>
      </c>
      <c r="T2015" t="s">
        <v>442</v>
      </c>
      <c r="U2015" s="21">
        <v>5410.51</v>
      </c>
      <c r="V2015" s="21" t="s">
        <v>368</v>
      </c>
      <c r="W2015" t="str">
        <f>VLOOKUP(Table_Query_from_Actuarial___Production[[#This Row],[Kor1]],$AI$3:$AK$105,3,FALSE)</f>
        <v>ALAE Paid</v>
      </c>
      <c r="X2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5"/>
      <c r="Z2015" t="s">
        <v>18</v>
      </c>
      <c r="AA2015" t="s">
        <v>224</v>
      </c>
      <c r="AB2015" t="s">
        <v>7</v>
      </c>
      <c r="AC2015" s="21">
        <v>199160.11</v>
      </c>
      <c r="AD2015" s="21" t="s">
        <v>370</v>
      </c>
      <c r="AE2015" t="str">
        <f>VLOOKUP(Table_Query_from_Actuarial___Production3[[#This Row],[Kor1]],$AI$3:$AK$105,3,FALSE)</f>
        <v>Misc. Expense</v>
      </c>
      <c r="AF2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016" spans="18:32" x14ac:dyDescent="0.2">
      <c r="R2016" t="s">
        <v>10</v>
      </c>
      <c r="S2016" t="s">
        <v>248</v>
      </c>
      <c r="T2016" t="s">
        <v>441</v>
      </c>
      <c r="U2016" s="21">
        <v>36798.1</v>
      </c>
      <c r="V2016" s="21" t="s">
        <v>368</v>
      </c>
      <c r="W2016" t="str">
        <f>VLOOKUP(Table_Query_from_Actuarial___Production[[#This Row],[Kor1]],$AI$3:$AK$105,3,FALSE)</f>
        <v>Commissions</v>
      </c>
      <c r="X2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6"/>
      <c r="Z2016" t="s">
        <v>17</v>
      </c>
      <c r="AA2016" t="s">
        <v>243</v>
      </c>
      <c r="AB2016" t="s">
        <v>433</v>
      </c>
      <c r="AC2016" s="21">
        <v>32972.89</v>
      </c>
      <c r="AD2016" s="21" t="s">
        <v>368</v>
      </c>
      <c r="AE2016" t="str">
        <f>VLOOKUP(Table_Query_from_Actuarial___Production3[[#This Row],[Kor1]],$AI$3:$AK$105,3,FALSE)</f>
        <v>IBNR</v>
      </c>
      <c r="AF2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7" spans="18:32" x14ac:dyDescent="0.2">
      <c r="R2017" t="s">
        <v>3</v>
      </c>
      <c r="S2017" t="s">
        <v>264</v>
      </c>
      <c r="T2017" t="s">
        <v>356</v>
      </c>
      <c r="U2017" s="21">
        <v>1234669</v>
      </c>
      <c r="V2017" s="21" t="s">
        <v>368</v>
      </c>
      <c r="W2017" t="str">
        <f>VLOOKUP(Table_Query_from_Actuarial___Production[[#This Row],[Kor1]],$AI$3:$AK$105,3,FALSE)</f>
        <v>Premiums Written</v>
      </c>
      <c r="X2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7"/>
      <c r="Z2017" t="s">
        <v>3</v>
      </c>
      <c r="AA2017" t="s">
        <v>265</v>
      </c>
      <c r="AB2017" t="s">
        <v>427</v>
      </c>
      <c r="AC2017" s="21">
        <v>1131561</v>
      </c>
      <c r="AD2017" s="21" t="s">
        <v>368</v>
      </c>
      <c r="AE2017" t="str">
        <f>VLOOKUP(Table_Query_from_Actuarial___Production3[[#This Row],[Kor1]],$AI$3:$AK$105,3,FALSE)</f>
        <v>Premiums Written</v>
      </c>
      <c r="AF2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8" spans="18:32" x14ac:dyDescent="0.2">
      <c r="R2018" t="s">
        <v>14</v>
      </c>
      <c r="S2018" t="s">
        <v>240</v>
      </c>
      <c r="T2018" t="s">
        <v>9</v>
      </c>
      <c r="U2018" s="21">
        <v>165571.44</v>
      </c>
      <c r="V2018" s="21" t="s">
        <v>368</v>
      </c>
      <c r="W2018" t="str">
        <f>VLOOKUP(Table_Query_from_Actuarial___Production[[#This Row],[Kor1]],$AI$3:$AK$105,3,FALSE)</f>
        <v>Claims Expense</v>
      </c>
      <c r="X2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8"/>
      <c r="Z2018" t="s">
        <v>33</v>
      </c>
      <c r="AA2018" t="s">
        <v>227</v>
      </c>
      <c r="AB2018" t="s">
        <v>5</v>
      </c>
      <c r="AC2018" s="21">
        <v>14842.08</v>
      </c>
      <c r="AD2018" s="21" t="s">
        <v>368</v>
      </c>
      <c r="AE2018" t="str">
        <f>VLOOKUP(Table_Query_from_Actuarial___Production3[[#This Row],[Kor1]],$AI$3:$AK$105,3,FALSE)</f>
        <v>Misc. Expense</v>
      </c>
      <c r="AF2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19" spans="18:32" x14ac:dyDescent="0.2">
      <c r="R2019" t="s">
        <v>14</v>
      </c>
      <c r="S2019" t="s">
        <v>245</v>
      </c>
      <c r="T2019" t="s">
        <v>427</v>
      </c>
      <c r="U2019" s="21">
        <v>177.19</v>
      </c>
      <c r="V2019" s="21" t="s">
        <v>368</v>
      </c>
      <c r="W2019" t="str">
        <f>VLOOKUP(Table_Query_from_Actuarial___Production[[#This Row],[Kor1]],$AI$3:$AK$105,3,FALSE)</f>
        <v>Claims Expense</v>
      </c>
      <c r="X2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19"/>
      <c r="Z2019" t="s">
        <v>43</v>
      </c>
      <c r="AA2019" t="s">
        <v>246</v>
      </c>
      <c r="AB2019" t="s">
        <v>356</v>
      </c>
      <c r="AC2019" s="21">
        <v>-6.22</v>
      </c>
      <c r="AD2019" s="21" t="s">
        <v>368</v>
      </c>
      <c r="AE2019" t="str">
        <f>VLOOKUP(Table_Query_from_Actuarial___Production3[[#This Row],[Kor1]],$AI$3:$AK$105,3,FALSE)</f>
        <v>Charge-offs</v>
      </c>
      <c r="AF2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0" spans="18:32" x14ac:dyDescent="0.2">
      <c r="R2020" t="s">
        <v>39</v>
      </c>
      <c r="S2020" t="s">
        <v>238</v>
      </c>
      <c r="T2020" t="s">
        <v>8</v>
      </c>
      <c r="U2020" s="21">
        <v>328</v>
      </c>
      <c r="V2020" s="21" t="s">
        <v>368</v>
      </c>
      <c r="W2020" t="str">
        <f>VLOOKUP(Table_Query_from_Actuarial___Production[[#This Row],[Kor1]],$AI$3:$AK$105,3,FALSE)</f>
        <v>Misc. Income for Insolvent Companies</v>
      </c>
      <c r="X2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0"/>
      <c r="Z2020" t="s">
        <v>10</v>
      </c>
      <c r="AA2020" t="s">
        <v>265</v>
      </c>
      <c r="AB2020" t="s">
        <v>443</v>
      </c>
      <c r="AC2020" s="21">
        <v>6184.9</v>
      </c>
      <c r="AD2020" s="21" t="s">
        <v>368</v>
      </c>
      <c r="AE2020" t="str">
        <f>VLOOKUP(Table_Query_from_Actuarial___Production3[[#This Row],[Kor1]],$AI$3:$AK$105,3,FALSE)</f>
        <v>Commissions</v>
      </c>
      <c r="AF2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1" spans="18:32" x14ac:dyDescent="0.2">
      <c r="R2021" t="s">
        <v>41</v>
      </c>
      <c r="S2021" t="s">
        <v>267</v>
      </c>
      <c r="T2021" t="s">
        <v>356</v>
      </c>
      <c r="U2021" s="21">
        <v>491.09</v>
      </c>
      <c r="V2021" s="21" t="s">
        <v>368</v>
      </c>
      <c r="W2021" t="str">
        <f>VLOOKUP(Table_Query_from_Actuarial___Production[[#This Row],[Kor1]],$AI$3:$AK$105,3,FALSE)</f>
        <v>Misc. Income</v>
      </c>
      <c r="X2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1"/>
      <c r="Z2021" t="s">
        <v>13</v>
      </c>
      <c r="AA2021" t="s">
        <v>263</v>
      </c>
      <c r="AB2021" t="s">
        <v>356</v>
      </c>
      <c r="AC2021" s="21">
        <v>86747.31</v>
      </c>
      <c r="AD2021" s="21" t="s">
        <v>368</v>
      </c>
      <c r="AE2021" t="str">
        <f>VLOOKUP(Table_Query_from_Actuarial___Production3[[#This Row],[Kor1]],$AI$3:$AK$105,3,FALSE)</f>
        <v>Operating Service Fees</v>
      </c>
      <c r="AF2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2" spans="18:32" x14ac:dyDescent="0.2">
      <c r="R2022" t="s">
        <v>31</v>
      </c>
      <c r="S2022" t="s">
        <v>254</v>
      </c>
      <c r="T2022" t="s">
        <v>445</v>
      </c>
      <c r="U2022" s="21">
        <v>866.34</v>
      </c>
      <c r="V2022" s="21" t="s">
        <v>368</v>
      </c>
      <c r="W2022" t="str">
        <f>VLOOKUP(Table_Query_from_Actuarial___Production[[#This Row],[Kor1]],$AI$3:$AK$105,3,FALSE)</f>
        <v>Misc. Expense</v>
      </c>
      <c r="X2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2"/>
      <c r="Z2022" t="s">
        <v>14</v>
      </c>
      <c r="AA2022" t="s">
        <v>239</v>
      </c>
      <c r="AB2022" t="s">
        <v>356</v>
      </c>
      <c r="AC2022" s="21">
        <v>72337.41</v>
      </c>
      <c r="AD2022" s="21" t="s">
        <v>368</v>
      </c>
      <c r="AE2022" t="str">
        <f>VLOOKUP(Table_Query_from_Actuarial___Production3[[#This Row],[Kor1]],$AI$3:$AK$105,3,FALSE)</f>
        <v>Claims Expense</v>
      </c>
      <c r="AF2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3" spans="18:32" x14ac:dyDescent="0.2">
      <c r="R2023" t="s">
        <v>3</v>
      </c>
      <c r="S2023" t="s">
        <v>267</v>
      </c>
      <c r="T2023" t="s">
        <v>351</v>
      </c>
      <c r="U2023" s="21">
        <v>240832</v>
      </c>
      <c r="V2023" s="21" t="s">
        <v>368</v>
      </c>
      <c r="W2023" t="str">
        <f>VLOOKUP(Table_Query_from_Actuarial___Production[[#This Row],[Kor1]],$AI$3:$AK$105,3,FALSE)</f>
        <v>Premiums Written</v>
      </c>
      <c r="X2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3"/>
      <c r="Z2023" t="s">
        <v>31</v>
      </c>
      <c r="AA2023" t="s">
        <v>259</v>
      </c>
      <c r="AB2023" t="s">
        <v>433</v>
      </c>
      <c r="AC2023" s="21">
        <v>1087.04</v>
      </c>
      <c r="AD2023" s="21" t="s">
        <v>368</v>
      </c>
      <c r="AE2023" t="str">
        <f>VLOOKUP(Table_Query_from_Actuarial___Production3[[#This Row],[Kor1]],$AI$3:$AK$105,3,FALSE)</f>
        <v>Misc. Expense</v>
      </c>
      <c r="AF2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4" spans="18:32" x14ac:dyDescent="0.2">
      <c r="R2024" t="s">
        <v>12</v>
      </c>
      <c r="S2024" t="s">
        <v>251</v>
      </c>
      <c r="T2024" t="s">
        <v>8</v>
      </c>
      <c r="U2024" s="21">
        <v>1169.19</v>
      </c>
      <c r="V2024" s="21" t="s">
        <v>368</v>
      </c>
      <c r="W2024" t="str">
        <f>VLOOKUP(Table_Query_from_Actuarial___Production[[#This Row],[Kor1]],$AI$3:$AK$105,3,FALSE)</f>
        <v>Premium Tax</v>
      </c>
      <c r="X2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4"/>
      <c r="Z2024" t="s">
        <v>39</v>
      </c>
      <c r="AA2024" t="s">
        <v>249</v>
      </c>
      <c r="AB2024" t="s">
        <v>433</v>
      </c>
      <c r="AC2024" s="21">
        <v>7447</v>
      </c>
      <c r="AD2024" s="21" t="s">
        <v>368</v>
      </c>
      <c r="AE2024" t="str">
        <f>VLOOKUP(Table_Query_from_Actuarial___Production3[[#This Row],[Kor1]],$AI$3:$AK$105,3,FALSE)</f>
        <v>Misc. Income for Insolvent Companies</v>
      </c>
      <c r="AF2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5" spans="18:32" x14ac:dyDescent="0.2">
      <c r="R2025" t="s">
        <v>46</v>
      </c>
      <c r="S2025" t="s">
        <v>225</v>
      </c>
      <c r="T2025" t="s">
        <v>6</v>
      </c>
      <c r="U2025" s="21">
        <v>22972.83</v>
      </c>
      <c r="V2025" s="21" t="s">
        <v>369</v>
      </c>
      <c r="W2025" t="str">
        <f>VLOOKUP(Table_Query_from_Actuarial___Production[[#This Row],[Kor1]],$AI$3:$AK$105,3,FALSE)</f>
        <v>Investment Income</v>
      </c>
      <c r="X2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025"/>
      <c r="Z2025" t="s">
        <v>11</v>
      </c>
      <c r="AA2025" t="s">
        <v>224</v>
      </c>
      <c r="AB2025" t="s">
        <v>6</v>
      </c>
      <c r="AC2025" s="21">
        <v>758588.46</v>
      </c>
      <c r="AD2025" s="21" t="s">
        <v>370</v>
      </c>
      <c r="AE2025" t="str">
        <f>VLOOKUP(Table_Query_from_Actuarial___Production3[[#This Row],[Kor1]],$AI$3:$AK$105,3,FALSE)</f>
        <v>Losses Paid</v>
      </c>
      <c r="AF2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026" spans="18:32" x14ac:dyDescent="0.2">
      <c r="R2026" t="s">
        <v>20</v>
      </c>
      <c r="S2026" t="s">
        <v>257</v>
      </c>
      <c r="T2026" t="s">
        <v>6</v>
      </c>
      <c r="U2026" s="21">
        <v>161.31</v>
      </c>
      <c r="V2026" s="21" t="s">
        <v>368</v>
      </c>
      <c r="W2026" t="str">
        <f>VLOOKUP(Table_Query_from_Actuarial___Production[[#This Row],[Kor1]],$AI$3:$AK$105,3,FALSE)</f>
        <v>Misc. Expense</v>
      </c>
      <c r="X2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6"/>
      <c r="Z2026" t="s">
        <v>19</v>
      </c>
      <c r="AA2026" t="s">
        <v>249</v>
      </c>
      <c r="AB2026" t="s">
        <v>5</v>
      </c>
      <c r="AC2026" s="21">
        <v>373</v>
      </c>
      <c r="AD2026" s="21" t="s">
        <v>368</v>
      </c>
      <c r="AE2026" t="str">
        <f>VLOOKUP(Table_Query_from_Actuarial___Production3[[#This Row],[Kor1]],$AI$3:$AK$105,3,FALSE)</f>
        <v>Misc. Expense for Insolvent Companies</v>
      </c>
      <c r="AF2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7" spans="18:32" x14ac:dyDescent="0.2">
      <c r="R2027" t="s">
        <v>21</v>
      </c>
      <c r="S2027" t="s">
        <v>246</v>
      </c>
      <c r="T2027" t="s">
        <v>356</v>
      </c>
      <c r="U2027" s="21">
        <v>974.59</v>
      </c>
      <c r="V2027" s="21" t="s">
        <v>368</v>
      </c>
      <c r="W2027" t="str">
        <f>VLOOKUP(Table_Query_from_Actuarial___Production[[#This Row],[Kor1]],$AI$3:$AK$105,3,FALSE)</f>
        <v>Misc. Expense</v>
      </c>
      <c r="X2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7"/>
      <c r="Z2027" t="s">
        <v>12</v>
      </c>
      <c r="AA2027" t="s">
        <v>227</v>
      </c>
      <c r="AB2027" t="s">
        <v>8</v>
      </c>
      <c r="AC2027" s="21">
        <v>813.25</v>
      </c>
      <c r="AD2027" s="21" t="s">
        <v>368</v>
      </c>
      <c r="AE2027" t="str">
        <f>VLOOKUP(Table_Query_from_Actuarial___Production3[[#This Row],[Kor1]],$AI$3:$AK$105,3,FALSE)</f>
        <v>Premium Tax</v>
      </c>
      <c r="AF2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8" spans="18:32" x14ac:dyDescent="0.2">
      <c r="R2028" t="s">
        <v>14</v>
      </c>
      <c r="S2028" t="s">
        <v>265</v>
      </c>
      <c r="T2028" t="s">
        <v>443</v>
      </c>
      <c r="U2028" s="21">
        <v>24235.29</v>
      </c>
      <c r="V2028" s="21" t="s">
        <v>368</v>
      </c>
      <c r="W2028" t="str">
        <f>VLOOKUP(Table_Query_from_Actuarial___Production[[#This Row],[Kor1]],$AI$3:$AK$105,3,FALSE)</f>
        <v>Claims Expense</v>
      </c>
      <c r="X2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8"/>
      <c r="Z2028" t="s">
        <v>32</v>
      </c>
      <c r="AA2028" t="s">
        <v>237</v>
      </c>
      <c r="AB2028" t="s">
        <v>356</v>
      </c>
      <c r="AC2028" s="21">
        <v>35604.089999999997</v>
      </c>
      <c r="AD2028" s="21" t="s">
        <v>368</v>
      </c>
      <c r="AE2028" t="str">
        <f>VLOOKUP(Table_Query_from_Actuarial___Production3[[#This Row],[Kor1]],$AI$3:$AK$105,3,FALSE)</f>
        <v>Misc. Expense</v>
      </c>
      <c r="AF2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29" spans="18:32" x14ac:dyDescent="0.2">
      <c r="R2029" t="s">
        <v>30</v>
      </c>
      <c r="S2029" t="s">
        <v>4</v>
      </c>
      <c r="T2029" t="s">
        <v>8</v>
      </c>
      <c r="U2029" s="21">
        <v>68.349999999999994</v>
      </c>
      <c r="V2029" s="21" t="s">
        <v>368</v>
      </c>
      <c r="W2029" t="str">
        <f>VLOOKUP(Table_Query_from_Actuarial___Production[[#This Row],[Kor1]],$AI$3:$AK$105,3,FALSE)</f>
        <v>Misc. Expense</v>
      </c>
      <c r="X2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29"/>
      <c r="Z2029" t="s">
        <v>13</v>
      </c>
      <c r="AA2029" t="s">
        <v>257</v>
      </c>
      <c r="AB2029" t="s">
        <v>5</v>
      </c>
      <c r="AC2029" s="21">
        <v>222747.68</v>
      </c>
      <c r="AD2029" s="21" t="s">
        <v>368</v>
      </c>
      <c r="AE2029" t="str">
        <f>VLOOKUP(Table_Query_from_Actuarial___Production3[[#This Row],[Kor1]],$AI$3:$AK$105,3,FALSE)</f>
        <v>Operating Service Fees</v>
      </c>
      <c r="AF2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0" spans="18:32" x14ac:dyDescent="0.2">
      <c r="R2030" t="s">
        <v>39</v>
      </c>
      <c r="S2030" t="s">
        <v>232</v>
      </c>
      <c r="T2030" t="s">
        <v>351</v>
      </c>
      <c r="U2030" s="21">
        <v>415.99</v>
      </c>
      <c r="V2030" s="21" t="s">
        <v>368</v>
      </c>
      <c r="W2030" t="str">
        <f>VLOOKUP(Table_Query_from_Actuarial___Production[[#This Row],[Kor1]],$AI$3:$AK$105,3,FALSE)</f>
        <v>Misc. Income for Insolvent Companies</v>
      </c>
      <c r="X2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0"/>
      <c r="Z2030" t="s">
        <v>48</v>
      </c>
      <c r="AA2030" t="s">
        <v>247</v>
      </c>
      <c r="AB2030" t="s">
        <v>433</v>
      </c>
      <c r="AC2030" s="21">
        <v>0.98</v>
      </c>
      <c r="AD2030" s="21" t="s">
        <v>368</v>
      </c>
      <c r="AE2030" t="str">
        <f>VLOOKUP(Table_Query_from_Actuarial___Production3[[#This Row],[Kor1]],$AI$3:$AK$105,3,FALSE)</f>
        <v>Anticipated Salvage</v>
      </c>
      <c r="AF2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1" spans="18:32" x14ac:dyDescent="0.2">
      <c r="R2031" t="s">
        <v>47</v>
      </c>
      <c r="S2031" t="s">
        <v>253</v>
      </c>
      <c r="T2031" t="s">
        <v>427</v>
      </c>
      <c r="U2031" s="21">
        <v>319.54000000000002</v>
      </c>
      <c r="V2031" s="21" t="s">
        <v>368</v>
      </c>
      <c r="W2031" t="str">
        <f>VLOOKUP(Table_Query_from_Actuarial___Production[[#This Row],[Kor1]],$AI$3:$AK$105,3,FALSE)</f>
        <v>Investment Income</v>
      </c>
      <c r="X2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1"/>
      <c r="Z2031" t="s">
        <v>14</v>
      </c>
      <c r="AA2031" t="s">
        <v>237</v>
      </c>
      <c r="AB2031" t="s">
        <v>442</v>
      </c>
      <c r="AC2031" s="21">
        <v>4952921.9000000004</v>
      </c>
      <c r="AD2031" s="21" t="s">
        <v>368</v>
      </c>
      <c r="AE2031" t="str">
        <f>VLOOKUP(Table_Query_from_Actuarial___Production3[[#This Row],[Kor1]],$AI$3:$AK$105,3,FALSE)</f>
        <v>Claims Expense</v>
      </c>
      <c r="AF2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2" spans="18:32" x14ac:dyDescent="0.2">
      <c r="R2032" t="s">
        <v>3</v>
      </c>
      <c r="S2032" t="s">
        <v>237</v>
      </c>
      <c r="T2032" t="s">
        <v>6</v>
      </c>
      <c r="U2032" s="21">
        <v>2513026</v>
      </c>
      <c r="V2032" s="21" t="s">
        <v>368</v>
      </c>
      <c r="W2032" t="str">
        <f>VLOOKUP(Table_Query_from_Actuarial___Production[[#This Row],[Kor1]],$AI$3:$AK$105,3,FALSE)</f>
        <v>Premiums Written</v>
      </c>
      <c r="X2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2"/>
      <c r="Z2032" t="s">
        <v>48</v>
      </c>
      <c r="AA2032" t="s">
        <v>260</v>
      </c>
      <c r="AB2032" t="s">
        <v>427</v>
      </c>
      <c r="AC2032" s="21">
        <v>0.19</v>
      </c>
      <c r="AD2032" s="21" t="s">
        <v>368</v>
      </c>
      <c r="AE2032" t="str">
        <f>VLOOKUP(Table_Query_from_Actuarial___Production3[[#This Row],[Kor1]],$AI$3:$AK$105,3,FALSE)</f>
        <v>Anticipated Salvage</v>
      </c>
      <c r="AF2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3" spans="18:32" x14ac:dyDescent="0.2">
      <c r="R2033" t="s">
        <v>34</v>
      </c>
      <c r="S2033" t="s">
        <v>231</v>
      </c>
      <c r="T2033" t="s">
        <v>9</v>
      </c>
      <c r="U2033" s="21">
        <v>14.5</v>
      </c>
      <c r="V2033" s="21" t="s">
        <v>368</v>
      </c>
      <c r="W2033" t="str">
        <f>VLOOKUP(Table_Query_from_Actuarial___Production[[#This Row],[Kor1]],$AI$3:$AK$105,3,FALSE)</f>
        <v>Misc. Expense</v>
      </c>
      <c r="X2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3"/>
      <c r="Z2033" t="s">
        <v>38</v>
      </c>
      <c r="AA2033" t="s">
        <v>354</v>
      </c>
      <c r="AB2033" t="s">
        <v>9</v>
      </c>
      <c r="AC2033" s="21">
        <v>14370.16</v>
      </c>
      <c r="AD2033" s="21" t="s">
        <v>368</v>
      </c>
      <c r="AE2033" t="str">
        <f>VLOOKUP(Table_Query_from_Actuarial___Production3[[#This Row],[Kor1]],$AI$3:$AK$105,3,FALSE)</f>
        <v>Misc. Income</v>
      </c>
      <c r="AF2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034" spans="18:32" x14ac:dyDescent="0.2">
      <c r="R2034" t="s">
        <v>3</v>
      </c>
      <c r="S2034" t="s">
        <v>259</v>
      </c>
      <c r="T2034" t="s">
        <v>8</v>
      </c>
      <c r="U2034" s="21">
        <v>423724</v>
      </c>
      <c r="V2034" s="21" t="s">
        <v>368</v>
      </c>
      <c r="W2034" t="str">
        <f>VLOOKUP(Table_Query_from_Actuarial___Production[[#This Row],[Kor1]],$AI$3:$AK$105,3,FALSE)</f>
        <v>Premiums Written</v>
      </c>
      <c r="X2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4"/>
      <c r="Z2034" t="s">
        <v>3</v>
      </c>
      <c r="AA2034" t="s">
        <v>233</v>
      </c>
      <c r="AB2034" t="s">
        <v>6</v>
      </c>
      <c r="AC2034" s="21">
        <v>208485</v>
      </c>
      <c r="AD2034" s="21" t="s">
        <v>368</v>
      </c>
      <c r="AE2034" t="str">
        <f>VLOOKUP(Table_Query_from_Actuarial___Production3[[#This Row],[Kor1]],$AI$3:$AK$105,3,FALSE)</f>
        <v>Premiums Written</v>
      </c>
      <c r="AF2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5" spans="18:32" x14ac:dyDescent="0.2">
      <c r="R2035" t="s">
        <v>29</v>
      </c>
      <c r="S2035" t="s">
        <v>230</v>
      </c>
      <c r="T2035" t="s">
        <v>427</v>
      </c>
      <c r="U2035" s="21">
        <v>40606.92</v>
      </c>
      <c r="V2035" s="21" t="s">
        <v>368</v>
      </c>
      <c r="W2035" t="str">
        <f>VLOOKUP(Table_Query_from_Actuarial___Production[[#This Row],[Kor1]],$AI$3:$AK$105,3,FALSE)</f>
        <v>Misc. Expense</v>
      </c>
      <c r="X2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5"/>
      <c r="Z2035" t="s">
        <v>12</v>
      </c>
      <c r="AA2035" t="s">
        <v>233</v>
      </c>
      <c r="AB2035" t="s">
        <v>7</v>
      </c>
      <c r="AC2035" s="21">
        <v>8352.84</v>
      </c>
      <c r="AD2035" s="21" t="s">
        <v>368</v>
      </c>
      <c r="AE2035" t="str">
        <f>VLOOKUP(Table_Query_from_Actuarial___Production3[[#This Row],[Kor1]],$AI$3:$AK$105,3,FALSE)</f>
        <v>Premium Tax</v>
      </c>
      <c r="AF2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6" spans="18:32" x14ac:dyDescent="0.2">
      <c r="R2036" t="s">
        <v>41</v>
      </c>
      <c r="S2036" t="s">
        <v>230</v>
      </c>
      <c r="T2036" t="s">
        <v>9</v>
      </c>
      <c r="U2036" s="21">
        <v>1577.5</v>
      </c>
      <c r="V2036" s="21" t="s">
        <v>368</v>
      </c>
      <c r="W2036" t="str">
        <f>VLOOKUP(Table_Query_from_Actuarial___Production[[#This Row],[Kor1]],$AI$3:$AK$105,3,FALSE)</f>
        <v>Misc. Income</v>
      </c>
      <c r="X2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6"/>
      <c r="Z2036" t="s">
        <v>10</v>
      </c>
      <c r="AA2036" t="s">
        <v>248</v>
      </c>
      <c r="AB2036" t="s">
        <v>351</v>
      </c>
      <c r="AC2036" s="21">
        <v>5011.18</v>
      </c>
      <c r="AD2036" s="21" t="s">
        <v>368</v>
      </c>
      <c r="AE2036" t="str">
        <f>VLOOKUP(Table_Query_from_Actuarial___Production3[[#This Row],[Kor1]],$AI$3:$AK$105,3,FALSE)</f>
        <v>Commissions</v>
      </c>
      <c r="AF2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7" spans="18:32" x14ac:dyDescent="0.2">
      <c r="R2037" t="s">
        <v>33</v>
      </c>
      <c r="S2037" t="s">
        <v>233</v>
      </c>
      <c r="T2037" t="s">
        <v>445</v>
      </c>
      <c r="U2037" s="21">
        <v>8631.2900000000009</v>
      </c>
      <c r="V2037" s="21" t="s">
        <v>368</v>
      </c>
      <c r="W2037" t="str">
        <f>VLOOKUP(Table_Query_from_Actuarial___Production[[#This Row],[Kor1]],$AI$3:$AK$105,3,FALSE)</f>
        <v>Misc. Expense</v>
      </c>
      <c r="X2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7"/>
      <c r="Z2037" t="s">
        <v>48</v>
      </c>
      <c r="AA2037" t="s">
        <v>260</v>
      </c>
      <c r="AB2037" t="s">
        <v>443</v>
      </c>
      <c r="AC2037" s="21">
        <v>47.33</v>
      </c>
      <c r="AD2037" s="21" t="s">
        <v>368</v>
      </c>
      <c r="AE2037" t="str">
        <f>VLOOKUP(Table_Query_from_Actuarial___Production3[[#This Row],[Kor1]],$AI$3:$AK$105,3,FALSE)</f>
        <v>Anticipated Salvage</v>
      </c>
      <c r="AF2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8" spans="18:32" x14ac:dyDescent="0.2">
      <c r="R2038" t="s">
        <v>34</v>
      </c>
      <c r="S2038" t="s">
        <v>244</v>
      </c>
      <c r="T2038" t="s">
        <v>427</v>
      </c>
      <c r="U2038" s="21">
        <v>434.99</v>
      </c>
      <c r="V2038" s="21" t="s">
        <v>368</v>
      </c>
      <c r="W2038" t="str">
        <f>VLOOKUP(Table_Query_from_Actuarial___Production[[#This Row],[Kor1]],$AI$3:$AK$105,3,FALSE)</f>
        <v>Misc. Expense</v>
      </c>
      <c r="X2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8"/>
      <c r="Z2038" t="s">
        <v>3</v>
      </c>
      <c r="AA2038" t="s">
        <v>229</v>
      </c>
      <c r="AB2038" t="s">
        <v>442</v>
      </c>
      <c r="AC2038" s="21">
        <v>89192</v>
      </c>
      <c r="AD2038" s="21" t="s">
        <v>368</v>
      </c>
      <c r="AE2038" t="str">
        <f>VLOOKUP(Table_Query_from_Actuarial___Production3[[#This Row],[Kor1]],$AI$3:$AK$105,3,FALSE)</f>
        <v>Premiums Written</v>
      </c>
      <c r="AF2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39" spans="18:32" x14ac:dyDescent="0.2">
      <c r="R2039" t="s">
        <v>14</v>
      </c>
      <c r="S2039" t="s">
        <v>258</v>
      </c>
      <c r="T2039" t="s">
        <v>7</v>
      </c>
      <c r="U2039" s="21">
        <v>187717.18</v>
      </c>
      <c r="V2039" s="21" t="s">
        <v>368</v>
      </c>
      <c r="W2039" t="str">
        <f>VLOOKUP(Table_Query_from_Actuarial___Production[[#This Row],[Kor1]],$AI$3:$AK$105,3,FALSE)</f>
        <v>Claims Expense</v>
      </c>
      <c r="X2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39"/>
      <c r="Z2039" t="s">
        <v>10</v>
      </c>
      <c r="AA2039" t="s">
        <v>262</v>
      </c>
      <c r="AB2039" t="s">
        <v>442</v>
      </c>
      <c r="AC2039" s="21">
        <v>8916.7999999999993</v>
      </c>
      <c r="AD2039" s="21" t="s">
        <v>368</v>
      </c>
      <c r="AE2039" t="str">
        <f>VLOOKUP(Table_Query_from_Actuarial___Production3[[#This Row],[Kor1]],$AI$3:$AK$105,3,FALSE)</f>
        <v>Commissions</v>
      </c>
      <c r="AF2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0" spans="18:32" x14ac:dyDescent="0.2">
      <c r="R2040" t="s">
        <v>12</v>
      </c>
      <c r="S2040" t="s">
        <v>254</v>
      </c>
      <c r="T2040" t="s">
        <v>427</v>
      </c>
      <c r="U2040" s="21">
        <v>128989.02</v>
      </c>
      <c r="V2040" s="21" t="s">
        <v>368</v>
      </c>
      <c r="W2040" t="str">
        <f>VLOOKUP(Table_Query_from_Actuarial___Production[[#This Row],[Kor1]],$AI$3:$AK$105,3,FALSE)</f>
        <v>Premium Tax</v>
      </c>
      <c r="X2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0"/>
      <c r="Z2040" t="s">
        <v>31</v>
      </c>
      <c r="AA2040" t="s">
        <v>260</v>
      </c>
      <c r="AB2040" t="s">
        <v>442</v>
      </c>
      <c r="AC2040" s="21">
        <v>1016.1</v>
      </c>
      <c r="AD2040" s="21" t="s">
        <v>368</v>
      </c>
      <c r="AE2040" t="str">
        <f>VLOOKUP(Table_Query_from_Actuarial___Production3[[#This Row],[Kor1]],$AI$3:$AK$105,3,FALSE)</f>
        <v>Misc. Expense</v>
      </c>
      <c r="AF2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1" spans="18:32" x14ac:dyDescent="0.2">
      <c r="R2041" t="s">
        <v>19</v>
      </c>
      <c r="S2041" t="s">
        <v>261</v>
      </c>
      <c r="T2041" t="s">
        <v>427</v>
      </c>
      <c r="U2041" s="21">
        <v>570</v>
      </c>
      <c r="V2041" s="21" t="s">
        <v>368</v>
      </c>
      <c r="W2041" t="str">
        <f>VLOOKUP(Table_Query_from_Actuarial___Production[[#This Row],[Kor1]],$AI$3:$AK$105,3,FALSE)</f>
        <v>Misc. Expense for Insolvent Companies</v>
      </c>
      <c r="X2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1"/>
      <c r="Z2041" t="s">
        <v>19</v>
      </c>
      <c r="AA2041" t="s">
        <v>238</v>
      </c>
      <c r="AB2041" t="s">
        <v>427</v>
      </c>
      <c r="AC2041" s="21">
        <v>1296.01</v>
      </c>
      <c r="AD2041" s="21" t="s">
        <v>368</v>
      </c>
      <c r="AE2041" t="str">
        <f>VLOOKUP(Table_Query_from_Actuarial___Production3[[#This Row],[Kor1]],$AI$3:$AK$105,3,FALSE)</f>
        <v>Misc. Expense for Insolvent Companies</v>
      </c>
      <c r="AF2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2" spans="18:32" x14ac:dyDescent="0.2">
      <c r="R2042" t="s">
        <v>49</v>
      </c>
      <c r="S2042" t="s">
        <v>225</v>
      </c>
      <c r="T2042" t="s">
        <v>9</v>
      </c>
      <c r="U2042" s="21">
        <v>55736.76</v>
      </c>
      <c r="V2042" s="21" t="s">
        <v>369</v>
      </c>
      <c r="W2042" t="str">
        <f>VLOOKUP(Table_Query_from_Actuarial___Production[[#This Row],[Kor1]],$AI$3:$AK$105,3,FALSE)</f>
        <v>ALAE Paid</v>
      </c>
      <c r="X2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042"/>
      <c r="Z2042" t="s">
        <v>40</v>
      </c>
      <c r="AA2042" t="s">
        <v>242</v>
      </c>
      <c r="AB2042" t="s">
        <v>442</v>
      </c>
      <c r="AC2042" s="21">
        <v>1332.62</v>
      </c>
      <c r="AD2042" s="21" t="s">
        <v>368</v>
      </c>
      <c r="AE2042" t="str">
        <f>VLOOKUP(Table_Query_from_Actuarial___Production3[[#This Row],[Kor1]],$AI$3:$AK$105,3,FALSE)</f>
        <v>Misc. Income</v>
      </c>
      <c r="AF2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3" spans="18:32" x14ac:dyDescent="0.2">
      <c r="R2043" t="s">
        <v>41</v>
      </c>
      <c r="S2043" t="s">
        <v>235</v>
      </c>
      <c r="T2043" t="s">
        <v>8</v>
      </c>
      <c r="U2043" s="21">
        <v>549.98</v>
      </c>
      <c r="V2043" s="21" t="s">
        <v>368</v>
      </c>
      <c r="W2043" t="str">
        <f>VLOOKUP(Table_Query_from_Actuarial___Production[[#This Row],[Kor1]],$AI$3:$AK$105,3,FALSE)</f>
        <v>Misc. Income</v>
      </c>
      <c r="X2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3"/>
      <c r="Z2043" t="s">
        <v>21</v>
      </c>
      <c r="AA2043" t="s">
        <v>239</v>
      </c>
      <c r="AB2043" t="s">
        <v>9</v>
      </c>
      <c r="AC2043" s="21">
        <v>526.25</v>
      </c>
      <c r="AD2043" s="21" t="s">
        <v>368</v>
      </c>
      <c r="AE2043" t="str">
        <f>VLOOKUP(Table_Query_from_Actuarial___Production3[[#This Row],[Kor1]],$AI$3:$AK$105,3,FALSE)</f>
        <v>Misc. Expense</v>
      </c>
      <c r="AF2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4" spans="18:32" x14ac:dyDescent="0.2">
      <c r="R2044" t="s">
        <v>33</v>
      </c>
      <c r="S2044" t="s">
        <v>237</v>
      </c>
      <c r="T2044" t="s">
        <v>441</v>
      </c>
      <c r="U2044" s="21">
        <v>19677.07</v>
      </c>
      <c r="V2044" s="21" t="s">
        <v>368</v>
      </c>
      <c r="W2044" t="str">
        <f>VLOOKUP(Table_Query_from_Actuarial___Production[[#This Row],[Kor1]],$AI$3:$AK$105,3,FALSE)</f>
        <v>Misc. Expense</v>
      </c>
      <c r="X2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4"/>
      <c r="Z2044" t="s">
        <v>47</v>
      </c>
      <c r="AA2044" t="s">
        <v>242</v>
      </c>
      <c r="AB2044" t="s">
        <v>356</v>
      </c>
      <c r="AC2044" s="21">
        <v>5209.3500000000004</v>
      </c>
      <c r="AD2044" s="21" t="s">
        <v>368</v>
      </c>
      <c r="AE2044" t="str">
        <f>VLOOKUP(Table_Query_from_Actuarial___Production3[[#This Row],[Kor1]],$AI$3:$AK$105,3,FALSE)</f>
        <v>Investment Income</v>
      </c>
      <c r="AF2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5" spans="18:32" x14ac:dyDescent="0.2">
      <c r="R2045" t="s">
        <v>49</v>
      </c>
      <c r="S2045" t="s">
        <v>226</v>
      </c>
      <c r="T2045" t="s">
        <v>7</v>
      </c>
      <c r="U2045" s="21">
        <v>933771.91</v>
      </c>
      <c r="V2045" s="21" t="s">
        <v>368</v>
      </c>
      <c r="W2045" t="str">
        <f>VLOOKUP(Table_Query_from_Actuarial___Production[[#This Row],[Kor1]],$AI$3:$AK$105,3,FALSE)</f>
        <v>ALAE Paid</v>
      </c>
      <c r="X2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045"/>
      <c r="Z2045" t="s">
        <v>3</v>
      </c>
      <c r="AA2045" t="s">
        <v>354</v>
      </c>
      <c r="AB2045" t="s">
        <v>427</v>
      </c>
      <c r="AC2045" s="21">
        <v>956276574.70000005</v>
      </c>
      <c r="AD2045" s="21" t="s">
        <v>369</v>
      </c>
      <c r="AE2045" t="str">
        <f>VLOOKUP(Table_Query_from_Actuarial___Production3[[#This Row],[Kor1]],$AI$3:$AK$105,3,FALSE)</f>
        <v>Premiums Written</v>
      </c>
      <c r="AF2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046" spans="18:32" x14ac:dyDescent="0.2">
      <c r="R2046" t="s">
        <v>13</v>
      </c>
      <c r="S2046" t="s">
        <v>248</v>
      </c>
      <c r="T2046" t="s">
        <v>7</v>
      </c>
      <c r="U2046" s="21">
        <v>9761.23</v>
      </c>
      <c r="V2046" s="21" t="s">
        <v>368</v>
      </c>
      <c r="W2046" t="str">
        <f>VLOOKUP(Table_Query_from_Actuarial___Production[[#This Row],[Kor1]],$AI$3:$AK$105,3,FALSE)</f>
        <v>Operating Service Fees</v>
      </c>
      <c r="X2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6"/>
      <c r="Z2046" t="s">
        <v>14</v>
      </c>
      <c r="AA2046" t="s">
        <v>263</v>
      </c>
      <c r="AB2046" t="s">
        <v>8</v>
      </c>
      <c r="AC2046" s="21">
        <v>24903.599999999999</v>
      </c>
      <c r="AD2046" s="21" t="s">
        <v>368</v>
      </c>
      <c r="AE2046" t="str">
        <f>VLOOKUP(Table_Query_from_Actuarial___Production3[[#This Row],[Kor1]],$AI$3:$AK$105,3,FALSE)</f>
        <v>Claims Expense</v>
      </c>
      <c r="AF2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7" spans="18:32" x14ac:dyDescent="0.2">
      <c r="R2047" t="s">
        <v>3</v>
      </c>
      <c r="S2047" t="s">
        <v>224</v>
      </c>
      <c r="T2047" t="s">
        <v>8</v>
      </c>
      <c r="U2047" s="21">
        <v>103987.76</v>
      </c>
      <c r="V2047" s="21" t="s">
        <v>425</v>
      </c>
      <c r="W2047" t="str">
        <f>VLOOKUP(Table_Query_from_Actuarial___Production[[#This Row],[Kor1]],$AI$3:$AK$105,3,FALSE)</f>
        <v>Premiums Written</v>
      </c>
      <c r="X2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047"/>
      <c r="Z2047" t="s">
        <v>10</v>
      </c>
      <c r="AA2047" t="s">
        <v>4</v>
      </c>
      <c r="AB2047" t="s">
        <v>443</v>
      </c>
      <c r="AC2047" s="21">
        <v>1300421.75</v>
      </c>
      <c r="AD2047" s="21" t="s">
        <v>368</v>
      </c>
      <c r="AE2047" t="str">
        <f>VLOOKUP(Table_Query_from_Actuarial___Production3[[#This Row],[Kor1]],$AI$3:$AK$105,3,FALSE)</f>
        <v>Commissions</v>
      </c>
      <c r="AF2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8" spans="18:32" x14ac:dyDescent="0.2">
      <c r="R2048" t="s">
        <v>11</v>
      </c>
      <c r="S2048" t="s">
        <v>233</v>
      </c>
      <c r="T2048" t="s">
        <v>351</v>
      </c>
      <c r="U2048" s="21">
        <v>756573.3</v>
      </c>
      <c r="V2048" s="21" t="s">
        <v>368</v>
      </c>
      <c r="W2048" t="str">
        <f>VLOOKUP(Table_Query_from_Actuarial___Production[[#This Row],[Kor1]],$AI$3:$AK$105,3,FALSE)</f>
        <v>Losses Paid</v>
      </c>
      <c r="X2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8"/>
      <c r="Z2048" t="s">
        <v>43</v>
      </c>
      <c r="AA2048" t="s">
        <v>256</v>
      </c>
      <c r="AB2048" t="s">
        <v>356</v>
      </c>
      <c r="AC2048" s="21">
        <v>-0.42</v>
      </c>
      <c r="AD2048" s="21" t="s">
        <v>368</v>
      </c>
      <c r="AE2048" t="str">
        <f>VLOOKUP(Table_Query_from_Actuarial___Production3[[#This Row],[Kor1]],$AI$3:$AK$105,3,FALSE)</f>
        <v>Charge-offs</v>
      </c>
      <c r="AF2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49" spans="18:32" x14ac:dyDescent="0.2">
      <c r="R2049" t="s">
        <v>12</v>
      </c>
      <c r="S2049" t="s">
        <v>263</v>
      </c>
      <c r="T2049" t="s">
        <v>441</v>
      </c>
      <c r="U2049" s="21">
        <v>10592.9</v>
      </c>
      <c r="V2049" s="21" t="s">
        <v>368</v>
      </c>
      <c r="W2049" t="str">
        <f>VLOOKUP(Table_Query_from_Actuarial___Production[[#This Row],[Kor1]],$AI$3:$AK$105,3,FALSE)</f>
        <v>Premium Tax</v>
      </c>
      <c r="X2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49"/>
      <c r="Z2049" t="s">
        <v>10</v>
      </c>
      <c r="AA2049" t="s">
        <v>265</v>
      </c>
      <c r="AB2049" t="s">
        <v>427</v>
      </c>
      <c r="AC2049" s="21">
        <v>63864.639999999999</v>
      </c>
      <c r="AD2049" s="21" t="s">
        <v>368</v>
      </c>
      <c r="AE2049" t="str">
        <f>VLOOKUP(Table_Query_from_Actuarial___Production3[[#This Row],[Kor1]],$AI$3:$AK$105,3,FALSE)</f>
        <v>Commissions</v>
      </c>
      <c r="AF2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0" spans="18:32" x14ac:dyDescent="0.2">
      <c r="R2050" t="s">
        <v>3</v>
      </c>
      <c r="S2050" t="s">
        <v>352</v>
      </c>
      <c r="T2050" t="s">
        <v>7</v>
      </c>
      <c r="U2050" s="21">
        <v>279721.21000000002</v>
      </c>
      <c r="V2050" s="21" t="s">
        <v>369</v>
      </c>
      <c r="W2050" t="str">
        <f>VLOOKUP(Table_Query_from_Actuarial___Production[[#This Row],[Kor1]],$AI$3:$AK$105,3,FALSE)</f>
        <v>Premiums Written</v>
      </c>
      <c r="X2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050"/>
      <c r="Z2050" t="s">
        <v>40</v>
      </c>
      <c r="AA2050" t="s">
        <v>236</v>
      </c>
      <c r="AB2050" t="s">
        <v>8</v>
      </c>
      <c r="AC2050" s="21">
        <v>28</v>
      </c>
      <c r="AD2050" s="21" t="s">
        <v>368</v>
      </c>
      <c r="AE2050" t="str">
        <f>VLOOKUP(Table_Query_from_Actuarial___Production3[[#This Row],[Kor1]],$AI$3:$AK$105,3,FALSE)</f>
        <v>Misc. Income</v>
      </c>
      <c r="AF2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1" spans="18:32" x14ac:dyDescent="0.2">
      <c r="R2051" t="s">
        <v>43</v>
      </c>
      <c r="S2051" t="s">
        <v>240</v>
      </c>
      <c r="T2051" t="s">
        <v>442</v>
      </c>
      <c r="U2051" s="21">
        <v>-2046.25</v>
      </c>
      <c r="V2051" s="21" t="s">
        <v>368</v>
      </c>
      <c r="W2051" t="str">
        <f>VLOOKUP(Table_Query_from_Actuarial___Production[[#This Row],[Kor1]],$AI$3:$AK$105,3,FALSE)</f>
        <v>Charge-offs</v>
      </c>
      <c r="X2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1"/>
      <c r="Z2051" t="s">
        <v>3</v>
      </c>
      <c r="AA2051" t="s">
        <v>241</v>
      </c>
      <c r="AB2051" t="s">
        <v>6</v>
      </c>
      <c r="AC2051" s="21">
        <v>320477</v>
      </c>
      <c r="AD2051" s="21" t="s">
        <v>368</v>
      </c>
      <c r="AE2051" t="str">
        <f>VLOOKUP(Table_Query_from_Actuarial___Production3[[#This Row],[Kor1]],$AI$3:$AK$105,3,FALSE)</f>
        <v>Premiums Written</v>
      </c>
      <c r="AF2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2" spans="18:32" x14ac:dyDescent="0.2">
      <c r="R2052" t="s">
        <v>17</v>
      </c>
      <c r="S2052" t="s">
        <v>224</v>
      </c>
      <c r="T2052" t="s">
        <v>442</v>
      </c>
      <c r="U2052" s="21">
        <v>4952.67</v>
      </c>
      <c r="V2052" s="21" t="s">
        <v>370</v>
      </c>
      <c r="W2052" t="str">
        <f>VLOOKUP(Table_Query_from_Actuarial___Production[[#This Row],[Kor1]],$AI$3:$AK$105,3,FALSE)</f>
        <v>IBNR</v>
      </c>
      <c r="X2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052"/>
      <c r="Z2052" t="s">
        <v>39</v>
      </c>
      <c r="AA2052" t="s">
        <v>245</v>
      </c>
      <c r="AB2052" t="s">
        <v>8</v>
      </c>
      <c r="AC2052" s="21">
        <v>283</v>
      </c>
      <c r="AD2052" s="21" t="s">
        <v>368</v>
      </c>
      <c r="AE2052" t="str">
        <f>VLOOKUP(Table_Query_from_Actuarial___Production3[[#This Row],[Kor1]],$AI$3:$AK$105,3,FALSE)</f>
        <v>Misc. Income for Insolvent Companies</v>
      </c>
      <c r="AF2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3" spans="18:32" x14ac:dyDescent="0.2">
      <c r="R2053" t="s">
        <v>19</v>
      </c>
      <c r="S2053" t="s">
        <v>235</v>
      </c>
      <c r="T2053" t="s">
        <v>351</v>
      </c>
      <c r="U2053" s="21">
        <v>2848.98</v>
      </c>
      <c r="V2053" s="21" t="s">
        <v>368</v>
      </c>
      <c r="W2053" t="str">
        <f>VLOOKUP(Table_Query_from_Actuarial___Production[[#This Row],[Kor1]],$AI$3:$AK$105,3,FALSE)</f>
        <v>Misc. Expense for Insolvent Companies</v>
      </c>
      <c r="X2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3"/>
      <c r="Z2053" t="s">
        <v>47</v>
      </c>
      <c r="AA2053" t="s">
        <v>229</v>
      </c>
      <c r="AB2053" t="s">
        <v>442</v>
      </c>
      <c r="AC2053" s="21">
        <v>2011.03</v>
      </c>
      <c r="AD2053" s="21" t="s">
        <v>368</v>
      </c>
      <c r="AE2053" t="str">
        <f>VLOOKUP(Table_Query_from_Actuarial___Production3[[#This Row],[Kor1]],$AI$3:$AK$105,3,FALSE)</f>
        <v>Investment Income</v>
      </c>
      <c r="AF2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4" spans="18:32" x14ac:dyDescent="0.2">
      <c r="R2054" t="s">
        <v>3</v>
      </c>
      <c r="S2054" t="s">
        <v>227</v>
      </c>
      <c r="T2054" t="s">
        <v>443</v>
      </c>
      <c r="U2054" s="21">
        <v>142946</v>
      </c>
      <c r="V2054" s="21" t="s">
        <v>368</v>
      </c>
      <c r="W2054" t="str">
        <f>VLOOKUP(Table_Query_from_Actuarial___Production[[#This Row],[Kor1]],$AI$3:$AK$105,3,FALSE)</f>
        <v>Premiums Written</v>
      </c>
      <c r="X2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4"/>
      <c r="Z2054" t="s">
        <v>11</v>
      </c>
      <c r="AA2054" t="s">
        <v>224</v>
      </c>
      <c r="AB2054" t="s">
        <v>442</v>
      </c>
      <c r="AC2054" s="21">
        <v>465285.39</v>
      </c>
      <c r="AD2054" s="21" t="s">
        <v>368</v>
      </c>
      <c r="AE2054" t="str">
        <f>VLOOKUP(Table_Query_from_Actuarial___Production3[[#This Row],[Kor1]],$AI$3:$AK$105,3,FALSE)</f>
        <v>Losses Paid</v>
      </c>
      <c r="AF2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055" spans="18:32" x14ac:dyDescent="0.2">
      <c r="R2055" t="s">
        <v>11</v>
      </c>
      <c r="S2055" t="s">
        <v>261</v>
      </c>
      <c r="T2055" t="s">
        <v>7</v>
      </c>
      <c r="U2055" s="21">
        <v>252221.59</v>
      </c>
      <c r="V2055" s="21" t="s">
        <v>368</v>
      </c>
      <c r="W2055" t="str">
        <f>VLOOKUP(Table_Query_from_Actuarial___Production[[#This Row],[Kor1]],$AI$3:$AK$105,3,FALSE)</f>
        <v>Losses Paid</v>
      </c>
      <c r="X2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5"/>
      <c r="Z2055" t="s">
        <v>13</v>
      </c>
      <c r="AA2055" t="s">
        <v>224</v>
      </c>
      <c r="AB2055" t="s">
        <v>9</v>
      </c>
      <c r="AC2055" s="21">
        <v>325293.71000000002</v>
      </c>
      <c r="AD2055" s="21" t="s">
        <v>368</v>
      </c>
      <c r="AE2055" t="str">
        <f>VLOOKUP(Table_Query_from_Actuarial___Production3[[#This Row],[Kor1]],$AI$3:$AK$105,3,FALSE)</f>
        <v>Operating Service Fees</v>
      </c>
      <c r="AF2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056" spans="18:32" x14ac:dyDescent="0.2">
      <c r="R2056" t="s">
        <v>19</v>
      </c>
      <c r="S2056" t="s">
        <v>254</v>
      </c>
      <c r="T2056" t="s">
        <v>433</v>
      </c>
      <c r="U2056" s="21">
        <v>23654.33</v>
      </c>
      <c r="V2056" s="21" t="s">
        <v>368</v>
      </c>
      <c r="W2056" t="str">
        <f>VLOOKUP(Table_Query_from_Actuarial___Production[[#This Row],[Kor1]],$AI$3:$AK$105,3,FALSE)</f>
        <v>Misc. Expense for Insolvent Companies</v>
      </c>
      <c r="X2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6"/>
      <c r="Z2056" t="s">
        <v>31</v>
      </c>
      <c r="AA2056" t="s">
        <v>244</v>
      </c>
      <c r="AB2056" t="s">
        <v>8</v>
      </c>
      <c r="AC2056" s="21">
        <v>536.20000000000005</v>
      </c>
      <c r="AD2056" s="21" t="s">
        <v>368</v>
      </c>
      <c r="AE2056" t="str">
        <f>VLOOKUP(Table_Query_from_Actuarial___Production3[[#This Row],[Kor1]],$AI$3:$AK$105,3,FALSE)</f>
        <v>Misc. Expense</v>
      </c>
      <c r="AF2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7" spans="18:32" x14ac:dyDescent="0.2">
      <c r="R2057" t="s">
        <v>20</v>
      </c>
      <c r="S2057" t="s">
        <v>247</v>
      </c>
      <c r="T2057" t="s">
        <v>351</v>
      </c>
      <c r="U2057" s="21">
        <v>1.53</v>
      </c>
      <c r="V2057" s="21" t="s">
        <v>368</v>
      </c>
      <c r="W2057" t="str">
        <f>VLOOKUP(Table_Query_from_Actuarial___Production[[#This Row],[Kor1]],$AI$3:$AK$105,3,FALSE)</f>
        <v>Misc. Expense</v>
      </c>
      <c r="X2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7"/>
      <c r="Z2057" t="s">
        <v>47</v>
      </c>
      <c r="AA2057" t="s">
        <v>260</v>
      </c>
      <c r="AB2057" t="s">
        <v>9</v>
      </c>
      <c r="AC2057" s="21">
        <v>38.21</v>
      </c>
      <c r="AD2057" s="21" t="s">
        <v>368</v>
      </c>
      <c r="AE2057" t="str">
        <f>VLOOKUP(Table_Query_from_Actuarial___Production3[[#This Row],[Kor1]],$AI$3:$AK$105,3,FALSE)</f>
        <v>Investment Income</v>
      </c>
      <c r="AF2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8" spans="18:32" x14ac:dyDescent="0.2">
      <c r="R2058" t="s">
        <v>41</v>
      </c>
      <c r="S2058" t="s">
        <v>229</v>
      </c>
      <c r="T2058" t="s">
        <v>441</v>
      </c>
      <c r="U2058" s="21">
        <v>700</v>
      </c>
      <c r="V2058" s="21" t="s">
        <v>368</v>
      </c>
      <c r="W2058" t="str">
        <f>VLOOKUP(Table_Query_from_Actuarial___Production[[#This Row],[Kor1]],$AI$3:$AK$105,3,FALSE)</f>
        <v>Misc. Income</v>
      </c>
      <c r="X2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8"/>
      <c r="Z2058" t="s">
        <v>10</v>
      </c>
      <c r="AA2058" t="s">
        <v>248</v>
      </c>
      <c r="AB2058" t="s">
        <v>441</v>
      </c>
      <c r="AC2058" s="21">
        <v>36798.1</v>
      </c>
      <c r="AD2058" s="21" t="s">
        <v>368</v>
      </c>
      <c r="AE2058" t="str">
        <f>VLOOKUP(Table_Query_from_Actuarial___Production3[[#This Row],[Kor1]],$AI$3:$AK$105,3,FALSE)</f>
        <v>Commissions</v>
      </c>
      <c r="AF2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59" spans="18:32" x14ac:dyDescent="0.2">
      <c r="R2059" t="s">
        <v>11</v>
      </c>
      <c r="S2059" t="s">
        <v>258</v>
      </c>
      <c r="T2059" t="s">
        <v>442</v>
      </c>
      <c r="U2059" s="21">
        <v>933503.91</v>
      </c>
      <c r="V2059" s="21" t="s">
        <v>368</v>
      </c>
      <c r="W2059" t="str">
        <f>VLOOKUP(Table_Query_from_Actuarial___Production[[#This Row],[Kor1]],$AI$3:$AK$105,3,FALSE)</f>
        <v>Losses Paid</v>
      </c>
      <c r="X2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59"/>
      <c r="Z2059" t="s">
        <v>3</v>
      </c>
      <c r="AA2059" t="s">
        <v>264</v>
      </c>
      <c r="AB2059" t="s">
        <v>356</v>
      </c>
      <c r="AC2059" s="21">
        <v>1234669</v>
      </c>
      <c r="AD2059" s="21" t="s">
        <v>368</v>
      </c>
      <c r="AE2059" t="str">
        <f>VLOOKUP(Table_Query_from_Actuarial___Production3[[#This Row],[Kor1]],$AI$3:$AK$105,3,FALSE)</f>
        <v>Premiums Written</v>
      </c>
      <c r="AF2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0" spans="18:32" x14ac:dyDescent="0.2">
      <c r="R2060" t="s">
        <v>43</v>
      </c>
      <c r="S2060" t="s">
        <v>224</v>
      </c>
      <c r="T2060" t="s">
        <v>427</v>
      </c>
      <c r="U2060" s="21">
        <v>0.47</v>
      </c>
      <c r="V2060" s="21" t="s">
        <v>425</v>
      </c>
      <c r="W2060" t="str">
        <f>VLOOKUP(Table_Query_from_Actuarial___Production[[#This Row],[Kor1]],$AI$3:$AK$105,3,FALSE)</f>
        <v>Charge-offs</v>
      </c>
      <c r="X2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060"/>
      <c r="Z2060" t="s">
        <v>14</v>
      </c>
      <c r="AA2060" t="s">
        <v>240</v>
      </c>
      <c r="AB2060" t="s">
        <v>9</v>
      </c>
      <c r="AC2060" s="21">
        <v>165571.44</v>
      </c>
      <c r="AD2060" s="21" t="s">
        <v>368</v>
      </c>
      <c r="AE2060" t="str">
        <f>VLOOKUP(Table_Query_from_Actuarial___Production3[[#This Row],[Kor1]],$AI$3:$AK$105,3,FALSE)</f>
        <v>Claims Expense</v>
      </c>
      <c r="AF2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1" spans="18:32" x14ac:dyDescent="0.2">
      <c r="R2061" t="s">
        <v>19</v>
      </c>
      <c r="S2061" t="s">
        <v>238</v>
      </c>
      <c r="T2061" t="s">
        <v>443</v>
      </c>
      <c r="U2061" s="21">
        <v>8</v>
      </c>
      <c r="V2061" s="21" t="s">
        <v>368</v>
      </c>
      <c r="W2061" t="str">
        <f>VLOOKUP(Table_Query_from_Actuarial___Production[[#This Row],[Kor1]],$AI$3:$AK$105,3,FALSE)</f>
        <v>Misc. Expense for Insolvent Companies</v>
      </c>
      <c r="X2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1"/>
      <c r="Z2061" t="s">
        <v>14</v>
      </c>
      <c r="AA2061" t="s">
        <v>245</v>
      </c>
      <c r="AB2061" t="s">
        <v>427</v>
      </c>
      <c r="AC2061" s="21">
        <v>177.19</v>
      </c>
      <c r="AD2061" s="21" t="s">
        <v>368</v>
      </c>
      <c r="AE2061" t="str">
        <f>VLOOKUP(Table_Query_from_Actuarial___Production3[[#This Row],[Kor1]],$AI$3:$AK$105,3,FALSE)</f>
        <v>Claims Expense</v>
      </c>
      <c r="AF2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2" spans="18:32" x14ac:dyDescent="0.2">
      <c r="R2062" t="s">
        <v>43</v>
      </c>
      <c r="S2062" t="s">
        <v>262</v>
      </c>
      <c r="T2062" t="s">
        <v>351</v>
      </c>
      <c r="U2062" s="21">
        <v>-0.01</v>
      </c>
      <c r="V2062" s="21" t="s">
        <v>368</v>
      </c>
      <c r="W2062" t="str">
        <f>VLOOKUP(Table_Query_from_Actuarial___Production[[#This Row],[Kor1]],$AI$3:$AK$105,3,FALSE)</f>
        <v>Charge-offs</v>
      </c>
      <c r="X2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2"/>
      <c r="Z2062" t="s">
        <v>39</v>
      </c>
      <c r="AA2062" t="s">
        <v>238</v>
      </c>
      <c r="AB2062" t="s">
        <v>8</v>
      </c>
      <c r="AC2062" s="21">
        <v>328</v>
      </c>
      <c r="AD2062" s="21" t="s">
        <v>368</v>
      </c>
      <c r="AE2062" t="str">
        <f>VLOOKUP(Table_Query_from_Actuarial___Production3[[#This Row],[Kor1]],$AI$3:$AK$105,3,FALSE)</f>
        <v>Misc. Income for Insolvent Companies</v>
      </c>
      <c r="AF2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3" spans="18:32" x14ac:dyDescent="0.2">
      <c r="R2063" t="s">
        <v>10</v>
      </c>
      <c r="S2063" t="s">
        <v>245</v>
      </c>
      <c r="T2063" t="s">
        <v>351</v>
      </c>
      <c r="U2063" s="21">
        <v>315.75</v>
      </c>
      <c r="V2063" s="21" t="s">
        <v>368</v>
      </c>
      <c r="W2063" t="str">
        <f>VLOOKUP(Table_Query_from_Actuarial___Production[[#This Row],[Kor1]],$AI$3:$AK$105,3,FALSE)</f>
        <v>Commissions</v>
      </c>
      <c r="X2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3"/>
      <c r="Z2063" t="s">
        <v>41</v>
      </c>
      <c r="AA2063" t="s">
        <v>267</v>
      </c>
      <c r="AB2063" t="s">
        <v>356</v>
      </c>
      <c r="AC2063" s="21">
        <v>491.09</v>
      </c>
      <c r="AD2063" s="21" t="s">
        <v>368</v>
      </c>
      <c r="AE2063" t="str">
        <f>VLOOKUP(Table_Query_from_Actuarial___Production3[[#This Row],[Kor1]],$AI$3:$AK$105,3,FALSE)</f>
        <v>Misc. Income</v>
      </c>
      <c r="AF2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4" spans="18:32" x14ac:dyDescent="0.2">
      <c r="R2064" t="s">
        <v>49</v>
      </c>
      <c r="S2064" t="s">
        <v>239</v>
      </c>
      <c r="T2064" t="s">
        <v>427</v>
      </c>
      <c r="U2064" s="21">
        <v>626472.29</v>
      </c>
      <c r="V2064" s="21" t="s">
        <v>368</v>
      </c>
      <c r="W2064" t="str">
        <f>VLOOKUP(Table_Query_from_Actuarial___Production[[#This Row],[Kor1]],$AI$3:$AK$105,3,FALSE)</f>
        <v>ALAE Paid</v>
      </c>
      <c r="X2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4"/>
      <c r="Z2064" t="s">
        <v>44</v>
      </c>
      <c r="AA2064" t="s">
        <v>227</v>
      </c>
      <c r="AB2064" t="s">
        <v>5</v>
      </c>
      <c r="AC2064" s="21">
        <v>9067</v>
      </c>
      <c r="AD2064" s="21" t="s">
        <v>368</v>
      </c>
      <c r="AE2064" t="str">
        <f>VLOOKUP(Table_Query_from_Actuarial___Production3[[#This Row],[Kor1]],$AI$3:$AK$105,3,FALSE)</f>
        <v>Charge-offs</v>
      </c>
      <c r="AF2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5" spans="18:32" x14ac:dyDescent="0.2">
      <c r="R2065" t="s">
        <v>40</v>
      </c>
      <c r="S2065" t="s">
        <v>265</v>
      </c>
      <c r="T2065" t="s">
        <v>8</v>
      </c>
      <c r="U2065" s="21">
        <v>52</v>
      </c>
      <c r="V2065" s="21" t="s">
        <v>368</v>
      </c>
      <c r="W2065" t="str">
        <f>VLOOKUP(Table_Query_from_Actuarial___Production[[#This Row],[Kor1]],$AI$3:$AK$105,3,FALSE)</f>
        <v>Misc. Income</v>
      </c>
      <c r="X2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5"/>
      <c r="Z2065" t="s">
        <v>3</v>
      </c>
      <c r="AA2065" t="s">
        <v>267</v>
      </c>
      <c r="AB2065" t="s">
        <v>351</v>
      </c>
      <c r="AC2065" s="21">
        <v>240832</v>
      </c>
      <c r="AD2065" s="21" t="s">
        <v>368</v>
      </c>
      <c r="AE2065" t="str">
        <f>VLOOKUP(Table_Query_from_Actuarial___Production3[[#This Row],[Kor1]],$AI$3:$AK$105,3,FALSE)</f>
        <v>Premiums Written</v>
      </c>
      <c r="AF2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6" spans="18:32" x14ac:dyDescent="0.2">
      <c r="R2066" t="s">
        <v>3</v>
      </c>
      <c r="S2066" t="s">
        <v>263</v>
      </c>
      <c r="T2066" t="s">
        <v>8</v>
      </c>
      <c r="U2066" s="21">
        <v>423470</v>
      </c>
      <c r="V2066" s="21" t="s">
        <v>368</v>
      </c>
      <c r="W2066" t="str">
        <f>VLOOKUP(Table_Query_from_Actuarial___Production[[#This Row],[Kor1]],$AI$3:$AK$105,3,FALSE)</f>
        <v>Premiums Written</v>
      </c>
      <c r="X2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6"/>
      <c r="Z2066" t="s">
        <v>12</v>
      </c>
      <c r="AA2066" t="s">
        <v>251</v>
      </c>
      <c r="AB2066" t="s">
        <v>8</v>
      </c>
      <c r="AC2066" s="21">
        <v>1169.19</v>
      </c>
      <c r="AD2066" s="21" t="s">
        <v>368</v>
      </c>
      <c r="AE2066" t="str">
        <f>VLOOKUP(Table_Query_from_Actuarial___Production3[[#This Row],[Kor1]],$AI$3:$AK$105,3,FALSE)</f>
        <v>Premium Tax</v>
      </c>
      <c r="AF2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7" spans="18:32" x14ac:dyDescent="0.2">
      <c r="R2067" t="s">
        <v>33</v>
      </c>
      <c r="S2067" t="s">
        <v>260</v>
      </c>
      <c r="T2067" t="s">
        <v>433</v>
      </c>
      <c r="U2067" s="21">
        <v>21406.959999999999</v>
      </c>
      <c r="V2067" s="21" t="s">
        <v>368</v>
      </c>
      <c r="W2067" t="str">
        <f>VLOOKUP(Table_Query_from_Actuarial___Production[[#This Row],[Kor1]],$AI$3:$AK$105,3,FALSE)</f>
        <v>Misc. Expense</v>
      </c>
      <c r="X2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67"/>
      <c r="Z2067" t="s">
        <v>46</v>
      </c>
      <c r="AA2067" t="s">
        <v>225</v>
      </c>
      <c r="AB2067" t="s">
        <v>6</v>
      </c>
      <c r="AC2067" s="21">
        <v>22972.83</v>
      </c>
      <c r="AD2067" s="21" t="s">
        <v>369</v>
      </c>
      <c r="AE2067" t="str">
        <f>VLOOKUP(Table_Query_from_Actuarial___Production3[[#This Row],[Kor1]],$AI$3:$AK$105,3,FALSE)</f>
        <v>Investment Income</v>
      </c>
      <c r="AF2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068" spans="18:32" x14ac:dyDescent="0.2">
      <c r="R2068" t="s">
        <v>15</v>
      </c>
      <c r="S2068" t="s">
        <v>224</v>
      </c>
      <c r="T2068" t="s">
        <v>445</v>
      </c>
      <c r="U2068" s="21">
        <v>9135.34</v>
      </c>
      <c r="V2068" s="21" t="s">
        <v>425</v>
      </c>
      <c r="W2068" t="str">
        <f>VLOOKUP(Table_Query_from_Actuarial___Production[[#This Row],[Kor1]],$AI$3:$AK$105,3,FALSE)</f>
        <v>Unearned Premiums</v>
      </c>
      <c r="X2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068"/>
      <c r="Z2068" t="s">
        <v>20</v>
      </c>
      <c r="AA2068" t="s">
        <v>257</v>
      </c>
      <c r="AB2068" t="s">
        <v>6</v>
      </c>
      <c r="AC2068" s="21">
        <v>161.31</v>
      </c>
      <c r="AD2068" s="21" t="s">
        <v>368</v>
      </c>
      <c r="AE2068" t="str">
        <f>VLOOKUP(Table_Query_from_Actuarial___Production3[[#This Row],[Kor1]],$AI$3:$AK$105,3,FALSE)</f>
        <v>Misc. Expense</v>
      </c>
      <c r="AF2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69" spans="18:32" x14ac:dyDescent="0.2">
      <c r="R2069" t="s">
        <v>43</v>
      </c>
      <c r="S2069" t="s">
        <v>225</v>
      </c>
      <c r="T2069" t="s">
        <v>443</v>
      </c>
      <c r="U2069" s="21">
        <v>103.76</v>
      </c>
      <c r="V2069" s="21" t="s">
        <v>368</v>
      </c>
      <c r="W2069" t="str">
        <f>VLOOKUP(Table_Query_from_Actuarial___Production[[#This Row],[Kor1]],$AI$3:$AK$105,3,FALSE)</f>
        <v>Charge-offs</v>
      </c>
      <c r="X2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069"/>
      <c r="Z2069" t="s">
        <v>21</v>
      </c>
      <c r="AA2069" t="s">
        <v>246</v>
      </c>
      <c r="AB2069" t="s">
        <v>356</v>
      </c>
      <c r="AC2069" s="21">
        <v>974.59</v>
      </c>
      <c r="AD2069" s="21" t="s">
        <v>368</v>
      </c>
      <c r="AE2069" t="str">
        <f>VLOOKUP(Table_Query_from_Actuarial___Production3[[#This Row],[Kor1]],$AI$3:$AK$105,3,FALSE)</f>
        <v>Misc. Expense</v>
      </c>
      <c r="AF2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0" spans="18:32" x14ac:dyDescent="0.2">
      <c r="R2070" t="s">
        <v>48</v>
      </c>
      <c r="S2070" t="s">
        <v>224</v>
      </c>
      <c r="T2070" t="s">
        <v>445</v>
      </c>
      <c r="U2070" s="21">
        <v>9704.8700000000008</v>
      </c>
      <c r="V2070" s="21" t="s">
        <v>368</v>
      </c>
      <c r="W2070" t="str">
        <f>VLOOKUP(Table_Query_from_Actuarial___Production[[#This Row],[Kor1]],$AI$3:$AK$105,3,FALSE)</f>
        <v>Anticipated Salvage</v>
      </c>
      <c r="X2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070"/>
      <c r="Z2070" t="s">
        <v>14</v>
      </c>
      <c r="AA2070" t="s">
        <v>265</v>
      </c>
      <c r="AB2070" t="s">
        <v>443</v>
      </c>
      <c r="AC2070" s="21">
        <v>979.07</v>
      </c>
      <c r="AD2070" s="21" t="s">
        <v>368</v>
      </c>
      <c r="AE2070" t="str">
        <f>VLOOKUP(Table_Query_from_Actuarial___Production3[[#This Row],[Kor1]],$AI$3:$AK$105,3,FALSE)</f>
        <v>Claims Expense</v>
      </c>
      <c r="AF2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1" spans="18:32" x14ac:dyDescent="0.2">
      <c r="R2071" t="s">
        <v>15</v>
      </c>
      <c r="S2071" t="s">
        <v>248</v>
      </c>
      <c r="T2071" t="s">
        <v>443</v>
      </c>
      <c r="U2071" s="21">
        <v>104492.87</v>
      </c>
      <c r="V2071" s="21" t="s">
        <v>368</v>
      </c>
      <c r="W2071" t="str">
        <f>VLOOKUP(Table_Query_from_Actuarial___Production[[#This Row],[Kor1]],$AI$3:$AK$105,3,FALSE)</f>
        <v>Unearned Premiums</v>
      </c>
      <c r="X2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1"/>
      <c r="Z2071" t="s">
        <v>30</v>
      </c>
      <c r="AA2071" t="s">
        <v>4</v>
      </c>
      <c r="AB2071" t="s">
        <v>8</v>
      </c>
      <c r="AC2071" s="21">
        <v>68.349999999999994</v>
      </c>
      <c r="AD2071" s="21" t="s">
        <v>368</v>
      </c>
      <c r="AE2071" t="str">
        <f>VLOOKUP(Table_Query_from_Actuarial___Production3[[#This Row],[Kor1]],$AI$3:$AK$105,3,FALSE)</f>
        <v>Misc. Expense</v>
      </c>
      <c r="AF2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2" spans="18:32" x14ac:dyDescent="0.2">
      <c r="R2072" t="s">
        <v>41</v>
      </c>
      <c r="S2072" t="s">
        <v>260</v>
      </c>
      <c r="T2072" t="s">
        <v>356</v>
      </c>
      <c r="U2072" s="21">
        <v>300</v>
      </c>
      <c r="V2072" s="21" t="s">
        <v>368</v>
      </c>
      <c r="W2072" t="str">
        <f>VLOOKUP(Table_Query_from_Actuarial___Production[[#This Row],[Kor1]],$AI$3:$AK$105,3,FALSE)</f>
        <v>Misc. Income</v>
      </c>
      <c r="X2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2"/>
      <c r="Z2072" t="s">
        <v>39</v>
      </c>
      <c r="AA2072" t="s">
        <v>232</v>
      </c>
      <c r="AB2072" t="s">
        <v>351</v>
      </c>
      <c r="AC2072" s="21">
        <v>415.99</v>
      </c>
      <c r="AD2072" s="21" t="s">
        <v>368</v>
      </c>
      <c r="AE2072" t="str">
        <f>VLOOKUP(Table_Query_from_Actuarial___Production3[[#This Row],[Kor1]],$AI$3:$AK$105,3,FALSE)</f>
        <v>Misc. Income for Insolvent Companies</v>
      </c>
      <c r="AF2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3" spans="18:32" x14ac:dyDescent="0.2">
      <c r="R2073" t="s">
        <v>130</v>
      </c>
      <c r="S2073" t="s">
        <v>224</v>
      </c>
      <c r="T2073" t="s">
        <v>8</v>
      </c>
      <c r="U2073" s="21">
        <v>2618652.34</v>
      </c>
      <c r="V2073" s="21" t="s">
        <v>370</v>
      </c>
      <c r="W2073" t="str">
        <f>VLOOKUP(Table_Query_from_Actuarial___Production[[#This Row],[Kor1]],$AI$3:$AK$105,3,FALSE)</f>
        <v>CPAI Charge-offs</v>
      </c>
      <c r="X2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073"/>
      <c r="Z2073" t="s">
        <v>47</v>
      </c>
      <c r="AA2073" t="s">
        <v>253</v>
      </c>
      <c r="AB2073" t="s">
        <v>427</v>
      </c>
      <c r="AC2073" s="21">
        <v>319.54000000000002</v>
      </c>
      <c r="AD2073" s="21" t="s">
        <v>368</v>
      </c>
      <c r="AE2073" t="str">
        <f>VLOOKUP(Table_Query_from_Actuarial___Production3[[#This Row],[Kor1]],$AI$3:$AK$105,3,FALSE)</f>
        <v>Investment Income</v>
      </c>
      <c r="AF2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4" spans="18:32" x14ac:dyDescent="0.2">
      <c r="R2074" t="s">
        <v>47</v>
      </c>
      <c r="S2074" t="s">
        <v>267</v>
      </c>
      <c r="T2074" t="s">
        <v>351</v>
      </c>
      <c r="U2074" s="21">
        <v>832.36</v>
      </c>
      <c r="V2074" s="21" t="s">
        <v>368</v>
      </c>
      <c r="W2074" t="str">
        <f>VLOOKUP(Table_Query_from_Actuarial___Production[[#This Row],[Kor1]],$AI$3:$AK$105,3,FALSE)</f>
        <v>Investment Income</v>
      </c>
      <c r="X2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4"/>
      <c r="Z2074" t="s">
        <v>3</v>
      </c>
      <c r="AA2074" t="s">
        <v>237</v>
      </c>
      <c r="AB2074" t="s">
        <v>6</v>
      </c>
      <c r="AC2074" s="21">
        <v>2513026</v>
      </c>
      <c r="AD2074" s="21" t="s">
        <v>368</v>
      </c>
      <c r="AE2074" t="str">
        <f>VLOOKUP(Table_Query_from_Actuarial___Production3[[#This Row],[Kor1]],$AI$3:$AK$105,3,FALSE)</f>
        <v>Premiums Written</v>
      </c>
      <c r="AF2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5" spans="18:32" x14ac:dyDescent="0.2">
      <c r="R2075" t="s">
        <v>10</v>
      </c>
      <c r="S2075" t="s">
        <v>258</v>
      </c>
      <c r="T2075" t="s">
        <v>6</v>
      </c>
      <c r="U2075" s="21">
        <v>120493.5</v>
      </c>
      <c r="V2075" s="21" t="s">
        <v>368</v>
      </c>
      <c r="W2075" t="str">
        <f>VLOOKUP(Table_Query_from_Actuarial___Production[[#This Row],[Kor1]],$AI$3:$AK$105,3,FALSE)</f>
        <v>Commissions</v>
      </c>
      <c r="X2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5"/>
      <c r="Z2075" t="s">
        <v>34</v>
      </c>
      <c r="AA2075" t="s">
        <v>231</v>
      </c>
      <c r="AB2075" t="s">
        <v>9</v>
      </c>
      <c r="AC2075" s="21">
        <v>14.5</v>
      </c>
      <c r="AD2075" s="21" t="s">
        <v>368</v>
      </c>
      <c r="AE2075" t="str">
        <f>VLOOKUP(Table_Query_from_Actuarial___Production3[[#This Row],[Kor1]],$AI$3:$AK$105,3,FALSE)</f>
        <v>Misc. Expense</v>
      </c>
      <c r="AF2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6" spans="18:32" x14ac:dyDescent="0.2">
      <c r="R2076" t="s">
        <v>41</v>
      </c>
      <c r="S2076" t="s">
        <v>243</v>
      </c>
      <c r="T2076" t="s">
        <v>351</v>
      </c>
      <c r="U2076" s="21">
        <v>-50</v>
      </c>
      <c r="V2076" s="21" t="s">
        <v>368</v>
      </c>
      <c r="W2076" t="str">
        <f>VLOOKUP(Table_Query_from_Actuarial___Production[[#This Row],[Kor1]],$AI$3:$AK$105,3,FALSE)</f>
        <v>Misc. Income</v>
      </c>
      <c r="X2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6"/>
      <c r="Z2076" t="s">
        <v>3</v>
      </c>
      <c r="AA2076" t="s">
        <v>259</v>
      </c>
      <c r="AB2076" t="s">
        <v>8</v>
      </c>
      <c r="AC2076" s="21">
        <v>423724</v>
      </c>
      <c r="AD2076" s="21" t="s">
        <v>368</v>
      </c>
      <c r="AE2076" t="str">
        <f>VLOOKUP(Table_Query_from_Actuarial___Production3[[#This Row],[Kor1]],$AI$3:$AK$105,3,FALSE)</f>
        <v>Premiums Written</v>
      </c>
      <c r="AF2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7" spans="18:32" x14ac:dyDescent="0.2">
      <c r="R2077" t="s">
        <v>10</v>
      </c>
      <c r="S2077" t="s">
        <v>233</v>
      </c>
      <c r="T2077" t="s">
        <v>6</v>
      </c>
      <c r="U2077" s="21">
        <v>13256.15</v>
      </c>
      <c r="V2077" s="21" t="s">
        <v>368</v>
      </c>
      <c r="W2077" t="str">
        <f>VLOOKUP(Table_Query_from_Actuarial___Production[[#This Row],[Kor1]],$AI$3:$AK$105,3,FALSE)</f>
        <v>Commissions</v>
      </c>
      <c r="X2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7"/>
      <c r="Z2077" t="s">
        <v>29</v>
      </c>
      <c r="AA2077" t="s">
        <v>230</v>
      </c>
      <c r="AB2077" t="s">
        <v>427</v>
      </c>
      <c r="AC2077" s="21">
        <v>40606.92</v>
      </c>
      <c r="AD2077" s="21" t="s">
        <v>368</v>
      </c>
      <c r="AE2077" t="str">
        <f>VLOOKUP(Table_Query_from_Actuarial___Production3[[#This Row],[Kor1]],$AI$3:$AK$105,3,FALSE)</f>
        <v>Misc. Expense</v>
      </c>
      <c r="AF2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8" spans="18:32" x14ac:dyDescent="0.2">
      <c r="R2078" t="s">
        <v>14</v>
      </c>
      <c r="S2078" t="s">
        <v>252</v>
      </c>
      <c r="T2078" t="s">
        <v>7</v>
      </c>
      <c r="U2078" s="21">
        <v>1684855.14</v>
      </c>
      <c r="V2078" s="21" t="s">
        <v>368</v>
      </c>
      <c r="W2078" t="str">
        <f>VLOOKUP(Table_Query_from_Actuarial___Production[[#This Row],[Kor1]],$AI$3:$AK$105,3,FALSE)</f>
        <v>Claims Expense</v>
      </c>
      <c r="X2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8"/>
      <c r="Z2078" t="s">
        <v>41</v>
      </c>
      <c r="AA2078" t="s">
        <v>230</v>
      </c>
      <c r="AB2078" t="s">
        <v>9</v>
      </c>
      <c r="AC2078" s="21">
        <v>1577.5</v>
      </c>
      <c r="AD2078" s="21" t="s">
        <v>368</v>
      </c>
      <c r="AE2078" t="str">
        <f>VLOOKUP(Table_Query_from_Actuarial___Production3[[#This Row],[Kor1]],$AI$3:$AK$105,3,FALSE)</f>
        <v>Misc. Income</v>
      </c>
      <c r="AF2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79" spans="18:32" x14ac:dyDescent="0.2">
      <c r="R2079" t="s">
        <v>19</v>
      </c>
      <c r="S2079" t="s">
        <v>254</v>
      </c>
      <c r="T2079" t="s">
        <v>6</v>
      </c>
      <c r="U2079" s="21">
        <v>1772</v>
      </c>
      <c r="V2079" s="21" t="s">
        <v>368</v>
      </c>
      <c r="W2079" t="str">
        <f>VLOOKUP(Table_Query_from_Actuarial___Production[[#This Row],[Kor1]],$AI$3:$AK$105,3,FALSE)</f>
        <v>Misc. Expense for Insolvent Companies</v>
      </c>
      <c r="X2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79"/>
      <c r="Z2079" t="s">
        <v>25</v>
      </c>
      <c r="AA2079" t="s">
        <v>4</v>
      </c>
      <c r="AB2079" t="s">
        <v>5</v>
      </c>
      <c r="AC2079" s="21">
        <v>18902.830000000002</v>
      </c>
      <c r="AD2079" s="21" t="s">
        <v>368</v>
      </c>
      <c r="AE2079" t="str">
        <f>VLOOKUP(Table_Query_from_Actuarial___Production3[[#This Row],[Kor1]],$AI$3:$AK$105,3,FALSE)</f>
        <v>Misc. Expense</v>
      </c>
      <c r="AF2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0" spans="18:32" x14ac:dyDescent="0.2">
      <c r="R2080" t="s">
        <v>43</v>
      </c>
      <c r="S2080" t="s">
        <v>224</v>
      </c>
      <c r="T2080" t="s">
        <v>443</v>
      </c>
      <c r="U2080" s="21">
        <v>9.15</v>
      </c>
      <c r="V2080" s="21" t="s">
        <v>425</v>
      </c>
      <c r="W2080" t="str">
        <f>VLOOKUP(Table_Query_from_Actuarial___Production[[#This Row],[Kor1]],$AI$3:$AK$105,3,FALSE)</f>
        <v>Charge-offs</v>
      </c>
      <c r="X2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080"/>
      <c r="Z2080" t="s">
        <v>34</v>
      </c>
      <c r="AA2080" t="s">
        <v>244</v>
      </c>
      <c r="AB2080" t="s">
        <v>427</v>
      </c>
      <c r="AC2080" s="21">
        <v>434.99</v>
      </c>
      <c r="AD2080" s="21" t="s">
        <v>368</v>
      </c>
      <c r="AE2080" t="str">
        <f>VLOOKUP(Table_Query_from_Actuarial___Production3[[#This Row],[Kor1]],$AI$3:$AK$105,3,FALSE)</f>
        <v>Misc. Expense</v>
      </c>
      <c r="AF2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1" spans="18:32" x14ac:dyDescent="0.2">
      <c r="R2081" t="s">
        <v>3</v>
      </c>
      <c r="S2081" t="s">
        <v>241</v>
      </c>
      <c r="T2081" t="s">
        <v>445</v>
      </c>
      <c r="U2081" s="21">
        <v>234858</v>
      </c>
      <c r="V2081" s="21" t="s">
        <v>368</v>
      </c>
      <c r="W2081" t="str">
        <f>VLOOKUP(Table_Query_from_Actuarial___Production[[#This Row],[Kor1]],$AI$3:$AK$105,3,FALSE)</f>
        <v>Premiums Written</v>
      </c>
      <c r="X2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1"/>
      <c r="Z2081" t="s">
        <v>14</v>
      </c>
      <c r="AA2081" t="s">
        <v>258</v>
      </c>
      <c r="AB2081" t="s">
        <v>7</v>
      </c>
      <c r="AC2081" s="21">
        <v>187717.18</v>
      </c>
      <c r="AD2081" s="21" t="s">
        <v>368</v>
      </c>
      <c r="AE2081" t="str">
        <f>VLOOKUP(Table_Query_from_Actuarial___Production3[[#This Row],[Kor1]],$AI$3:$AK$105,3,FALSE)</f>
        <v>Claims Expense</v>
      </c>
      <c r="AF2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2" spans="18:32" x14ac:dyDescent="0.2">
      <c r="R2082" t="s">
        <v>47</v>
      </c>
      <c r="S2082" t="s">
        <v>261</v>
      </c>
      <c r="T2082" t="s">
        <v>443</v>
      </c>
      <c r="U2082" s="21">
        <v>5609.26</v>
      </c>
      <c r="V2082" s="21" t="s">
        <v>368</v>
      </c>
      <c r="W2082" t="str">
        <f>VLOOKUP(Table_Query_from_Actuarial___Production[[#This Row],[Kor1]],$AI$3:$AK$105,3,FALSE)</f>
        <v>Investment Income</v>
      </c>
      <c r="X2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2"/>
      <c r="Z2082" t="s">
        <v>12</v>
      </c>
      <c r="AA2082" t="s">
        <v>254</v>
      </c>
      <c r="AB2082" t="s">
        <v>427</v>
      </c>
      <c r="AC2082" s="21">
        <v>130187.92</v>
      </c>
      <c r="AD2082" s="21" t="s">
        <v>368</v>
      </c>
      <c r="AE2082" t="str">
        <f>VLOOKUP(Table_Query_from_Actuarial___Production3[[#This Row],[Kor1]],$AI$3:$AK$105,3,FALSE)</f>
        <v>Premium Tax</v>
      </c>
      <c r="AF2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3" spans="18:32" x14ac:dyDescent="0.2">
      <c r="R2083" t="s">
        <v>3</v>
      </c>
      <c r="S2083" t="s">
        <v>251</v>
      </c>
      <c r="T2083" t="s">
        <v>7</v>
      </c>
      <c r="U2083" s="21">
        <v>48090</v>
      </c>
      <c r="V2083" s="21" t="s">
        <v>368</v>
      </c>
      <c r="W2083" t="str">
        <f>VLOOKUP(Table_Query_from_Actuarial___Production[[#This Row],[Kor1]],$AI$3:$AK$105,3,FALSE)</f>
        <v>Premiums Written</v>
      </c>
      <c r="X2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3"/>
      <c r="Z2083" t="s">
        <v>19</v>
      </c>
      <c r="AA2083" t="s">
        <v>261</v>
      </c>
      <c r="AB2083" t="s">
        <v>427</v>
      </c>
      <c r="AC2083" s="21">
        <v>570</v>
      </c>
      <c r="AD2083" s="21" t="s">
        <v>368</v>
      </c>
      <c r="AE2083" t="str">
        <f>VLOOKUP(Table_Query_from_Actuarial___Production3[[#This Row],[Kor1]],$AI$3:$AK$105,3,FALSE)</f>
        <v>Misc. Expense for Insolvent Companies</v>
      </c>
      <c r="AF2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4" spans="18:32" x14ac:dyDescent="0.2">
      <c r="R2084" t="s">
        <v>16</v>
      </c>
      <c r="S2084" t="s">
        <v>4</v>
      </c>
      <c r="T2084" t="s">
        <v>8</v>
      </c>
      <c r="U2084" s="21">
        <v>458042.5</v>
      </c>
      <c r="V2084" s="21" t="s">
        <v>368</v>
      </c>
      <c r="W2084" t="str">
        <f>VLOOKUP(Table_Query_from_Actuarial___Production[[#This Row],[Kor1]],$AI$3:$AK$105,3,FALSE)</f>
        <v>Losses Outstanding</v>
      </c>
      <c r="X2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4"/>
      <c r="Z2084" t="s">
        <v>49</v>
      </c>
      <c r="AA2084" t="s">
        <v>225</v>
      </c>
      <c r="AB2084" t="s">
        <v>9</v>
      </c>
      <c r="AC2084" s="21">
        <v>55736.76</v>
      </c>
      <c r="AD2084" s="21" t="s">
        <v>369</v>
      </c>
      <c r="AE2084" t="str">
        <f>VLOOKUP(Table_Query_from_Actuarial___Production3[[#This Row],[Kor1]],$AI$3:$AK$105,3,FALSE)</f>
        <v>ALAE Paid</v>
      </c>
      <c r="AF2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085" spans="18:32" x14ac:dyDescent="0.2">
      <c r="R2085" t="s">
        <v>50</v>
      </c>
      <c r="S2085" t="s">
        <v>227</v>
      </c>
      <c r="T2085" t="s">
        <v>441</v>
      </c>
      <c r="U2085" s="21">
        <v>644.76</v>
      </c>
      <c r="V2085" s="21" t="s">
        <v>368</v>
      </c>
      <c r="W2085" t="str">
        <f>VLOOKUP(Table_Query_from_Actuarial___Production[[#This Row],[Kor1]],$AI$3:$AK$105,3,FALSE)</f>
        <v>ALAE Reserve</v>
      </c>
      <c r="X2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5"/>
      <c r="Z2085" t="s">
        <v>41</v>
      </c>
      <c r="AA2085" t="s">
        <v>235</v>
      </c>
      <c r="AB2085" t="s">
        <v>8</v>
      </c>
      <c r="AC2085" s="21">
        <v>549.98</v>
      </c>
      <c r="AD2085" s="21" t="s">
        <v>368</v>
      </c>
      <c r="AE2085" t="str">
        <f>VLOOKUP(Table_Query_from_Actuarial___Production3[[#This Row],[Kor1]],$AI$3:$AK$105,3,FALSE)</f>
        <v>Misc. Income</v>
      </c>
      <c r="AF2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6" spans="18:32" x14ac:dyDescent="0.2">
      <c r="R2086" t="s">
        <v>21</v>
      </c>
      <c r="S2086" t="s">
        <v>251</v>
      </c>
      <c r="T2086" t="s">
        <v>9</v>
      </c>
      <c r="U2086" s="21">
        <v>1978.98</v>
      </c>
      <c r="V2086" s="21" t="s">
        <v>368</v>
      </c>
      <c r="W2086" t="str">
        <f>VLOOKUP(Table_Query_from_Actuarial___Production[[#This Row],[Kor1]],$AI$3:$AK$105,3,FALSE)</f>
        <v>Misc. Expense</v>
      </c>
      <c r="X2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6"/>
      <c r="Z2086" t="s">
        <v>33</v>
      </c>
      <c r="AA2086" t="s">
        <v>237</v>
      </c>
      <c r="AB2086" t="s">
        <v>441</v>
      </c>
      <c r="AC2086" s="21">
        <v>19677.07</v>
      </c>
      <c r="AD2086" s="21" t="s">
        <v>368</v>
      </c>
      <c r="AE2086" t="str">
        <f>VLOOKUP(Table_Query_from_Actuarial___Production3[[#This Row],[Kor1]],$AI$3:$AK$105,3,FALSE)</f>
        <v>Misc. Expense</v>
      </c>
      <c r="AF2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7" spans="18:32" x14ac:dyDescent="0.2">
      <c r="R2087" t="s">
        <v>33</v>
      </c>
      <c r="S2087" t="s">
        <v>4</v>
      </c>
      <c r="T2087" t="s">
        <v>441</v>
      </c>
      <c r="U2087" s="21">
        <v>45592.58</v>
      </c>
      <c r="V2087" s="21" t="s">
        <v>368</v>
      </c>
      <c r="W2087" t="str">
        <f>VLOOKUP(Table_Query_from_Actuarial___Production[[#This Row],[Kor1]],$AI$3:$AK$105,3,FALSE)</f>
        <v>Misc. Expense</v>
      </c>
      <c r="X2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7"/>
      <c r="Z2087" t="s">
        <v>13</v>
      </c>
      <c r="AA2087" t="s">
        <v>239</v>
      </c>
      <c r="AB2087" t="s">
        <v>5</v>
      </c>
      <c r="AC2087" s="21">
        <v>4498.6400000000003</v>
      </c>
      <c r="AD2087" s="21" t="s">
        <v>368</v>
      </c>
      <c r="AE2087" t="str">
        <f>VLOOKUP(Table_Query_from_Actuarial___Production3[[#This Row],[Kor1]],$AI$3:$AK$105,3,FALSE)</f>
        <v>Operating Service Fees</v>
      </c>
      <c r="AF2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8" spans="18:32" x14ac:dyDescent="0.2">
      <c r="R2088" t="s">
        <v>33</v>
      </c>
      <c r="S2088" t="s">
        <v>261</v>
      </c>
      <c r="T2088" t="s">
        <v>9</v>
      </c>
      <c r="U2088" s="21">
        <v>16614.21</v>
      </c>
      <c r="V2088" s="21" t="s">
        <v>368</v>
      </c>
      <c r="W2088" t="str">
        <f>VLOOKUP(Table_Query_from_Actuarial___Production[[#This Row],[Kor1]],$AI$3:$AK$105,3,FALSE)</f>
        <v>Misc. Expense</v>
      </c>
      <c r="X2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8"/>
      <c r="Z2088" t="s">
        <v>17</v>
      </c>
      <c r="AA2088" t="s">
        <v>244</v>
      </c>
      <c r="AB2088" t="s">
        <v>427</v>
      </c>
      <c r="AC2088" s="21">
        <v>223504.4</v>
      </c>
      <c r="AD2088" s="21" t="s">
        <v>368</v>
      </c>
      <c r="AE2088" t="str">
        <f>VLOOKUP(Table_Query_from_Actuarial___Production3[[#This Row],[Kor1]],$AI$3:$AK$105,3,FALSE)</f>
        <v>IBNR</v>
      </c>
      <c r="AF2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89" spans="18:32" x14ac:dyDescent="0.2">
      <c r="R2089" t="s">
        <v>19</v>
      </c>
      <c r="S2089" t="s">
        <v>234</v>
      </c>
      <c r="T2089" t="s">
        <v>433</v>
      </c>
      <c r="U2089" s="21">
        <v>3528.98</v>
      </c>
      <c r="V2089" s="21" t="s">
        <v>368</v>
      </c>
      <c r="W2089" t="str">
        <f>VLOOKUP(Table_Query_from_Actuarial___Production[[#This Row],[Kor1]],$AI$3:$AK$105,3,FALSE)</f>
        <v>Misc. Expense for Insolvent Companies</v>
      </c>
      <c r="X2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89"/>
      <c r="Z2089" t="s">
        <v>49</v>
      </c>
      <c r="AA2089" t="s">
        <v>226</v>
      </c>
      <c r="AB2089" t="s">
        <v>7</v>
      </c>
      <c r="AC2089" s="21">
        <v>983988.96</v>
      </c>
      <c r="AD2089" s="21" t="s">
        <v>368</v>
      </c>
      <c r="AE2089" t="str">
        <f>VLOOKUP(Table_Query_from_Actuarial___Production3[[#This Row],[Kor1]],$AI$3:$AK$105,3,FALSE)</f>
        <v>ALAE Paid</v>
      </c>
      <c r="AF2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090" spans="18:32" x14ac:dyDescent="0.2">
      <c r="R2090" t="s">
        <v>107</v>
      </c>
      <c r="S2090" t="s">
        <v>259</v>
      </c>
      <c r="T2090" t="s">
        <v>8</v>
      </c>
      <c r="U2090" s="21">
        <v>339</v>
      </c>
      <c r="V2090" s="21" t="s">
        <v>368</v>
      </c>
      <c r="W2090" t="str">
        <f>VLOOKUP(Table_Query_from_Actuarial___Production[[#This Row],[Kor1]],$AI$3:$AK$105,3,FALSE)</f>
        <v>Misc. Expense</v>
      </c>
      <c r="X2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0"/>
      <c r="Z2090" t="s">
        <v>13</v>
      </c>
      <c r="AA2090" t="s">
        <v>248</v>
      </c>
      <c r="AB2090" t="s">
        <v>7</v>
      </c>
      <c r="AC2090" s="21">
        <v>9761.23</v>
      </c>
      <c r="AD2090" s="21" t="s">
        <v>368</v>
      </c>
      <c r="AE2090" t="str">
        <f>VLOOKUP(Table_Query_from_Actuarial___Production3[[#This Row],[Kor1]],$AI$3:$AK$105,3,FALSE)</f>
        <v>Operating Service Fees</v>
      </c>
      <c r="AF2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1" spans="18:32" x14ac:dyDescent="0.2">
      <c r="R2091" t="s">
        <v>37</v>
      </c>
      <c r="S2091" t="s">
        <v>228</v>
      </c>
      <c r="T2091" t="s">
        <v>427</v>
      </c>
      <c r="U2091" s="21">
        <v>0.44</v>
      </c>
      <c r="V2091" s="21" t="s">
        <v>368</v>
      </c>
      <c r="W2091" t="str">
        <f>VLOOKUP(Table_Query_from_Actuarial___Production[[#This Row],[Kor1]],$AI$3:$AK$105,3,FALSE)</f>
        <v>Misc. Expense</v>
      </c>
      <c r="X2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1"/>
      <c r="Z2091" t="s">
        <v>3</v>
      </c>
      <c r="AA2091" t="s">
        <v>224</v>
      </c>
      <c r="AB2091" t="s">
        <v>8</v>
      </c>
      <c r="AC2091" s="21">
        <v>103987.76</v>
      </c>
      <c r="AD2091" s="21" t="s">
        <v>425</v>
      </c>
      <c r="AE2091" t="str">
        <f>VLOOKUP(Table_Query_from_Actuarial___Production3[[#This Row],[Kor1]],$AI$3:$AK$105,3,FALSE)</f>
        <v>Premiums Written</v>
      </c>
      <c r="AF2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092" spans="18:32" x14ac:dyDescent="0.2">
      <c r="R2092" t="s">
        <v>47</v>
      </c>
      <c r="S2092" t="s">
        <v>263</v>
      </c>
      <c r="T2092" t="s">
        <v>7</v>
      </c>
      <c r="U2092" s="21">
        <v>0.03</v>
      </c>
      <c r="V2092" s="21" t="s">
        <v>368</v>
      </c>
      <c r="W2092" t="str">
        <f>VLOOKUP(Table_Query_from_Actuarial___Production[[#This Row],[Kor1]],$AI$3:$AK$105,3,FALSE)</f>
        <v>Investment Income</v>
      </c>
      <c r="X2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2"/>
      <c r="Z2092" t="s">
        <v>11</v>
      </c>
      <c r="AA2092" t="s">
        <v>233</v>
      </c>
      <c r="AB2092" t="s">
        <v>351</v>
      </c>
      <c r="AC2092" s="21">
        <v>757810.23</v>
      </c>
      <c r="AD2092" s="21" t="s">
        <v>368</v>
      </c>
      <c r="AE2092" t="str">
        <f>VLOOKUP(Table_Query_from_Actuarial___Production3[[#This Row],[Kor1]],$AI$3:$AK$105,3,FALSE)</f>
        <v>Losses Paid</v>
      </c>
      <c r="AF2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3" spans="18:32" x14ac:dyDescent="0.2">
      <c r="R2093" t="s">
        <v>14</v>
      </c>
      <c r="S2093" t="s">
        <v>238</v>
      </c>
      <c r="T2093" t="s">
        <v>7</v>
      </c>
      <c r="U2093" s="21">
        <v>3452.81</v>
      </c>
      <c r="V2093" s="21" t="s">
        <v>368</v>
      </c>
      <c r="W2093" t="str">
        <f>VLOOKUP(Table_Query_from_Actuarial___Production[[#This Row],[Kor1]],$AI$3:$AK$105,3,FALSE)</f>
        <v>Claims Expense</v>
      </c>
      <c r="X2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3"/>
      <c r="Z2093" t="s">
        <v>12</v>
      </c>
      <c r="AA2093" t="s">
        <v>263</v>
      </c>
      <c r="AB2093" t="s">
        <v>441</v>
      </c>
      <c r="AC2093" s="21">
        <v>10592.9</v>
      </c>
      <c r="AD2093" s="21" t="s">
        <v>368</v>
      </c>
      <c r="AE2093" t="str">
        <f>VLOOKUP(Table_Query_from_Actuarial___Production3[[#This Row],[Kor1]],$AI$3:$AK$105,3,FALSE)</f>
        <v>Premium Tax</v>
      </c>
      <c r="AF2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4" spans="18:32" x14ac:dyDescent="0.2">
      <c r="R2094" t="s">
        <v>14</v>
      </c>
      <c r="S2094" t="s">
        <v>251</v>
      </c>
      <c r="T2094" t="s">
        <v>7</v>
      </c>
      <c r="U2094" s="21">
        <v>2735.65</v>
      </c>
      <c r="V2094" s="21" t="s">
        <v>368</v>
      </c>
      <c r="W2094" t="str">
        <f>VLOOKUP(Table_Query_from_Actuarial___Production[[#This Row],[Kor1]],$AI$3:$AK$105,3,FALSE)</f>
        <v>Claims Expense</v>
      </c>
      <c r="X2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4"/>
      <c r="Z2094" t="s">
        <v>3</v>
      </c>
      <c r="AA2094" t="s">
        <v>352</v>
      </c>
      <c r="AB2094" t="s">
        <v>7</v>
      </c>
      <c r="AC2094" s="21">
        <v>279721.21000000002</v>
      </c>
      <c r="AD2094" s="21" t="s">
        <v>369</v>
      </c>
      <c r="AE2094" t="str">
        <f>VLOOKUP(Table_Query_from_Actuarial___Production3[[#This Row],[Kor1]],$AI$3:$AK$105,3,FALSE)</f>
        <v>Premiums Written</v>
      </c>
      <c r="AF2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095" spans="18:32" x14ac:dyDescent="0.2">
      <c r="R2095" t="s">
        <v>31</v>
      </c>
      <c r="S2095" t="s">
        <v>250</v>
      </c>
      <c r="T2095" t="s">
        <v>441</v>
      </c>
      <c r="U2095" s="21">
        <v>974.6</v>
      </c>
      <c r="V2095" s="21" t="s">
        <v>368</v>
      </c>
      <c r="W2095" t="str">
        <f>VLOOKUP(Table_Query_from_Actuarial___Production[[#This Row],[Kor1]],$AI$3:$AK$105,3,FALSE)</f>
        <v>Misc. Expense</v>
      </c>
      <c r="X2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5"/>
      <c r="Z2095" t="s">
        <v>15</v>
      </c>
      <c r="AA2095" t="s">
        <v>239</v>
      </c>
      <c r="AB2095" t="s">
        <v>442</v>
      </c>
      <c r="AC2095" s="21">
        <v>1141229.96</v>
      </c>
      <c r="AD2095" s="21" t="s">
        <v>368</v>
      </c>
      <c r="AE2095" t="str">
        <f>VLOOKUP(Table_Query_from_Actuarial___Production3[[#This Row],[Kor1]],$AI$3:$AK$105,3,FALSE)</f>
        <v>Unearned Premiums</v>
      </c>
      <c r="AF2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6" spans="18:32" x14ac:dyDescent="0.2">
      <c r="R2096" t="s">
        <v>12</v>
      </c>
      <c r="S2096" t="s">
        <v>243</v>
      </c>
      <c r="T2096" t="s">
        <v>442</v>
      </c>
      <c r="U2096" s="21">
        <v>7670.07</v>
      </c>
      <c r="V2096" s="21" t="s">
        <v>368</v>
      </c>
      <c r="W2096" t="str">
        <f>VLOOKUP(Table_Query_from_Actuarial___Production[[#This Row],[Kor1]],$AI$3:$AK$105,3,FALSE)</f>
        <v>Premium Tax</v>
      </c>
      <c r="X2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6"/>
      <c r="Z2096" t="s">
        <v>43</v>
      </c>
      <c r="AA2096" t="s">
        <v>240</v>
      </c>
      <c r="AB2096" t="s">
        <v>442</v>
      </c>
      <c r="AC2096" s="21">
        <v>-2109.4699999999998</v>
      </c>
      <c r="AD2096" s="21" t="s">
        <v>368</v>
      </c>
      <c r="AE2096" t="str">
        <f>VLOOKUP(Table_Query_from_Actuarial___Production3[[#This Row],[Kor1]],$AI$3:$AK$105,3,FALSE)</f>
        <v>Charge-offs</v>
      </c>
      <c r="AF2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7" spans="18:32" x14ac:dyDescent="0.2">
      <c r="R2097" t="s">
        <v>13</v>
      </c>
      <c r="S2097" t="s">
        <v>229</v>
      </c>
      <c r="T2097" t="s">
        <v>9</v>
      </c>
      <c r="U2097" s="21">
        <v>13450.09</v>
      </c>
      <c r="V2097" s="21" t="s">
        <v>368</v>
      </c>
      <c r="W2097" t="str">
        <f>VLOOKUP(Table_Query_from_Actuarial___Production[[#This Row],[Kor1]],$AI$3:$AK$105,3,FALSE)</f>
        <v>Operating Service Fees</v>
      </c>
      <c r="X2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7"/>
      <c r="Z2097" t="s">
        <v>17</v>
      </c>
      <c r="AA2097" t="s">
        <v>224</v>
      </c>
      <c r="AB2097" t="s">
        <v>442</v>
      </c>
      <c r="AC2097" s="21">
        <v>21869.37</v>
      </c>
      <c r="AD2097" s="21" t="s">
        <v>370</v>
      </c>
      <c r="AE2097" t="str">
        <f>VLOOKUP(Table_Query_from_Actuarial___Production3[[#This Row],[Kor1]],$AI$3:$AK$105,3,FALSE)</f>
        <v>IBNR</v>
      </c>
      <c r="AF2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098" spans="18:32" x14ac:dyDescent="0.2">
      <c r="R2098" t="s">
        <v>10</v>
      </c>
      <c r="S2098" t="s">
        <v>225</v>
      </c>
      <c r="T2098" t="s">
        <v>351</v>
      </c>
      <c r="U2098" s="21">
        <v>86360.99</v>
      </c>
      <c r="V2098" s="21" t="s">
        <v>368</v>
      </c>
      <c r="W2098" t="str">
        <f>VLOOKUP(Table_Query_from_Actuarial___Production[[#This Row],[Kor1]],$AI$3:$AK$105,3,FALSE)</f>
        <v>Commissions</v>
      </c>
      <c r="X2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098"/>
      <c r="Z2098" t="s">
        <v>19</v>
      </c>
      <c r="AA2098" t="s">
        <v>235</v>
      </c>
      <c r="AB2098" t="s">
        <v>351</v>
      </c>
      <c r="AC2098" s="21">
        <v>2848.98</v>
      </c>
      <c r="AD2098" s="21" t="s">
        <v>368</v>
      </c>
      <c r="AE2098" t="str">
        <f>VLOOKUP(Table_Query_from_Actuarial___Production3[[#This Row],[Kor1]],$AI$3:$AK$105,3,FALSE)</f>
        <v>Misc. Expense for Insolvent Companies</v>
      </c>
      <c r="AF2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099" spans="18:32" x14ac:dyDescent="0.2">
      <c r="R2099" t="s">
        <v>49</v>
      </c>
      <c r="S2099" t="s">
        <v>265</v>
      </c>
      <c r="T2099" t="s">
        <v>433</v>
      </c>
      <c r="U2099" s="21">
        <v>35671.68</v>
      </c>
      <c r="V2099" s="21" t="s">
        <v>368</v>
      </c>
      <c r="W2099" t="str">
        <f>VLOOKUP(Table_Query_from_Actuarial___Production[[#This Row],[Kor1]],$AI$3:$AK$105,3,FALSE)</f>
        <v>ALAE Paid</v>
      </c>
      <c r="X2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099"/>
      <c r="Z2099" t="s">
        <v>11</v>
      </c>
      <c r="AA2099" t="s">
        <v>261</v>
      </c>
      <c r="AB2099" t="s">
        <v>7</v>
      </c>
      <c r="AC2099" s="21">
        <v>252221.59</v>
      </c>
      <c r="AD2099" s="21" t="s">
        <v>368</v>
      </c>
      <c r="AE2099" t="str">
        <f>VLOOKUP(Table_Query_from_Actuarial___Production3[[#This Row],[Kor1]],$AI$3:$AK$105,3,FALSE)</f>
        <v>Losses Paid</v>
      </c>
      <c r="AF2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0" spans="18:32" x14ac:dyDescent="0.2">
      <c r="R2100" t="s">
        <v>3</v>
      </c>
      <c r="S2100" t="s">
        <v>227</v>
      </c>
      <c r="T2100" t="s">
        <v>427</v>
      </c>
      <c r="U2100" s="21">
        <v>3218</v>
      </c>
      <c r="V2100" s="21" t="s">
        <v>368</v>
      </c>
      <c r="W2100" t="str">
        <f>VLOOKUP(Table_Query_from_Actuarial___Production[[#This Row],[Kor1]],$AI$3:$AK$105,3,FALSE)</f>
        <v>Premiums Written</v>
      </c>
      <c r="X2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0"/>
      <c r="Z2100" t="s">
        <v>19</v>
      </c>
      <c r="AA2100" t="s">
        <v>254</v>
      </c>
      <c r="AB2100" t="s">
        <v>433</v>
      </c>
      <c r="AC2100" s="21">
        <v>23654.33</v>
      </c>
      <c r="AD2100" s="21" t="s">
        <v>368</v>
      </c>
      <c r="AE2100" t="str">
        <f>VLOOKUP(Table_Query_from_Actuarial___Production3[[#This Row],[Kor1]],$AI$3:$AK$105,3,FALSE)</f>
        <v>Misc. Expense for Insolvent Companies</v>
      </c>
      <c r="AF2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1" spans="18:32" x14ac:dyDescent="0.2">
      <c r="R2101" t="s">
        <v>13</v>
      </c>
      <c r="S2101" t="s">
        <v>236</v>
      </c>
      <c r="T2101" t="s">
        <v>9</v>
      </c>
      <c r="U2101" s="21">
        <v>36116.199999999997</v>
      </c>
      <c r="V2101" s="21" t="s">
        <v>368</v>
      </c>
      <c r="W2101" t="str">
        <f>VLOOKUP(Table_Query_from_Actuarial___Production[[#This Row],[Kor1]],$AI$3:$AK$105,3,FALSE)</f>
        <v>Operating Service Fees</v>
      </c>
      <c r="X2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1"/>
      <c r="Z2101" t="s">
        <v>20</v>
      </c>
      <c r="AA2101" t="s">
        <v>247</v>
      </c>
      <c r="AB2101" t="s">
        <v>351</v>
      </c>
      <c r="AC2101" s="21">
        <v>1.53</v>
      </c>
      <c r="AD2101" s="21" t="s">
        <v>368</v>
      </c>
      <c r="AE2101" t="str">
        <f>VLOOKUP(Table_Query_from_Actuarial___Production3[[#This Row],[Kor1]],$AI$3:$AK$105,3,FALSE)</f>
        <v>Misc. Expense</v>
      </c>
      <c r="AF2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2" spans="18:32" x14ac:dyDescent="0.2">
      <c r="R2102" t="s">
        <v>3</v>
      </c>
      <c r="S2102" t="s">
        <v>240</v>
      </c>
      <c r="T2102" t="s">
        <v>6</v>
      </c>
      <c r="U2102" s="21">
        <v>1053887</v>
      </c>
      <c r="V2102" s="21" t="s">
        <v>368</v>
      </c>
      <c r="W2102" t="str">
        <f>VLOOKUP(Table_Query_from_Actuarial___Production[[#This Row],[Kor1]],$AI$3:$AK$105,3,FALSE)</f>
        <v>Premiums Written</v>
      </c>
      <c r="X2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2"/>
      <c r="Z2102" t="s">
        <v>41</v>
      </c>
      <c r="AA2102" t="s">
        <v>229</v>
      </c>
      <c r="AB2102" t="s">
        <v>441</v>
      </c>
      <c r="AC2102" s="21">
        <v>700</v>
      </c>
      <c r="AD2102" s="21" t="s">
        <v>368</v>
      </c>
      <c r="AE2102" t="str">
        <f>VLOOKUP(Table_Query_from_Actuarial___Production3[[#This Row],[Kor1]],$AI$3:$AK$105,3,FALSE)</f>
        <v>Misc. Income</v>
      </c>
      <c r="AF2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3" spans="18:32" x14ac:dyDescent="0.2">
      <c r="R2103" t="s">
        <v>14</v>
      </c>
      <c r="S2103" t="s">
        <v>241</v>
      </c>
      <c r="T2103" t="s">
        <v>445</v>
      </c>
      <c r="U2103" s="21">
        <v>6684.33</v>
      </c>
      <c r="V2103" s="21" t="s">
        <v>368</v>
      </c>
      <c r="W2103" t="str">
        <f>VLOOKUP(Table_Query_from_Actuarial___Production[[#This Row],[Kor1]],$AI$3:$AK$105,3,FALSE)</f>
        <v>Claims Expense</v>
      </c>
      <c r="X2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3"/>
      <c r="Z2103" t="s">
        <v>11</v>
      </c>
      <c r="AA2103" t="s">
        <v>258</v>
      </c>
      <c r="AB2103" t="s">
        <v>442</v>
      </c>
      <c r="AC2103" s="21">
        <v>408122.81</v>
      </c>
      <c r="AD2103" s="21" t="s">
        <v>368</v>
      </c>
      <c r="AE2103" t="str">
        <f>VLOOKUP(Table_Query_from_Actuarial___Production3[[#This Row],[Kor1]],$AI$3:$AK$105,3,FALSE)</f>
        <v>Losses Paid</v>
      </c>
      <c r="AF2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4" spans="18:32" x14ac:dyDescent="0.2">
      <c r="R2104" t="s">
        <v>39</v>
      </c>
      <c r="S2104" t="s">
        <v>241</v>
      </c>
      <c r="T2104" t="s">
        <v>351</v>
      </c>
      <c r="U2104" s="21">
        <v>834.04</v>
      </c>
      <c r="V2104" s="21" t="s">
        <v>368</v>
      </c>
      <c r="W2104" t="str">
        <f>VLOOKUP(Table_Query_from_Actuarial___Production[[#This Row],[Kor1]],$AI$3:$AK$105,3,FALSE)</f>
        <v>Misc. Income for Insolvent Companies</v>
      </c>
      <c r="X2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4"/>
      <c r="Z2104" t="s">
        <v>39</v>
      </c>
      <c r="AA2104" t="s">
        <v>228</v>
      </c>
      <c r="AB2104" t="s">
        <v>5</v>
      </c>
      <c r="AC2104" s="21">
        <v>7720.62</v>
      </c>
      <c r="AD2104" s="21" t="s">
        <v>368</v>
      </c>
      <c r="AE2104" t="str">
        <f>VLOOKUP(Table_Query_from_Actuarial___Production3[[#This Row],[Kor1]],$AI$3:$AK$105,3,FALSE)</f>
        <v>Misc. Income for Insolvent Companies</v>
      </c>
      <c r="AF2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5" spans="18:32" x14ac:dyDescent="0.2">
      <c r="R2105" t="s">
        <v>10</v>
      </c>
      <c r="S2105" t="s">
        <v>260</v>
      </c>
      <c r="T2105" t="s">
        <v>433</v>
      </c>
      <c r="U2105" s="21">
        <v>726.1</v>
      </c>
      <c r="V2105" s="21" t="s">
        <v>368</v>
      </c>
      <c r="W2105" t="str">
        <f>VLOOKUP(Table_Query_from_Actuarial___Production[[#This Row],[Kor1]],$AI$3:$AK$105,3,FALSE)</f>
        <v>Commissions</v>
      </c>
      <c r="X2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5"/>
      <c r="Z2105" t="s">
        <v>43</v>
      </c>
      <c r="AA2105" t="s">
        <v>224</v>
      </c>
      <c r="AB2105" t="s">
        <v>427</v>
      </c>
      <c r="AC2105" s="21">
        <v>0.47</v>
      </c>
      <c r="AD2105" s="21" t="s">
        <v>425</v>
      </c>
      <c r="AE2105" t="str">
        <f>VLOOKUP(Table_Query_from_Actuarial___Production3[[#This Row],[Kor1]],$AI$3:$AK$105,3,FALSE)</f>
        <v>Charge-offs</v>
      </c>
      <c r="AF2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106" spans="18:32" x14ac:dyDescent="0.2">
      <c r="R2106" t="s">
        <v>44</v>
      </c>
      <c r="S2106" t="s">
        <v>224</v>
      </c>
      <c r="T2106" t="s">
        <v>442</v>
      </c>
      <c r="U2106" s="21">
        <v>110.75</v>
      </c>
      <c r="V2106" s="21" t="s">
        <v>369</v>
      </c>
      <c r="W2106" t="str">
        <f>VLOOKUP(Table_Query_from_Actuarial___Production[[#This Row],[Kor1]],$AI$3:$AK$105,3,FALSE)</f>
        <v>Charge-offs</v>
      </c>
      <c r="X2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106"/>
      <c r="Z2106" t="s">
        <v>19</v>
      </c>
      <c r="AA2106" t="s">
        <v>238</v>
      </c>
      <c r="AB2106" t="s">
        <v>443</v>
      </c>
      <c r="AC2106" s="21">
        <v>8</v>
      </c>
      <c r="AD2106" s="21" t="s">
        <v>368</v>
      </c>
      <c r="AE2106" t="str">
        <f>VLOOKUP(Table_Query_from_Actuarial___Production3[[#This Row],[Kor1]],$AI$3:$AK$105,3,FALSE)</f>
        <v>Misc. Expense for Insolvent Companies</v>
      </c>
      <c r="AF2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7" spans="18:32" x14ac:dyDescent="0.2">
      <c r="R2107" t="s">
        <v>47</v>
      </c>
      <c r="S2107" t="s">
        <v>243</v>
      </c>
      <c r="T2107" t="s">
        <v>445</v>
      </c>
      <c r="U2107" s="21">
        <v>13837.17</v>
      </c>
      <c r="V2107" s="21" t="s">
        <v>368</v>
      </c>
      <c r="W2107" t="str">
        <f>VLOOKUP(Table_Query_from_Actuarial___Production[[#This Row],[Kor1]],$AI$3:$AK$105,3,FALSE)</f>
        <v>Investment Income</v>
      </c>
      <c r="X2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7"/>
      <c r="Z2107" t="s">
        <v>43</v>
      </c>
      <c r="AA2107" t="s">
        <v>262</v>
      </c>
      <c r="AB2107" t="s">
        <v>351</v>
      </c>
      <c r="AC2107" s="21">
        <v>-0.01</v>
      </c>
      <c r="AD2107" s="21" t="s">
        <v>368</v>
      </c>
      <c r="AE2107" t="str">
        <f>VLOOKUP(Table_Query_from_Actuarial___Production3[[#This Row],[Kor1]],$AI$3:$AK$105,3,FALSE)</f>
        <v>Charge-offs</v>
      </c>
      <c r="AF2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8" spans="18:32" x14ac:dyDescent="0.2">
      <c r="R2108" t="s">
        <v>13</v>
      </c>
      <c r="S2108" t="s">
        <v>267</v>
      </c>
      <c r="T2108" t="s">
        <v>427</v>
      </c>
      <c r="U2108" s="21">
        <v>65950.080000000002</v>
      </c>
      <c r="V2108" s="21" t="s">
        <v>368</v>
      </c>
      <c r="W2108" t="str">
        <f>VLOOKUP(Table_Query_from_Actuarial___Production[[#This Row],[Kor1]],$AI$3:$AK$105,3,FALSE)</f>
        <v>Operating Service Fees</v>
      </c>
      <c r="X2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8"/>
      <c r="Z2108" t="s">
        <v>10</v>
      </c>
      <c r="AA2108" t="s">
        <v>245</v>
      </c>
      <c r="AB2108" t="s">
        <v>351</v>
      </c>
      <c r="AC2108" s="21">
        <v>315.75</v>
      </c>
      <c r="AD2108" s="21" t="s">
        <v>368</v>
      </c>
      <c r="AE2108" t="str">
        <f>VLOOKUP(Table_Query_from_Actuarial___Production3[[#This Row],[Kor1]],$AI$3:$AK$105,3,FALSE)</f>
        <v>Commissions</v>
      </c>
      <c r="AF2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09" spans="18:32" x14ac:dyDescent="0.2">
      <c r="R2109" t="s">
        <v>20</v>
      </c>
      <c r="S2109" t="s">
        <v>234</v>
      </c>
      <c r="T2109" t="s">
        <v>351</v>
      </c>
      <c r="U2109" s="21">
        <v>227.16</v>
      </c>
      <c r="V2109" s="21" t="s">
        <v>368</v>
      </c>
      <c r="W2109" t="str">
        <f>VLOOKUP(Table_Query_from_Actuarial___Production[[#This Row],[Kor1]],$AI$3:$AK$105,3,FALSE)</f>
        <v>Misc. Expense</v>
      </c>
      <c r="X2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09"/>
      <c r="Z2109" t="s">
        <v>49</v>
      </c>
      <c r="AA2109" t="s">
        <v>239</v>
      </c>
      <c r="AB2109" t="s">
        <v>427</v>
      </c>
      <c r="AC2109" s="21">
        <v>370135.64</v>
      </c>
      <c r="AD2109" s="21" t="s">
        <v>368</v>
      </c>
      <c r="AE2109" t="str">
        <f>VLOOKUP(Table_Query_from_Actuarial___Production3[[#This Row],[Kor1]],$AI$3:$AK$105,3,FALSE)</f>
        <v>ALAE Paid</v>
      </c>
      <c r="AF2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0" spans="18:32" x14ac:dyDescent="0.2">
      <c r="R2110" t="s">
        <v>40</v>
      </c>
      <c r="S2110" t="s">
        <v>268</v>
      </c>
      <c r="T2110" t="s">
        <v>6</v>
      </c>
      <c r="U2110" s="21">
        <v>108</v>
      </c>
      <c r="V2110" s="21" t="s">
        <v>368</v>
      </c>
      <c r="W2110" t="str">
        <f>VLOOKUP(Table_Query_from_Actuarial___Production[[#This Row],[Kor1]],$AI$3:$AK$105,3,FALSE)</f>
        <v>Misc. Income</v>
      </c>
      <c r="X2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0"/>
      <c r="Z2110" t="s">
        <v>40</v>
      </c>
      <c r="AA2110" t="s">
        <v>265</v>
      </c>
      <c r="AB2110" t="s">
        <v>8</v>
      </c>
      <c r="AC2110" s="21">
        <v>52</v>
      </c>
      <c r="AD2110" s="21" t="s">
        <v>368</v>
      </c>
      <c r="AE2110" t="str">
        <f>VLOOKUP(Table_Query_from_Actuarial___Production3[[#This Row],[Kor1]],$AI$3:$AK$105,3,FALSE)</f>
        <v>Misc. Income</v>
      </c>
      <c r="AF2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1" spans="18:32" x14ac:dyDescent="0.2">
      <c r="R2111" t="s">
        <v>10</v>
      </c>
      <c r="S2111" t="s">
        <v>261</v>
      </c>
      <c r="T2111" t="s">
        <v>8</v>
      </c>
      <c r="U2111" s="21">
        <v>45243.3</v>
      </c>
      <c r="V2111" s="21" t="s">
        <v>368</v>
      </c>
      <c r="W2111" t="str">
        <f>VLOOKUP(Table_Query_from_Actuarial___Production[[#This Row],[Kor1]],$AI$3:$AK$105,3,FALSE)</f>
        <v>Commissions</v>
      </c>
      <c r="X2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1"/>
      <c r="Z2111" t="s">
        <v>3</v>
      </c>
      <c r="AA2111" t="s">
        <v>263</v>
      </c>
      <c r="AB2111" t="s">
        <v>8</v>
      </c>
      <c r="AC2111" s="21">
        <v>423470</v>
      </c>
      <c r="AD2111" s="21" t="s">
        <v>368</v>
      </c>
      <c r="AE2111" t="str">
        <f>VLOOKUP(Table_Query_from_Actuarial___Production3[[#This Row],[Kor1]],$AI$3:$AK$105,3,FALSE)</f>
        <v>Premiums Written</v>
      </c>
      <c r="AF2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2" spans="18:32" x14ac:dyDescent="0.2">
      <c r="R2112" t="s">
        <v>11</v>
      </c>
      <c r="S2112" t="s">
        <v>252</v>
      </c>
      <c r="T2112" t="s">
        <v>433</v>
      </c>
      <c r="U2112" s="21">
        <v>16336933.41</v>
      </c>
      <c r="V2112" s="21" t="s">
        <v>368</v>
      </c>
      <c r="W2112" t="str">
        <f>VLOOKUP(Table_Query_from_Actuarial___Production[[#This Row],[Kor1]],$AI$3:$AK$105,3,FALSE)</f>
        <v>Losses Paid</v>
      </c>
      <c r="X2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2"/>
      <c r="Z2112" t="s">
        <v>33</v>
      </c>
      <c r="AA2112" t="s">
        <v>260</v>
      </c>
      <c r="AB2112" t="s">
        <v>433</v>
      </c>
      <c r="AC2112" s="21">
        <v>21406.959999999999</v>
      </c>
      <c r="AD2112" s="21" t="s">
        <v>368</v>
      </c>
      <c r="AE2112" t="str">
        <f>VLOOKUP(Table_Query_from_Actuarial___Production3[[#This Row],[Kor1]],$AI$3:$AK$105,3,FALSE)</f>
        <v>Misc. Expense</v>
      </c>
      <c r="AF2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3" spans="18:32" x14ac:dyDescent="0.2">
      <c r="R2113" t="s">
        <v>47</v>
      </c>
      <c r="S2113" t="s">
        <v>235</v>
      </c>
      <c r="T2113" t="s">
        <v>351</v>
      </c>
      <c r="U2113" s="21">
        <v>1538.51</v>
      </c>
      <c r="V2113" s="21" t="s">
        <v>368</v>
      </c>
      <c r="W2113" t="str">
        <f>VLOOKUP(Table_Query_from_Actuarial___Production[[#This Row],[Kor1]],$AI$3:$AK$105,3,FALSE)</f>
        <v>Investment Income</v>
      </c>
      <c r="X2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3"/>
      <c r="Z2113" t="s">
        <v>43</v>
      </c>
      <c r="AA2113" t="s">
        <v>225</v>
      </c>
      <c r="AB2113" t="s">
        <v>443</v>
      </c>
      <c r="AC2113" s="21">
        <v>103.76</v>
      </c>
      <c r="AD2113" s="21" t="s">
        <v>368</v>
      </c>
      <c r="AE2113" t="str">
        <f>VLOOKUP(Table_Query_from_Actuarial___Production3[[#This Row],[Kor1]],$AI$3:$AK$105,3,FALSE)</f>
        <v>Charge-offs</v>
      </c>
      <c r="AF2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114" spans="18:32" x14ac:dyDescent="0.2">
      <c r="R2114" t="s">
        <v>47</v>
      </c>
      <c r="S2114" t="s">
        <v>267</v>
      </c>
      <c r="T2114" t="s">
        <v>441</v>
      </c>
      <c r="U2114" s="21">
        <v>14.15</v>
      </c>
      <c r="V2114" s="21" t="s">
        <v>368</v>
      </c>
      <c r="W2114" t="str">
        <f>VLOOKUP(Table_Query_from_Actuarial___Production[[#This Row],[Kor1]],$AI$3:$AK$105,3,FALSE)</f>
        <v>Investment Income</v>
      </c>
      <c r="X2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4"/>
      <c r="Z2114" t="s">
        <v>15</v>
      </c>
      <c r="AA2114" t="s">
        <v>248</v>
      </c>
      <c r="AB2114" t="s">
        <v>443</v>
      </c>
      <c r="AC2114" s="21">
        <v>55145.64</v>
      </c>
      <c r="AD2114" s="21" t="s">
        <v>368</v>
      </c>
      <c r="AE2114" t="str">
        <f>VLOOKUP(Table_Query_from_Actuarial___Production3[[#This Row],[Kor1]],$AI$3:$AK$105,3,FALSE)</f>
        <v>Unearned Premiums</v>
      </c>
      <c r="AF2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5" spans="18:32" x14ac:dyDescent="0.2">
      <c r="R2115" t="s">
        <v>3</v>
      </c>
      <c r="S2115" t="s">
        <v>243</v>
      </c>
      <c r="T2115" t="s">
        <v>8</v>
      </c>
      <c r="U2115" s="21">
        <v>402915</v>
      </c>
      <c r="V2115" s="21" t="s">
        <v>368</v>
      </c>
      <c r="W2115" t="str">
        <f>VLOOKUP(Table_Query_from_Actuarial___Production[[#This Row],[Kor1]],$AI$3:$AK$105,3,FALSE)</f>
        <v>Premiums Written</v>
      </c>
      <c r="X2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5"/>
      <c r="Z2115" t="s">
        <v>41</v>
      </c>
      <c r="AA2115" t="s">
        <v>260</v>
      </c>
      <c r="AB2115" t="s">
        <v>356</v>
      </c>
      <c r="AC2115" s="21">
        <v>300</v>
      </c>
      <c r="AD2115" s="21" t="s">
        <v>368</v>
      </c>
      <c r="AE2115" t="str">
        <f>VLOOKUP(Table_Query_from_Actuarial___Production3[[#This Row],[Kor1]],$AI$3:$AK$105,3,FALSE)</f>
        <v>Misc. Income</v>
      </c>
      <c r="AF2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6" spans="18:32" x14ac:dyDescent="0.2">
      <c r="R2116" t="s">
        <v>31</v>
      </c>
      <c r="S2116" t="s">
        <v>251</v>
      </c>
      <c r="T2116" t="s">
        <v>433</v>
      </c>
      <c r="U2116" s="21">
        <v>967.54</v>
      </c>
      <c r="V2116" s="21" t="s">
        <v>368</v>
      </c>
      <c r="W2116" t="str">
        <f>VLOOKUP(Table_Query_from_Actuarial___Production[[#This Row],[Kor1]],$AI$3:$AK$105,3,FALSE)</f>
        <v>Misc. Expense</v>
      </c>
      <c r="X2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6"/>
      <c r="Z2116" t="s">
        <v>130</v>
      </c>
      <c r="AA2116" t="s">
        <v>224</v>
      </c>
      <c r="AB2116" t="s">
        <v>8</v>
      </c>
      <c r="AC2116" s="21">
        <v>2618652.34</v>
      </c>
      <c r="AD2116" s="21" t="s">
        <v>370</v>
      </c>
      <c r="AE2116" t="str">
        <f>VLOOKUP(Table_Query_from_Actuarial___Production3[[#This Row],[Kor1]],$AI$3:$AK$105,3,FALSE)</f>
        <v>CPAI Charge-offs</v>
      </c>
      <c r="AF2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117" spans="18:32" x14ac:dyDescent="0.2">
      <c r="R2117" t="s">
        <v>43</v>
      </c>
      <c r="S2117" t="s">
        <v>227</v>
      </c>
      <c r="T2117" t="s">
        <v>356</v>
      </c>
      <c r="U2117" s="21">
        <v>0.11</v>
      </c>
      <c r="V2117" s="21" t="s">
        <v>368</v>
      </c>
      <c r="W2117" t="str">
        <f>VLOOKUP(Table_Query_from_Actuarial___Production[[#This Row],[Kor1]],$AI$3:$AK$105,3,FALSE)</f>
        <v>Charge-offs</v>
      </c>
      <c r="X2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7"/>
      <c r="Z2117" t="s">
        <v>47</v>
      </c>
      <c r="AA2117" t="s">
        <v>267</v>
      </c>
      <c r="AB2117" t="s">
        <v>351</v>
      </c>
      <c r="AC2117" s="21">
        <v>832.36</v>
      </c>
      <c r="AD2117" s="21" t="s">
        <v>368</v>
      </c>
      <c r="AE2117" t="str">
        <f>VLOOKUP(Table_Query_from_Actuarial___Production3[[#This Row],[Kor1]],$AI$3:$AK$105,3,FALSE)</f>
        <v>Investment Income</v>
      </c>
      <c r="AF2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8" spans="18:32" x14ac:dyDescent="0.2">
      <c r="R2118" t="s">
        <v>39</v>
      </c>
      <c r="S2118" t="s">
        <v>254</v>
      </c>
      <c r="T2118" t="s">
        <v>9</v>
      </c>
      <c r="U2118" s="21">
        <v>37.01</v>
      </c>
      <c r="V2118" s="21" t="s">
        <v>368</v>
      </c>
      <c r="W2118" t="str">
        <f>VLOOKUP(Table_Query_from_Actuarial___Production[[#This Row],[Kor1]],$AI$3:$AK$105,3,FALSE)</f>
        <v>Misc. Income for Insolvent Companies</v>
      </c>
      <c r="X2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8"/>
      <c r="Z2118" t="s">
        <v>10</v>
      </c>
      <c r="AA2118" t="s">
        <v>258</v>
      </c>
      <c r="AB2118" t="s">
        <v>6</v>
      </c>
      <c r="AC2118" s="21">
        <v>120493.5</v>
      </c>
      <c r="AD2118" s="21" t="s">
        <v>368</v>
      </c>
      <c r="AE2118" t="str">
        <f>VLOOKUP(Table_Query_from_Actuarial___Production3[[#This Row],[Kor1]],$AI$3:$AK$105,3,FALSE)</f>
        <v>Commissions</v>
      </c>
      <c r="AF2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19" spans="18:32" x14ac:dyDescent="0.2">
      <c r="R2119" t="s">
        <v>33</v>
      </c>
      <c r="S2119" t="s">
        <v>4</v>
      </c>
      <c r="T2119" t="s">
        <v>351</v>
      </c>
      <c r="U2119" s="21">
        <v>137773.43</v>
      </c>
      <c r="V2119" s="21" t="s">
        <v>368</v>
      </c>
      <c r="W2119" t="str">
        <f>VLOOKUP(Table_Query_from_Actuarial___Production[[#This Row],[Kor1]],$AI$3:$AK$105,3,FALSE)</f>
        <v>Misc. Expense</v>
      </c>
      <c r="X2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19"/>
      <c r="Z2119" t="s">
        <v>41</v>
      </c>
      <c r="AA2119" t="s">
        <v>243</v>
      </c>
      <c r="AB2119" t="s">
        <v>351</v>
      </c>
      <c r="AC2119" s="21">
        <v>-50</v>
      </c>
      <c r="AD2119" s="21" t="s">
        <v>368</v>
      </c>
      <c r="AE2119" t="str">
        <f>VLOOKUP(Table_Query_from_Actuarial___Production3[[#This Row],[Kor1]],$AI$3:$AK$105,3,FALSE)</f>
        <v>Misc. Income</v>
      </c>
      <c r="AF2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0" spans="18:32" x14ac:dyDescent="0.2">
      <c r="R2120" t="s">
        <v>13</v>
      </c>
      <c r="S2120" t="s">
        <v>240</v>
      </c>
      <c r="T2120" t="s">
        <v>441</v>
      </c>
      <c r="U2120" s="21">
        <v>998811.65</v>
      </c>
      <c r="V2120" s="21" t="s">
        <v>368</v>
      </c>
      <c r="W2120" t="str">
        <f>VLOOKUP(Table_Query_from_Actuarial___Production[[#This Row],[Kor1]],$AI$3:$AK$105,3,FALSE)</f>
        <v>Operating Service Fees</v>
      </c>
      <c r="X2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0"/>
      <c r="Z2120" t="s">
        <v>10</v>
      </c>
      <c r="AA2120" t="s">
        <v>233</v>
      </c>
      <c r="AB2120" t="s">
        <v>6</v>
      </c>
      <c r="AC2120" s="21">
        <v>13256.15</v>
      </c>
      <c r="AD2120" s="21" t="s">
        <v>368</v>
      </c>
      <c r="AE2120" t="str">
        <f>VLOOKUP(Table_Query_from_Actuarial___Production3[[#This Row],[Kor1]],$AI$3:$AK$105,3,FALSE)</f>
        <v>Commissions</v>
      </c>
      <c r="AF2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1" spans="18:32" x14ac:dyDescent="0.2">
      <c r="R2121" t="s">
        <v>49</v>
      </c>
      <c r="S2121" t="s">
        <v>231</v>
      </c>
      <c r="T2121" t="s">
        <v>441</v>
      </c>
      <c r="U2121" s="21">
        <v>85360.54</v>
      </c>
      <c r="V2121" s="21" t="s">
        <v>368</v>
      </c>
      <c r="W2121" t="str">
        <f>VLOOKUP(Table_Query_from_Actuarial___Production[[#This Row],[Kor1]],$AI$3:$AK$105,3,FALSE)</f>
        <v>ALAE Paid</v>
      </c>
      <c r="X2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1"/>
      <c r="Z2121" t="s">
        <v>14</v>
      </c>
      <c r="AA2121" t="s">
        <v>252</v>
      </c>
      <c r="AB2121" t="s">
        <v>7</v>
      </c>
      <c r="AC2121" s="21">
        <v>1684855.14</v>
      </c>
      <c r="AD2121" s="21" t="s">
        <v>368</v>
      </c>
      <c r="AE2121" t="str">
        <f>VLOOKUP(Table_Query_from_Actuarial___Production3[[#This Row],[Kor1]],$AI$3:$AK$105,3,FALSE)</f>
        <v>Claims Expense</v>
      </c>
      <c r="AF2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2" spans="18:32" x14ac:dyDescent="0.2">
      <c r="R2122" t="s">
        <v>439</v>
      </c>
      <c r="S2122" t="s">
        <v>232</v>
      </c>
      <c r="T2122" t="s">
        <v>443</v>
      </c>
      <c r="U2122" s="21">
        <v>-31167.7</v>
      </c>
      <c r="V2122" s="21" t="s">
        <v>368</v>
      </c>
      <c r="W2122" t="str">
        <f>VLOOKUP(Table_Query_from_Actuarial___Production[[#This Row],[Kor1]],$AI$3:$AK$105,3,FALSE)</f>
        <v>Operating Service Fees</v>
      </c>
      <c r="X2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2"/>
      <c r="Z2122" t="s">
        <v>19</v>
      </c>
      <c r="AA2122" t="s">
        <v>254</v>
      </c>
      <c r="AB2122" t="s">
        <v>6</v>
      </c>
      <c r="AC2122" s="21">
        <v>1772</v>
      </c>
      <c r="AD2122" s="21" t="s">
        <v>368</v>
      </c>
      <c r="AE2122" t="str">
        <f>VLOOKUP(Table_Query_from_Actuarial___Production3[[#This Row],[Kor1]],$AI$3:$AK$105,3,FALSE)</f>
        <v>Misc. Expense for Insolvent Companies</v>
      </c>
      <c r="AF2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3" spans="18:32" x14ac:dyDescent="0.2">
      <c r="R2123" t="s">
        <v>31</v>
      </c>
      <c r="S2123" t="s">
        <v>237</v>
      </c>
      <c r="T2123" t="s">
        <v>427</v>
      </c>
      <c r="U2123" s="21">
        <v>-5131.2</v>
      </c>
      <c r="V2123" s="21" t="s">
        <v>368</v>
      </c>
      <c r="W2123" t="str">
        <f>VLOOKUP(Table_Query_from_Actuarial___Production[[#This Row],[Kor1]],$AI$3:$AK$105,3,FALSE)</f>
        <v>Misc. Expense</v>
      </c>
      <c r="X2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3"/>
      <c r="Z2123" t="s">
        <v>43</v>
      </c>
      <c r="AA2123" t="s">
        <v>224</v>
      </c>
      <c r="AB2123" t="s">
        <v>443</v>
      </c>
      <c r="AC2123" s="21">
        <v>9.15</v>
      </c>
      <c r="AD2123" s="21" t="s">
        <v>425</v>
      </c>
      <c r="AE2123" t="str">
        <f>VLOOKUP(Table_Query_from_Actuarial___Production3[[#This Row],[Kor1]],$AI$3:$AK$105,3,FALSE)</f>
        <v>Charge-offs</v>
      </c>
      <c r="AF2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124" spans="18:32" x14ac:dyDescent="0.2">
      <c r="R2124" t="s">
        <v>11</v>
      </c>
      <c r="S2124" t="s">
        <v>234</v>
      </c>
      <c r="T2124" t="s">
        <v>433</v>
      </c>
      <c r="U2124" s="21">
        <v>199978.62</v>
      </c>
      <c r="V2124" s="21" t="s">
        <v>368</v>
      </c>
      <c r="W2124" t="str">
        <f>VLOOKUP(Table_Query_from_Actuarial___Production[[#This Row],[Kor1]],$AI$3:$AK$105,3,FALSE)</f>
        <v>Losses Paid</v>
      </c>
      <c r="X2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4"/>
      <c r="Z2124" t="s">
        <v>20</v>
      </c>
      <c r="AA2124" t="s">
        <v>234</v>
      </c>
      <c r="AB2124" t="s">
        <v>5</v>
      </c>
      <c r="AC2124" s="21">
        <v>194.47</v>
      </c>
      <c r="AD2124" s="21" t="s">
        <v>368</v>
      </c>
      <c r="AE2124" t="str">
        <f>VLOOKUP(Table_Query_from_Actuarial___Production3[[#This Row],[Kor1]],$AI$3:$AK$105,3,FALSE)</f>
        <v>Misc. Expense</v>
      </c>
      <c r="AF2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5" spans="18:32" x14ac:dyDescent="0.2">
      <c r="R2125" t="s">
        <v>33</v>
      </c>
      <c r="S2125" t="s">
        <v>249</v>
      </c>
      <c r="T2125" t="s">
        <v>356</v>
      </c>
      <c r="U2125" s="21">
        <v>11274.52</v>
      </c>
      <c r="V2125" s="21" t="s">
        <v>368</v>
      </c>
      <c r="W2125" t="str">
        <f>VLOOKUP(Table_Query_from_Actuarial___Production[[#This Row],[Kor1]],$AI$3:$AK$105,3,FALSE)</f>
        <v>Misc. Expense</v>
      </c>
      <c r="X2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5"/>
      <c r="Z2125" t="s">
        <v>31</v>
      </c>
      <c r="AA2125" t="s">
        <v>252</v>
      </c>
      <c r="AB2125" t="s">
        <v>5</v>
      </c>
      <c r="AC2125" s="21">
        <v>1746.09</v>
      </c>
      <c r="AD2125" s="21" t="s">
        <v>368</v>
      </c>
      <c r="AE2125" t="str">
        <f>VLOOKUP(Table_Query_from_Actuarial___Production3[[#This Row],[Kor1]],$AI$3:$AK$105,3,FALSE)</f>
        <v>Misc. Expense</v>
      </c>
      <c r="AF2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6" spans="18:32" x14ac:dyDescent="0.2">
      <c r="R2126" t="s">
        <v>10</v>
      </c>
      <c r="S2126" t="s">
        <v>235</v>
      </c>
      <c r="T2126" t="s">
        <v>7</v>
      </c>
      <c r="U2126" s="21">
        <v>28331.75</v>
      </c>
      <c r="V2126" s="21" t="s">
        <v>368</v>
      </c>
      <c r="W2126" t="str">
        <f>VLOOKUP(Table_Query_from_Actuarial___Production[[#This Row],[Kor1]],$AI$3:$AK$105,3,FALSE)</f>
        <v>Commissions</v>
      </c>
      <c r="X2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6"/>
      <c r="Z2126" t="s">
        <v>47</v>
      </c>
      <c r="AA2126" t="s">
        <v>261</v>
      </c>
      <c r="AB2126" t="s">
        <v>443</v>
      </c>
      <c r="AC2126" s="21">
        <v>1848.08</v>
      </c>
      <c r="AD2126" s="21" t="s">
        <v>368</v>
      </c>
      <c r="AE2126" t="str">
        <f>VLOOKUP(Table_Query_from_Actuarial___Production3[[#This Row],[Kor1]],$AI$3:$AK$105,3,FALSE)</f>
        <v>Investment Income</v>
      </c>
      <c r="AF2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7" spans="18:32" x14ac:dyDescent="0.2">
      <c r="R2127" t="s">
        <v>75</v>
      </c>
      <c r="S2127" t="s">
        <v>4</v>
      </c>
      <c r="T2127" t="s">
        <v>443</v>
      </c>
      <c r="U2127" s="21">
        <v>92019</v>
      </c>
      <c r="V2127" s="21" t="s">
        <v>368</v>
      </c>
      <c r="W2127" t="str">
        <f>VLOOKUP(Table_Query_from_Actuarial___Production[[#This Row],[Kor1]],$AI$3:$AK$105,3,FALSE)</f>
        <v>EBUB</v>
      </c>
      <c r="X2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7"/>
      <c r="Z2127" t="s">
        <v>3</v>
      </c>
      <c r="AA2127" t="s">
        <v>251</v>
      </c>
      <c r="AB2127" t="s">
        <v>7</v>
      </c>
      <c r="AC2127" s="21">
        <v>48090</v>
      </c>
      <c r="AD2127" s="21" t="s">
        <v>368</v>
      </c>
      <c r="AE2127" t="str">
        <f>VLOOKUP(Table_Query_from_Actuarial___Production3[[#This Row],[Kor1]],$AI$3:$AK$105,3,FALSE)</f>
        <v>Premiums Written</v>
      </c>
      <c r="AF2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8" spans="18:32" x14ac:dyDescent="0.2">
      <c r="R2128" t="s">
        <v>10</v>
      </c>
      <c r="S2128" t="s">
        <v>236</v>
      </c>
      <c r="T2128" t="s">
        <v>9</v>
      </c>
      <c r="U2128" s="21">
        <v>10932.35</v>
      </c>
      <c r="V2128" s="21" t="s">
        <v>368</v>
      </c>
      <c r="W2128" t="str">
        <f>VLOOKUP(Table_Query_from_Actuarial___Production[[#This Row],[Kor1]],$AI$3:$AK$105,3,FALSE)</f>
        <v>Commissions</v>
      </c>
      <c r="X2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8"/>
      <c r="Z2128" t="s">
        <v>16</v>
      </c>
      <c r="AA2128" t="s">
        <v>4</v>
      </c>
      <c r="AB2128" t="s">
        <v>8</v>
      </c>
      <c r="AC2128" s="21">
        <v>395000</v>
      </c>
      <c r="AD2128" s="21" t="s">
        <v>368</v>
      </c>
      <c r="AE2128" t="str">
        <f>VLOOKUP(Table_Query_from_Actuarial___Production3[[#This Row],[Kor1]],$AI$3:$AK$105,3,FALSE)</f>
        <v>Losses Outstanding</v>
      </c>
      <c r="AF2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29" spans="18:32" x14ac:dyDescent="0.2">
      <c r="R2129" t="s">
        <v>14</v>
      </c>
      <c r="S2129" t="s">
        <v>250</v>
      </c>
      <c r="T2129" t="s">
        <v>6</v>
      </c>
      <c r="U2129" s="21">
        <v>90003.85</v>
      </c>
      <c r="V2129" s="21" t="s">
        <v>368</v>
      </c>
      <c r="W2129" t="str">
        <f>VLOOKUP(Table_Query_from_Actuarial___Production[[#This Row],[Kor1]],$AI$3:$AK$105,3,FALSE)</f>
        <v>Claims Expense</v>
      </c>
      <c r="X2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29"/>
      <c r="Z2129" t="s">
        <v>50</v>
      </c>
      <c r="AA2129" t="s">
        <v>227</v>
      </c>
      <c r="AB2129" t="s">
        <v>441</v>
      </c>
      <c r="AC2129" s="21">
        <v>446.1</v>
      </c>
      <c r="AD2129" s="21" t="s">
        <v>368</v>
      </c>
      <c r="AE2129" t="str">
        <f>VLOOKUP(Table_Query_from_Actuarial___Production3[[#This Row],[Kor1]],$AI$3:$AK$105,3,FALSE)</f>
        <v>ALAE Reserve</v>
      </c>
      <c r="AF2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0" spans="18:32" x14ac:dyDescent="0.2">
      <c r="R2130" t="s">
        <v>38</v>
      </c>
      <c r="S2130" t="s">
        <v>224</v>
      </c>
      <c r="T2130" t="s">
        <v>356</v>
      </c>
      <c r="U2130" s="21">
        <v>6310.86</v>
      </c>
      <c r="V2130" s="21" t="s">
        <v>369</v>
      </c>
      <c r="W2130" t="str">
        <f>VLOOKUP(Table_Query_from_Actuarial___Production[[#This Row],[Kor1]],$AI$3:$AK$105,3,FALSE)</f>
        <v>Misc. Income</v>
      </c>
      <c r="X2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130"/>
      <c r="Z2130" t="s">
        <v>21</v>
      </c>
      <c r="AA2130" t="s">
        <v>251</v>
      </c>
      <c r="AB2130" t="s">
        <v>9</v>
      </c>
      <c r="AC2130" s="21">
        <v>1978.98</v>
      </c>
      <c r="AD2130" s="21" t="s">
        <v>368</v>
      </c>
      <c r="AE2130" t="str">
        <f>VLOOKUP(Table_Query_from_Actuarial___Production3[[#This Row],[Kor1]],$AI$3:$AK$105,3,FALSE)</f>
        <v>Misc. Expense</v>
      </c>
      <c r="AF2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1" spans="18:32" x14ac:dyDescent="0.2">
      <c r="R2131" t="s">
        <v>12</v>
      </c>
      <c r="S2131" t="s">
        <v>260</v>
      </c>
      <c r="T2131" t="s">
        <v>442</v>
      </c>
      <c r="U2131" s="21">
        <v>1194.3</v>
      </c>
      <c r="V2131" s="21" t="s">
        <v>368</v>
      </c>
      <c r="W2131" t="str">
        <f>VLOOKUP(Table_Query_from_Actuarial___Production[[#This Row],[Kor1]],$AI$3:$AK$105,3,FALSE)</f>
        <v>Premium Tax</v>
      </c>
      <c r="X2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1"/>
      <c r="Z2131" t="s">
        <v>33</v>
      </c>
      <c r="AA2131" t="s">
        <v>4</v>
      </c>
      <c r="AB2131" t="s">
        <v>441</v>
      </c>
      <c r="AC2131" s="21">
        <v>45592.58</v>
      </c>
      <c r="AD2131" s="21" t="s">
        <v>368</v>
      </c>
      <c r="AE2131" t="str">
        <f>VLOOKUP(Table_Query_from_Actuarial___Production3[[#This Row],[Kor1]],$AI$3:$AK$105,3,FALSE)</f>
        <v>Misc. Expense</v>
      </c>
      <c r="AF2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2" spans="18:32" x14ac:dyDescent="0.2">
      <c r="R2132" t="s">
        <v>14</v>
      </c>
      <c r="S2132" t="s">
        <v>238</v>
      </c>
      <c r="T2132" t="s">
        <v>427</v>
      </c>
      <c r="U2132" s="21">
        <v>71985.919999999998</v>
      </c>
      <c r="V2132" s="21" t="s">
        <v>368</v>
      </c>
      <c r="W2132" t="str">
        <f>VLOOKUP(Table_Query_from_Actuarial___Production[[#This Row],[Kor1]],$AI$3:$AK$105,3,FALSE)</f>
        <v>Claims Expense</v>
      </c>
      <c r="X2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2"/>
      <c r="Z2132" t="s">
        <v>33</v>
      </c>
      <c r="AA2132" t="s">
        <v>261</v>
      </c>
      <c r="AB2132" t="s">
        <v>9</v>
      </c>
      <c r="AC2132" s="21">
        <v>16614.21</v>
      </c>
      <c r="AD2132" s="21" t="s">
        <v>368</v>
      </c>
      <c r="AE2132" t="str">
        <f>VLOOKUP(Table_Query_from_Actuarial___Production3[[#This Row],[Kor1]],$AI$3:$AK$105,3,FALSE)</f>
        <v>Misc. Expense</v>
      </c>
      <c r="AF2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3" spans="18:32" x14ac:dyDescent="0.2">
      <c r="R2133" t="s">
        <v>13</v>
      </c>
      <c r="S2133" t="s">
        <v>248</v>
      </c>
      <c r="T2133" t="s">
        <v>443</v>
      </c>
      <c r="U2133" s="21">
        <v>88832.09</v>
      </c>
      <c r="V2133" s="21" t="s">
        <v>368</v>
      </c>
      <c r="W2133" t="str">
        <f>VLOOKUP(Table_Query_from_Actuarial___Production[[#This Row],[Kor1]],$AI$3:$AK$105,3,FALSE)</f>
        <v>Operating Service Fees</v>
      </c>
      <c r="X2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3"/>
      <c r="Z2133" t="s">
        <v>41</v>
      </c>
      <c r="AA2133" t="s">
        <v>263</v>
      </c>
      <c r="AB2133" t="s">
        <v>5</v>
      </c>
      <c r="AC2133" s="21">
        <v>200.01</v>
      </c>
      <c r="AD2133" s="21" t="s">
        <v>368</v>
      </c>
      <c r="AE2133" t="str">
        <f>VLOOKUP(Table_Query_from_Actuarial___Production3[[#This Row],[Kor1]],$AI$3:$AK$105,3,FALSE)</f>
        <v>Misc. Income</v>
      </c>
      <c r="AF2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4" spans="18:32" x14ac:dyDescent="0.2">
      <c r="R2134" t="s">
        <v>25</v>
      </c>
      <c r="S2134" t="s">
        <v>250</v>
      </c>
      <c r="T2134" t="s">
        <v>8</v>
      </c>
      <c r="U2134" s="21">
        <v>1679.5</v>
      </c>
      <c r="V2134" s="21" t="s">
        <v>368</v>
      </c>
      <c r="W2134" t="str">
        <f>VLOOKUP(Table_Query_from_Actuarial___Production[[#This Row],[Kor1]],$AI$3:$AK$105,3,FALSE)</f>
        <v>Misc. Expense</v>
      </c>
      <c r="X2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4"/>
      <c r="Z2134" t="s">
        <v>19</v>
      </c>
      <c r="AA2134" t="s">
        <v>234</v>
      </c>
      <c r="AB2134" t="s">
        <v>433</v>
      </c>
      <c r="AC2134" s="21">
        <v>3528.98</v>
      </c>
      <c r="AD2134" s="21" t="s">
        <v>368</v>
      </c>
      <c r="AE2134" t="str">
        <f>VLOOKUP(Table_Query_from_Actuarial___Production3[[#This Row],[Kor1]],$AI$3:$AK$105,3,FALSE)</f>
        <v>Misc. Expense for Insolvent Companies</v>
      </c>
      <c r="AF2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5" spans="18:32" x14ac:dyDescent="0.2">
      <c r="R2135" t="s">
        <v>44</v>
      </c>
      <c r="S2135" t="s">
        <v>237</v>
      </c>
      <c r="T2135" t="s">
        <v>356</v>
      </c>
      <c r="U2135" s="21">
        <v>2779475.86</v>
      </c>
      <c r="V2135" s="21" t="s">
        <v>368</v>
      </c>
      <c r="W2135" t="str">
        <f>VLOOKUP(Table_Query_from_Actuarial___Production[[#This Row],[Kor1]],$AI$3:$AK$105,3,FALSE)</f>
        <v>Charge-offs</v>
      </c>
      <c r="X2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5"/>
      <c r="Z2135" t="s">
        <v>107</v>
      </c>
      <c r="AA2135" t="s">
        <v>259</v>
      </c>
      <c r="AB2135" t="s">
        <v>8</v>
      </c>
      <c r="AC2135" s="21">
        <v>339</v>
      </c>
      <c r="AD2135" s="21" t="s">
        <v>368</v>
      </c>
      <c r="AE2135" t="str">
        <f>VLOOKUP(Table_Query_from_Actuarial___Production3[[#This Row],[Kor1]],$AI$3:$AK$105,3,FALSE)</f>
        <v>Misc. Expense</v>
      </c>
      <c r="AF2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6" spans="18:32" x14ac:dyDescent="0.2">
      <c r="R2136" t="s">
        <v>10</v>
      </c>
      <c r="S2136" t="s">
        <v>268</v>
      </c>
      <c r="T2136" t="s">
        <v>433</v>
      </c>
      <c r="U2136" s="21">
        <v>10854.85</v>
      </c>
      <c r="V2136" s="21" t="s">
        <v>368</v>
      </c>
      <c r="W2136" t="str">
        <f>VLOOKUP(Table_Query_from_Actuarial___Production[[#This Row],[Kor1]],$AI$3:$AK$105,3,FALSE)</f>
        <v>Commissions</v>
      </c>
      <c r="X2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6"/>
      <c r="Z2136" t="s">
        <v>37</v>
      </c>
      <c r="AA2136" t="s">
        <v>228</v>
      </c>
      <c r="AB2136" t="s">
        <v>427</v>
      </c>
      <c r="AC2136" s="21">
        <v>0.44</v>
      </c>
      <c r="AD2136" s="21" t="s">
        <v>368</v>
      </c>
      <c r="AE2136" t="str">
        <f>VLOOKUP(Table_Query_from_Actuarial___Production3[[#This Row],[Kor1]],$AI$3:$AK$105,3,FALSE)</f>
        <v>Misc. Expense</v>
      </c>
      <c r="AF2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7" spans="18:32" x14ac:dyDescent="0.2">
      <c r="R2137" t="s">
        <v>14</v>
      </c>
      <c r="S2137" t="s">
        <v>251</v>
      </c>
      <c r="T2137" t="s">
        <v>427</v>
      </c>
      <c r="U2137" s="21">
        <v>43877.02</v>
      </c>
      <c r="V2137" s="21" t="s">
        <v>368</v>
      </c>
      <c r="W2137" t="str">
        <f>VLOOKUP(Table_Query_from_Actuarial___Production[[#This Row],[Kor1]],$AI$3:$AK$105,3,FALSE)</f>
        <v>Claims Expense</v>
      </c>
      <c r="X2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7"/>
      <c r="Z2137" t="s">
        <v>47</v>
      </c>
      <c r="AA2137" t="s">
        <v>263</v>
      </c>
      <c r="AB2137" t="s">
        <v>7</v>
      </c>
      <c r="AC2137" s="21">
        <v>0.03</v>
      </c>
      <c r="AD2137" s="21" t="s">
        <v>368</v>
      </c>
      <c r="AE2137" t="str">
        <f>VLOOKUP(Table_Query_from_Actuarial___Production3[[#This Row],[Kor1]],$AI$3:$AK$105,3,FALSE)</f>
        <v>Investment Income</v>
      </c>
      <c r="AF2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8" spans="18:32" x14ac:dyDescent="0.2">
      <c r="R2138" t="s">
        <v>17</v>
      </c>
      <c r="S2138" t="s">
        <v>255</v>
      </c>
      <c r="T2138" t="s">
        <v>442</v>
      </c>
      <c r="U2138" s="21">
        <v>54114.05</v>
      </c>
      <c r="V2138" s="21" t="s">
        <v>368</v>
      </c>
      <c r="W2138" t="str">
        <f>VLOOKUP(Table_Query_from_Actuarial___Production[[#This Row],[Kor1]],$AI$3:$AK$105,3,FALSE)</f>
        <v>IBNR</v>
      </c>
      <c r="X2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8"/>
      <c r="Z2138" t="s">
        <v>14</v>
      </c>
      <c r="AA2138" t="s">
        <v>238</v>
      </c>
      <c r="AB2138" t="s">
        <v>7</v>
      </c>
      <c r="AC2138" s="21">
        <v>3452.81</v>
      </c>
      <c r="AD2138" s="21" t="s">
        <v>368</v>
      </c>
      <c r="AE2138" t="str">
        <f>VLOOKUP(Table_Query_from_Actuarial___Production3[[#This Row],[Kor1]],$AI$3:$AK$105,3,FALSE)</f>
        <v>Claims Expense</v>
      </c>
      <c r="AF2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39" spans="18:32" x14ac:dyDescent="0.2">
      <c r="R2139" t="s">
        <v>12</v>
      </c>
      <c r="S2139" t="s">
        <v>259</v>
      </c>
      <c r="T2139" t="s">
        <v>445</v>
      </c>
      <c r="U2139" s="21">
        <v>906.15</v>
      </c>
      <c r="V2139" s="21" t="s">
        <v>368</v>
      </c>
      <c r="W2139" t="str">
        <f>VLOOKUP(Table_Query_from_Actuarial___Production[[#This Row],[Kor1]],$AI$3:$AK$105,3,FALSE)</f>
        <v>Premium Tax</v>
      </c>
      <c r="X2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39"/>
      <c r="Z2139" t="s">
        <v>14</v>
      </c>
      <c r="AA2139" t="s">
        <v>251</v>
      </c>
      <c r="AB2139" t="s">
        <v>7</v>
      </c>
      <c r="AC2139" s="21">
        <v>2735.65</v>
      </c>
      <c r="AD2139" s="21" t="s">
        <v>368</v>
      </c>
      <c r="AE2139" t="str">
        <f>VLOOKUP(Table_Query_from_Actuarial___Production3[[#This Row],[Kor1]],$AI$3:$AK$105,3,FALSE)</f>
        <v>Claims Expense</v>
      </c>
      <c r="AF2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0" spans="18:32" x14ac:dyDescent="0.2">
      <c r="R2140" t="s">
        <v>31</v>
      </c>
      <c r="S2140" t="s">
        <v>268</v>
      </c>
      <c r="T2140" t="s">
        <v>9</v>
      </c>
      <c r="U2140" s="21">
        <v>563.01</v>
      </c>
      <c r="V2140" s="21" t="s">
        <v>368</v>
      </c>
      <c r="W2140" t="str">
        <f>VLOOKUP(Table_Query_from_Actuarial___Production[[#This Row],[Kor1]],$AI$3:$AK$105,3,FALSE)</f>
        <v>Misc. Expense</v>
      </c>
      <c r="X2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0"/>
      <c r="Z2140" t="s">
        <v>31</v>
      </c>
      <c r="AA2140" t="s">
        <v>250</v>
      </c>
      <c r="AB2140" t="s">
        <v>441</v>
      </c>
      <c r="AC2140" s="21">
        <v>974.6</v>
      </c>
      <c r="AD2140" s="21" t="s">
        <v>368</v>
      </c>
      <c r="AE2140" t="str">
        <f>VLOOKUP(Table_Query_from_Actuarial___Production3[[#This Row],[Kor1]],$AI$3:$AK$105,3,FALSE)</f>
        <v>Misc. Expense</v>
      </c>
      <c r="AF2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1" spans="18:32" x14ac:dyDescent="0.2">
      <c r="R2141" t="s">
        <v>50</v>
      </c>
      <c r="S2141" t="s">
        <v>227</v>
      </c>
      <c r="T2141" t="s">
        <v>433</v>
      </c>
      <c r="U2141" s="21">
        <v>275.10000000000002</v>
      </c>
      <c r="V2141" s="21" t="s">
        <v>368</v>
      </c>
      <c r="W2141" t="str">
        <f>VLOOKUP(Table_Query_from_Actuarial___Production[[#This Row],[Kor1]],$AI$3:$AK$105,3,FALSE)</f>
        <v>ALAE Reserve</v>
      </c>
      <c r="X2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1"/>
      <c r="Z2141" t="s">
        <v>12</v>
      </c>
      <c r="AA2141" t="s">
        <v>243</v>
      </c>
      <c r="AB2141" t="s">
        <v>442</v>
      </c>
      <c r="AC2141" s="21">
        <v>7822.22</v>
      </c>
      <c r="AD2141" s="21" t="s">
        <v>368</v>
      </c>
      <c r="AE2141" t="str">
        <f>VLOOKUP(Table_Query_from_Actuarial___Production3[[#This Row],[Kor1]],$AI$3:$AK$105,3,FALSE)</f>
        <v>Premium Tax</v>
      </c>
      <c r="AF2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2" spans="18:32" x14ac:dyDescent="0.2">
      <c r="R2142" t="s">
        <v>10</v>
      </c>
      <c r="S2142" t="s">
        <v>244</v>
      </c>
      <c r="T2142" t="s">
        <v>445</v>
      </c>
      <c r="U2142" s="21">
        <v>141826.79999999999</v>
      </c>
      <c r="V2142" s="21" t="s">
        <v>368</v>
      </c>
      <c r="W2142" t="str">
        <f>VLOOKUP(Table_Query_from_Actuarial___Production[[#This Row],[Kor1]],$AI$3:$AK$105,3,FALSE)</f>
        <v>Commissions</v>
      </c>
      <c r="X2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2"/>
      <c r="Z2142" t="s">
        <v>13</v>
      </c>
      <c r="AA2142" t="s">
        <v>229</v>
      </c>
      <c r="AB2142" t="s">
        <v>9</v>
      </c>
      <c r="AC2142" s="21">
        <v>13450.09</v>
      </c>
      <c r="AD2142" s="21" t="s">
        <v>368</v>
      </c>
      <c r="AE2142" t="str">
        <f>VLOOKUP(Table_Query_from_Actuarial___Production3[[#This Row],[Kor1]],$AI$3:$AK$105,3,FALSE)</f>
        <v>Operating Service Fees</v>
      </c>
      <c r="AF2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3" spans="18:32" x14ac:dyDescent="0.2">
      <c r="R2143" t="s">
        <v>39</v>
      </c>
      <c r="S2143" t="s">
        <v>266</v>
      </c>
      <c r="T2143" t="s">
        <v>8</v>
      </c>
      <c r="U2143" s="21">
        <v>568</v>
      </c>
      <c r="V2143" s="21" t="s">
        <v>368</v>
      </c>
      <c r="W2143" t="str">
        <f>VLOOKUP(Table_Query_from_Actuarial___Production[[#This Row],[Kor1]],$AI$3:$AK$105,3,FALSE)</f>
        <v>Misc. Income for Insolvent Companies</v>
      </c>
      <c r="X2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3"/>
      <c r="Z2143" t="s">
        <v>10</v>
      </c>
      <c r="AA2143" t="s">
        <v>225</v>
      </c>
      <c r="AB2143" t="s">
        <v>351</v>
      </c>
      <c r="AC2143" s="21">
        <v>86360.99</v>
      </c>
      <c r="AD2143" s="21" t="s">
        <v>368</v>
      </c>
      <c r="AE2143" t="str">
        <f>VLOOKUP(Table_Query_from_Actuarial___Production3[[#This Row],[Kor1]],$AI$3:$AK$105,3,FALSE)</f>
        <v>Commissions</v>
      </c>
      <c r="AF2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144" spans="18:32" x14ac:dyDescent="0.2">
      <c r="R2144" t="s">
        <v>11</v>
      </c>
      <c r="S2144" t="s">
        <v>225</v>
      </c>
      <c r="T2144" t="s">
        <v>9</v>
      </c>
      <c r="U2144" s="21">
        <v>659936.22</v>
      </c>
      <c r="V2144" s="21" t="s">
        <v>368</v>
      </c>
      <c r="W2144" t="str">
        <f>VLOOKUP(Table_Query_from_Actuarial___Production[[#This Row],[Kor1]],$AI$3:$AK$105,3,FALSE)</f>
        <v>Losses Paid</v>
      </c>
      <c r="X2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144"/>
      <c r="Z2144" t="s">
        <v>49</v>
      </c>
      <c r="AA2144" t="s">
        <v>265</v>
      </c>
      <c r="AB2144" t="s">
        <v>433</v>
      </c>
      <c r="AC2144" s="21">
        <v>12342.57</v>
      </c>
      <c r="AD2144" s="21" t="s">
        <v>368</v>
      </c>
      <c r="AE2144" t="str">
        <f>VLOOKUP(Table_Query_from_Actuarial___Production3[[#This Row],[Kor1]],$AI$3:$AK$105,3,FALSE)</f>
        <v>ALAE Paid</v>
      </c>
      <c r="AF2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5" spans="18:32" x14ac:dyDescent="0.2">
      <c r="R2145" t="s">
        <v>47</v>
      </c>
      <c r="S2145" t="s">
        <v>235</v>
      </c>
      <c r="T2145" t="s">
        <v>441</v>
      </c>
      <c r="U2145" s="21">
        <v>16.87</v>
      </c>
      <c r="V2145" s="21" t="s">
        <v>368</v>
      </c>
      <c r="W2145" t="str">
        <f>VLOOKUP(Table_Query_from_Actuarial___Production[[#This Row],[Kor1]],$AI$3:$AK$105,3,FALSE)</f>
        <v>Investment Income</v>
      </c>
      <c r="X2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5"/>
      <c r="Z2145" t="s">
        <v>3</v>
      </c>
      <c r="AA2145" t="s">
        <v>227</v>
      </c>
      <c r="AB2145" t="s">
        <v>427</v>
      </c>
      <c r="AC2145" s="21">
        <v>3218</v>
      </c>
      <c r="AD2145" s="21" t="s">
        <v>368</v>
      </c>
      <c r="AE2145" t="str">
        <f>VLOOKUP(Table_Query_from_Actuarial___Production3[[#This Row],[Kor1]],$AI$3:$AK$105,3,FALSE)</f>
        <v>Premiums Written</v>
      </c>
      <c r="AF2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6" spans="18:32" x14ac:dyDescent="0.2">
      <c r="R2146" t="s">
        <v>41</v>
      </c>
      <c r="S2146" t="s">
        <v>263</v>
      </c>
      <c r="T2146" t="s">
        <v>441</v>
      </c>
      <c r="U2146" s="21">
        <v>250</v>
      </c>
      <c r="V2146" s="21" t="s">
        <v>368</v>
      </c>
      <c r="W2146" t="str">
        <f>VLOOKUP(Table_Query_from_Actuarial___Production[[#This Row],[Kor1]],$AI$3:$AK$105,3,FALSE)</f>
        <v>Misc. Income</v>
      </c>
      <c r="X2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6"/>
      <c r="Z2146" t="s">
        <v>13</v>
      </c>
      <c r="AA2146" t="s">
        <v>236</v>
      </c>
      <c r="AB2146" t="s">
        <v>9</v>
      </c>
      <c r="AC2146" s="21">
        <v>36116.199999999997</v>
      </c>
      <c r="AD2146" s="21" t="s">
        <v>368</v>
      </c>
      <c r="AE2146" t="str">
        <f>VLOOKUP(Table_Query_from_Actuarial___Production3[[#This Row],[Kor1]],$AI$3:$AK$105,3,FALSE)</f>
        <v>Operating Service Fees</v>
      </c>
      <c r="AF2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7" spans="18:32" x14ac:dyDescent="0.2">
      <c r="R2147" t="s">
        <v>3</v>
      </c>
      <c r="S2147" t="s">
        <v>265</v>
      </c>
      <c r="T2147" t="s">
        <v>7</v>
      </c>
      <c r="U2147" s="21">
        <v>356181</v>
      </c>
      <c r="V2147" s="21" t="s">
        <v>368</v>
      </c>
      <c r="W2147" t="str">
        <f>VLOOKUP(Table_Query_from_Actuarial___Production[[#This Row],[Kor1]],$AI$3:$AK$105,3,FALSE)</f>
        <v>Premiums Written</v>
      </c>
      <c r="X2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7"/>
      <c r="Z2147" t="s">
        <v>3</v>
      </c>
      <c r="AA2147" t="s">
        <v>240</v>
      </c>
      <c r="AB2147" t="s">
        <v>6</v>
      </c>
      <c r="AC2147" s="21">
        <v>1053887</v>
      </c>
      <c r="AD2147" s="21" t="s">
        <v>368</v>
      </c>
      <c r="AE2147" t="str">
        <f>VLOOKUP(Table_Query_from_Actuarial___Production3[[#This Row],[Kor1]],$AI$3:$AK$105,3,FALSE)</f>
        <v>Premiums Written</v>
      </c>
      <c r="AF2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8" spans="18:32" x14ac:dyDescent="0.2">
      <c r="R2148" t="s">
        <v>11</v>
      </c>
      <c r="S2148" t="s">
        <v>238</v>
      </c>
      <c r="T2148" t="s">
        <v>443</v>
      </c>
      <c r="U2148" s="21">
        <v>79796.94</v>
      </c>
      <c r="V2148" s="21" t="s">
        <v>368</v>
      </c>
      <c r="W2148" t="str">
        <f>VLOOKUP(Table_Query_from_Actuarial___Production[[#This Row],[Kor1]],$AI$3:$AK$105,3,FALSE)</f>
        <v>Losses Paid</v>
      </c>
      <c r="X2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8"/>
      <c r="Z2148" t="s">
        <v>34</v>
      </c>
      <c r="AA2148" t="s">
        <v>246</v>
      </c>
      <c r="AB2148" t="s">
        <v>5</v>
      </c>
      <c r="AC2148" s="21">
        <v>84.04</v>
      </c>
      <c r="AD2148" s="21" t="s">
        <v>368</v>
      </c>
      <c r="AE2148" t="str">
        <f>VLOOKUP(Table_Query_from_Actuarial___Production3[[#This Row],[Kor1]],$AI$3:$AK$105,3,FALSE)</f>
        <v>Misc. Expense</v>
      </c>
      <c r="AF2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49" spans="18:32" x14ac:dyDescent="0.2">
      <c r="R2149" t="s">
        <v>13</v>
      </c>
      <c r="S2149" t="s">
        <v>267</v>
      </c>
      <c r="T2149" t="s">
        <v>443</v>
      </c>
      <c r="U2149" s="21">
        <v>181142.72</v>
      </c>
      <c r="V2149" s="21" t="s">
        <v>368</v>
      </c>
      <c r="W2149" t="str">
        <f>VLOOKUP(Table_Query_from_Actuarial___Production[[#This Row],[Kor1]],$AI$3:$AK$105,3,FALSE)</f>
        <v>Operating Service Fees</v>
      </c>
      <c r="X2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49"/>
      <c r="Z2149" t="s">
        <v>39</v>
      </c>
      <c r="AA2149" t="s">
        <v>241</v>
      </c>
      <c r="AB2149" t="s">
        <v>351</v>
      </c>
      <c r="AC2149" s="21">
        <v>834.04</v>
      </c>
      <c r="AD2149" s="21" t="s">
        <v>368</v>
      </c>
      <c r="AE2149" t="str">
        <f>VLOOKUP(Table_Query_from_Actuarial___Production3[[#This Row],[Kor1]],$AI$3:$AK$105,3,FALSE)</f>
        <v>Misc. Income for Insolvent Companies</v>
      </c>
      <c r="AF2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0" spans="18:32" x14ac:dyDescent="0.2">
      <c r="R2150" t="s">
        <v>3</v>
      </c>
      <c r="S2150" t="s">
        <v>255</v>
      </c>
      <c r="T2150" t="s">
        <v>9</v>
      </c>
      <c r="U2150" s="21">
        <v>547763</v>
      </c>
      <c r="V2150" s="21" t="s">
        <v>368</v>
      </c>
      <c r="W2150" t="str">
        <f>VLOOKUP(Table_Query_from_Actuarial___Production[[#This Row],[Kor1]],$AI$3:$AK$105,3,FALSE)</f>
        <v>Premiums Written</v>
      </c>
      <c r="X2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0"/>
      <c r="Z2150" t="s">
        <v>138</v>
      </c>
      <c r="AA2150" t="s">
        <v>354</v>
      </c>
      <c r="AB2150" t="s">
        <v>443</v>
      </c>
      <c r="AC2150" s="21">
        <v>96317.21</v>
      </c>
      <c r="AD2150" s="21" t="s">
        <v>369</v>
      </c>
      <c r="AE2150" t="str">
        <f>VLOOKUP(Table_Query_from_Actuarial___Production3[[#This Row],[Kor1]],$AI$3:$AK$105,3,FALSE)</f>
        <v>Advance Ceding Expense</v>
      </c>
      <c r="AF2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151" spans="18:32" x14ac:dyDescent="0.2">
      <c r="R2151" t="s">
        <v>31</v>
      </c>
      <c r="S2151" t="s">
        <v>258</v>
      </c>
      <c r="T2151" t="s">
        <v>351</v>
      </c>
      <c r="U2151" s="21">
        <v>601.75</v>
      </c>
      <c r="V2151" s="21" t="s">
        <v>368</v>
      </c>
      <c r="W2151" t="str">
        <f>VLOOKUP(Table_Query_from_Actuarial___Production[[#This Row],[Kor1]],$AI$3:$AK$105,3,FALSE)</f>
        <v>Misc. Expense</v>
      </c>
      <c r="X2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1"/>
      <c r="Z2151" t="s">
        <v>10</v>
      </c>
      <c r="AA2151" t="s">
        <v>260</v>
      </c>
      <c r="AB2151" t="s">
        <v>433</v>
      </c>
      <c r="AC2151" s="21">
        <v>726.1</v>
      </c>
      <c r="AD2151" s="21" t="s">
        <v>368</v>
      </c>
      <c r="AE2151" t="str">
        <f>VLOOKUP(Table_Query_from_Actuarial___Production3[[#This Row],[Kor1]],$AI$3:$AK$105,3,FALSE)</f>
        <v>Commissions</v>
      </c>
      <c r="AF2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2" spans="18:32" x14ac:dyDescent="0.2">
      <c r="R2152" t="s">
        <v>47</v>
      </c>
      <c r="S2152" t="s">
        <v>263</v>
      </c>
      <c r="T2152" t="s">
        <v>443</v>
      </c>
      <c r="U2152" s="21">
        <v>4119.63</v>
      </c>
      <c r="V2152" s="21" t="s">
        <v>368</v>
      </c>
      <c r="W2152" t="str">
        <f>VLOOKUP(Table_Query_from_Actuarial___Production[[#This Row],[Kor1]],$AI$3:$AK$105,3,FALSE)</f>
        <v>Investment Income</v>
      </c>
      <c r="X2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2"/>
      <c r="Z2152" t="s">
        <v>44</v>
      </c>
      <c r="AA2152" t="s">
        <v>224</v>
      </c>
      <c r="AB2152" t="s">
        <v>442</v>
      </c>
      <c r="AC2152" s="21">
        <v>110.75</v>
      </c>
      <c r="AD2152" s="21" t="s">
        <v>369</v>
      </c>
      <c r="AE2152" t="str">
        <f>VLOOKUP(Table_Query_from_Actuarial___Production3[[#This Row],[Kor1]],$AI$3:$AK$105,3,FALSE)</f>
        <v>Charge-offs</v>
      </c>
      <c r="AF2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153" spans="18:32" x14ac:dyDescent="0.2">
      <c r="R2153" t="s">
        <v>12</v>
      </c>
      <c r="S2153" t="s">
        <v>262</v>
      </c>
      <c r="T2153" t="s">
        <v>356</v>
      </c>
      <c r="U2153" s="21">
        <v>5718.12</v>
      </c>
      <c r="V2153" s="21" t="s">
        <v>368</v>
      </c>
      <c r="W2153" t="str">
        <f>VLOOKUP(Table_Query_from_Actuarial___Production[[#This Row],[Kor1]],$AI$3:$AK$105,3,FALSE)</f>
        <v>Premium Tax</v>
      </c>
      <c r="X2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3"/>
      <c r="Z2153" t="s">
        <v>13</v>
      </c>
      <c r="AA2153" t="s">
        <v>267</v>
      </c>
      <c r="AB2153" t="s">
        <v>427</v>
      </c>
      <c r="AC2153" s="21">
        <v>65950.080000000002</v>
      </c>
      <c r="AD2153" s="21" t="s">
        <v>368</v>
      </c>
      <c r="AE2153" t="str">
        <f>VLOOKUP(Table_Query_from_Actuarial___Production3[[#This Row],[Kor1]],$AI$3:$AK$105,3,FALSE)</f>
        <v>Operating Service Fees</v>
      </c>
      <c r="AF2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4" spans="18:32" x14ac:dyDescent="0.2">
      <c r="R2154" t="s">
        <v>10</v>
      </c>
      <c r="S2154" t="s">
        <v>258</v>
      </c>
      <c r="T2154" t="s">
        <v>445</v>
      </c>
      <c r="U2154" s="21">
        <v>97705.35</v>
      </c>
      <c r="V2154" s="21" t="s">
        <v>368</v>
      </c>
      <c r="W2154" t="str">
        <f>VLOOKUP(Table_Query_from_Actuarial___Production[[#This Row],[Kor1]],$AI$3:$AK$105,3,FALSE)</f>
        <v>Commissions</v>
      </c>
      <c r="X2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4"/>
      <c r="Z2154" t="s">
        <v>20</v>
      </c>
      <c r="AA2154" t="s">
        <v>234</v>
      </c>
      <c r="AB2154" t="s">
        <v>351</v>
      </c>
      <c r="AC2154" s="21">
        <v>227.16</v>
      </c>
      <c r="AD2154" s="21" t="s">
        <v>368</v>
      </c>
      <c r="AE2154" t="str">
        <f>VLOOKUP(Table_Query_from_Actuarial___Production3[[#This Row],[Kor1]],$AI$3:$AK$105,3,FALSE)</f>
        <v>Misc. Expense</v>
      </c>
      <c r="AF2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5" spans="18:32" x14ac:dyDescent="0.2">
      <c r="R2155" t="s">
        <v>19</v>
      </c>
      <c r="S2155" t="s">
        <v>246</v>
      </c>
      <c r="T2155" t="s">
        <v>427</v>
      </c>
      <c r="U2155" s="21">
        <v>17290</v>
      </c>
      <c r="V2155" s="21" t="s">
        <v>368</v>
      </c>
      <c r="W2155" t="str">
        <f>VLOOKUP(Table_Query_from_Actuarial___Production[[#This Row],[Kor1]],$AI$3:$AK$105,3,FALSE)</f>
        <v>Misc. Expense for Insolvent Companies</v>
      </c>
      <c r="X2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5"/>
      <c r="Z2155" t="s">
        <v>40</v>
      </c>
      <c r="AA2155" t="s">
        <v>268</v>
      </c>
      <c r="AB2155" t="s">
        <v>6</v>
      </c>
      <c r="AC2155" s="21">
        <v>108</v>
      </c>
      <c r="AD2155" s="21" t="s">
        <v>368</v>
      </c>
      <c r="AE2155" t="str">
        <f>VLOOKUP(Table_Query_from_Actuarial___Production3[[#This Row],[Kor1]],$AI$3:$AK$105,3,FALSE)</f>
        <v>Misc. Income</v>
      </c>
      <c r="AF2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6" spans="18:32" x14ac:dyDescent="0.2">
      <c r="R2156" t="s">
        <v>444</v>
      </c>
      <c r="S2156" t="s">
        <v>248</v>
      </c>
      <c r="T2156" t="s">
        <v>443</v>
      </c>
      <c r="U2156" s="21">
        <v>10167.81</v>
      </c>
      <c r="V2156" s="21" t="s">
        <v>368</v>
      </c>
      <c r="W2156" t="str">
        <f>VLOOKUP(Table_Query_from_Actuarial___Production[[#This Row],[Kor1]],$AI$3:$AK$105,3,FALSE)</f>
        <v>Misc. Expense</v>
      </c>
      <c r="X2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6"/>
      <c r="Z2156" t="s">
        <v>10</v>
      </c>
      <c r="AA2156" t="s">
        <v>261</v>
      </c>
      <c r="AB2156" t="s">
        <v>8</v>
      </c>
      <c r="AC2156" s="21">
        <v>45243.3</v>
      </c>
      <c r="AD2156" s="21" t="s">
        <v>368</v>
      </c>
      <c r="AE2156" t="str">
        <f>VLOOKUP(Table_Query_from_Actuarial___Production3[[#This Row],[Kor1]],$AI$3:$AK$105,3,FALSE)</f>
        <v>Commissions</v>
      </c>
      <c r="AF2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7" spans="18:32" x14ac:dyDescent="0.2">
      <c r="R2157" t="s">
        <v>10</v>
      </c>
      <c r="S2157" t="s">
        <v>225</v>
      </c>
      <c r="T2157" t="s">
        <v>441</v>
      </c>
      <c r="U2157" s="21">
        <v>58250.45</v>
      </c>
      <c r="V2157" s="21" t="s">
        <v>368</v>
      </c>
      <c r="W2157" t="str">
        <f>VLOOKUP(Table_Query_from_Actuarial___Production[[#This Row],[Kor1]],$AI$3:$AK$105,3,FALSE)</f>
        <v>Commissions</v>
      </c>
      <c r="X2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157"/>
      <c r="Z2157" t="s">
        <v>11</v>
      </c>
      <c r="AA2157" t="s">
        <v>252</v>
      </c>
      <c r="AB2157" t="s">
        <v>433</v>
      </c>
      <c r="AC2157" s="21">
        <v>11576744.779999999</v>
      </c>
      <c r="AD2157" s="21" t="s">
        <v>368</v>
      </c>
      <c r="AE2157" t="str">
        <f>VLOOKUP(Table_Query_from_Actuarial___Production3[[#This Row],[Kor1]],$AI$3:$AK$105,3,FALSE)</f>
        <v>Losses Paid</v>
      </c>
      <c r="AF2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8" spans="18:32" x14ac:dyDescent="0.2">
      <c r="R2158" t="s">
        <v>10</v>
      </c>
      <c r="S2158" t="s">
        <v>233</v>
      </c>
      <c r="T2158" t="s">
        <v>445</v>
      </c>
      <c r="U2158" s="21">
        <v>34051.550000000003</v>
      </c>
      <c r="V2158" s="21" t="s">
        <v>368</v>
      </c>
      <c r="W2158" t="str">
        <f>VLOOKUP(Table_Query_from_Actuarial___Production[[#This Row],[Kor1]],$AI$3:$AK$105,3,FALSE)</f>
        <v>Commissions</v>
      </c>
      <c r="X2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8"/>
      <c r="Z2158" t="s">
        <v>47</v>
      </c>
      <c r="AA2158" t="s">
        <v>235</v>
      </c>
      <c r="AB2158" t="s">
        <v>351</v>
      </c>
      <c r="AC2158" s="21">
        <v>1538.51</v>
      </c>
      <c r="AD2158" s="21" t="s">
        <v>368</v>
      </c>
      <c r="AE2158" t="str">
        <f>VLOOKUP(Table_Query_from_Actuarial___Production3[[#This Row],[Kor1]],$AI$3:$AK$105,3,FALSE)</f>
        <v>Investment Income</v>
      </c>
      <c r="AF2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59" spans="18:32" x14ac:dyDescent="0.2">
      <c r="R2159" t="s">
        <v>21</v>
      </c>
      <c r="S2159" t="s">
        <v>263</v>
      </c>
      <c r="T2159" t="s">
        <v>433</v>
      </c>
      <c r="U2159" s="21">
        <v>861.5</v>
      </c>
      <c r="V2159" s="21" t="s">
        <v>368</v>
      </c>
      <c r="W2159" t="str">
        <f>VLOOKUP(Table_Query_from_Actuarial___Production[[#This Row],[Kor1]],$AI$3:$AK$105,3,FALSE)</f>
        <v>Misc. Expense</v>
      </c>
      <c r="X2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59"/>
      <c r="Z2159" t="s">
        <v>47</v>
      </c>
      <c r="AA2159" t="s">
        <v>267</v>
      </c>
      <c r="AB2159" t="s">
        <v>441</v>
      </c>
      <c r="AC2159" s="21">
        <v>14.15</v>
      </c>
      <c r="AD2159" s="21" t="s">
        <v>368</v>
      </c>
      <c r="AE2159" t="str">
        <f>VLOOKUP(Table_Query_from_Actuarial___Production3[[#This Row],[Kor1]],$AI$3:$AK$105,3,FALSE)</f>
        <v>Investment Income</v>
      </c>
      <c r="AF2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0" spans="18:32" x14ac:dyDescent="0.2">
      <c r="R2160" t="s">
        <v>33</v>
      </c>
      <c r="S2160" t="s">
        <v>260</v>
      </c>
      <c r="T2160" t="s">
        <v>351</v>
      </c>
      <c r="U2160" s="21">
        <v>15558.35</v>
      </c>
      <c r="V2160" s="21" t="s">
        <v>368</v>
      </c>
      <c r="W2160" t="str">
        <f>VLOOKUP(Table_Query_from_Actuarial___Production[[#This Row],[Kor1]],$AI$3:$AK$105,3,FALSE)</f>
        <v>Misc. Expense</v>
      </c>
      <c r="X2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0"/>
      <c r="Z2160" t="s">
        <v>3</v>
      </c>
      <c r="AA2160" t="s">
        <v>243</v>
      </c>
      <c r="AB2160" t="s">
        <v>8</v>
      </c>
      <c r="AC2160" s="21">
        <v>402915</v>
      </c>
      <c r="AD2160" s="21" t="s">
        <v>368</v>
      </c>
      <c r="AE2160" t="str">
        <f>VLOOKUP(Table_Query_from_Actuarial___Production3[[#This Row],[Kor1]],$AI$3:$AK$105,3,FALSE)</f>
        <v>Premiums Written</v>
      </c>
      <c r="AF2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1" spans="18:32" x14ac:dyDescent="0.2">
      <c r="R2161" t="s">
        <v>39</v>
      </c>
      <c r="S2161" t="s">
        <v>241</v>
      </c>
      <c r="T2161" t="s">
        <v>7</v>
      </c>
      <c r="U2161" s="21">
        <v>13801</v>
      </c>
      <c r="V2161" s="21" t="s">
        <v>368</v>
      </c>
      <c r="W2161" t="str">
        <f>VLOOKUP(Table_Query_from_Actuarial___Production[[#This Row],[Kor1]],$AI$3:$AK$105,3,FALSE)</f>
        <v>Misc. Income for Insolvent Companies</v>
      </c>
      <c r="X2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1"/>
      <c r="Z2161" t="s">
        <v>31</v>
      </c>
      <c r="AA2161" t="s">
        <v>251</v>
      </c>
      <c r="AB2161" t="s">
        <v>433</v>
      </c>
      <c r="AC2161" s="21">
        <v>967.54</v>
      </c>
      <c r="AD2161" s="21" t="s">
        <v>368</v>
      </c>
      <c r="AE2161" t="str">
        <f>VLOOKUP(Table_Query_from_Actuarial___Production3[[#This Row],[Kor1]],$AI$3:$AK$105,3,FALSE)</f>
        <v>Misc. Expense</v>
      </c>
      <c r="AF2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2" spans="18:32" x14ac:dyDescent="0.2">
      <c r="R2162" t="s">
        <v>12</v>
      </c>
      <c r="S2162" t="s">
        <v>265</v>
      </c>
      <c r="T2162" t="s">
        <v>8</v>
      </c>
      <c r="U2162" s="21">
        <v>14364.88</v>
      </c>
      <c r="V2162" s="21" t="s">
        <v>368</v>
      </c>
      <c r="W2162" t="str">
        <f>VLOOKUP(Table_Query_from_Actuarial___Production[[#This Row],[Kor1]],$AI$3:$AK$105,3,FALSE)</f>
        <v>Premium Tax</v>
      </c>
      <c r="X2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2"/>
      <c r="Z2162" t="s">
        <v>43</v>
      </c>
      <c r="AA2162" t="s">
        <v>227</v>
      </c>
      <c r="AB2162" t="s">
        <v>356</v>
      </c>
      <c r="AC2162" s="21">
        <v>0.11</v>
      </c>
      <c r="AD2162" s="21" t="s">
        <v>368</v>
      </c>
      <c r="AE2162" t="str">
        <f>VLOOKUP(Table_Query_from_Actuarial___Production3[[#This Row],[Kor1]],$AI$3:$AK$105,3,FALSE)</f>
        <v>Charge-offs</v>
      </c>
      <c r="AF2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3" spans="18:32" x14ac:dyDescent="0.2">
      <c r="R2163" t="s">
        <v>20</v>
      </c>
      <c r="S2163" t="s">
        <v>234</v>
      </c>
      <c r="T2163" t="s">
        <v>441</v>
      </c>
      <c r="U2163" s="21">
        <v>491.1</v>
      </c>
      <c r="V2163" s="21" t="s">
        <v>368</v>
      </c>
      <c r="W2163" t="str">
        <f>VLOOKUP(Table_Query_from_Actuarial___Production[[#This Row],[Kor1]],$AI$3:$AK$105,3,FALSE)</f>
        <v>Misc. Expense</v>
      </c>
      <c r="X2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3"/>
      <c r="Z2163" t="s">
        <v>39</v>
      </c>
      <c r="AA2163" t="s">
        <v>254</v>
      </c>
      <c r="AB2163" t="s">
        <v>9</v>
      </c>
      <c r="AC2163" s="21">
        <v>37.01</v>
      </c>
      <c r="AD2163" s="21" t="s">
        <v>368</v>
      </c>
      <c r="AE2163" t="str">
        <f>VLOOKUP(Table_Query_from_Actuarial___Production3[[#This Row],[Kor1]],$AI$3:$AK$105,3,FALSE)</f>
        <v>Misc. Income for Insolvent Companies</v>
      </c>
      <c r="AF2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4" spans="18:32" x14ac:dyDescent="0.2">
      <c r="R2164" t="s">
        <v>21</v>
      </c>
      <c r="S2164" t="s">
        <v>241</v>
      </c>
      <c r="T2164" t="s">
        <v>9</v>
      </c>
      <c r="U2164" s="21">
        <v>3541.75</v>
      </c>
      <c r="V2164" s="21" t="s">
        <v>368</v>
      </c>
      <c r="W2164" t="str">
        <f>VLOOKUP(Table_Query_from_Actuarial___Production[[#This Row],[Kor1]],$AI$3:$AK$105,3,FALSE)</f>
        <v>Misc. Expense</v>
      </c>
      <c r="X2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4"/>
      <c r="Z2164" t="s">
        <v>33</v>
      </c>
      <c r="AA2164" t="s">
        <v>4</v>
      </c>
      <c r="AB2164" t="s">
        <v>351</v>
      </c>
      <c r="AC2164" s="21">
        <v>137773.43</v>
      </c>
      <c r="AD2164" s="21" t="s">
        <v>368</v>
      </c>
      <c r="AE2164" t="str">
        <f>VLOOKUP(Table_Query_from_Actuarial___Production3[[#This Row],[Kor1]],$AI$3:$AK$105,3,FALSE)</f>
        <v>Misc. Expense</v>
      </c>
      <c r="AF2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5" spans="18:32" x14ac:dyDescent="0.2">
      <c r="R2165" t="s">
        <v>13</v>
      </c>
      <c r="S2165" t="s">
        <v>245</v>
      </c>
      <c r="T2165" t="s">
        <v>6</v>
      </c>
      <c r="U2165" s="21">
        <v>5278.89</v>
      </c>
      <c r="V2165" s="21" t="s">
        <v>368</v>
      </c>
      <c r="W2165" t="str">
        <f>VLOOKUP(Table_Query_from_Actuarial___Production[[#This Row],[Kor1]],$AI$3:$AK$105,3,FALSE)</f>
        <v>Operating Service Fees</v>
      </c>
      <c r="X2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5"/>
      <c r="Z2165" t="s">
        <v>13</v>
      </c>
      <c r="AA2165" t="s">
        <v>240</v>
      </c>
      <c r="AB2165" t="s">
        <v>441</v>
      </c>
      <c r="AC2165" s="21">
        <v>998811.65</v>
      </c>
      <c r="AD2165" s="21" t="s">
        <v>368</v>
      </c>
      <c r="AE2165" t="str">
        <f>VLOOKUP(Table_Query_from_Actuarial___Production3[[#This Row],[Kor1]],$AI$3:$AK$105,3,FALSE)</f>
        <v>Operating Service Fees</v>
      </c>
      <c r="AF2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6" spans="18:32" x14ac:dyDescent="0.2">
      <c r="R2166" t="s">
        <v>34</v>
      </c>
      <c r="S2166" t="s">
        <v>263</v>
      </c>
      <c r="T2166" t="s">
        <v>445</v>
      </c>
      <c r="U2166" s="21">
        <v>2395.75</v>
      </c>
      <c r="V2166" s="21" t="s">
        <v>368</v>
      </c>
      <c r="W2166" t="str">
        <f>VLOOKUP(Table_Query_from_Actuarial___Production[[#This Row],[Kor1]],$AI$3:$AK$105,3,FALSE)</f>
        <v>Misc. Expense</v>
      </c>
      <c r="X2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6"/>
      <c r="Z2166" t="s">
        <v>439</v>
      </c>
      <c r="AA2166" t="s">
        <v>232</v>
      </c>
      <c r="AB2166" t="s">
        <v>443</v>
      </c>
      <c r="AC2166" s="21">
        <v>-31167.7</v>
      </c>
      <c r="AD2166" s="21" t="s">
        <v>368</v>
      </c>
      <c r="AE2166" t="str">
        <f>VLOOKUP(Table_Query_from_Actuarial___Production3[[#This Row],[Kor1]],$AI$3:$AK$105,3,FALSE)</f>
        <v>Operating Service Fees</v>
      </c>
      <c r="AF2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7" spans="18:32" x14ac:dyDescent="0.2">
      <c r="R2167" t="s">
        <v>3</v>
      </c>
      <c r="S2167" t="s">
        <v>240</v>
      </c>
      <c r="T2167" t="s">
        <v>445</v>
      </c>
      <c r="U2167" s="21">
        <v>1359680</v>
      </c>
      <c r="V2167" s="21" t="s">
        <v>368</v>
      </c>
      <c r="W2167" t="str">
        <f>VLOOKUP(Table_Query_from_Actuarial___Production[[#This Row],[Kor1]],$AI$3:$AK$105,3,FALSE)</f>
        <v>Premiums Written</v>
      </c>
      <c r="X2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7"/>
      <c r="Z2167" t="s">
        <v>31</v>
      </c>
      <c r="AA2167" t="s">
        <v>237</v>
      </c>
      <c r="AB2167" t="s">
        <v>427</v>
      </c>
      <c r="AC2167" s="21">
        <v>-5131.2</v>
      </c>
      <c r="AD2167" s="21" t="s">
        <v>368</v>
      </c>
      <c r="AE2167" t="str">
        <f>VLOOKUP(Table_Query_from_Actuarial___Production3[[#This Row],[Kor1]],$AI$3:$AK$105,3,FALSE)</f>
        <v>Misc. Expense</v>
      </c>
      <c r="AF2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68" spans="18:32" x14ac:dyDescent="0.2">
      <c r="R2168" t="s">
        <v>14</v>
      </c>
      <c r="S2168" t="s">
        <v>264</v>
      </c>
      <c r="T2168" t="s">
        <v>6</v>
      </c>
      <c r="U2168" s="21">
        <v>234759.4</v>
      </c>
      <c r="V2168" s="21" t="s">
        <v>368</v>
      </c>
      <c r="W2168" t="str">
        <f>VLOOKUP(Table_Query_from_Actuarial___Production[[#This Row],[Kor1]],$AI$3:$AK$105,3,FALSE)</f>
        <v>Claims Expense</v>
      </c>
      <c r="X2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8"/>
      <c r="Z2168" t="s">
        <v>130</v>
      </c>
      <c r="AA2168" t="s">
        <v>224</v>
      </c>
      <c r="AB2168" t="s">
        <v>5</v>
      </c>
      <c r="AC2168" s="21">
        <v>3404229.88</v>
      </c>
      <c r="AD2168" s="21" t="s">
        <v>370</v>
      </c>
      <c r="AE2168" t="str">
        <f>VLOOKUP(Table_Query_from_Actuarial___Production3[[#This Row],[Kor1]],$AI$3:$AK$105,3,FALSE)</f>
        <v>CPAI Charge-offs</v>
      </c>
      <c r="AF2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169" spans="18:32" x14ac:dyDescent="0.2">
      <c r="R2169" t="s">
        <v>31</v>
      </c>
      <c r="S2169" t="s">
        <v>249</v>
      </c>
      <c r="T2169" t="s">
        <v>433</v>
      </c>
      <c r="U2169" s="21">
        <v>916.63</v>
      </c>
      <c r="V2169" s="21" t="s">
        <v>368</v>
      </c>
      <c r="W2169" t="str">
        <f>VLOOKUP(Table_Query_from_Actuarial___Production[[#This Row],[Kor1]],$AI$3:$AK$105,3,FALSE)</f>
        <v>Misc. Expense</v>
      </c>
      <c r="X2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69"/>
      <c r="Z2169" t="s">
        <v>11</v>
      </c>
      <c r="AA2169" t="s">
        <v>234</v>
      </c>
      <c r="AB2169" t="s">
        <v>433</v>
      </c>
      <c r="AC2169" s="21">
        <v>199978.62</v>
      </c>
      <c r="AD2169" s="21" t="s">
        <v>368</v>
      </c>
      <c r="AE2169" t="str">
        <f>VLOOKUP(Table_Query_from_Actuarial___Production3[[#This Row],[Kor1]],$AI$3:$AK$105,3,FALSE)</f>
        <v>Losses Paid</v>
      </c>
      <c r="AF2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0" spans="18:32" x14ac:dyDescent="0.2">
      <c r="R2170" t="s">
        <v>13</v>
      </c>
      <c r="S2170" t="s">
        <v>248</v>
      </c>
      <c r="T2170" t="s">
        <v>427</v>
      </c>
      <c r="U2170" s="21">
        <v>67389.55</v>
      </c>
      <c r="V2170" s="21" t="s">
        <v>368</v>
      </c>
      <c r="W2170" t="str">
        <f>VLOOKUP(Table_Query_from_Actuarial___Production[[#This Row],[Kor1]],$AI$3:$AK$105,3,FALSE)</f>
        <v>Operating Service Fees</v>
      </c>
      <c r="X2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0"/>
      <c r="Z2170" t="s">
        <v>33</v>
      </c>
      <c r="AA2170" t="s">
        <v>249</v>
      </c>
      <c r="AB2170" t="s">
        <v>356</v>
      </c>
      <c r="AC2170" s="21">
        <v>11274.52</v>
      </c>
      <c r="AD2170" s="21" t="s">
        <v>368</v>
      </c>
      <c r="AE2170" t="str">
        <f>VLOOKUP(Table_Query_from_Actuarial___Production3[[#This Row],[Kor1]],$AI$3:$AK$105,3,FALSE)</f>
        <v>Misc. Expense</v>
      </c>
      <c r="AF2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1" spans="18:32" x14ac:dyDescent="0.2">
      <c r="R2171" t="s">
        <v>33</v>
      </c>
      <c r="S2171" t="s">
        <v>268</v>
      </c>
      <c r="T2171" t="s">
        <v>9</v>
      </c>
      <c r="U2171" s="21">
        <v>15757.47</v>
      </c>
      <c r="V2171" s="21" t="s">
        <v>368</v>
      </c>
      <c r="W2171" t="str">
        <f>VLOOKUP(Table_Query_from_Actuarial___Production[[#This Row],[Kor1]],$AI$3:$AK$105,3,FALSE)</f>
        <v>Misc. Expense</v>
      </c>
      <c r="X2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1"/>
      <c r="Z2171" t="s">
        <v>3</v>
      </c>
      <c r="AA2171" t="s">
        <v>256</v>
      </c>
      <c r="AB2171" t="s">
        <v>5</v>
      </c>
      <c r="AC2171" s="21">
        <v>59641</v>
      </c>
      <c r="AD2171" s="21" t="s">
        <v>368</v>
      </c>
      <c r="AE2171" t="str">
        <f>VLOOKUP(Table_Query_from_Actuarial___Production3[[#This Row],[Kor1]],$AI$3:$AK$105,3,FALSE)</f>
        <v>Premiums Written</v>
      </c>
      <c r="AF2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2" spans="18:32" x14ac:dyDescent="0.2">
      <c r="R2172" t="s">
        <v>49</v>
      </c>
      <c r="S2172" t="s">
        <v>264</v>
      </c>
      <c r="T2172" t="s">
        <v>9</v>
      </c>
      <c r="U2172" s="21">
        <v>66523.92</v>
      </c>
      <c r="V2172" s="21" t="s">
        <v>368</v>
      </c>
      <c r="W2172" t="str">
        <f>VLOOKUP(Table_Query_from_Actuarial___Production[[#This Row],[Kor1]],$AI$3:$AK$105,3,FALSE)</f>
        <v>ALAE Paid</v>
      </c>
      <c r="X2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2"/>
      <c r="Z2172" t="s">
        <v>3</v>
      </c>
      <c r="AA2172" t="s">
        <v>267</v>
      </c>
      <c r="AB2172" t="s">
        <v>5</v>
      </c>
      <c r="AC2172" s="21">
        <v>879506</v>
      </c>
      <c r="AD2172" s="21" t="s">
        <v>368</v>
      </c>
      <c r="AE2172" t="str">
        <f>VLOOKUP(Table_Query_from_Actuarial___Production3[[#This Row],[Kor1]],$AI$3:$AK$105,3,FALSE)</f>
        <v>Premiums Written</v>
      </c>
      <c r="AF2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3" spans="18:32" x14ac:dyDescent="0.2">
      <c r="R2173" t="s">
        <v>11</v>
      </c>
      <c r="S2173" t="s">
        <v>233</v>
      </c>
      <c r="T2173" t="s">
        <v>441</v>
      </c>
      <c r="U2173" s="21">
        <v>523406.85</v>
      </c>
      <c r="V2173" s="21" t="s">
        <v>368</v>
      </c>
      <c r="W2173" t="str">
        <f>VLOOKUP(Table_Query_from_Actuarial___Production[[#This Row],[Kor1]],$AI$3:$AK$105,3,FALSE)</f>
        <v>Losses Paid</v>
      </c>
      <c r="X2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3"/>
      <c r="Z2173" t="s">
        <v>10</v>
      </c>
      <c r="AA2173" t="s">
        <v>235</v>
      </c>
      <c r="AB2173" t="s">
        <v>7</v>
      </c>
      <c r="AC2173" s="21">
        <v>28331.75</v>
      </c>
      <c r="AD2173" s="21" t="s">
        <v>368</v>
      </c>
      <c r="AE2173" t="str">
        <f>VLOOKUP(Table_Query_from_Actuarial___Production3[[#This Row],[Kor1]],$AI$3:$AK$105,3,FALSE)</f>
        <v>Commissions</v>
      </c>
      <c r="AF2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4" spans="18:32" x14ac:dyDescent="0.2">
      <c r="R2174" t="s">
        <v>39</v>
      </c>
      <c r="S2174" t="s">
        <v>257</v>
      </c>
      <c r="T2174" t="s">
        <v>433</v>
      </c>
      <c r="U2174" s="21">
        <v>1750.97</v>
      </c>
      <c r="V2174" s="21" t="s">
        <v>368</v>
      </c>
      <c r="W2174" t="str">
        <f>VLOOKUP(Table_Query_from_Actuarial___Production[[#This Row],[Kor1]],$AI$3:$AK$105,3,FALSE)</f>
        <v>Misc. Income for Insolvent Companies</v>
      </c>
      <c r="X2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4"/>
      <c r="Z2174" t="s">
        <v>10</v>
      </c>
      <c r="AA2174" t="s">
        <v>236</v>
      </c>
      <c r="AB2174" t="s">
        <v>9</v>
      </c>
      <c r="AC2174" s="21">
        <v>10932.35</v>
      </c>
      <c r="AD2174" s="21" t="s">
        <v>368</v>
      </c>
      <c r="AE2174" t="str">
        <f>VLOOKUP(Table_Query_from_Actuarial___Production3[[#This Row],[Kor1]],$AI$3:$AK$105,3,FALSE)</f>
        <v>Commissions</v>
      </c>
      <c r="AF2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5" spans="18:32" x14ac:dyDescent="0.2">
      <c r="R2175" t="s">
        <v>14</v>
      </c>
      <c r="S2175" t="s">
        <v>251</v>
      </c>
      <c r="T2175" t="s">
        <v>443</v>
      </c>
      <c r="U2175" s="21">
        <v>21955.279999999999</v>
      </c>
      <c r="V2175" s="21" t="s">
        <v>368</v>
      </c>
      <c r="W2175" t="str">
        <f>VLOOKUP(Table_Query_from_Actuarial___Production[[#This Row],[Kor1]],$AI$3:$AK$105,3,FALSE)</f>
        <v>Claims Expense</v>
      </c>
      <c r="X2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5"/>
      <c r="Z2175" t="s">
        <v>12</v>
      </c>
      <c r="AA2175" t="s">
        <v>240</v>
      </c>
      <c r="AB2175" t="s">
        <v>5</v>
      </c>
      <c r="AC2175" s="21">
        <v>15523.4</v>
      </c>
      <c r="AD2175" s="21" t="s">
        <v>368</v>
      </c>
      <c r="AE2175" t="str">
        <f>VLOOKUP(Table_Query_from_Actuarial___Production3[[#This Row],[Kor1]],$AI$3:$AK$105,3,FALSE)</f>
        <v>Premium Tax</v>
      </c>
      <c r="AF2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6" spans="18:32" x14ac:dyDescent="0.2">
      <c r="R2176" t="s">
        <v>14</v>
      </c>
      <c r="S2176" t="s">
        <v>238</v>
      </c>
      <c r="T2176" t="s">
        <v>443</v>
      </c>
      <c r="U2176" s="21">
        <v>120009.07</v>
      </c>
      <c r="V2176" s="21" t="s">
        <v>368</v>
      </c>
      <c r="W2176" t="str">
        <f>VLOOKUP(Table_Query_from_Actuarial___Production[[#This Row],[Kor1]],$AI$3:$AK$105,3,FALSE)</f>
        <v>Claims Expense</v>
      </c>
      <c r="X2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6"/>
      <c r="Z2176" t="s">
        <v>14</v>
      </c>
      <c r="AA2176" t="s">
        <v>250</v>
      </c>
      <c r="AB2176" t="s">
        <v>6</v>
      </c>
      <c r="AC2176" s="21">
        <v>90003.85</v>
      </c>
      <c r="AD2176" s="21" t="s">
        <v>368</v>
      </c>
      <c r="AE2176" t="str">
        <f>VLOOKUP(Table_Query_from_Actuarial___Production3[[#This Row],[Kor1]],$AI$3:$AK$105,3,FALSE)</f>
        <v>Claims Expense</v>
      </c>
      <c r="AF2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7" spans="18:32" x14ac:dyDescent="0.2">
      <c r="R2177" t="s">
        <v>31</v>
      </c>
      <c r="S2177" t="s">
        <v>252</v>
      </c>
      <c r="T2177" t="s">
        <v>351</v>
      </c>
      <c r="U2177" s="21">
        <v>-5118.72</v>
      </c>
      <c r="V2177" s="21" t="s">
        <v>368</v>
      </c>
      <c r="W2177" t="str">
        <f>VLOOKUP(Table_Query_from_Actuarial___Production[[#This Row],[Kor1]],$AI$3:$AK$105,3,FALSE)</f>
        <v>Misc. Expense</v>
      </c>
      <c r="X2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7"/>
      <c r="Z2177" t="s">
        <v>38</v>
      </c>
      <c r="AA2177" t="s">
        <v>224</v>
      </c>
      <c r="AB2177" t="s">
        <v>356</v>
      </c>
      <c r="AC2177" s="21">
        <v>6310.86</v>
      </c>
      <c r="AD2177" s="21" t="s">
        <v>369</v>
      </c>
      <c r="AE2177" t="str">
        <f>VLOOKUP(Table_Query_from_Actuarial___Production3[[#This Row],[Kor1]],$AI$3:$AK$105,3,FALSE)</f>
        <v>Misc. Income</v>
      </c>
      <c r="AF2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178" spans="18:32" x14ac:dyDescent="0.2">
      <c r="R2178" t="s">
        <v>21</v>
      </c>
      <c r="S2178" t="s">
        <v>250</v>
      </c>
      <c r="T2178" t="s">
        <v>7</v>
      </c>
      <c r="U2178" s="21">
        <v>1876.61</v>
      </c>
      <c r="V2178" s="21" t="s">
        <v>368</v>
      </c>
      <c r="W2178" t="str">
        <f>VLOOKUP(Table_Query_from_Actuarial___Production[[#This Row],[Kor1]],$AI$3:$AK$105,3,FALSE)</f>
        <v>Misc. Expense</v>
      </c>
      <c r="X2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8"/>
      <c r="Z2178" t="s">
        <v>12</v>
      </c>
      <c r="AA2178" t="s">
        <v>260</v>
      </c>
      <c r="AB2178" t="s">
        <v>442</v>
      </c>
      <c r="AC2178" s="21">
        <v>1194.3</v>
      </c>
      <c r="AD2178" s="21" t="s">
        <v>368</v>
      </c>
      <c r="AE2178" t="str">
        <f>VLOOKUP(Table_Query_from_Actuarial___Production3[[#This Row],[Kor1]],$AI$3:$AK$105,3,FALSE)</f>
        <v>Premium Tax</v>
      </c>
      <c r="AF2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79" spans="18:32" x14ac:dyDescent="0.2">
      <c r="R2179" t="s">
        <v>43</v>
      </c>
      <c r="S2179" t="s">
        <v>244</v>
      </c>
      <c r="T2179" t="s">
        <v>9</v>
      </c>
      <c r="U2179" s="21">
        <v>2114.64</v>
      </c>
      <c r="V2179" s="21" t="s">
        <v>368</v>
      </c>
      <c r="W2179" t="str">
        <f>VLOOKUP(Table_Query_from_Actuarial___Production[[#This Row],[Kor1]],$AI$3:$AK$105,3,FALSE)</f>
        <v>Charge-offs</v>
      </c>
      <c r="X2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79"/>
      <c r="Z2179" t="s">
        <v>14</v>
      </c>
      <c r="AA2179" t="s">
        <v>238</v>
      </c>
      <c r="AB2179" t="s">
        <v>427</v>
      </c>
      <c r="AC2179" s="21">
        <v>71985.919999999998</v>
      </c>
      <c r="AD2179" s="21" t="s">
        <v>368</v>
      </c>
      <c r="AE2179" t="str">
        <f>VLOOKUP(Table_Query_from_Actuarial___Production3[[#This Row],[Kor1]],$AI$3:$AK$105,3,FALSE)</f>
        <v>Claims Expense</v>
      </c>
      <c r="AF2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0" spans="18:32" x14ac:dyDescent="0.2">
      <c r="R2180" t="s">
        <v>19</v>
      </c>
      <c r="S2180" t="s">
        <v>262</v>
      </c>
      <c r="T2180" t="s">
        <v>8</v>
      </c>
      <c r="U2180" s="21">
        <v>65</v>
      </c>
      <c r="V2180" s="21" t="s">
        <v>368</v>
      </c>
      <c r="W2180" t="str">
        <f>VLOOKUP(Table_Query_from_Actuarial___Production[[#This Row],[Kor1]],$AI$3:$AK$105,3,FALSE)</f>
        <v>Misc. Expense for Insolvent Companies</v>
      </c>
      <c r="X2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0"/>
      <c r="Z2180" t="s">
        <v>12</v>
      </c>
      <c r="AA2180" t="s">
        <v>263</v>
      </c>
      <c r="AB2180" t="s">
        <v>5</v>
      </c>
      <c r="AC2180" s="21">
        <v>6780.8</v>
      </c>
      <c r="AD2180" s="21" t="s">
        <v>368</v>
      </c>
      <c r="AE2180" t="str">
        <f>VLOOKUP(Table_Query_from_Actuarial___Production3[[#This Row],[Kor1]],$AI$3:$AK$105,3,FALSE)</f>
        <v>Premium Tax</v>
      </c>
      <c r="AF2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1" spans="18:32" x14ac:dyDescent="0.2">
      <c r="R2181" t="s">
        <v>48</v>
      </c>
      <c r="S2181" t="s">
        <v>241</v>
      </c>
      <c r="T2181" t="s">
        <v>441</v>
      </c>
      <c r="U2181" s="21">
        <v>369.81</v>
      </c>
      <c r="V2181" s="21" t="s">
        <v>368</v>
      </c>
      <c r="W2181" t="str">
        <f>VLOOKUP(Table_Query_from_Actuarial___Production[[#This Row],[Kor1]],$AI$3:$AK$105,3,FALSE)</f>
        <v>Anticipated Salvage</v>
      </c>
      <c r="X2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1"/>
      <c r="Z2181" t="s">
        <v>13</v>
      </c>
      <c r="AA2181" t="s">
        <v>248</v>
      </c>
      <c r="AB2181" t="s">
        <v>443</v>
      </c>
      <c r="AC2181" s="21">
        <v>13501.38</v>
      </c>
      <c r="AD2181" s="21" t="s">
        <v>368</v>
      </c>
      <c r="AE2181" t="str">
        <f>VLOOKUP(Table_Query_from_Actuarial___Production3[[#This Row],[Kor1]],$AI$3:$AK$105,3,FALSE)</f>
        <v>Operating Service Fees</v>
      </c>
      <c r="AF2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2" spans="18:32" x14ac:dyDescent="0.2">
      <c r="R2182" t="s">
        <v>38</v>
      </c>
      <c r="S2182" t="s">
        <v>354</v>
      </c>
      <c r="T2182" t="s">
        <v>8</v>
      </c>
      <c r="U2182" s="21">
        <v>127153.91</v>
      </c>
      <c r="V2182" s="21" t="s">
        <v>369</v>
      </c>
      <c r="W2182" t="str">
        <f>VLOOKUP(Table_Query_from_Actuarial___Production[[#This Row],[Kor1]],$AI$3:$AK$105,3,FALSE)</f>
        <v>Misc. Income</v>
      </c>
      <c r="X2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182"/>
      <c r="Z2182" t="s">
        <v>31</v>
      </c>
      <c r="AA2182" t="s">
        <v>236</v>
      </c>
      <c r="AB2182" t="s">
        <v>5</v>
      </c>
      <c r="AC2182" s="21">
        <v>-125.3</v>
      </c>
      <c r="AD2182" s="21" t="s">
        <v>368</v>
      </c>
      <c r="AE2182" t="str">
        <f>VLOOKUP(Table_Query_from_Actuarial___Production3[[#This Row],[Kor1]],$AI$3:$AK$105,3,FALSE)</f>
        <v>Misc. Expense</v>
      </c>
      <c r="AF2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3" spans="18:32" x14ac:dyDescent="0.2">
      <c r="R2183" t="s">
        <v>43</v>
      </c>
      <c r="S2183" t="s">
        <v>224</v>
      </c>
      <c r="T2183" t="s">
        <v>7</v>
      </c>
      <c r="U2183" s="21">
        <v>11.18</v>
      </c>
      <c r="V2183" s="21" t="s">
        <v>425</v>
      </c>
      <c r="W2183" t="str">
        <f>VLOOKUP(Table_Query_from_Actuarial___Production[[#This Row],[Kor1]],$AI$3:$AK$105,3,FALSE)</f>
        <v>Charge-offs</v>
      </c>
      <c r="X2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183"/>
      <c r="Z2183" t="s">
        <v>25</v>
      </c>
      <c r="AA2183" t="s">
        <v>250</v>
      </c>
      <c r="AB2183" t="s">
        <v>8</v>
      </c>
      <c r="AC2183" s="21">
        <v>1679.5</v>
      </c>
      <c r="AD2183" s="21" t="s">
        <v>368</v>
      </c>
      <c r="AE2183" t="str">
        <f>VLOOKUP(Table_Query_from_Actuarial___Production3[[#This Row],[Kor1]],$AI$3:$AK$105,3,FALSE)</f>
        <v>Misc. Expense</v>
      </c>
      <c r="AF2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4" spans="18:32" x14ac:dyDescent="0.2">
      <c r="R2184" t="s">
        <v>3</v>
      </c>
      <c r="S2184" t="s">
        <v>257</v>
      </c>
      <c r="T2184" t="s">
        <v>6</v>
      </c>
      <c r="U2184" s="21">
        <v>1523198</v>
      </c>
      <c r="V2184" s="21" t="s">
        <v>368</v>
      </c>
      <c r="W2184" t="str">
        <f>VLOOKUP(Table_Query_from_Actuarial___Production[[#This Row],[Kor1]],$AI$3:$AK$105,3,FALSE)</f>
        <v>Premiums Written</v>
      </c>
      <c r="X2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4"/>
      <c r="Z2184" t="s">
        <v>44</v>
      </c>
      <c r="AA2184" t="s">
        <v>237</v>
      </c>
      <c r="AB2184" t="s">
        <v>356</v>
      </c>
      <c r="AC2184" s="21">
        <v>2810725.86</v>
      </c>
      <c r="AD2184" s="21" t="s">
        <v>368</v>
      </c>
      <c r="AE2184" t="str">
        <f>VLOOKUP(Table_Query_from_Actuarial___Production3[[#This Row],[Kor1]],$AI$3:$AK$105,3,FALSE)</f>
        <v>Charge-offs</v>
      </c>
      <c r="AF2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5" spans="18:32" x14ac:dyDescent="0.2">
      <c r="R2185" t="s">
        <v>20</v>
      </c>
      <c r="S2185" t="s">
        <v>237</v>
      </c>
      <c r="T2185" t="s">
        <v>7</v>
      </c>
      <c r="U2185" s="21">
        <v>423.94</v>
      </c>
      <c r="V2185" s="21" t="s">
        <v>368</v>
      </c>
      <c r="W2185" t="str">
        <f>VLOOKUP(Table_Query_from_Actuarial___Production[[#This Row],[Kor1]],$AI$3:$AK$105,3,FALSE)</f>
        <v>Misc. Expense</v>
      </c>
      <c r="X2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5"/>
      <c r="Z2185" t="s">
        <v>10</v>
      </c>
      <c r="AA2185" t="s">
        <v>268</v>
      </c>
      <c r="AB2185" t="s">
        <v>433</v>
      </c>
      <c r="AC2185" s="21">
        <v>10854.85</v>
      </c>
      <c r="AD2185" s="21" t="s">
        <v>368</v>
      </c>
      <c r="AE2185" t="str">
        <f>VLOOKUP(Table_Query_from_Actuarial___Production3[[#This Row],[Kor1]],$AI$3:$AK$105,3,FALSE)</f>
        <v>Commissions</v>
      </c>
      <c r="AF2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6" spans="18:32" x14ac:dyDescent="0.2">
      <c r="R2186" t="s">
        <v>47</v>
      </c>
      <c r="S2186" t="s">
        <v>246</v>
      </c>
      <c r="T2186" t="s">
        <v>443</v>
      </c>
      <c r="U2186" s="21">
        <v>12145.92</v>
      </c>
      <c r="V2186" s="21" t="s">
        <v>368</v>
      </c>
      <c r="W2186" t="str">
        <f>VLOOKUP(Table_Query_from_Actuarial___Production[[#This Row],[Kor1]],$AI$3:$AK$105,3,FALSE)</f>
        <v>Investment Income</v>
      </c>
      <c r="X2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6"/>
      <c r="Z2186" t="s">
        <v>14</v>
      </c>
      <c r="AA2186" t="s">
        <v>251</v>
      </c>
      <c r="AB2186" t="s">
        <v>427</v>
      </c>
      <c r="AC2186" s="21">
        <v>43877.02</v>
      </c>
      <c r="AD2186" s="21" t="s">
        <v>368</v>
      </c>
      <c r="AE2186" t="str">
        <f>VLOOKUP(Table_Query_from_Actuarial___Production3[[#This Row],[Kor1]],$AI$3:$AK$105,3,FALSE)</f>
        <v>Claims Expense</v>
      </c>
      <c r="AF2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7" spans="18:32" x14ac:dyDescent="0.2">
      <c r="R2187" t="s">
        <v>21</v>
      </c>
      <c r="S2187" t="s">
        <v>243</v>
      </c>
      <c r="T2187" t="s">
        <v>356</v>
      </c>
      <c r="U2187" s="21">
        <v>628.48</v>
      </c>
      <c r="V2187" s="21" t="s">
        <v>368</v>
      </c>
      <c r="W2187" t="str">
        <f>VLOOKUP(Table_Query_from_Actuarial___Production[[#This Row],[Kor1]],$AI$3:$AK$105,3,FALSE)</f>
        <v>Misc. Expense</v>
      </c>
      <c r="X2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7"/>
      <c r="Z2187" t="s">
        <v>17</v>
      </c>
      <c r="AA2187" t="s">
        <v>255</v>
      </c>
      <c r="AB2187" t="s">
        <v>442</v>
      </c>
      <c r="AC2187" s="21">
        <v>83494.240000000005</v>
      </c>
      <c r="AD2187" s="21" t="s">
        <v>368</v>
      </c>
      <c r="AE2187" t="str">
        <f>VLOOKUP(Table_Query_from_Actuarial___Production3[[#This Row],[Kor1]],$AI$3:$AK$105,3,FALSE)</f>
        <v>IBNR</v>
      </c>
      <c r="AF2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8" spans="18:32" x14ac:dyDescent="0.2">
      <c r="R2188" t="s">
        <v>31</v>
      </c>
      <c r="S2188" t="s">
        <v>249</v>
      </c>
      <c r="T2188" t="s">
        <v>351</v>
      </c>
      <c r="U2188" s="21">
        <v>766.5</v>
      </c>
      <c r="V2188" s="21" t="s">
        <v>368</v>
      </c>
      <c r="W2188" t="str">
        <f>VLOOKUP(Table_Query_from_Actuarial___Production[[#This Row],[Kor1]],$AI$3:$AK$105,3,FALSE)</f>
        <v>Misc. Expense</v>
      </c>
      <c r="X2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8"/>
      <c r="Z2188" t="s">
        <v>41</v>
      </c>
      <c r="AA2188" t="s">
        <v>243</v>
      </c>
      <c r="AB2188" t="s">
        <v>5</v>
      </c>
      <c r="AC2188" s="21">
        <v>50</v>
      </c>
      <c r="AD2188" s="21" t="s">
        <v>368</v>
      </c>
      <c r="AE2188" t="str">
        <f>VLOOKUP(Table_Query_from_Actuarial___Production3[[#This Row],[Kor1]],$AI$3:$AK$105,3,FALSE)</f>
        <v>Misc. Income</v>
      </c>
      <c r="AF2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89" spans="18:32" x14ac:dyDescent="0.2">
      <c r="R2189" t="s">
        <v>41</v>
      </c>
      <c r="S2189" t="s">
        <v>232</v>
      </c>
      <c r="T2189" t="s">
        <v>9</v>
      </c>
      <c r="U2189" s="21">
        <v>200</v>
      </c>
      <c r="V2189" s="21" t="s">
        <v>368</v>
      </c>
      <c r="W2189" t="str">
        <f>VLOOKUP(Table_Query_from_Actuarial___Production[[#This Row],[Kor1]],$AI$3:$AK$105,3,FALSE)</f>
        <v>Misc. Income</v>
      </c>
      <c r="X2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89"/>
      <c r="Z2189" t="s">
        <v>31</v>
      </c>
      <c r="AA2189" t="s">
        <v>268</v>
      </c>
      <c r="AB2189" t="s">
        <v>9</v>
      </c>
      <c r="AC2189" s="21">
        <v>563.01</v>
      </c>
      <c r="AD2189" s="21" t="s">
        <v>368</v>
      </c>
      <c r="AE2189" t="str">
        <f>VLOOKUP(Table_Query_from_Actuarial___Production3[[#This Row],[Kor1]],$AI$3:$AK$105,3,FALSE)</f>
        <v>Misc. Expense</v>
      </c>
      <c r="AF2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0" spans="18:32" x14ac:dyDescent="0.2">
      <c r="R2190" t="s">
        <v>44</v>
      </c>
      <c r="S2190" t="s">
        <v>249</v>
      </c>
      <c r="T2190" t="s">
        <v>6</v>
      </c>
      <c r="U2190" s="21">
        <v>89950</v>
      </c>
      <c r="V2190" s="21" t="s">
        <v>368</v>
      </c>
      <c r="W2190" t="str">
        <f>VLOOKUP(Table_Query_from_Actuarial___Production[[#This Row],[Kor1]],$AI$3:$AK$105,3,FALSE)</f>
        <v>Charge-offs</v>
      </c>
      <c r="X2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0"/>
      <c r="Z2190" t="s">
        <v>77</v>
      </c>
      <c r="AA2190" t="s">
        <v>246</v>
      </c>
      <c r="AB2190" t="s">
        <v>442</v>
      </c>
      <c r="AC2190" s="21">
        <v>57077</v>
      </c>
      <c r="AD2190" s="21" t="s">
        <v>368</v>
      </c>
      <c r="AE2190" t="str">
        <f>VLOOKUP(Table_Query_from_Actuarial___Production3[[#This Row],[Kor1]],$AI$3:$AK$105,3,FALSE)</f>
        <v>PDR</v>
      </c>
      <c r="AF2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1" spans="18:32" x14ac:dyDescent="0.2">
      <c r="R2191" t="s">
        <v>11</v>
      </c>
      <c r="S2191" t="s">
        <v>232</v>
      </c>
      <c r="T2191" t="s">
        <v>442</v>
      </c>
      <c r="U2191" s="21">
        <v>327210.67</v>
      </c>
      <c r="V2191" s="21" t="s">
        <v>368</v>
      </c>
      <c r="W2191" t="str">
        <f>VLOOKUP(Table_Query_from_Actuarial___Production[[#This Row],[Kor1]],$AI$3:$AK$105,3,FALSE)</f>
        <v>Losses Paid</v>
      </c>
      <c r="X2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1"/>
      <c r="Z2191" t="s">
        <v>50</v>
      </c>
      <c r="AA2191" t="s">
        <v>227</v>
      </c>
      <c r="AB2191" t="s">
        <v>433</v>
      </c>
      <c r="AC2191" s="21">
        <v>122.31</v>
      </c>
      <c r="AD2191" s="21" t="s">
        <v>368</v>
      </c>
      <c r="AE2191" t="str">
        <f>VLOOKUP(Table_Query_from_Actuarial___Production3[[#This Row],[Kor1]],$AI$3:$AK$105,3,FALSE)</f>
        <v>ALAE Reserve</v>
      </c>
      <c r="AF2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2" spans="18:32" x14ac:dyDescent="0.2">
      <c r="R2192" t="s">
        <v>47</v>
      </c>
      <c r="S2192" t="s">
        <v>256</v>
      </c>
      <c r="T2192" t="s">
        <v>441</v>
      </c>
      <c r="U2192" s="21">
        <v>569.46</v>
      </c>
      <c r="V2192" s="21" t="s">
        <v>368</v>
      </c>
      <c r="W2192" t="str">
        <f>VLOOKUP(Table_Query_from_Actuarial___Production[[#This Row],[Kor1]],$AI$3:$AK$105,3,FALSE)</f>
        <v>Investment Income</v>
      </c>
      <c r="X2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2"/>
      <c r="Z2192" t="s">
        <v>39</v>
      </c>
      <c r="AA2192" t="s">
        <v>266</v>
      </c>
      <c r="AB2192" t="s">
        <v>8</v>
      </c>
      <c r="AC2192" s="21">
        <v>568</v>
      </c>
      <c r="AD2192" s="21" t="s">
        <v>368</v>
      </c>
      <c r="AE2192" t="str">
        <f>VLOOKUP(Table_Query_from_Actuarial___Production3[[#This Row],[Kor1]],$AI$3:$AK$105,3,FALSE)</f>
        <v>Misc. Income for Insolvent Companies</v>
      </c>
      <c r="AF2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3" spans="18:32" x14ac:dyDescent="0.2">
      <c r="R2193" t="s">
        <v>14</v>
      </c>
      <c r="S2193" t="s">
        <v>250</v>
      </c>
      <c r="T2193" t="s">
        <v>445</v>
      </c>
      <c r="U2193" s="21">
        <v>13740.65</v>
      </c>
      <c r="V2193" s="21" t="s">
        <v>368</v>
      </c>
      <c r="W2193" t="str">
        <f>VLOOKUP(Table_Query_from_Actuarial___Production[[#This Row],[Kor1]],$AI$3:$AK$105,3,FALSE)</f>
        <v>Claims Expense</v>
      </c>
      <c r="X2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3"/>
      <c r="Z2193" t="s">
        <v>11</v>
      </c>
      <c r="AA2193" t="s">
        <v>225</v>
      </c>
      <c r="AB2193" t="s">
        <v>9</v>
      </c>
      <c r="AC2193" s="21">
        <v>659936.22</v>
      </c>
      <c r="AD2193" s="21" t="s">
        <v>368</v>
      </c>
      <c r="AE2193" t="str">
        <f>VLOOKUP(Table_Query_from_Actuarial___Production3[[#This Row],[Kor1]],$AI$3:$AK$105,3,FALSE)</f>
        <v>Losses Paid</v>
      </c>
      <c r="AF2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194" spans="18:32" x14ac:dyDescent="0.2">
      <c r="R2194" t="s">
        <v>11</v>
      </c>
      <c r="S2194" t="s">
        <v>238</v>
      </c>
      <c r="T2194" t="s">
        <v>427</v>
      </c>
      <c r="U2194" s="21">
        <v>1274874.08</v>
      </c>
      <c r="V2194" s="21" t="s">
        <v>368</v>
      </c>
      <c r="W2194" t="str">
        <f>VLOOKUP(Table_Query_from_Actuarial___Production[[#This Row],[Kor1]],$AI$3:$AK$105,3,FALSE)</f>
        <v>Losses Paid</v>
      </c>
      <c r="X2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4"/>
      <c r="Z2194" t="s">
        <v>47</v>
      </c>
      <c r="AA2194" t="s">
        <v>235</v>
      </c>
      <c r="AB2194" t="s">
        <v>441</v>
      </c>
      <c r="AC2194" s="21">
        <v>16.87</v>
      </c>
      <c r="AD2194" s="21" t="s">
        <v>368</v>
      </c>
      <c r="AE2194" t="str">
        <f>VLOOKUP(Table_Query_from_Actuarial___Production3[[#This Row],[Kor1]],$AI$3:$AK$105,3,FALSE)</f>
        <v>Investment Income</v>
      </c>
      <c r="AF2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5" spans="18:32" x14ac:dyDescent="0.2">
      <c r="R2195" t="s">
        <v>31</v>
      </c>
      <c r="S2195" t="s">
        <v>236</v>
      </c>
      <c r="T2195" t="s">
        <v>8</v>
      </c>
      <c r="U2195" s="21">
        <v>8242.98</v>
      </c>
      <c r="V2195" s="21" t="s">
        <v>368</v>
      </c>
      <c r="W2195" t="str">
        <f>VLOOKUP(Table_Query_from_Actuarial___Production[[#This Row],[Kor1]],$AI$3:$AK$105,3,FALSE)</f>
        <v>Misc. Expense</v>
      </c>
      <c r="X2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5"/>
      <c r="Z2195" t="s">
        <v>41</v>
      </c>
      <c r="AA2195" t="s">
        <v>263</v>
      </c>
      <c r="AB2195" t="s">
        <v>441</v>
      </c>
      <c r="AC2195" s="21">
        <v>250</v>
      </c>
      <c r="AD2195" s="21" t="s">
        <v>368</v>
      </c>
      <c r="AE2195" t="str">
        <f>VLOOKUP(Table_Query_from_Actuarial___Production3[[#This Row],[Kor1]],$AI$3:$AK$105,3,FALSE)</f>
        <v>Misc. Income</v>
      </c>
      <c r="AF2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6" spans="18:32" x14ac:dyDescent="0.2">
      <c r="R2196" t="s">
        <v>34</v>
      </c>
      <c r="S2196" t="s">
        <v>249</v>
      </c>
      <c r="T2196" t="s">
        <v>7</v>
      </c>
      <c r="U2196" s="21">
        <v>1.75</v>
      </c>
      <c r="V2196" s="21" t="s">
        <v>368</v>
      </c>
      <c r="W2196" t="str">
        <f>VLOOKUP(Table_Query_from_Actuarial___Production[[#This Row],[Kor1]],$AI$3:$AK$105,3,FALSE)</f>
        <v>Misc. Expense</v>
      </c>
      <c r="X2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6"/>
      <c r="Z2196" t="s">
        <v>3</v>
      </c>
      <c r="AA2196" t="s">
        <v>265</v>
      </c>
      <c r="AB2196" t="s">
        <v>7</v>
      </c>
      <c r="AC2196" s="21">
        <v>356181</v>
      </c>
      <c r="AD2196" s="21" t="s">
        <v>368</v>
      </c>
      <c r="AE2196" t="str">
        <f>VLOOKUP(Table_Query_from_Actuarial___Production3[[#This Row],[Kor1]],$AI$3:$AK$105,3,FALSE)</f>
        <v>Premiums Written</v>
      </c>
      <c r="AF2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7" spans="18:32" x14ac:dyDescent="0.2">
      <c r="R2197" t="s">
        <v>47</v>
      </c>
      <c r="S2197" t="s">
        <v>263</v>
      </c>
      <c r="T2197" t="s">
        <v>427</v>
      </c>
      <c r="U2197" s="21">
        <v>2108.19</v>
      </c>
      <c r="V2197" s="21" t="s">
        <v>368</v>
      </c>
      <c r="W2197" t="str">
        <f>VLOOKUP(Table_Query_from_Actuarial___Production[[#This Row],[Kor1]],$AI$3:$AK$105,3,FALSE)</f>
        <v>Investment Income</v>
      </c>
      <c r="X2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7"/>
      <c r="Z2197" t="s">
        <v>13</v>
      </c>
      <c r="AA2197" t="s">
        <v>267</v>
      </c>
      <c r="AB2197" t="s">
        <v>443</v>
      </c>
      <c r="AC2197" s="21">
        <v>313461.28000000003</v>
      </c>
      <c r="AD2197" s="21" t="s">
        <v>368</v>
      </c>
      <c r="AE2197" t="str">
        <f>VLOOKUP(Table_Query_from_Actuarial___Production3[[#This Row],[Kor1]],$AI$3:$AK$105,3,FALSE)</f>
        <v>Operating Service Fees</v>
      </c>
      <c r="AF2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8" spans="18:32" x14ac:dyDescent="0.2">
      <c r="R2198" t="s">
        <v>13</v>
      </c>
      <c r="S2198" t="s">
        <v>252</v>
      </c>
      <c r="T2198" t="s">
        <v>441</v>
      </c>
      <c r="U2198" s="21">
        <v>6469699.2599999998</v>
      </c>
      <c r="V2198" s="21" t="s">
        <v>368</v>
      </c>
      <c r="W2198" t="str">
        <f>VLOOKUP(Table_Query_from_Actuarial___Production[[#This Row],[Kor1]],$AI$3:$AK$105,3,FALSE)</f>
        <v>Operating Service Fees</v>
      </c>
      <c r="X2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8"/>
      <c r="Z2198" t="s">
        <v>3</v>
      </c>
      <c r="AA2198" t="s">
        <v>255</v>
      </c>
      <c r="AB2198" t="s">
        <v>9</v>
      </c>
      <c r="AC2198" s="21">
        <v>547763</v>
      </c>
      <c r="AD2198" s="21" t="s">
        <v>368</v>
      </c>
      <c r="AE2198" t="str">
        <f>VLOOKUP(Table_Query_from_Actuarial___Production3[[#This Row],[Kor1]],$AI$3:$AK$105,3,FALSE)</f>
        <v>Premiums Written</v>
      </c>
      <c r="AF2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199" spans="18:32" x14ac:dyDescent="0.2">
      <c r="R2199" t="s">
        <v>34</v>
      </c>
      <c r="S2199" t="s">
        <v>246</v>
      </c>
      <c r="T2199" t="s">
        <v>8</v>
      </c>
      <c r="U2199" s="21">
        <v>11.8</v>
      </c>
      <c r="V2199" s="21" t="s">
        <v>368</v>
      </c>
      <c r="W2199" t="str">
        <f>VLOOKUP(Table_Query_from_Actuarial___Production[[#This Row],[Kor1]],$AI$3:$AK$105,3,FALSE)</f>
        <v>Misc. Expense</v>
      </c>
      <c r="X2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199"/>
      <c r="Z2199" t="s">
        <v>31</v>
      </c>
      <c r="AA2199" t="s">
        <v>258</v>
      </c>
      <c r="AB2199" t="s">
        <v>351</v>
      </c>
      <c r="AC2199" s="21">
        <v>601.75</v>
      </c>
      <c r="AD2199" s="21" t="s">
        <v>368</v>
      </c>
      <c r="AE2199" t="str">
        <f>VLOOKUP(Table_Query_from_Actuarial___Production3[[#This Row],[Kor1]],$AI$3:$AK$105,3,FALSE)</f>
        <v>Misc. Expense</v>
      </c>
      <c r="AF2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0" spans="18:32" x14ac:dyDescent="0.2">
      <c r="R2200" t="s">
        <v>43</v>
      </c>
      <c r="S2200" t="s">
        <v>242</v>
      </c>
      <c r="T2200" t="s">
        <v>6</v>
      </c>
      <c r="U2200" s="21">
        <v>-0.01</v>
      </c>
      <c r="V2200" s="21" t="s">
        <v>368</v>
      </c>
      <c r="W2200" t="str">
        <f>VLOOKUP(Table_Query_from_Actuarial___Production[[#This Row],[Kor1]],$AI$3:$AK$105,3,FALSE)</f>
        <v>Charge-offs</v>
      </c>
      <c r="X2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0"/>
      <c r="Z2200" t="s">
        <v>47</v>
      </c>
      <c r="AA2200" t="s">
        <v>263</v>
      </c>
      <c r="AB2200" t="s">
        <v>443</v>
      </c>
      <c r="AC2200" s="21">
        <v>1342.81</v>
      </c>
      <c r="AD2200" s="21" t="s">
        <v>368</v>
      </c>
      <c r="AE2200" t="str">
        <f>VLOOKUP(Table_Query_from_Actuarial___Production3[[#This Row],[Kor1]],$AI$3:$AK$105,3,FALSE)</f>
        <v>Investment Income</v>
      </c>
      <c r="AF2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1" spans="18:32" x14ac:dyDescent="0.2">
      <c r="R2201" t="s">
        <v>14</v>
      </c>
      <c r="S2201" t="s">
        <v>242</v>
      </c>
      <c r="T2201" t="s">
        <v>6</v>
      </c>
      <c r="U2201" s="21">
        <v>41763.360000000001</v>
      </c>
      <c r="V2201" s="21" t="s">
        <v>368</v>
      </c>
      <c r="W2201" t="str">
        <f>VLOOKUP(Table_Query_from_Actuarial___Production[[#This Row],[Kor1]],$AI$3:$AK$105,3,FALSE)</f>
        <v>Claims Expense</v>
      </c>
      <c r="X2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1"/>
      <c r="Z2201" t="s">
        <v>12</v>
      </c>
      <c r="AA2201" t="s">
        <v>262</v>
      </c>
      <c r="AB2201" t="s">
        <v>356</v>
      </c>
      <c r="AC2201" s="21">
        <v>5718.12</v>
      </c>
      <c r="AD2201" s="21" t="s">
        <v>368</v>
      </c>
      <c r="AE2201" t="str">
        <f>VLOOKUP(Table_Query_from_Actuarial___Production3[[#This Row],[Kor1]],$AI$3:$AK$105,3,FALSE)</f>
        <v>Premium Tax</v>
      </c>
      <c r="AF2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2" spans="18:32" x14ac:dyDescent="0.2">
      <c r="R2202" t="s">
        <v>17</v>
      </c>
      <c r="S2202" t="s">
        <v>260</v>
      </c>
      <c r="T2202" t="s">
        <v>445</v>
      </c>
      <c r="U2202" s="21">
        <v>7837.85</v>
      </c>
      <c r="V2202" s="21" t="s">
        <v>368</v>
      </c>
      <c r="W2202" t="str">
        <f>VLOOKUP(Table_Query_from_Actuarial___Production[[#This Row],[Kor1]],$AI$3:$AK$105,3,FALSE)</f>
        <v>IBNR</v>
      </c>
      <c r="X2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2"/>
      <c r="Z2202" t="s">
        <v>19</v>
      </c>
      <c r="AA2202" t="s">
        <v>246</v>
      </c>
      <c r="AB2202" t="s">
        <v>427</v>
      </c>
      <c r="AC2202" s="21">
        <v>14595</v>
      </c>
      <c r="AD2202" s="21" t="s">
        <v>368</v>
      </c>
      <c r="AE2202" t="str">
        <f>VLOOKUP(Table_Query_from_Actuarial___Production3[[#This Row],[Kor1]],$AI$3:$AK$105,3,FALSE)</f>
        <v>Misc. Expense for Insolvent Companies</v>
      </c>
      <c r="AF2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3" spans="18:32" x14ac:dyDescent="0.2">
      <c r="R2203" t="s">
        <v>3</v>
      </c>
      <c r="S2203" t="s">
        <v>225</v>
      </c>
      <c r="T2203" t="s">
        <v>356</v>
      </c>
      <c r="U2203" s="21">
        <v>1512429</v>
      </c>
      <c r="V2203" s="21" t="s">
        <v>369</v>
      </c>
      <c r="W2203" t="str">
        <f>VLOOKUP(Table_Query_from_Actuarial___Production[[#This Row],[Kor1]],$AI$3:$AK$105,3,FALSE)</f>
        <v>Premiums Written</v>
      </c>
      <c r="X2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203"/>
      <c r="Z2203" t="s">
        <v>10</v>
      </c>
      <c r="AA2203" t="s">
        <v>225</v>
      </c>
      <c r="AB2203" t="s">
        <v>441</v>
      </c>
      <c r="AC2203" s="21">
        <v>58250.45</v>
      </c>
      <c r="AD2203" s="21" t="s">
        <v>368</v>
      </c>
      <c r="AE2203" t="str">
        <f>VLOOKUP(Table_Query_from_Actuarial___Production3[[#This Row],[Kor1]],$AI$3:$AK$105,3,FALSE)</f>
        <v>Commissions</v>
      </c>
      <c r="AF2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204" spans="18:32" x14ac:dyDescent="0.2">
      <c r="R2204" t="s">
        <v>41</v>
      </c>
      <c r="S2204" t="s">
        <v>245</v>
      </c>
      <c r="T2204" t="s">
        <v>6</v>
      </c>
      <c r="U2204" s="21">
        <v>250</v>
      </c>
      <c r="V2204" s="21" t="s">
        <v>368</v>
      </c>
      <c r="W2204" t="str">
        <f>VLOOKUP(Table_Query_from_Actuarial___Production[[#This Row],[Kor1]],$AI$3:$AK$105,3,FALSE)</f>
        <v>Misc. Income</v>
      </c>
      <c r="X2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4"/>
      <c r="Z2204" t="s">
        <v>21</v>
      </c>
      <c r="AA2204" t="s">
        <v>263</v>
      </c>
      <c r="AB2204" t="s">
        <v>433</v>
      </c>
      <c r="AC2204" s="21">
        <v>861.5</v>
      </c>
      <c r="AD2204" s="21" t="s">
        <v>368</v>
      </c>
      <c r="AE2204" t="str">
        <f>VLOOKUP(Table_Query_from_Actuarial___Production3[[#This Row],[Kor1]],$AI$3:$AK$105,3,FALSE)</f>
        <v>Misc. Expense</v>
      </c>
      <c r="AF2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5" spans="18:32" x14ac:dyDescent="0.2">
      <c r="R2205" t="s">
        <v>3</v>
      </c>
      <c r="S2205" t="s">
        <v>261</v>
      </c>
      <c r="T2205" t="s">
        <v>8</v>
      </c>
      <c r="U2205" s="21">
        <v>813981</v>
      </c>
      <c r="V2205" s="21" t="s">
        <v>368</v>
      </c>
      <c r="W2205" t="str">
        <f>VLOOKUP(Table_Query_from_Actuarial___Production[[#This Row],[Kor1]],$AI$3:$AK$105,3,FALSE)</f>
        <v>Premiums Written</v>
      </c>
      <c r="X2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5"/>
      <c r="Z2205" t="s">
        <v>33</v>
      </c>
      <c r="AA2205" t="s">
        <v>260</v>
      </c>
      <c r="AB2205" t="s">
        <v>351</v>
      </c>
      <c r="AC2205" s="21">
        <v>15558.35</v>
      </c>
      <c r="AD2205" s="21" t="s">
        <v>368</v>
      </c>
      <c r="AE2205" t="str">
        <f>VLOOKUP(Table_Query_from_Actuarial___Production3[[#This Row],[Kor1]],$AI$3:$AK$105,3,FALSE)</f>
        <v>Misc. Expense</v>
      </c>
      <c r="AF2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6" spans="18:32" x14ac:dyDescent="0.2">
      <c r="R2206" t="s">
        <v>32</v>
      </c>
      <c r="S2206" t="s">
        <v>232</v>
      </c>
      <c r="T2206" t="s">
        <v>427</v>
      </c>
      <c r="U2206" s="21">
        <v>455</v>
      </c>
      <c r="V2206" s="21" t="s">
        <v>368</v>
      </c>
      <c r="W2206" t="str">
        <f>VLOOKUP(Table_Query_from_Actuarial___Production[[#This Row],[Kor1]],$AI$3:$AK$105,3,FALSE)</f>
        <v>Misc. Expense</v>
      </c>
      <c r="X2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6"/>
      <c r="Z2206" t="s">
        <v>39</v>
      </c>
      <c r="AA2206" t="s">
        <v>241</v>
      </c>
      <c r="AB2206" t="s">
        <v>7</v>
      </c>
      <c r="AC2206" s="21">
        <v>13801</v>
      </c>
      <c r="AD2206" s="21" t="s">
        <v>368</v>
      </c>
      <c r="AE2206" t="str">
        <f>VLOOKUP(Table_Query_from_Actuarial___Production3[[#This Row],[Kor1]],$AI$3:$AK$105,3,FALSE)</f>
        <v>Misc. Income for Insolvent Companies</v>
      </c>
      <c r="AF2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7" spans="18:32" x14ac:dyDescent="0.2">
      <c r="R2207" t="s">
        <v>29</v>
      </c>
      <c r="S2207" t="s">
        <v>4</v>
      </c>
      <c r="T2207" t="s">
        <v>6</v>
      </c>
      <c r="U2207" s="21">
        <v>338.37</v>
      </c>
      <c r="V2207" s="21" t="s">
        <v>368</v>
      </c>
      <c r="W2207" t="str">
        <f>VLOOKUP(Table_Query_from_Actuarial___Production[[#This Row],[Kor1]],$AI$3:$AK$105,3,FALSE)</f>
        <v>Misc. Expense</v>
      </c>
      <c r="X2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7"/>
      <c r="Z2207" t="s">
        <v>12</v>
      </c>
      <c r="AA2207" t="s">
        <v>265</v>
      </c>
      <c r="AB2207" t="s">
        <v>8</v>
      </c>
      <c r="AC2207" s="21">
        <v>14364.88</v>
      </c>
      <c r="AD2207" s="21" t="s">
        <v>368</v>
      </c>
      <c r="AE2207" t="str">
        <f>VLOOKUP(Table_Query_from_Actuarial___Production3[[#This Row],[Kor1]],$AI$3:$AK$105,3,FALSE)</f>
        <v>Premium Tax</v>
      </c>
      <c r="AF2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8" spans="18:32" x14ac:dyDescent="0.2">
      <c r="R2208" t="s">
        <v>31</v>
      </c>
      <c r="S2208" t="s">
        <v>266</v>
      </c>
      <c r="T2208" t="s">
        <v>7</v>
      </c>
      <c r="U2208" s="21">
        <v>1024.3699999999999</v>
      </c>
      <c r="V2208" s="21" t="s">
        <v>368</v>
      </c>
      <c r="W2208" t="str">
        <f>VLOOKUP(Table_Query_from_Actuarial___Production[[#This Row],[Kor1]],$AI$3:$AK$105,3,FALSE)</f>
        <v>Misc. Expense</v>
      </c>
      <c r="X2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8"/>
      <c r="Z2208" t="s">
        <v>20</v>
      </c>
      <c r="AA2208" t="s">
        <v>234</v>
      </c>
      <c r="AB2208" t="s">
        <v>441</v>
      </c>
      <c r="AC2208" s="21">
        <v>491.1</v>
      </c>
      <c r="AD2208" s="21" t="s">
        <v>368</v>
      </c>
      <c r="AE2208" t="str">
        <f>VLOOKUP(Table_Query_from_Actuarial___Production3[[#This Row],[Kor1]],$AI$3:$AK$105,3,FALSE)</f>
        <v>Misc. Expense</v>
      </c>
      <c r="AF2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09" spans="18:32" x14ac:dyDescent="0.2">
      <c r="R2209" t="s">
        <v>16</v>
      </c>
      <c r="S2209" t="s">
        <v>235</v>
      </c>
      <c r="T2209" t="s">
        <v>356</v>
      </c>
      <c r="U2209" s="21">
        <v>50000</v>
      </c>
      <c r="V2209" s="21" t="s">
        <v>368</v>
      </c>
      <c r="W2209" t="str">
        <f>VLOOKUP(Table_Query_from_Actuarial___Production[[#This Row],[Kor1]],$AI$3:$AK$105,3,FALSE)</f>
        <v>Losses Outstanding</v>
      </c>
      <c r="X2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09"/>
      <c r="Z2209" t="s">
        <v>20</v>
      </c>
      <c r="AA2209" t="s">
        <v>252</v>
      </c>
      <c r="AB2209" t="s">
        <v>5</v>
      </c>
      <c r="AC2209" s="21">
        <v>379.61</v>
      </c>
      <c r="AD2209" s="21" t="s">
        <v>368</v>
      </c>
      <c r="AE2209" t="str">
        <f>VLOOKUP(Table_Query_from_Actuarial___Production3[[#This Row],[Kor1]],$AI$3:$AK$105,3,FALSE)</f>
        <v>Misc. Expense</v>
      </c>
      <c r="AF2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0" spans="18:32" x14ac:dyDescent="0.2">
      <c r="R2210" t="s">
        <v>21</v>
      </c>
      <c r="S2210" t="s">
        <v>248</v>
      </c>
      <c r="T2210" t="s">
        <v>441</v>
      </c>
      <c r="U2210" s="21">
        <v>1123.75</v>
      </c>
      <c r="V2210" s="21" t="s">
        <v>368</v>
      </c>
      <c r="W2210" t="str">
        <f>VLOOKUP(Table_Query_from_Actuarial___Production[[#This Row],[Kor1]],$AI$3:$AK$105,3,FALSE)</f>
        <v>Misc. Expense</v>
      </c>
      <c r="X2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0"/>
      <c r="Z2210" t="s">
        <v>21</v>
      </c>
      <c r="AA2210" t="s">
        <v>241</v>
      </c>
      <c r="AB2210" t="s">
        <v>9</v>
      </c>
      <c r="AC2210" s="21">
        <v>3541.75</v>
      </c>
      <c r="AD2210" s="21" t="s">
        <v>368</v>
      </c>
      <c r="AE2210" t="str">
        <f>VLOOKUP(Table_Query_from_Actuarial___Production3[[#This Row],[Kor1]],$AI$3:$AK$105,3,FALSE)</f>
        <v>Misc. Expense</v>
      </c>
      <c r="AF2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1" spans="18:32" x14ac:dyDescent="0.2">
      <c r="R2211" t="s">
        <v>39</v>
      </c>
      <c r="S2211" t="s">
        <v>237</v>
      </c>
      <c r="T2211" t="s">
        <v>442</v>
      </c>
      <c r="U2211" s="21">
        <v>1.31</v>
      </c>
      <c r="V2211" s="21" t="s">
        <v>368</v>
      </c>
      <c r="W2211" t="str">
        <f>VLOOKUP(Table_Query_from_Actuarial___Production[[#This Row],[Kor1]],$AI$3:$AK$105,3,FALSE)</f>
        <v>Misc. Income for Insolvent Companies</v>
      </c>
      <c r="X2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1"/>
      <c r="Z2211" t="s">
        <v>13</v>
      </c>
      <c r="AA2211" t="s">
        <v>245</v>
      </c>
      <c r="AB2211" t="s">
        <v>6</v>
      </c>
      <c r="AC2211" s="21">
        <v>5278.89</v>
      </c>
      <c r="AD2211" s="21" t="s">
        <v>368</v>
      </c>
      <c r="AE2211" t="str">
        <f>VLOOKUP(Table_Query_from_Actuarial___Production3[[#This Row],[Kor1]],$AI$3:$AK$105,3,FALSE)</f>
        <v>Operating Service Fees</v>
      </c>
      <c r="AF2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2" spans="18:32" x14ac:dyDescent="0.2">
      <c r="R2212" t="s">
        <v>47</v>
      </c>
      <c r="S2212" t="s">
        <v>227</v>
      </c>
      <c r="T2212" t="s">
        <v>8</v>
      </c>
      <c r="U2212" s="21">
        <v>0.11</v>
      </c>
      <c r="V2212" s="21" t="s">
        <v>368</v>
      </c>
      <c r="W2212" t="str">
        <f>VLOOKUP(Table_Query_from_Actuarial___Production[[#This Row],[Kor1]],$AI$3:$AK$105,3,FALSE)</f>
        <v>Investment Income</v>
      </c>
      <c r="X2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2"/>
      <c r="Z2212" t="s">
        <v>14</v>
      </c>
      <c r="AA2212" t="s">
        <v>264</v>
      </c>
      <c r="AB2212" t="s">
        <v>6</v>
      </c>
      <c r="AC2212" s="21">
        <v>234759.4</v>
      </c>
      <c r="AD2212" s="21" t="s">
        <v>368</v>
      </c>
      <c r="AE2212" t="str">
        <f>VLOOKUP(Table_Query_from_Actuarial___Production3[[#This Row],[Kor1]],$AI$3:$AK$105,3,FALSE)</f>
        <v>Claims Expense</v>
      </c>
      <c r="AF2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3" spans="18:32" x14ac:dyDescent="0.2">
      <c r="R2213" t="s">
        <v>11</v>
      </c>
      <c r="S2213" t="s">
        <v>230</v>
      </c>
      <c r="T2213" t="s">
        <v>6</v>
      </c>
      <c r="U2213" s="21">
        <v>13495788.34</v>
      </c>
      <c r="V2213" s="21" t="s">
        <v>368</v>
      </c>
      <c r="W2213" t="str">
        <f>VLOOKUP(Table_Query_from_Actuarial___Production[[#This Row],[Kor1]],$AI$3:$AK$105,3,FALSE)</f>
        <v>Losses Paid</v>
      </c>
      <c r="X2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3"/>
      <c r="Z2213" t="s">
        <v>31</v>
      </c>
      <c r="AA2213" t="s">
        <v>249</v>
      </c>
      <c r="AB2213" t="s">
        <v>433</v>
      </c>
      <c r="AC2213" s="21">
        <v>916.63</v>
      </c>
      <c r="AD2213" s="21" t="s">
        <v>368</v>
      </c>
      <c r="AE2213" t="str">
        <f>VLOOKUP(Table_Query_from_Actuarial___Production3[[#This Row],[Kor1]],$AI$3:$AK$105,3,FALSE)</f>
        <v>Misc. Expense</v>
      </c>
      <c r="AF2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4" spans="18:32" x14ac:dyDescent="0.2">
      <c r="R2214" t="s">
        <v>33</v>
      </c>
      <c r="S2214" t="s">
        <v>235</v>
      </c>
      <c r="T2214" t="s">
        <v>351</v>
      </c>
      <c r="U2214" s="21">
        <v>17297.63</v>
      </c>
      <c r="V2214" s="21" t="s">
        <v>368</v>
      </c>
      <c r="W2214" t="str">
        <f>VLOOKUP(Table_Query_from_Actuarial___Production[[#This Row],[Kor1]],$AI$3:$AK$105,3,FALSE)</f>
        <v>Misc. Expense</v>
      </c>
      <c r="X2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4"/>
      <c r="Z2214" t="s">
        <v>13</v>
      </c>
      <c r="AA2214" t="s">
        <v>248</v>
      </c>
      <c r="AB2214" t="s">
        <v>427</v>
      </c>
      <c r="AC2214" s="21">
        <v>67389.55</v>
      </c>
      <c r="AD2214" s="21" t="s">
        <v>368</v>
      </c>
      <c r="AE2214" t="str">
        <f>VLOOKUP(Table_Query_from_Actuarial___Production3[[#This Row],[Kor1]],$AI$3:$AK$105,3,FALSE)</f>
        <v>Operating Service Fees</v>
      </c>
      <c r="AF2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5" spans="18:32" x14ac:dyDescent="0.2">
      <c r="R2215" t="s">
        <v>50</v>
      </c>
      <c r="S2215" t="s">
        <v>261</v>
      </c>
      <c r="T2215" t="s">
        <v>433</v>
      </c>
      <c r="U2215" s="21">
        <v>1029.98</v>
      </c>
      <c r="V2215" s="21" t="s">
        <v>368</v>
      </c>
      <c r="W2215" t="str">
        <f>VLOOKUP(Table_Query_from_Actuarial___Production[[#This Row],[Kor1]],$AI$3:$AK$105,3,FALSE)</f>
        <v>ALAE Reserve</v>
      </c>
      <c r="X2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5"/>
      <c r="Z2215" t="s">
        <v>33</v>
      </c>
      <c r="AA2215" t="s">
        <v>268</v>
      </c>
      <c r="AB2215" t="s">
        <v>9</v>
      </c>
      <c r="AC2215" s="21">
        <v>15757.47</v>
      </c>
      <c r="AD2215" s="21" t="s">
        <v>368</v>
      </c>
      <c r="AE2215" t="str">
        <f>VLOOKUP(Table_Query_from_Actuarial___Production3[[#This Row],[Kor1]],$AI$3:$AK$105,3,FALSE)</f>
        <v>Misc. Expense</v>
      </c>
      <c r="AF2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6" spans="18:32" x14ac:dyDescent="0.2">
      <c r="R2216" t="s">
        <v>13</v>
      </c>
      <c r="S2216" t="s">
        <v>228</v>
      </c>
      <c r="T2216" t="s">
        <v>7</v>
      </c>
      <c r="U2216" s="21">
        <v>80136.69</v>
      </c>
      <c r="V2216" s="21" t="s">
        <v>368</v>
      </c>
      <c r="W2216" t="str">
        <f>VLOOKUP(Table_Query_from_Actuarial___Production[[#This Row],[Kor1]],$AI$3:$AK$105,3,FALSE)</f>
        <v>Operating Service Fees</v>
      </c>
      <c r="X2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6"/>
      <c r="Z2216" t="s">
        <v>49</v>
      </c>
      <c r="AA2216" t="s">
        <v>264</v>
      </c>
      <c r="AB2216" t="s">
        <v>9</v>
      </c>
      <c r="AC2216" s="21">
        <v>66523.92</v>
      </c>
      <c r="AD2216" s="21" t="s">
        <v>368</v>
      </c>
      <c r="AE2216" t="str">
        <f>VLOOKUP(Table_Query_from_Actuarial___Production3[[#This Row],[Kor1]],$AI$3:$AK$105,3,FALSE)</f>
        <v>ALAE Paid</v>
      </c>
      <c r="AF2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7" spans="18:32" x14ac:dyDescent="0.2">
      <c r="R2217" t="s">
        <v>17</v>
      </c>
      <c r="S2217" t="s">
        <v>265</v>
      </c>
      <c r="T2217" t="s">
        <v>441</v>
      </c>
      <c r="U2217" s="21">
        <v>84238.67</v>
      </c>
      <c r="V2217" s="21" t="s">
        <v>368</v>
      </c>
      <c r="W2217" t="str">
        <f>VLOOKUP(Table_Query_from_Actuarial___Production[[#This Row],[Kor1]],$AI$3:$AK$105,3,FALSE)</f>
        <v>IBNR</v>
      </c>
      <c r="X2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7"/>
      <c r="Z2217" t="s">
        <v>11</v>
      </c>
      <c r="AA2217" t="s">
        <v>233</v>
      </c>
      <c r="AB2217" t="s">
        <v>441</v>
      </c>
      <c r="AC2217" s="21">
        <v>362009.15</v>
      </c>
      <c r="AD2217" s="21" t="s">
        <v>368</v>
      </c>
      <c r="AE2217" t="str">
        <f>VLOOKUP(Table_Query_from_Actuarial___Production3[[#This Row],[Kor1]],$AI$3:$AK$105,3,FALSE)</f>
        <v>Losses Paid</v>
      </c>
      <c r="AF2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8" spans="18:32" x14ac:dyDescent="0.2">
      <c r="R2218" t="s">
        <v>31</v>
      </c>
      <c r="S2218" t="s">
        <v>257</v>
      </c>
      <c r="T2218" t="s">
        <v>443</v>
      </c>
      <c r="U2218" s="21">
        <v>479.23</v>
      </c>
      <c r="V2218" s="21" t="s">
        <v>368</v>
      </c>
      <c r="W2218" t="str">
        <f>VLOOKUP(Table_Query_from_Actuarial___Production[[#This Row],[Kor1]],$AI$3:$AK$105,3,FALSE)</f>
        <v>Misc. Expense</v>
      </c>
      <c r="X2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8"/>
      <c r="Z2218" t="s">
        <v>31</v>
      </c>
      <c r="AA2218" t="s">
        <v>4</v>
      </c>
      <c r="AB2218" t="s">
        <v>5</v>
      </c>
      <c r="AC2218" s="21">
        <v>-199898</v>
      </c>
      <c r="AD2218" s="21" t="s">
        <v>368</v>
      </c>
      <c r="AE2218" t="str">
        <f>VLOOKUP(Table_Query_from_Actuarial___Production3[[#This Row],[Kor1]],$AI$3:$AK$105,3,FALSE)</f>
        <v>Misc. Expense</v>
      </c>
      <c r="AF2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19" spans="18:32" x14ac:dyDescent="0.2">
      <c r="R2219" t="s">
        <v>12</v>
      </c>
      <c r="S2219" t="s">
        <v>240</v>
      </c>
      <c r="T2219" t="s">
        <v>441</v>
      </c>
      <c r="U2219" s="21">
        <v>108120.8</v>
      </c>
      <c r="V2219" s="21" t="s">
        <v>368</v>
      </c>
      <c r="W2219" t="str">
        <f>VLOOKUP(Table_Query_from_Actuarial___Production[[#This Row],[Kor1]],$AI$3:$AK$105,3,FALSE)</f>
        <v>Premium Tax</v>
      </c>
      <c r="X2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19"/>
      <c r="Z2219" t="s">
        <v>33</v>
      </c>
      <c r="AA2219" t="s">
        <v>234</v>
      </c>
      <c r="AB2219" t="s">
        <v>5</v>
      </c>
      <c r="AC2219" s="21">
        <v>15446.17</v>
      </c>
      <c r="AD2219" s="21" t="s">
        <v>368</v>
      </c>
      <c r="AE2219" t="str">
        <f>VLOOKUP(Table_Query_from_Actuarial___Production3[[#This Row],[Kor1]],$AI$3:$AK$105,3,FALSE)</f>
        <v>Misc. Expense</v>
      </c>
      <c r="AF2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0" spans="18:32" x14ac:dyDescent="0.2">
      <c r="R2220" t="s">
        <v>3</v>
      </c>
      <c r="S2220" t="s">
        <v>256</v>
      </c>
      <c r="T2220" t="s">
        <v>441</v>
      </c>
      <c r="U2220" s="21">
        <v>88469</v>
      </c>
      <c r="V2220" s="21" t="s">
        <v>368</v>
      </c>
      <c r="W2220" t="str">
        <f>VLOOKUP(Table_Query_from_Actuarial___Production[[#This Row],[Kor1]],$AI$3:$AK$105,3,FALSE)</f>
        <v>Premiums Written</v>
      </c>
      <c r="X2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0"/>
      <c r="Z2220" t="s">
        <v>39</v>
      </c>
      <c r="AA2220" t="s">
        <v>257</v>
      </c>
      <c r="AB2220" t="s">
        <v>433</v>
      </c>
      <c r="AC2220" s="21">
        <v>1750.97</v>
      </c>
      <c r="AD2220" s="21" t="s">
        <v>368</v>
      </c>
      <c r="AE2220" t="str">
        <f>VLOOKUP(Table_Query_from_Actuarial___Production3[[#This Row],[Kor1]],$AI$3:$AK$105,3,FALSE)</f>
        <v>Misc. Income for Insolvent Companies</v>
      </c>
      <c r="AF2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1" spans="18:32" x14ac:dyDescent="0.2">
      <c r="R2221" t="s">
        <v>40</v>
      </c>
      <c r="S2221" t="s">
        <v>239</v>
      </c>
      <c r="T2221" t="s">
        <v>356</v>
      </c>
      <c r="U2221" s="21">
        <v>34.01</v>
      </c>
      <c r="V2221" s="21" t="s">
        <v>368</v>
      </c>
      <c r="W2221" t="str">
        <f>VLOOKUP(Table_Query_from_Actuarial___Production[[#This Row],[Kor1]],$AI$3:$AK$105,3,FALSE)</f>
        <v>Misc. Income</v>
      </c>
      <c r="X2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1"/>
      <c r="Z2221" t="s">
        <v>14</v>
      </c>
      <c r="AA2221" t="s">
        <v>251</v>
      </c>
      <c r="AB2221" t="s">
        <v>443</v>
      </c>
      <c r="AC2221" s="21">
        <v>1855.46</v>
      </c>
      <c r="AD2221" s="21" t="s">
        <v>368</v>
      </c>
      <c r="AE2221" t="str">
        <f>VLOOKUP(Table_Query_from_Actuarial___Production3[[#This Row],[Kor1]],$AI$3:$AK$105,3,FALSE)</f>
        <v>Claims Expense</v>
      </c>
      <c r="AF2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2" spans="18:32" x14ac:dyDescent="0.2">
      <c r="R2222" t="s">
        <v>10</v>
      </c>
      <c r="S2222" t="s">
        <v>232</v>
      </c>
      <c r="T2222" t="s">
        <v>6</v>
      </c>
      <c r="U2222" s="21">
        <v>88218.03</v>
      </c>
      <c r="V2222" s="21" t="s">
        <v>368</v>
      </c>
      <c r="W2222" t="str">
        <f>VLOOKUP(Table_Query_from_Actuarial___Production[[#This Row],[Kor1]],$AI$3:$AK$105,3,FALSE)</f>
        <v>Commissions</v>
      </c>
      <c r="X2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2"/>
      <c r="Z2222" t="s">
        <v>14</v>
      </c>
      <c r="AA2222" t="s">
        <v>238</v>
      </c>
      <c r="AB2222" t="s">
        <v>443</v>
      </c>
      <c r="AC2222" s="21">
        <v>7690.73</v>
      </c>
      <c r="AD2222" s="21" t="s">
        <v>368</v>
      </c>
      <c r="AE2222" t="str">
        <f>VLOOKUP(Table_Query_from_Actuarial___Production3[[#This Row],[Kor1]],$AI$3:$AK$105,3,FALSE)</f>
        <v>Claims Expense</v>
      </c>
      <c r="AF2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3" spans="18:32" x14ac:dyDescent="0.2">
      <c r="R2223" t="s">
        <v>12</v>
      </c>
      <c r="S2223" t="s">
        <v>261</v>
      </c>
      <c r="T2223" t="s">
        <v>8</v>
      </c>
      <c r="U2223" s="21">
        <v>20349.400000000001</v>
      </c>
      <c r="V2223" s="21" t="s">
        <v>368</v>
      </c>
      <c r="W2223" t="str">
        <f>VLOOKUP(Table_Query_from_Actuarial___Production[[#This Row],[Kor1]],$AI$3:$AK$105,3,FALSE)</f>
        <v>Premium Tax</v>
      </c>
      <c r="X2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3"/>
      <c r="Z2223" t="s">
        <v>31</v>
      </c>
      <c r="AA2223" t="s">
        <v>252</v>
      </c>
      <c r="AB2223" t="s">
        <v>351</v>
      </c>
      <c r="AC2223" s="21">
        <v>-5118.72</v>
      </c>
      <c r="AD2223" s="21" t="s">
        <v>368</v>
      </c>
      <c r="AE2223" t="str">
        <f>VLOOKUP(Table_Query_from_Actuarial___Production3[[#This Row],[Kor1]],$AI$3:$AK$105,3,FALSE)</f>
        <v>Misc. Expense</v>
      </c>
      <c r="AF2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4" spans="18:32" x14ac:dyDescent="0.2">
      <c r="R2224" t="s">
        <v>41</v>
      </c>
      <c r="S2224" t="s">
        <v>229</v>
      </c>
      <c r="T2224" t="s">
        <v>8</v>
      </c>
      <c r="U2224" s="21">
        <v>150</v>
      </c>
      <c r="V2224" s="21" t="s">
        <v>368</v>
      </c>
      <c r="W2224" t="str">
        <f>VLOOKUP(Table_Query_from_Actuarial___Production[[#This Row],[Kor1]],$AI$3:$AK$105,3,FALSE)</f>
        <v>Misc. Income</v>
      </c>
      <c r="X2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4"/>
      <c r="Z2224" t="s">
        <v>21</v>
      </c>
      <c r="AA2224" t="s">
        <v>250</v>
      </c>
      <c r="AB2224" t="s">
        <v>7</v>
      </c>
      <c r="AC2224" s="21">
        <v>1876.61</v>
      </c>
      <c r="AD2224" s="21" t="s">
        <v>368</v>
      </c>
      <c r="AE2224" t="str">
        <f>VLOOKUP(Table_Query_from_Actuarial___Production3[[#This Row],[Kor1]],$AI$3:$AK$105,3,FALSE)</f>
        <v>Misc. Expense</v>
      </c>
      <c r="AF2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5" spans="18:32" x14ac:dyDescent="0.2">
      <c r="R2225" t="s">
        <v>13</v>
      </c>
      <c r="S2225" t="s">
        <v>260</v>
      </c>
      <c r="T2225" t="s">
        <v>442</v>
      </c>
      <c r="U2225" s="21">
        <v>8646.94</v>
      </c>
      <c r="V2225" s="21" t="s">
        <v>368</v>
      </c>
      <c r="W2225" t="str">
        <f>VLOOKUP(Table_Query_from_Actuarial___Production[[#This Row],[Kor1]],$AI$3:$AK$105,3,FALSE)</f>
        <v>Operating Service Fees</v>
      </c>
      <c r="X2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5"/>
      <c r="Z2225" t="s">
        <v>43</v>
      </c>
      <c r="AA2225" t="s">
        <v>244</v>
      </c>
      <c r="AB2225" t="s">
        <v>9</v>
      </c>
      <c r="AC2225" s="21">
        <v>2114.64</v>
      </c>
      <c r="AD2225" s="21" t="s">
        <v>368</v>
      </c>
      <c r="AE2225" t="str">
        <f>VLOOKUP(Table_Query_from_Actuarial___Production3[[#This Row],[Kor1]],$AI$3:$AK$105,3,FALSE)</f>
        <v>Charge-offs</v>
      </c>
      <c r="AF2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6" spans="18:32" x14ac:dyDescent="0.2">
      <c r="R2226" t="s">
        <v>43</v>
      </c>
      <c r="S2226" t="s">
        <v>234</v>
      </c>
      <c r="T2226" t="s">
        <v>6</v>
      </c>
      <c r="U2226" s="21">
        <v>-266.61</v>
      </c>
      <c r="V2226" s="21" t="s">
        <v>368</v>
      </c>
      <c r="W2226" t="str">
        <f>VLOOKUP(Table_Query_from_Actuarial___Production[[#This Row],[Kor1]],$AI$3:$AK$105,3,FALSE)</f>
        <v>Charge-offs</v>
      </c>
      <c r="X2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6"/>
      <c r="Z2226" t="s">
        <v>19</v>
      </c>
      <c r="AA2226" t="s">
        <v>262</v>
      </c>
      <c r="AB2226" t="s">
        <v>8</v>
      </c>
      <c r="AC2226" s="21">
        <v>65</v>
      </c>
      <c r="AD2226" s="21" t="s">
        <v>368</v>
      </c>
      <c r="AE2226" t="str">
        <f>VLOOKUP(Table_Query_from_Actuarial___Production3[[#This Row],[Kor1]],$AI$3:$AK$105,3,FALSE)</f>
        <v>Misc. Expense for Insolvent Companies</v>
      </c>
      <c r="AF2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7" spans="18:32" x14ac:dyDescent="0.2">
      <c r="R2227" t="s">
        <v>13</v>
      </c>
      <c r="S2227" t="s">
        <v>259</v>
      </c>
      <c r="T2227" t="s">
        <v>445</v>
      </c>
      <c r="U2227" s="21">
        <v>4074.93</v>
      </c>
      <c r="V2227" s="21" t="s">
        <v>368</v>
      </c>
      <c r="W2227" t="str">
        <f>VLOOKUP(Table_Query_from_Actuarial___Production[[#This Row],[Kor1]],$AI$3:$AK$105,3,FALSE)</f>
        <v>Operating Service Fees</v>
      </c>
      <c r="X2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7"/>
      <c r="Z2227" t="s">
        <v>48</v>
      </c>
      <c r="AA2227" t="s">
        <v>241</v>
      </c>
      <c r="AB2227" t="s">
        <v>441</v>
      </c>
      <c r="AC2227" s="21">
        <v>487.76</v>
      </c>
      <c r="AD2227" s="21" t="s">
        <v>368</v>
      </c>
      <c r="AE2227" t="str">
        <f>VLOOKUP(Table_Query_from_Actuarial___Production3[[#This Row],[Kor1]],$AI$3:$AK$105,3,FALSE)</f>
        <v>Anticipated Salvage</v>
      </c>
      <c r="AF2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28" spans="18:32" x14ac:dyDescent="0.2">
      <c r="R2228" t="s">
        <v>14</v>
      </c>
      <c r="S2228" t="s">
        <v>232</v>
      </c>
      <c r="T2228" t="s">
        <v>7</v>
      </c>
      <c r="U2228" s="21">
        <v>113405.33</v>
      </c>
      <c r="V2228" s="21" t="s">
        <v>368</v>
      </c>
      <c r="W2228" t="str">
        <f>VLOOKUP(Table_Query_from_Actuarial___Production[[#This Row],[Kor1]],$AI$3:$AK$105,3,FALSE)</f>
        <v>Claims Expense</v>
      </c>
      <c r="X2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8"/>
      <c r="Z2228" t="s">
        <v>38</v>
      </c>
      <c r="AA2228" t="s">
        <v>354</v>
      </c>
      <c r="AB2228" t="s">
        <v>8</v>
      </c>
      <c r="AC2228" s="21">
        <v>127153.91</v>
      </c>
      <c r="AD2228" s="21" t="s">
        <v>369</v>
      </c>
      <c r="AE2228" t="str">
        <f>VLOOKUP(Table_Query_from_Actuarial___Production3[[#This Row],[Kor1]],$AI$3:$AK$105,3,FALSE)</f>
        <v>Misc. Income</v>
      </c>
      <c r="AF2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229" spans="18:32" x14ac:dyDescent="0.2">
      <c r="R2229" t="s">
        <v>44</v>
      </c>
      <c r="S2229" t="s">
        <v>247</v>
      </c>
      <c r="T2229" t="s">
        <v>9</v>
      </c>
      <c r="U2229" s="21">
        <v>4</v>
      </c>
      <c r="V2229" s="21" t="s">
        <v>368</v>
      </c>
      <c r="W2229" t="str">
        <f>VLOOKUP(Table_Query_from_Actuarial___Production[[#This Row],[Kor1]],$AI$3:$AK$105,3,FALSE)</f>
        <v>Charge-offs</v>
      </c>
      <c r="X2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29"/>
      <c r="Z2229" t="s">
        <v>43</v>
      </c>
      <c r="AA2229" t="s">
        <v>224</v>
      </c>
      <c r="AB2229" t="s">
        <v>7</v>
      </c>
      <c r="AC2229" s="21">
        <v>11.18</v>
      </c>
      <c r="AD2229" s="21" t="s">
        <v>425</v>
      </c>
      <c r="AE2229" t="str">
        <f>VLOOKUP(Table_Query_from_Actuarial___Production3[[#This Row],[Kor1]],$AI$3:$AK$105,3,FALSE)</f>
        <v>Charge-offs</v>
      </c>
      <c r="AF2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230" spans="18:32" x14ac:dyDescent="0.2">
      <c r="R2230" t="s">
        <v>14</v>
      </c>
      <c r="S2230" t="s">
        <v>261</v>
      </c>
      <c r="T2230" t="s">
        <v>445</v>
      </c>
      <c r="U2230" s="21">
        <v>4447.38</v>
      </c>
      <c r="V2230" s="21" t="s">
        <v>368</v>
      </c>
      <c r="W2230" t="str">
        <f>VLOOKUP(Table_Query_from_Actuarial___Production[[#This Row],[Kor1]],$AI$3:$AK$105,3,FALSE)</f>
        <v>Claims Expense</v>
      </c>
      <c r="X2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0"/>
      <c r="Z2230" t="s">
        <v>3</v>
      </c>
      <c r="AA2230" t="s">
        <v>257</v>
      </c>
      <c r="AB2230" t="s">
        <v>6</v>
      </c>
      <c r="AC2230" s="21">
        <v>1523198</v>
      </c>
      <c r="AD2230" s="21" t="s">
        <v>368</v>
      </c>
      <c r="AE2230" t="str">
        <f>VLOOKUP(Table_Query_from_Actuarial___Production3[[#This Row],[Kor1]],$AI$3:$AK$105,3,FALSE)</f>
        <v>Premiums Written</v>
      </c>
      <c r="AF2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1" spans="18:32" x14ac:dyDescent="0.2">
      <c r="R2231" t="s">
        <v>3</v>
      </c>
      <c r="S2231" t="s">
        <v>262</v>
      </c>
      <c r="T2231" t="s">
        <v>356</v>
      </c>
      <c r="U2231" s="21">
        <v>254140</v>
      </c>
      <c r="V2231" s="21" t="s">
        <v>368</v>
      </c>
      <c r="W2231" t="str">
        <f>VLOOKUP(Table_Query_from_Actuarial___Production[[#This Row],[Kor1]],$AI$3:$AK$105,3,FALSE)</f>
        <v>Premiums Written</v>
      </c>
      <c r="X2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1"/>
      <c r="Z2231" t="s">
        <v>20</v>
      </c>
      <c r="AA2231" t="s">
        <v>237</v>
      </c>
      <c r="AB2231" t="s">
        <v>7</v>
      </c>
      <c r="AC2231" s="21">
        <v>423.94</v>
      </c>
      <c r="AD2231" s="21" t="s">
        <v>368</v>
      </c>
      <c r="AE2231" t="str">
        <f>VLOOKUP(Table_Query_from_Actuarial___Production3[[#This Row],[Kor1]],$AI$3:$AK$105,3,FALSE)</f>
        <v>Misc. Expense</v>
      </c>
      <c r="AF2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2" spans="18:32" x14ac:dyDescent="0.2">
      <c r="R2232" t="s">
        <v>34</v>
      </c>
      <c r="S2232" t="s">
        <v>230</v>
      </c>
      <c r="T2232" t="s">
        <v>442</v>
      </c>
      <c r="U2232" s="21">
        <v>2134.2199999999998</v>
      </c>
      <c r="V2232" s="21" t="s">
        <v>368</v>
      </c>
      <c r="W2232" t="str">
        <f>VLOOKUP(Table_Query_from_Actuarial___Production[[#This Row],[Kor1]],$AI$3:$AK$105,3,FALSE)</f>
        <v>Misc. Expense</v>
      </c>
      <c r="X2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2"/>
      <c r="Z2232" t="s">
        <v>47</v>
      </c>
      <c r="AA2232" t="s">
        <v>246</v>
      </c>
      <c r="AB2232" t="s">
        <v>443</v>
      </c>
      <c r="AC2232" s="21">
        <v>4175.7</v>
      </c>
      <c r="AD2232" s="21" t="s">
        <v>368</v>
      </c>
      <c r="AE2232" t="str">
        <f>VLOOKUP(Table_Query_from_Actuarial___Production3[[#This Row],[Kor1]],$AI$3:$AK$105,3,FALSE)</f>
        <v>Investment Income</v>
      </c>
      <c r="AF2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3" spans="18:32" x14ac:dyDescent="0.2">
      <c r="R2233" t="s">
        <v>3</v>
      </c>
      <c r="S2233" t="s">
        <v>235</v>
      </c>
      <c r="T2233" t="s">
        <v>7</v>
      </c>
      <c r="U2233" s="21">
        <v>310215</v>
      </c>
      <c r="V2233" s="21" t="s">
        <v>368</v>
      </c>
      <c r="W2233" t="str">
        <f>VLOOKUP(Table_Query_from_Actuarial___Production[[#This Row],[Kor1]],$AI$3:$AK$105,3,FALSE)</f>
        <v>Premiums Written</v>
      </c>
      <c r="X2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3"/>
      <c r="Z2233" t="s">
        <v>21</v>
      </c>
      <c r="AA2233" t="s">
        <v>243</v>
      </c>
      <c r="AB2233" t="s">
        <v>356</v>
      </c>
      <c r="AC2233" s="21">
        <v>628.48</v>
      </c>
      <c r="AD2233" s="21" t="s">
        <v>368</v>
      </c>
      <c r="AE2233" t="str">
        <f>VLOOKUP(Table_Query_from_Actuarial___Production3[[#This Row],[Kor1]],$AI$3:$AK$105,3,FALSE)</f>
        <v>Misc. Expense</v>
      </c>
      <c r="AF2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4" spans="18:32" x14ac:dyDescent="0.2">
      <c r="R2234" t="s">
        <v>3</v>
      </c>
      <c r="S2234" t="s">
        <v>264</v>
      </c>
      <c r="T2234" t="s">
        <v>445</v>
      </c>
      <c r="U2234" s="21">
        <v>1981065</v>
      </c>
      <c r="V2234" s="21" t="s">
        <v>368</v>
      </c>
      <c r="W2234" t="str">
        <f>VLOOKUP(Table_Query_from_Actuarial___Production[[#This Row],[Kor1]],$AI$3:$AK$105,3,FALSE)</f>
        <v>Premiums Written</v>
      </c>
      <c r="X2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4"/>
      <c r="Z2234" t="s">
        <v>31</v>
      </c>
      <c r="AA2234" t="s">
        <v>249</v>
      </c>
      <c r="AB2234" t="s">
        <v>351</v>
      </c>
      <c r="AC2234" s="21">
        <v>766.5</v>
      </c>
      <c r="AD2234" s="21" t="s">
        <v>368</v>
      </c>
      <c r="AE2234" t="str">
        <f>VLOOKUP(Table_Query_from_Actuarial___Production3[[#This Row],[Kor1]],$AI$3:$AK$105,3,FALSE)</f>
        <v>Misc. Expense</v>
      </c>
      <c r="AF2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5" spans="18:32" x14ac:dyDescent="0.2">
      <c r="R2235" t="s">
        <v>21</v>
      </c>
      <c r="S2235" t="s">
        <v>235</v>
      </c>
      <c r="T2235" t="s">
        <v>8</v>
      </c>
      <c r="U2235" s="21">
        <v>1114.02</v>
      </c>
      <c r="V2235" s="21" t="s">
        <v>368</v>
      </c>
      <c r="W2235" t="str">
        <f>VLOOKUP(Table_Query_from_Actuarial___Production[[#This Row],[Kor1]],$AI$3:$AK$105,3,FALSE)</f>
        <v>Misc. Expense</v>
      </c>
      <c r="X2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5"/>
      <c r="Z2235" t="s">
        <v>41</v>
      </c>
      <c r="AA2235" t="s">
        <v>232</v>
      </c>
      <c r="AB2235" t="s">
        <v>9</v>
      </c>
      <c r="AC2235" s="21">
        <v>200</v>
      </c>
      <c r="AD2235" s="21" t="s">
        <v>368</v>
      </c>
      <c r="AE2235" t="str">
        <f>VLOOKUP(Table_Query_from_Actuarial___Production3[[#This Row],[Kor1]],$AI$3:$AK$105,3,FALSE)</f>
        <v>Misc. Income</v>
      </c>
      <c r="AF2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6" spans="18:32" x14ac:dyDescent="0.2">
      <c r="R2236" t="s">
        <v>33</v>
      </c>
      <c r="S2236" t="s">
        <v>247</v>
      </c>
      <c r="T2236" t="s">
        <v>356</v>
      </c>
      <c r="U2236" s="21">
        <v>6851.34</v>
      </c>
      <c r="V2236" s="21" t="s">
        <v>368</v>
      </c>
      <c r="W2236" t="str">
        <f>VLOOKUP(Table_Query_from_Actuarial___Production[[#This Row],[Kor1]],$AI$3:$AK$105,3,FALSE)</f>
        <v>Misc. Expense</v>
      </c>
      <c r="X2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6"/>
      <c r="Z2236" t="s">
        <v>10</v>
      </c>
      <c r="AA2236" t="s">
        <v>250</v>
      </c>
      <c r="AB2236" t="s">
        <v>5</v>
      </c>
      <c r="AC2236" s="21">
        <v>57152.56</v>
      </c>
      <c r="AD2236" s="21" t="s">
        <v>368</v>
      </c>
      <c r="AE2236" t="str">
        <f>VLOOKUP(Table_Query_from_Actuarial___Production3[[#This Row],[Kor1]],$AI$3:$AK$105,3,FALSE)</f>
        <v>Commissions</v>
      </c>
      <c r="AF2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7" spans="18:32" x14ac:dyDescent="0.2">
      <c r="R2237" t="s">
        <v>40</v>
      </c>
      <c r="S2237" t="s">
        <v>4</v>
      </c>
      <c r="T2237" t="s">
        <v>445</v>
      </c>
      <c r="U2237" s="21">
        <v>13160.79</v>
      </c>
      <c r="V2237" s="21" t="s">
        <v>368</v>
      </c>
      <c r="W2237" t="str">
        <f>VLOOKUP(Table_Query_from_Actuarial___Production[[#This Row],[Kor1]],$AI$3:$AK$105,3,FALSE)</f>
        <v>Misc. Income</v>
      </c>
      <c r="X2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7"/>
      <c r="Z2237" t="s">
        <v>44</v>
      </c>
      <c r="AA2237" t="s">
        <v>249</v>
      </c>
      <c r="AB2237" t="s">
        <v>6</v>
      </c>
      <c r="AC2237" s="21">
        <v>89950</v>
      </c>
      <c r="AD2237" s="21" t="s">
        <v>368</v>
      </c>
      <c r="AE2237" t="str">
        <f>VLOOKUP(Table_Query_from_Actuarial___Production3[[#This Row],[Kor1]],$AI$3:$AK$105,3,FALSE)</f>
        <v>Charge-offs</v>
      </c>
      <c r="AF2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8" spans="18:32" x14ac:dyDescent="0.2">
      <c r="R2238" t="s">
        <v>14</v>
      </c>
      <c r="S2238" t="s">
        <v>249</v>
      </c>
      <c r="T2238" t="s">
        <v>443</v>
      </c>
      <c r="U2238" s="21">
        <v>46082.1</v>
      </c>
      <c r="V2238" s="21" t="s">
        <v>368</v>
      </c>
      <c r="W2238" t="str">
        <f>VLOOKUP(Table_Query_from_Actuarial___Production[[#This Row],[Kor1]],$AI$3:$AK$105,3,FALSE)</f>
        <v>Claims Expense</v>
      </c>
      <c r="X2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8"/>
      <c r="Z2238" t="s">
        <v>11</v>
      </c>
      <c r="AA2238" t="s">
        <v>232</v>
      </c>
      <c r="AB2238" t="s">
        <v>442</v>
      </c>
      <c r="AC2238" s="21">
        <v>212233.16</v>
      </c>
      <c r="AD2238" s="21" t="s">
        <v>368</v>
      </c>
      <c r="AE2238" t="str">
        <f>VLOOKUP(Table_Query_from_Actuarial___Production3[[#This Row],[Kor1]],$AI$3:$AK$105,3,FALSE)</f>
        <v>Losses Paid</v>
      </c>
      <c r="AF2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39" spans="18:32" x14ac:dyDescent="0.2">
      <c r="R2239" t="s">
        <v>49</v>
      </c>
      <c r="S2239" t="s">
        <v>229</v>
      </c>
      <c r="T2239" t="s">
        <v>356</v>
      </c>
      <c r="U2239" s="21">
        <v>3288.76</v>
      </c>
      <c r="V2239" s="21" t="s">
        <v>368</v>
      </c>
      <c r="W2239" t="str">
        <f>VLOOKUP(Table_Query_from_Actuarial___Production[[#This Row],[Kor1]],$AI$3:$AK$105,3,FALSE)</f>
        <v>ALAE Paid</v>
      </c>
      <c r="X2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39"/>
      <c r="Z2239" t="s">
        <v>31</v>
      </c>
      <c r="AA2239" t="s">
        <v>243</v>
      </c>
      <c r="AB2239" t="s">
        <v>5</v>
      </c>
      <c r="AC2239" s="21">
        <v>-846.9</v>
      </c>
      <c r="AD2239" s="21" t="s">
        <v>368</v>
      </c>
      <c r="AE2239" t="str">
        <f>VLOOKUP(Table_Query_from_Actuarial___Production3[[#This Row],[Kor1]],$AI$3:$AK$105,3,FALSE)</f>
        <v>Misc. Expense</v>
      </c>
      <c r="AF2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0" spans="18:32" x14ac:dyDescent="0.2">
      <c r="R2240" t="s">
        <v>31</v>
      </c>
      <c r="S2240" t="s">
        <v>245</v>
      </c>
      <c r="T2240" t="s">
        <v>433</v>
      </c>
      <c r="U2240" s="21">
        <v>885.09</v>
      </c>
      <c r="V2240" s="21" t="s">
        <v>368</v>
      </c>
      <c r="W2240" t="str">
        <f>VLOOKUP(Table_Query_from_Actuarial___Production[[#This Row],[Kor1]],$AI$3:$AK$105,3,FALSE)</f>
        <v>Misc. Expense</v>
      </c>
      <c r="X2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0"/>
      <c r="Z2240" t="s">
        <v>47</v>
      </c>
      <c r="AA2240" t="s">
        <v>256</v>
      </c>
      <c r="AB2240" t="s">
        <v>441</v>
      </c>
      <c r="AC2240" s="21">
        <v>569.46</v>
      </c>
      <c r="AD2240" s="21" t="s">
        <v>368</v>
      </c>
      <c r="AE2240" t="str">
        <f>VLOOKUP(Table_Query_from_Actuarial___Production3[[#This Row],[Kor1]],$AI$3:$AK$105,3,FALSE)</f>
        <v>Investment Income</v>
      </c>
      <c r="AF2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1" spans="18:32" x14ac:dyDescent="0.2">
      <c r="R2241" t="s">
        <v>33</v>
      </c>
      <c r="S2241" t="s">
        <v>230</v>
      </c>
      <c r="T2241" t="s">
        <v>356</v>
      </c>
      <c r="U2241" s="21">
        <v>15482.59</v>
      </c>
      <c r="V2241" s="21" t="s">
        <v>368</v>
      </c>
      <c r="W2241" t="str">
        <f>VLOOKUP(Table_Query_from_Actuarial___Production[[#This Row],[Kor1]],$AI$3:$AK$105,3,FALSE)</f>
        <v>Misc. Expense</v>
      </c>
      <c r="X2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1"/>
      <c r="Z2241" t="s">
        <v>11</v>
      </c>
      <c r="AA2241" t="s">
        <v>238</v>
      </c>
      <c r="AB2241" t="s">
        <v>427</v>
      </c>
      <c r="AC2241" s="21">
        <v>1024874.08</v>
      </c>
      <c r="AD2241" s="21" t="s">
        <v>368</v>
      </c>
      <c r="AE2241" t="str">
        <f>VLOOKUP(Table_Query_from_Actuarial___Production3[[#This Row],[Kor1]],$AI$3:$AK$105,3,FALSE)</f>
        <v>Losses Paid</v>
      </c>
      <c r="AF2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2" spans="18:32" x14ac:dyDescent="0.2">
      <c r="R2242" t="s">
        <v>41</v>
      </c>
      <c r="S2242" t="s">
        <v>236</v>
      </c>
      <c r="T2242" t="s">
        <v>441</v>
      </c>
      <c r="U2242" s="21">
        <v>250</v>
      </c>
      <c r="V2242" s="21" t="s">
        <v>368</v>
      </c>
      <c r="W2242" t="str">
        <f>VLOOKUP(Table_Query_from_Actuarial___Production[[#This Row],[Kor1]],$AI$3:$AK$105,3,FALSE)</f>
        <v>Misc. Income</v>
      </c>
      <c r="X2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2"/>
      <c r="Z2242" t="s">
        <v>31</v>
      </c>
      <c r="AA2242" t="s">
        <v>236</v>
      </c>
      <c r="AB2242" t="s">
        <v>8</v>
      </c>
      <c r="AC2242" s="21">
        <v>8242.98</v>
      </c>
      <c r="AD2242" s="21" t="s">
        <v>368</v>
      </c>
      <c r="AE2242" t="str">
        <f>VLOOKUP(Table_Query_from_Actuarial___Production3[[#This Row],[Kor1]],$AI$3:$AK$105,3,FALSE)</f>
        <v>Misc. Expense</v>
      </c>
      <c r="AF2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3" spans="18:32" x14ac:dyDescent="0.2">
      <c r="R2243" t="s">
        <v>3</v>
      </c>
      <c r="S2243" t="s">
        <v>225</v>
      </c>
      <c r="T2243" t="s">
        <v>433</v>
      </c>
      <c r="U2243" s="21">
        <v>1113783</v>
      </c>
      <c r="V2243" s="21" t="s">
        <v>368</v>
      </c>
      <c r="W2243" t="str">
        <f>VLOOKUP(Table_Query_from_Actuarial___Production[[#This Row],[Kor1]],$AI$3:$AK$105,3,FALSE)</f>
        <v>Premiums Written</v>
      </c>
      <c r="X2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243"/>
      <c r="Z2243" t="s">
        <v>34</v>
      </c>
      <c r="AA2243" t="s">
        <v>249</v>
      </c>
      <c r="AB2243" t="s">
        <v>7</v>
      </c>
      <c r="AC2243" s="21">
        <v>1.75</v>
      </c>
      <c r="AD2243" s="21" t="s">
        <v>368</v>
      </c>
      <c r="AE2243" t="str">
        <f>VLOOKUP(Table_Query_from_Actuarial___Production3[[#This Row],[Kor1]],$AI$3:$AK$105,3,FALSE)</f>
        <v>Misc. Expense</v>
      </c>
      <c r="AF2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4" spans="18:32" x14ac:dyDescent="0.2">
      <c r="R2244" t="s">
        <v>3</v>
      </c>
      <c r="S2244" t="s">
        <v>232</v>
      </c>
      <c r="T2244" t="s">
        <v>442</v>
      </c>
      <c r="U2244" s="21">
        <v>1437342</v>
      </c>
      <c r="V2244" s="21" t="s">
        <v>368</v>
      </c>
      <c r="W2244" t="str">
        <f>VLOOKUP(Table_Query_from_Actuarial___Production[[#This Row],[Kor1]],$AI$3:$AK$105,3,FALSE)</f>
        <v>Premiums Written</v>
      </c>
      <c r="X2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4"/>
      <c r="Z2244" t="s">
        <v>47</v>
      </c>
      <c r="AA2244" t="s">
        <v>263</v>
      </c>
      <c r="AB2244" t="s">
        <v>427</v>
      </c>
      <c r="AC2244" s="21">
        <v>2108.19</v>
      </c>
      <c r="AD2244" s="21" t="s">
        <v>368</v>
      </c>
      <c r="AE2244" t="str">
        <f>VLOOKUP(Table_Query_from_Actuarial___Production3[[#This Row],[Kor1]],$AI$3:$AK$105,3,FALSE)</f>
        <v>Investment Income</v>
      </c>
      <c r="AF2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5" spans="18:32" x14ac:dyDescent="0.2">
      <c r="R2245" t="s">
        <v>14</v>
      </c>
      <c r="S2245" t="s">
        <v>247</v>
      </c>
      <c r="T2245" t="s">
        <v>356</v>
      </c>
      <c r="U2245" s="21">
        <v>467.21</v>
      </c>
      <c r="V2245" s="21" t="s">
        <v>368</v>
      </c>
      <c r="W2245" t="str">
        <f>VLOOKUP(Table_Query_from_Actuarial___Production[[#This Row],[Kor1]],$AI$3:$AK$105,3,FALSE)</f>
        <v>Claims Expense</v>
      </c>
      <c r="X2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5"/>
      <c r="Z2245" t="s">
        <v>13</v>
      </c>
      <c r="AA2245" t="s">
        <v>252</v>
      </c>
      <c r="AB2245" t="s">
        <v>441</v>
      </c>
      <c r="AC2245" s="21">
        <v>6469699.2599999998</v>
      </c>
      <c r="AD2245" s="21" t="s">
        <v>368</v>
      </c>
      <c r="AE2245" t="str">
        <f>VLOOKUP(Table_Query_from_Actuarial___Production3[[#This Row],[Kor1]],$AI$3:$AK$105,3,FALSE)</f>
        <v>Operating Service Fees</v>
      </c>
      <c r="AF2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6" spans="18:32" x14ac:dyDescent="0.2">
      <c r="R2246" t="s">
        <v>13</v>
      </c>
      <c r="S2246" t="s">
        <v>231</v>
      </c>
      <c r="T2246" t="s">
        <v>427</v>
      </c>
      <c r="U2246" s="21">
        <v>190955.9</v>
      </c>
      <c r="V2246" s="21" t="s">
        <v>368</v>
      </c>
      <c r="W2246" t="str">
        <f>VLOOKUP(Table_Query_from_Actuarial___Production[[#This Row],[Kor1]],$AI$3:$AK$105,3,FALSE)</f>
        <v>Operating Service Fees</v>
      </c>
      <c r="X2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6"/>
      <c r="Z2246" t="s">
        <v>34</v>
      </c>
      <c r="AA2246" t="s">
        <v>246</v>
      </c>
      <c r="AB2246" t="s">
        <v>8</v>
      </c>
      <c r="AC2246" s="21">
        <v>11.8</v>
      </c>
      <c r="AD2246" s="21" t="s">
        <v>368</v>
      </c>
      <c r="AE2246" t="str">
        <f>VLOOKUP(Table_Query_from_Actuarial___Production3[[#This Row],[Kor1]],$AI$3:$AK$105,3,FALSE)</f>
        <v>Misc. Expense</v>
      </c>
      <c r="AF2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7" spans="18:32" x14ac:dyDescent="0.2">
      <c r="R2247" t="s">
        <v>10</v>
      </c>
      <c r="S2247" t="s">
        <v>246</v>
      </c>
      <c r="T2247" t="s">
        <v>441</v>
      </c>
      <c r="U2247" s="21">
        <v>252414.7</v>
      </c>
      <c r="V2247" s="21" t="s">
        <v>368</v>
      </c>
      <c r="W2247" t="str">
        <f>VLOOKUP(Table_Query_from_Actuarial___Production[[#This Row],[Kor1]],$AI$3:$AK$105,3,FALSE)</f>
        <v>Commissions</v>
      </c>
      <c r="X2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7"/>
      <c r="Z2247" t="s">
        <v>43</v>
      </c>
      <c r="AA2247" t="s">
        <v>242</v>
      </c>
      <c r="AB2247" t="s">
        <v>6</v>
      </c>
      <c r="AC2247" s="21">
        <v>-0.01</v>
      </c>
      <c r="AD2247" s="21" t="s">
        <v>368</v>
      </c>
      <c r="AE2247" t="str">
        <f>VLOOKUP(Table_Query_from_Actuarial___Production3[[#This Row],[Kor1]],$AI$3:$AK$105,3,FALSE)</f>
        <v>Charge-offs</v>
      </c>
      <c r="AF2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8" spans="18:32" x14ac:dyDescent="0.2">
      <c r="R2248" t="s">
        <v>22</v>
      </c>
      <c r="S2248" t="s">
        <v>259</v>
      </c>
      <c r="T2248" t="s">
        <v>445</v>
      </c>
      <c r="U2248" s="21">
        <v>7081.77</v>
      </c>
      <c r="V2248" s="21" t="s">
        <v>368</v>
      </c>
      <c r="W2248" t="str">
        <f>VLOOKUP(Table_Query_from_Actuarial___Production[[#This Row],[Kor1]],$AI$3:$AK$105,3,FALSE)</f>
        <v>Misc. Expense</v>
      </c>
      <c r="X2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8"/>
      <c r="Z2248" t="s">
        <v>44</v>
      </c>
      <c r="AA2248" t="s">
        <v>240</v>
      </c>
      <c r="AB2248" t="s">
        <v>5</v>
      </c>
      <c r="AC2248" s="21">
        <v>277.14999999999998</v>
      </c>
      <c r="AD2248" s="21" t="s">
        <v>368</v>
      </c>
      <c r="AE2248" t="str">
        <f>VLOOKUP(Table_Query_from_Actuarial___Production3[[#This Row],[Kor1]],$AI$3:$AK$105,3,FALSE)</f>
        <v>Charge-offs</v>
      </c>
      <c r="AF2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49" spans="18:32" x14ac:dyDescent="0.2">
      <c r="R2249" t="s">
        <v>47</v>
      </c>
      <c r="S2249" t="s">
        <v>248</v>
      </c>
      <c r="T2249" t="s">
        <v>9</v>
      </c>
      <c r="U2249" s="21">
        <v>108.88</v>
      </c>
      <c r="V2249" s="21" t="s">
        <v>368</v>
      </c>
      <c r="W2249" t="str">
        <f>VLOOKUP(Table_Query_from_Actuarial___Production[[#This Row],[Kor1]],$AI$3:$AK$105,3,FALSE)</f>
        <v>Investment Income</v>
      </c>
      <c r="X2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49"/>
      <c r="Z2249" t="s">
        <v>14</v>
      </c>
      <c r="AA2249" t="s">
        <v>242</v>
      </c>
      <c r="AB2249" t="s">
        <v>6</v>
      </c>
      <c r="AC2249" s="21">
        <v>41763.360000000001</v>
      </c>
      <c r="AD2249" s="21" t="s">
        <v>368</v>
      </c>
      <c r="AE2249" t="str">
        <f>VLOOKUP(Table_Query_from_Actuarial___Production3[[#This Row],[Kor1]],$AI$3:$AK$105,3,FALSE)</f>
        <v>Claims Expense</v>
      </c>
      <c r="AF2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0" spans="18:32" x14ac:dyDescent="0.2">
      <c r="R2250" t="s">
        <v>39</v>
      </c>
      <c r="S2250" t="s">
        <v>233</v>
      </c>
      <c r="T2250" t="s">
        <v>351</v>
      </c>
      <c r="U2250" s="21">
        <v>1103.99</v>
      </c>
      <c r="V2250" s="21" t="s">
        <v>368</v>
      </c>
      <c r="W2250" t="str">
        <f>VLOOKUP(Table_Query_from_Actuarial___Production[[#This Row],[Kor1]],$AI$3:$AK$105,3,FALSE)</f>
        <v>Misc. Income for Insolvent Companies</v>
      </c>
      <c r="X2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0"/>
      <c r="Z2250" t="s">
        <v>3</v>
      </c>
      <c r="AA2250" t="s">
        <v>225</v>
      </c>
      <c r="AB2250" t="s">
        <v>356</v>
      </c>
      <c r="AC2250" s="21">
        <v>1512543</v>
      </c>
      <c r="AD2250" s="21" t="s">
        <v>369</v>
      </c>
      <c r="AE2250" t="str">
        <f>VLOOKUP(Table_Query_from_Actuarial___Production3[[#This Row],[Kor1]],$AI$3:$AK$105,3,FALSE)</f>
        <v>Premiums Written</v>
      </c>
      <c r="AF2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251" spans="18:32" x14ac:dyDescent="0.2">
      <c r="R2251" t="s">
        <v>3</v>
      </c>
      <c r="S2251" t="s">
        <v>254</v>
      </c>
      <c r="T2251" t="s">
        <v>445</v>
      </c>
      <c r="U2251" s="21">
        <v>15232444</v>
      </c>
      <c r="V2251" s="21" t="s">
        <v>368</v>
      </c>
      <c r="W2251" t="str">
        <f>VLOOKUP(Table_Query_from_Actuarial___Production[[#This Row],[Kor1]],$AI$3:$AK$105,3,FALSE)</f>
        <v>Premiums Written</v>
      </c>
      <c r="X2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1"/>
      <c r="Z2251" t="s">
        <v>41</v>
      </c>
      <c r="AA2251" t="s">
        <v>245</v>
      </c>
      <c r="AB2251" t="s">
        <v>6</v>
      </c>
      <c r="AC2251" s="21">
        <v>250</v>
      </c>
      <c r="AD2251" s="21" t="s">
        <v>368</v>
      </c>
      <c r="AE2251" t="str">
        <f>VLOOKUP(Table_Query_from_Actuarial___Production3[[#This Row],[Kor1]],$AI$3:$AK$105,3,FALSE)</f>
        <v>Misc. Income</v>
      </c>
      <c r="AF2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2" spans="18:32" x14ac:dyDescent="0.2">
      <c r="R2252" t="s">
        <v>41</v>
      </c>
      <c r="S2252" t="s">
        <v>246</v>
      </c>
      <c r="T2252" t="s">
        <v>442</v>
      </c>
      <c r="U2252" s="21">
        <v>850.99</v>
      </c>
      <c r="V2252" s="21" t="s">
        <v>368</v>
      </c>
      <c r="W2252" t="str">
        <f>VLOOKUP(Table_Query_from_Actuarial___Production[[#This Row],[Kor1]],$AI$3:$AK$105,3,FALSE)</f>
        <v>Misc. Income</v>
      </c>
      <c r="X2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2"/>
      <c r="Z2252" t="s">
        <v>38</v>
      </c>
      <c r="AA2252" t="s">
        <v>224</v>
      </c>
      <c r="AB2252" t="s">
        <v>5</v>
      </c>
      <c r="AC2252" s="21">
        <v>102409.07</v>
      </c>
      <c r="AD2252" s="21" t="s">
        <v>370</v>
      </c>
      <c r="AE2252" t="str">
        <f>VLOOKUP(Table_Query_from_Actuarial___Production3[[#This Row],[Kor1]],$AI$3:$AK$105,3,FALSE)</f>
        <v>Misc. Income</v>
      </c>
      <c r="AF2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253" spans="18:32" x14ac:dyDescent="0.2">
      <c r="R2253" t="s">
        <v>50</v>
      </c>
      <c r="S2253" t="s">
        <v>232</v>
      </c>
      <c r="T2253" t="s">
        <v>433</v>
      </c>
      <c r="U2253" s="21">
        <v>5981.85</v>
      </c>
      <c r="V2253" s="21" t="s">
        <v>368</v>
      </c>
      <c r="W2253" t="str">
        <f>VLOOKUP(Table_Query_from_Actuarial___Production[[#This Row],[Kor1]],$AI$3:$AK$105,3,FALSE)</f>
        <v>ALAE Reserve</v>
      </c>
      <c r="X2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3"/>
      <c r="Z2253" t="s">
        <v>3</v>
      </c>
      <c r="AA2253" t="s">
        <v>261</v>
      </c>
      <c r="AB2253" t="s">
        <v>8</v>
      </c>
      <c r="AC2253" s="21">
        <v>813981</v>
      </c>
      <c r="AD2253" s="21" t="s">
        <v>368</v>
      </c>
      <c r="AE2253" t="str">
        <f>VLOOKUP(Table_Query_from_Actuarial___Production3[[#This Row],[Kor1]],$AI$3:$AK$105,3,FALSE)</f>
        <v>Premiums Written</v>
      </c>
      <c r="AF2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4" spans="18:32" x14ac:dyDescent="0.2">
      <c r="R2254" t="s">
        <v>19</v>
      </c>
      <c r="S2254" t="s">
        <v>240</v>
      </c>
      <c r="T2254" t="s">
        <v>351</v>
      </c>
      <c r="U2254" s="21">
        <v>302.02</v>
      </c>
      <c r="V2254" s="21" t="s">
        <v>368</v>
      </c>
      <c r="W2254" t="str">
        <f>VLOOKUP(Table_Query_from_Actuarial___Production[[#This Row],[Kor1]],$AI$3:$AK$105,3,FALSE)</f>
        <v>Misc. Expense for Insolvent Companies</v>
      </c>
      <c r="X2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4"/>
      <c r="Z2254" t="s">
        <v>32</v>
      </c>
      <c r="AA2254" t="s">
        <v>232</v>
      </c>
      <c r="AB2254" t="s">
        <v>427</v>
      </c>
      <c r="AC2254" s="21">
        <v>455</v>
      </c>
      <c r="AD2254" s="21" t="s">
        <v>368</v>
      </c>
      <c r="AE2254" t="str">
        <f>VLOOKUP(Table_Query_from_Actuarial___Production3[[#This Row],[Kor1]],$AI$3:$AK$105,3,FALSE)</f>
        <v>Misc. Expense</v>
      </c>
      <c r="AF2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5" spans="18:32" x14ac:dyDescent="0.2">
      <c r="R2255" t="s">
        <v>10</v>
      </c>
      <c r="S2255" t="s">
        <v>234</v>
      </c>
      <c r="T2255" t="s">
        <v>442</v>
      </c>
      <c r="U2255" s="21">
        <v>108393.98</v>
      </c>
      <c r="V2255" s="21" t="s">
        <v>368</v>
      </c>
      <c r="W2255" t="str">
        <f>VLOOKUP(Table_Query_from_Actuarial___Production[[#This Row],[Kor1]],$AI$3:$AK$105,3,FALSE)</f>
        <v>Commissions</v>
      </c>
      <c r="X2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5"/>
      <c r="Z2255" t="s">
        <v>29</v>
      </c>
      <c r="AA2255" t="s">
        <v>4</v>
      </c>
      <c r="AB2255" t="s">
        <v>6</v>
      </c>
      <c r="AC2255" s="21">
        <v>338.37</v>
      </c>
      <c r="AD2255" s="21" t="s">
        <v>368</v>
      </c>
      <c r="AE2255" t="str">
        <f>VLOOKUP(Table_Query_from_Actuarial___Production3[[#This Row],[Kor1]],$AI$3:$AK$105,3,FALSE)</f>
        <v>Misc. Expense</v>
      </c>
      <c r="AF2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6" spans="18:32" x14ac:dyDescent="0.2">
      <c r="R2256" t="s">
        <v>43</v>
      </c>
      <c r="S2256" t="s">
        <v>242</v>
      </c>
      <c r="T2256" t="s">
        <v>445</v>
      </c>
      <c r="U2256" s="21">
        <v>-2.39</v>
      </c>
      <c r="V2256" s="21" t="s">
        <v>368</v>
      </c>
      <c r="W2256" t="str">
        <f>VLOOKUP(Table_Query_from_Actuarial___Production[[#This Row],[Kor1]],$AI$3:$AK$105,3,FALSE)</f>
        <v>Charge-offs</v>
      </c>
      <c r="X2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6"/>
      <c r="Z2256" t="s">
        <v>31</v>
      </c>
      <c r="AA2256" t="s">
        <v>266</v>
      </c>
      <c r="AB2256" t="s">
        <v>7</v>
      </c>
      <c r="AC2256" s="21">
        <v>1024.3699999999999</v>
      </c>
      <c r="AD2256" s="21" t="s">
        <v>368</v>
      </c>
      <c r="AE2256" t="str">
        <f>VLOOKUP(Table_Query_from_Actuarial___Production3[[#This Row],[Kor1]],$AI$3:$AK$105,3,FALSE)</f>
        <v>Misc. Expense</v>
      </c>
      <c r="AF2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7" spans="18:32" x14ac:dyDescent="0.2">
      <c r="R2257" t="s">
        <v>439</v>
      </c>
      <c r="S2257" t="s">
        <v>267</v>
      </c>
      <c r="T2257" t="s">
        <v>433</v>
      </c>
      <c r="U2257" s="21">
        <v>2432</v>
      </c>
      <c r="V2257" s="21" t="s">
        <v>368</v>
      </c>
      <c r="W2257" t="str">
        <f>VLOOKUP(Table_Query_from_Actuarial___Production[[#This Row],[Kor1]],$AI$3:$AK$105,3,FALSE)</f>
        <v>Operating Service Fees</v>
      </c>
      <c r="X2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7"/>
      <c r="Z2257" t="s">
        <v>16</v>
      </c>
      <c r="AA2257" t="s">
        <v>235</v>
      </c>
      <c r="AB2257" t="s">
        <v>356</v>
      </c>
      <c r="AC2257" s="21">
        <v>49988</v>
      </c>
      <c r="AD2257" s="21" t="s">
        <v>368</v>
      </c>
      <c r="AE2257" t="str">
        <f>VLOOKUP(Table_Query_from_Actuarial___Production3[[#This Row],[Kor1]],$AI$3:$AK$105,3,FALSE)</f>
        <v>Losses Outstanding</v>
      </c>
      <c r="AF2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8" spans="18:32" x14ac:dyDescent="0.2">
      <c r="R2258" t="s">
        <v>16</v>
      </c>
      <c r="S2258" t="s">
        <v>265</v>
      </c>
      <c r="T2258" t="s">
        <v>443</v>
      </c>
      <c r="U2258" s="21">
        <v>9951.1299999999992</v>
      </c>
      <c r="V2258" s="21" t="s">
        <v>368</v>
      </c>
      <c r="W2258" t="str">
        <f>VLOOKUP(Table_Query_from_Actuarial___Production[[#This Row],[Kor1]],$AI$3:$AK$105,3,FALSE)</f>
        <v>Losses Outstanding</v>
      </c>
      <c r="X2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8"/>
      <c r="Z2258" t="s">
        <v>21</v>
      </c>
      <c r="AA2258" t="s">
        <v>248</v>
      </c>
      <c r="AB2258" t="s">
        <v>441</v>
      </c>
      <c r="AC2258" s="21">
        <v>1123.75</v>
      </c>
      <c r="AD2258" s="21" t="s">
        <v>368</v>
      </c>
      <c r="AE2258" t="str">
        <f>VLOOKUP(Table_Query_from_Actuarial___Production3[[#This Row],[Kor1]],$AI$3:$AK$105,3,FALSE)</f>
        <v>Misc. Expense</v>
      </c>
      <c r="AF2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59" spans="18:32" x14ac:dyDescent="0.2">
      <c r="R2259" t="s">
        <v>21</v>
      </c>
      <c r="S2259" t="s">
        <v>248</v>
      </c>
      <c r="T2259" t="s">
        <v>351</v>
      </c>
      <c r="U2259" s="21">
        <v>115.5</v>
      </c>
      <c r="V2259" s="21" t="s">
        <v>368</v>
      </c>
      <c r="W2259" t="str">
        <f>VLOOKUP(Table_Query_from_Actuarial___Production[[#This Row],[Kor1]],$AI$3:$AK$105,3,FALSE)</f>
        <v>Misc. Expense</v>
      </c>
      <c r="X2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59"/>
      <c r="Z2259" t="s">
        <v>39</v>
      </c>
      <c r="AA2259" t="s">
        <v>237</v>
      </c>
      <c r="AB2259" t="s">
        <v>442</v>
      </c>
      <c r="AC2259" s="21">
        <v>1.31</v>
      </c>
      <c r="AD2259" s="21" t="s">
        <v>368</v>
      </c>
      <c r="AE2259" t="str">
        <f>VLOOKUP(Table_Query_from_Actuarial___Production3[[#This Row],[Kor1]],$AI$3:$AK$105,3,FALSE)</f>
        <v>Misc. Income for Insolvent Companies</v>
      </c>
      <c r="AF2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0" spans="18:32" x14ac:dyDescent="0.2">
      <c r="R2260" t="s">
        <v>37</v>
      </c>
      <c r="S2260" t="s">
        <v>237</v>
      </c>
      <c r="T2260" t="s">
        <v>8</v>
      </c>
      <c r="U2260" s="21">
        <v>1617.89</v>
      </c>
      <c r="V2260" s="21" t="s">
        <v>368</v>
      </c>
      <c r="W2260" t="str">
        <f>VLOOKUP(Table_Query_from_Actuarial___Production[[#This Row],[Kor1]],$AI$3:$AK$105,3,FALSE)</f>
        <v>Misc. Expense</v>
      </c>
      <c r="X2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0"/>
      <c r="Z2260" t="s">
        <v>47</v>
      </c>
      <c r="AA2260" t="s">
        <v>227</v>
      </c>
      <c r="AB2260" t="s">
        <v>8</v>
      </c>
      <c r="AC2260" s="21">
        <v>0.11</v>
      </c>
      <c r="AD2260" s="21" t="s">
        <v>368</v>
      </c>
      <c r="AE2260" t="str">
        <f>VLOOKUP(Table_Query_from_Actuarial___Production3[[#This Row],[Kor1]],$AI$3:$AK$105,3,FALSE)</f>
        <v>Investment Income</v>
      </c>
      <c r="AF2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1" spans="18:32" x14ac:dyDescent="0.2">
      <c r="R2261" t="s">
        <v>12</v>
      </c>
      <c r="S2261" t="s">
        <v>240</v>
      </c>
      <c r="T2261" t="s">
        <v>351</v>
      </c>
      <c r="U2261" s="21">
        <v>57265.68</v>
      </c>
      <c r="V2261" s="21" t="s">
        <v>368</v>
      </c>
      <c r="W2261" t="str">
        <f>VLOOKUP(Table_Query_from_Actuarial___Production[[#This Row],[Kor1]],$AI$3:$AK$105,3,FALSE)</f>
        <v>Premium Tax</v>
      </c>
      <c r="X2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1"/>
      <c r="Z2261" t="s">
        <v>11</v>
      </c>
      <c r="AA2261" t="s">
        <v>230</v>
      </c>
      <c r="AB2261" t="s">
        <v>6</v>
      </c>
      <c r="AC2261" s="21">
        <v>12745788.34</v>
      </c>
      <c r="AD2261" s="21" t="s">
        <v>368</v>
      </c>
      <c r="AE2261" t="str">
        <f>VLOOKUP(Table_Query_from_Actuarial___Production3[[#This Row],[Kor1]],$AI$3:$AK$105,3,FALSE)</f>
        <v>Losses Paid</v>
      </c>
      <c r="AF2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2" spans="18:32" x14ac:dyDescent="0.2">
      <c r="R2262" t="s">
        <v>3</v>
      </c>
      <c r="S2262" t="s">
        <v>256</v>
      </c>
      <c r="T2262" t="s">
        <v>351</v>
      </c>
      <c r="U2262" s="21">
        <v>163399</v>
      </c>
      <c r="V2262" s="21" t="s">
        <v>368</v>
      </c>
      <c r="W2262" t="str">
        <f>VLOOKUP(Table_Query_from_Actuarial___Production[[#This Row],[Kor1]],$AI$3:$AK$105,3,FALSE)</f>
        <v>Premiums Written</v>
      </c>
      <c r="X2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2"/>
      <c r="Z2262" t="s">
        <v>33</v>
      </c>
      <c r="AA2262" t="s">
        <v>235</v>
      </c>
      <c r="AB2262" t="s">
        <v>351</v>
      </c>
      <c r="AC2262" s="21">
        <v>17297.63</v>
      </c>
      <c r="AD2262" s="21" t="s">
        <v>368</v>
      </c>
      <c r="AE2262" t="str">
        <f>VLOOKUP(Table_Query_from_Actuarial___Production3[[#This Row],[Kor1]],$AI$3:$AK$105,3,FALSE)</f>
        <v>Misc. Expense</v>
      </c>
      <c r="AF2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3" spans="18:32" x14ac:dyDescent="0.2">
      <c r="R2263" t="s">
        <v>25</v>
      </c>
      <c r="S2263" t="s">
        <v>259</v>
      </c>
      <c r="T2263" t="s">
        <v>6</v>
      </c>
      <c r="U2263" s="21">
        <v>120.87</v>
      </c>
      <c r="V2263" s="21" t="s">
        <v>368</v>
      </c>
      <c r="W2263" t="str">
        <f>VLOOKUP(Table_Query_from_Actuarial___Production[[#This Row],[Kor1]],$AI$3:$AK$105,3,FALSE)</f>
        <v>Misc. Expense</v>
      </c>
      <c r="X2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3"/>
      <c r="Z2263" t="s">
        <v>50</v>
      </c>
      <c r="AA2263" t="s">
        <v>261</v>
      </c>
      <c r="AB2263" t="s">
        <v>433</v>
      </c>
      <c r="AC2263" s="21">
        <v>742.08</v>
      </c>
      <c r="AD2263" s="21" t="s">
        <v>368</v>
      </c>
      <c r="AE2263" t="str">
        <f>VLOOKUP(Table_Query_from_Actuarial___Production3[[#This Row],[Kor1]],$AI$3:$AK$105,3,FALSE)</f>
        <v>ALAE Reserve</v>
      </c>
      <c r="AF2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4" spans="18:32" x14ac:dyDescent="0.2">
      <c r="R2264" t="s">
        <v>36</v>
      </c>
      <c r="S2264" t="s">
        <v>259</v>
      </c>
      <c r="T2264" t="s">
        <v>445</v>
      </c>
      <c r="U2264" s="21">
        <v>8</v>
      </c>
      <c r="V2264" s="21" t="s">
        <v>368</v>
      </c>
      <c r="W2264" t="str">
        <f>VLOOKUP(Table_Query_from_Actuarial___Production[[#This Row],[Kor1]],$AI$3:$AK$105,3,FALSE)</f>
        <v>Misc. Expense</v>
      </c>
      <c r="X2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4"/>
      <c r="Z2264" t="s">
        <v>13</v>
      </c>
      <c r="AA2264" t="s">
        <v>228</v>
      </c>
      <c r="AB2264" t="s">
        <v>7</v>
      </c>
      <c r="AC2264" s="21">
        <v>80136.69</v>
      </c>
      <c r="AD2264" s="21" t="s">
        <v>368</v>
      </c>
      <c r="AE2264" t="str">
        <f>VLOOKUP(Table_Query_from_Actuarial___Production3[[#This Row],[Kor1]],$AI$3:$AK$105,3,FALSE)</f>
        <v>Operating Service Fees</v>
      </c>
      <c r="AF2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5" spans="18:32" x14ac:dyDescent="0.2">
      <c r="R2265" t="s">
        <v>31</v>
      </c>
      <c r="S2265" t="s">
        <v>250</v>
      </c>
      <c r="T2265" t="s">
        <v>433</v>
      </c>
      <c r="U2265" s="21">
        <v>921.7</v>
      </c>
      <c r="V2265" s="21" t="s">
        <v>368</v>
      </c>
      <c r="W2265" t="str">
        <f>VLOOKUP(Table_Query_from_Actuarial___Production[[#This Row],[Kor1]],$AI$3:$AK$105,3,FALSE)</f>
        <v>Misc. Expense</v>
      </c>
      <c r="X2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5"/>
      <c r="Z2265" t="s">
        <v>17</v>
      </c>
      <c r="AA2265" t="s">
        <v>265</v>
      </c>
      <c r="AB2265" t="s">
        <v>441</v>
      </c>
      <c r="AC2265" s="21">
        <v>134217.29999999999</v>
      </c>
      <c r="AD2265" s="21" t="s">
        <v>368</v>
      </c>
      <c r="AE2265" t="str">
        <f>VLOOKUP(Table_Query_from_Actuarial___Production3[[#This Row],[Kor1]],$AI$3:$AK$105,3,FALSE)</f>
        <v>IBNR</v>
      </c>
      <c r="AF2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6" spans="18:32" x14ac:dyDescent="0.2">
      <c r="R2266" t="s">
        <v>33</v>
      </c>
      <c r="S2266" t="s">
        <v>241</v>
      </c>
      <c r="T2266" t="s">
        <v>445</v>
      </c>
      <c r="U2266" s="21">
        <v>8871.2800000000007</v>
      </c>
      <c r="V2266" s="21" t="s">
        <v>368</v>
      </c>
      <c r="W2266" t="str">
        <f>VLOOKUP(Table_Query_from_Actuarial___Production[[#This Row],[Kor1]],$AI$3:$AK$105,3,FALSE)</f>
        <v>Misc. Expense</v>
      </c>
      <c r="X2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6"/>
      <c r="Z2266" t="s">
        <v>31</v>
      </c>
      <c r="AA2266" t="s">
        <v>257</v>
      </c>
      <c r="AB2266" t="s">
        <v>443</v>
      </c>
      <c r="AC2266" s="21">
        <v>4079.25</v>
      </c>
      <c r="AD2266" s="21" t="s">
        <v>368</v>
      </c>
      <c r="AE2266" t="str">
        <f>VLOOKUP(Table_Query_from_Actuarial___Production3[[#This Row],[Kor1]],$AI$3:$AK$105,3,FALSE)</f>
        <v>Misc. Expense</v>
      </c>
      <c r="AF2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7" spans="18:32" x14ac:dyDescent="0.2">
      <c r="R2267" t="s">
        <v>47</v>
      </c>
      <c r="S2267" t="s">
        <v>256</v>
      </c>
      <c r="T2267" t="s">
        <v>351</v>
      </c>
      <c r="U2267" s="21">
        <v>678.57</v>
      </c>
      <c r="V2267" s="21" t="s">
        <v>368</v>
      </c>
      <c r="W2267" t="str">
        <f>VLOOKUP(Table_Query_from_Actuarial___Production[[#This Row],[Kor1]],$AI$3:$AK$105,3,FALSE)</f>
        <v>Investment Income</v>
      </c>
      <c r="X2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7"/>
      <c r="Z2267" t="s">
        <v>12</v>
      </c>
      <c r="AA2267" t="s">
        <v>240</v>
      </c>
      <c r="AB2267" t="s">
        <v>441</v>
      </c>
      <c r="AC2267" s="21">
        <v>108120.8</v>
      </c>
      <c r="AD2267" s="21" t="s">
        <v>368</v>
      </c>
      <c r="AE2267" t="str">
        <f>VLOOKUP(Table_Query_from_Actuarial___Production3[[#This Row],[Kor1]],$AI$3:$AK$105,3,FALSE)</f>
        <v>Premium Tax</v>
      </c>
      <c r="AF2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8" spans="18:32" x14ac:dyDescent="0.2">
      <c r="R2268" t="s">
        <v>25</v>
      </c>
      <c r="S2268" t="s">
        <v>4</v>
      </c>
      <c r="T2268" t="s">
        <v>351</v>
      </c>
      <c r="U2268" s="21">
        <v>14595.66</v>
      </c>
      <c r="V2268" s="21" t="s">
        <v>368</v>
      </c>
      <c r="W2268" t="str">
        <f>VLOOKUP(Table_Query_from_Actuarial___Production[[#This Row],[Kor1]],$AI$3:$AK$105,3,FALSE)</f>
        <v>Misc. Expense</v>
      </c>
      <c r="X2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8"/>
      <c r="Z2268" t="s">
        <v>3</v>
      </c>
      <c r="AA2268" t="s">
        <v>256</v>
      </c>
      <c r="AB2268" t="s">
        <v>441</v>
      </c>
      <c r="AC2268" s="21">
        <v>88469</v>
      </c>
      <c r="AD2268" s="21" t="s">
        <v>368</v>
      </c>
      <c r="AE2268" t="str">
        <f>VLOOKUP(Table_Query_from_Actuarial___Production3[[#This Row],[Kor1]],$AI$3:$AK$105,3,FALSE)</f>
        <v>Premiums Written</v>
      </c>
      <c r="AF2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69" spans="18:32" x14ac:dyDescent="0.2">
      <c r="R2269" t="s">
        <v>33</v>
      </c>
      <c r="S2269" t="s">
        <v>234</v>
      </c>
      <c r="T2269" t="s">
        <v>441</v>
      </c>
      <c r="U2269" s="21">
        <v>18813.419999999998</v>
      </c>
      <c r="V2269" s="21" t="s">
        <v>368</v>
      </c>
      <c r="W2269" t="str">
        <f>VLOOKUP(Table_Query_from_Actuarial___Production[[#This Row],[Kor1]],$AI$3:$AK$105,3,FALSE)</f>
        <v>Misc. Expense</v>
      </c>
      <c r="X2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69"/>
      <c r="Z2269" t="s">
        <v>40</v>
      </c>
      <c r="AA2269" t="s">
        <v>239</v>
      </c>
      <c r="AB2269" t="s">
        <v>356</v>
      </c>
      <c r="AC2269" s="21">
        <v>34.01</v>
      </c>
      <c r="AD2269" s="21" t="s">
        <v>368</v>
      </c>
      <c r="AE2269" t="str">
        <f>VLOOKUP(Table_Query_from_Actuarial___Production3[[#This Row],[Kor1]],$AI$3:$AK$105,3,FALSE)</f>
        <v>Misc. Income</v>
      </c>
      <c r="AF2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0" spans="18:32" x14ac:dyDescent="0.2">
      <c r="R2270" t="s">
        <v>50</v>
      </c>
      <c r="S2270" t="s">
        <v>263</v>
      </c>
      <c r="T2270" t="s">
        <v>442</v>
      </c>
      <c r="U2270" s="21">
        <v>702.46</v>
      </c>
      <c r="V2270" s="21" t="s">
        <v>368</v>
      </c>
      <c r="W2270" t="str">
        <f>VLOOKUP(Table_Query_from_Actuarial___Production[[#This Row],[Kor1]],$AI$3:$AK$105,3,FALSE)</f>
        <v>ALAE Reserve</v>
      </c>
      <c r="X2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0"/>
      <c r="Z2270" t="s">
        <v>10</v>
      </c>
      <c r="AA2270" t="s">
        <v>232</v>
      </c>
      <c r="AB2270" t="s">
        <v>6</v>
      </c>
      <c r="AC2270" s="21">
        <v>88218.03</v>
      </c>
      <c r="AD2270" s="21" t="s">
        <v>368</v>
      </c>
      <c r="AE2270" t="str">
        <f>VLOOKUP(Table_Query_from_Actuarial___Production3[[#This Row],[Kor1]],$AI$3:$AK$105,3,FALSE)</f>
        <v>Commissions</v>
      </c>
      <c r="AF2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1" spans="18:32" x14ac:dyDescent="0.2">
      <c r="R2271" t="s">
        <v>11</v>
      </c>
      <c r="S2271" t="s">
        <v>246</v>
      </c>
      <c r="T2271" t="s">
        <v>9</v>
      </c>
      <c r="U2271" s="21">
        <v>486513.17</v>
      </c>
      <c r="V2271" s="21" t="s">
        <v>368</v>
      </c>
      <c r="W2271" t="str">
        <f>VLOOKUP(Table_Query_from_Actuarial___Production[[#This Row],[Kor1]],$AI$3:$AK$105,3,FALSE)</f>
        <v>Losses Paid</v>
      </c>
      <c r="X2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1"/>
      <c r="Z2271" t="s">
        <v>12</v>
      </c>
      <c r="AA2271" t="s">
        <v>261</v>
      </c>
      <c r="AB2271" t="s">
        <v>8</v>
      </c>
      <c r="AC2271" s="21">
        <v>20349.400000000001</v>
      </c>
      <c r="AD2271" s="21" t="s">
        <v>368</v>
      </c>
      <c r="AE2271" t="str">
        <f>VLOOKUP(Table_Query_from_Actuarial___Production3[[#This Row],[Kor1]],$AI$3:$AK$105,3,FALSE)</f>
        <v>Premium Tax</v>
      </c>
      <c r="AF2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2" spans="18:32" x14ac:dyDescent="0.2">
      <c r="R2272" t="s">
        <v>31</v>
      </c>
      <c r="S2272" t="s">
        <v>243</v>
      </c>
      <c r="T2272" t="s">
        <v>441</v>
      </c>
      <c r="U2272" s="21">
        <v>925.04</v>
      </c>
      <c r="V2272" s="21" t="s">
        <v>368</v>
      </c>
      <c r="W2272" t="str">
        <f>VLOOKUP(Table_Query_from_Actuarial___Production[[#This Row],[Kor1]],$AI$3:$AK$105,3,FALSE)</f>
        <v>Misc. Expense</v>
      </c>
      <c r="X2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2"/>
      <c r="Z2272" t="s">
        <v>41</v>
      </c>
      <c r="AA2272" t="s">
        <v>229</v>
      </c>
      <c r="AB2272" t="s">
        <v>8</v>
      </c>
      <c r="AC2272" s="21">
        <v>150</v>
      </c>
      <c r="AD2272" s="21" t="s">
        <v>368</v>
      </c>
      <c r="AE2272" t="str">
        <f>VLOOKUP(Table_Query_from_Actuarial___Production3[[#This Row],[Kor1]],$AI$3:$AK$105,3,FALSE)</f>
        <v>Misc. Income</v>
      </c>
      <c r="AF2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3" spans="18:32" x14ac:dyDescent="0.2">
      <c r="R2273" t="s">
        <v>31</v>
      </c>
      <c r="S2273" t="s">
        <v>257</v>
      </c>
      <c r="T2273" t="s">
        <v>427</v>
      </c>
      <c r="U2273" s="21">
        <v>-301.13</v>
      </c>
      <c r="V2273" s="21" t="s">
        <v>368</v>
      </c>
      <c r="W2273" t="str">
        <f>VLOOKUP(Table_Query_from_Actuarial___Production[[#This Row],[Kor1]],$AI$3:$AK$105,3,FALSE)</f>
        <v>Misc. Expense</v>
      </c>
      <c r="X2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3"/>
      <c r="Z2273" t="s">
        <v>13</v>
      </c>
      <c r="AA2273" t="s">
        <v>260</v>
      </c>
      <c r="AB2273" t="s">
        <v>442</v>
      </c>
      <c r="AC2273" s="21">
        <v>8646.94</v>
      </c>
      <c r="AD2273" s="21" t="s">
        <v>368</v>
      </c>
      <c r="AE2273" t="str">
        <f>VLOOKUP(Table_Query_from_Actuarial___Production3[[#This Row],[Kor1]],$AI$3:$AK$105,3,FALSE)</f>
        <v>Operating Service Fees</v>
      </c>
      <c r="AF2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4" spans="18:32" x14ac:dyDescent="0.2">
      <c r="R2274" t="s">
        <v>32</v>
      </c>
      <c r="S2274" t="s">
        <v>235</v>
      </c>
      <c r="T2274" t="s">
        <v>9</v>
      </c>
      <c r="U2274" s="21">
        <v>6783.33</v>
      </c>
      <c r="V2274" s="21" t="s">
        <v>368</v>
      </c>
      <c r="W2274" t="str">
        <f>VLOOKUP(Table_Query_from_Actuarial___Production[[#This Row],[Kor1]],$AI$3:$AK$105,3,FALSE)</f>
        <v>Misc. Expense</v>
      </c>
      <c r="X2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4"/>
      <c r="Z2274" t="s">
        <v>43</v>
      </c>
      <c r="AA2274" t="s">
        <v>234</v>
      </c>
      <c r="AB2274" t="s">
        <v>6</v>
      </c>
      <c r="AC2274" s="21">
        <v>-266.61</v>
      </c>
      <c r="AD2274" s="21" t="s">
        <v>368</v>
      </c>
      <c r="AE2274" t="str">
        <f>VLOOKUP(Table_Query_from_Actuarial___Production3[[#This Row],[Kor1]],$AI$3:$AK$105,3,FALSE)</f>
        <v>Charge-offs</v>
      </c>
      <c r="AF2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5" spans="18:32" x14ac:dyDescent="0.2">
      <c r="R2275" t="s">
        <v>37</v>
      </c>
      <c r="S2275" t="s">
        <v>239</v>
      </c>
      <c r="T2275" t="s">
        <v>433</v>
      </c>
      <c r="U2275" s="21">
        <v>714.1</v>
      </c>
      <c r="V2275" s="21" t="s">
        <v>368</v>
      </c>
      <c r="W2275" t="str">
        <f>VLOOKUP(Table_Query_from_Actuarial___Production[[#This Row],[Kor1]],$AI$3:$AK$105,3,FALSE)</f>
        <v>Misc. Expense</v>
      </c>
      <c r="X2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5"/>
      <c r="Z2275" t="s">
        <v>14</v>
      </c>
      <c r="AA2275" t="s">
        <v>232</v>
      </c>
      <c r="AB2275" t="s">
        <v>7</v>
      </c>
      <c r="AC2275" s="21">
        <v>113405.33</v>
      </c>
      <c r="AD2275" s="21" t="s">
        <v>368</v>
      </c>
      <c r="AE2275" t="str">
        <f>VLOOKUP(Table_Query_from_Actuarial___Production3[[#This Row],[Kor1]],$AI$3:$AK$105,3,FALSE)</f>
        <v>Claims Expense</v>
      </c>
      <c r="AF2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6" spans="18:32" x14ac:dyDescent="0.2">
      <c r="R2276" t="s">
        <v>43</v>
      </c>
      <c r="S2276" t="s">
        <v>238</v>
      </c>
      <c r="T2276" t="s">
        <v>9</v>
      </c>
      <c r="U2276" s="21">
        <v>186.38</v>
      </c>
      <c r="V2276" s="21" t="s">
        <v>368</v>
      </c>
      <c r="W2276" t="str">
        <f>VLOOKUP(Table_Query_from_Actuarial___Production[[#This Row],[Kor1]],$AI$3:$AK$105,3,FALSE)</f>
        <v>Charge-offs</v>
      </c>
      <c r="X2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6"/>
      <c r="Z2276" t="s">
        <v>44</v>
      </c>
      <c r="AA2276" t="s">
        <v>247</v>
      </c>
      <c r="AB2276" t="s">
        <v>9</v>
      </c>
      <c r="AC2276" s="21">
        <v>4</v>
      </c>
      <c r="AD2276" s="21" t="s">
        <v>368</v>
      </c>
      <c r="AE2276" t="str">
        <f>VLOOKUP(Table_Query_from_Actuarial___Production3[[#This Row],[Kor1]],$AI$3:$AK$105,3,FALSE)</f>
        <v>Charge-offs</v>
      </c>
      <c r="AF2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7" spans="18:32" x14ac:dyDescent="0.2">
      <c r="R2277" t="s">
        <v>41</v>
      </c>
      <c r="S2277" t="s">
        <v>236</v>
      </c>
      <c r="T2277" t="s">
        <v>351</v>
      </c>
      <c r="U2277" s="21">
        <v>449.99</v>
      </c>
      <c r="V2277" s="21" t="s">
        <v>368</v>
      </c>
      <c r="W2277" t="str">
        <f>VLOOKUP(Table_Query_from_Actuarial___Production[[#This Row],[Kor1]],$AI$3:$AK$105,3,FALSE)</f>
        <v>Misc. Income</v>
      </c>
      <c r="X2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7"/>
      <c r="Z2277" t="s">
        <v>3</v>
      </c>
      <c r="AA2277" t="s">
        <v>262</v>
      </c>
      <c r="AB2277" t="s">
        <v>356</v>
      </c>
      <c r="AC2277" s="21">
        <v>254140</v>
      </c>
      <c r="AD2277" s="21" t="s">
        <v>368</v>
      </c>
      <c r="AE2277" t="str">
        <f>VLOOKUP(Table_Query_from_Actuarial___Production3[[#This Row],[Kor1]],$AI$3:$AK$105,3,FALSE)</f>
        <v>Premiums Written</v>
      </c>
      <c r="AF2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8" spans="18:32" x14ac:dyDescent="0.2">
      <c r="R2278" t="s">
        <v>44</v>
      </c>
      <c r="S2278" t="s">
        <v>267</v>
      </c>
      <c r="T2278" t="s">
        <v>427</v>
      </c>
      <c r="U2278" s="21">
        <v>14342.25</v>
      </c>
      <c r="V2278" s="21" t="s">
        <v>368</v>
      </c>
      <c r="W2278" t="str">
        <f>VLOOKUP(Table_Query_from_Actuarial___Production[[#This Row],[Kor1]],$AI$3:$AK$105,3,FALSE)</f>
        <v>Charge-offs</v>
      </c>
      <c r="X2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8"/>
      <c r="Z2278" t="s">
        <v>31</v>
      </c>
      <c r="AA2278" t="s">
        <v>232</v>
      </c>
      <c r="AB2278" t="s">
        <v>5</v>
      </c>
      <c r="AC2278" s="21">
        <v>847.33</v>
      </c>
      <c r="AD2278" s="21" t="s">
        <v>368</v>
      </c>
      <c r="AE2278" t="str">
        <f>VLOOKUP(Table_Query_from_Actuarial___Production3[[#This Row],[Kor1]],$AI$3:$AK$105,3,FALSE)</f>
        <v>Misc. Expense</v>
      </c>
      <c r="AF2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79" spans="18:32" x14ac:dyDescent="0.2">
      <c r="R2279" t="s">
        <v>14</v>
      </c>
      <c r="S2279" t="s">
        <v>249</v>
      </c>
      <c r="T2279" t="s">
        <v>427</v>
      </c>
      <c r="U2279" s="21">
        <v>33839.65</v>
      </c>
      <c r="V2279" s="21" t="s">
        <v>368</v>
      </c>
      <c r="W2279" t="str">
        <f>VLOOKUP(Table_Query_from_Actuarial___Production[[#This Row],[Kor1]],$AI$3:$AK$105,3,FALSE)</f>
        <v>Claims Expense</v>
      </c>
      <c r="X2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79"/>
      <c r="Z2279" t="s">
        <v>34</v>
      </c>
      <c r="AA2279" t="s">
        <v>230</v>
      </c>
      <c r="AB2279" t="s">
        <v>442</v>
      </c>
      <c r="AC2279" s="21">
        <v>2134.2199999999998</v>
      </c>
      <c r="AD2279" s="21" t="s">
        <v>368</v>
      </c>
      <c r="AE2279" t="str">
        <f>VLOOKUP(Table_Query_from_Actuarial___Production3[[#This Row],[Kor1]],$AI$3:$AK$105,3,FALSE)</f>
        <v>Misc. Expense</v>
      </c>
      <c r="AF2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0" spans="18:32" x14ac:dyDescent="0.2">
      <c r="R2280" t="s">
        <v>43</v>
      </c>
      <c r="S2280" t="s">
        <v>241</v>
      </c>
      <c r="T2280" t="s">
        <v>442</v>
      </c>
      <c r="U2280" s="21">
        <v>662.86</v>
      </c>
      <c r="V2280" s="21" t="s">
        <v>368</v>
      </c>
      <c r="W2280" t="str">
        <f>VLOOKUP(Table_Query_from_Actuarial___Production[[#This Row],[Kor1]],$AI$3:$AK$105,3,FALSE)</f>
        <v>Charge-offs</v>
      </c>
      <c r="X2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0"/>
      <c r="Z2280" t="s">
        <v>3</v>
      </c>
      <c r="AA2280" t="s">
        <v>235</v>
      </c>
      <c r="AB2280" t="s">
        <v>7</v>
      </c>
      <c r="AC2280" s="21">
        <v>310215</v>
      </c>
      <c r="AD2280" s="21" t="s">
        <v>368</v>
      </c>
      <c r="AE2280" t="str">
        <f>VLOOKUP(Table_Query_from_Actuarial___Production3[[#This Row],[Kor1]],$AI$3:$AK$105,3,FALSE)</f>
        <v>Premiums Written</v>
      </c>
      <c r="AF2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1" spans="18:32" x14ac:dyDescent="0.2">
      <c r="R2281" t="s">
        <v>46</v>
      </c>
      <c r="S2281" t="s">
        <v>224</v>
      </c>
      <c r="T2281" t="s">
        <v>427</v>
      </c>
      <c r="U2281" s="21">
        <v>1079.53</v>
      </c>
      <c r="V2281" s="21" t="s">
        <v>425</v>
      </c>
      <c r="W2281" t="str">
        <f>VLOOKUP(Table_Query_from_Actuarial___Production[[#This Row],[Kor1]],$AI$3:$AK$105,3,FALSE)</f>
        <v>Investment Income</v>
      </c>
      <c r="X2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281"/>
      <c r="Z2281" t="s">
        <v>21</v>
      </c>
      <c r="AA2281" t="s">
        <v>235</v>
      </c>
      <c r="AB2281" t="s">
        <v>8</v>
      </c>
      <c r="AC2281" s="21">
        <v>1114.02</v>
      </c>
      <c r="AD2281" s="21" t="s">
        <v>368</v>
      </c>
      <c r="AE2281" t="str">
        <f>VLOOKUP(Table_Query_from_Actuarial___Production3[[#This Row],[Kor1]],$AI$3:$AK$105,3,FALSE)</f>
        <v>Misc. Expense</v>
      </c>
      <c r="AF2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2" spans="18:32" x14ac:dyDescent="0.2">
      <c r="R2282" t="s">
        <v>10</v>
      </c>
      <c r="S2282" t="s">
        <v>230</v>
      </c>
      <c r="T2282" t="s">
        <v>356</v>
      </c>
      <c r="U2282" s="21">
        <v>1574721.96</v>
      </c>
      <c r="V2282" s="21" t="s">
        <v>368</v>
      </c>
      <c r="W2282" t="str">
        <f>VLOOKUP(Table_Query_from_Actuarial___Production[[#This Row],[Kor1]],$AI$3:$AK$105,3,FALSE)</f>
        <v>Commissions</v>
      </c>
      <c r="X2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2"/>
      <c r="Z2282" t="s">
        <v>33</v>
      </c>
      <c r="AA2282" t="s">
        <v>247</v>
      </c>
      <c r="AB2282" t="s">
        <v>356</v>
      </c>
      <c r="AC2282" s="21">
        <v>6851.34</v>
      </c>
      <c r="AD2282" s="21" t="s">
        <v>368</v>
      </c>
      <c r="AE2282" t="str">
        <f>VLOOKUP(Table_Query_from_Actuarial___Production3[[#This Row],[Kor1]],$AI$3:$AK$105,3,FALSE)</f>
        <v>Misc. Expense</v>
      </c>
      <c r="AF2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3" spans="18:32" x14ac:dyDescent="0.2">
      <c r="R2283" t="s">
        <v>147</v>
      </c>
      <c r="S2283" t="s">
        <v>354</v>
      </c>
      <c r="T2283" t="s">
        <v>356</v>
      </c>
      <c r="U2283" s="21">
        <v>134467.44</v>
      </c>
      <c r="V2283" s="21" t="s">
        <v>368</v>
      </c>
      <c r="W2283" t="str">
        <f>VLOOKUP(Table_Query_from_Actuarial___Production[[#This Row],[Kor1]],$AI$3:$AK$105,3,FALSE)</f>
        <v>Investment Impairments</v>
      </c>
      <c r="X2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283"/>
      <c r="Z2283" t="s">
        <v>14</v>
      </c>
      <c r="AA2283" t="s">
        <v>249</v>
      </c>
      <c r="AB2283" t="s">
        <v>443</v>
      </c>
      <c r="AC2283" s="21">
        <v>5195.49</v>
      </c>
      <c r="AD2283" s="21" t="s">
        <v>368</v>
      </c>
      <c r="AE2283" t="str">
        <f>VLOOKUP(Table_Query_from_Actuarial___Production3[[#This Row],[Kor1]],$AI$3:$AK$105,3,FALSE)</f>
        <v>Claims Expense</v>
      </c>
      <c r="AF2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4" spans="18:32" x14ac:dyDescent="0.2">
      <c r="R2284" t="s">
        <v>19</v>
      </c>
      <c r="S2284" t="s">
        <v>250</v>
      </c>
      <c r="T2284" t="s">
        <v>9</v>
      </c>
      <c r="U2284" s="21">
        <v>322.99</v>
      </c>
      <c r="V2284" s="21" t="s">
        <v>368</v>
      </c>
      <c r="W2284" t="str">
        <f>VLOOKUP(Table_Query_from_Actuarial___Production[[#This Row],[Kor1]],$AI$3:$AK$105,3,FALSE)</f>
        <v>Misc. Expense for Insolvent Companies</v>
      </c>
      <c r="X2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4"/>
      <c r="Z2284" t="s">
        <v>49</v>
      </c>
      <c r="AA2284" t="s">
        <v>229</v>
      </c>
      <c r="AB2284" t="s">
        <v>356</v>
      </c>
      <c r="AC2284" s="21">
        <v>3288.76</v>
      </c>
      <c r="AD2284" s="21" t="s">
        <v>368</v>
      </c>
      <c r="AE2284" t="str">
        <f>VLOOKUP(Table_Query_from_Actuarial___Production3[[#This Row],[Kor1]],$AI$3:$AK$105,3,FALSE)</f>
        <v>ALAE Paid</v>
      </c>
      <c r="AF2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5" spans="18:32" x14ac:dyDescent="0.2">
      <c r="R2285" t="s">
        <v>37</v>
      </c>
      <c r="S2285" t="s">
        <v>264</v>
      </c>
      <c r="T2285" t="s">
        <v>427</v>
      </c>
      <c r="U2285" s="21">
        <v>4430.83</v>
      </c>
      <c r="V2285" s="21" t="s">
        <v>368</v>
      </c>
      <c r="W2285" t="str">
        <f>VLOOKUP(Table_Query_from_Actuarial___Production[[#This Row],[Kor1]],$AI$3:$AK$105,3,FALSE)</f>
        <v>Misc. Expense</v>
      </c>
      <c r="X2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5"/>
      <c r="Z2285" t="s">
        <v>31</v>
      </c>
      <c r="AA2285" t="s">
        <v>245</v>
      </c>
      <c r="AB2285" t="s">
        <v>433</v>
      </c>
      <c r="AC2285" s="21">
        <v>885.09</v>
      </c>
      <c r="AD2285" s="21" t="s">
        <v>368</v>
      </c>
      <c r="AE2285" t="str">
        <f>VLOOKUP(Table_Query_from_Actuarial___Production3[[#This Row],[Kor1]],$AI$3:$AK$105,3,FALSE)</f>
        <v>Misc. Expense</v>
      </c>
      <c r="AF2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6" spans="18:32" x14ac:dyDescent="0.2">
      <c r="R2286" t="s">
        <v>16</v>
      </c>
      <c r="S2286" t="s">
        <v>231</v>
      </c>
      <c r="T2286" t="s">
        <v>433</v>
      </c>
      <c r="U2286" s="21">
        <v>2604.48</v>
      </c>
      <c r="V2286" s="21" t="s">
        <v>368</v>
      </c>
      <c r="W2286" t="str">
        <f>VLOOKUP(Table_Query_from_Actuarial___Production[[#This Row],[Kor1]],$AI$3:$AK$105,3,FALSE)</f>
        <v>Losses Outstanding</v>
      </c>
      <c r="X2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6"/>
      <c r="Z2286" t="s">
        <v>33</v>
      </c>
      <c r="AA2286" t="s">
        <v>230</v>
      </c>
      <c r="AB2286" t="s">
        <v>356</v>
      </c>
      <c r="AC2286" s="21">
        <v>15482.59</v>
      </c>
      <c r="AD2286" s="21" t="s">
        <v>368</v>
      </c>
      <c r="AE2286" t="str">
        <f>VLOOKUP(Table_Query_from_Actuarial___Production3[[#This Row],[Kor1]],$AI$3:$AK$105,3,FALSE)</f>
        <v>Misc. Expense</v>
      </c>
      <c r="AF2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7" spans="18:32" x14ac:dyDescent="0.2">
      <c r="R2287" t="s">
        <v>41</v>
      </c>
      <c r="S2287" t="s">
        <v>245</v>
      </c>
      <c r="T2287" t="s">
        <v>445</v>
      </c>
      <c r="U2287" s="21">
        <v>100</v>
      </c>
      <c r="V2287" s="21" t="s">
        <v>368</v>
      </c>
      <c r="W2287" t="str">
        <f>VLOOKUP(Table_Query_from_Actuarial___Production[[#This Row],[Kor1]],$AI$3:$AK$105,3,FALSE)</f>
        <v>Misc. Income</v>
      </c>
      <c r="X2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7"/>
      <c r="Z2287" t="s">
        <v>41</v>
      </c>
      <c r="AA2287" t="s">
        <v>236</v>
      </c>
      <c r="AB2287" t="s">
        <v>441</v>
      </c>
      <c r="AC2287" s="21">
        <v>250</v>
      </c>
      <c r="AD2287" s="21" t="s">
        <v>368</v>
      </c>
      <c r="AE2287" t="str">
        <f>VLOOKUP(Table_Query_from_Actuarial___Production3[[#This Row],[Kor1]],$AI$3:$AK$105,3,FALSE)</f>
        <v>Misc. Income</v>
      </c>
      <c r="AF2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88" spans="18:32" x14ac:dyDescent="0.2">
      <c r="R2288" t="s">
        <v>38</v>
      </c>
      <c r="S2288" t="s">
        <v>224</v>
      </c>
      <c r="T2288" t="s">
        <v>441</v>
      </c>
      <c r="U2288" s="21">
        <v>132799.69</v>
      </c>
      <c r="V2288" s="21" t="s">
        <v>370</v>
      </c>
      <c r="W2288" t="str">
        <f>VLOOKUP(Table_Query_from_Actuarial___Production[[#This Row],[Kor1]],$AI$3:$AK$105,3,FALSE)</f>
        <v>Misc. Income</v>
      </c>
      <c r="X2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288"/>
      <c r="Z2288" t="s">
        <v>3</v>
      </c>
      <c r="AA2288" t="s">
        <v>225</v>
      </c>
      <c r="AB2288" t="s">
        <v>433</v>
      </c>
      <c r="AC2288" s="21">
        <v>1113783</v>
      </c>
      <c r="AD2288" s="21" t="s">
        <v>368</v>
      </c>
      <c r="AE2288" t="str">
        <f>VLOOKUP(Table_Query_from_Actuarial___Production3[[#This Row],[Kor1]],$AI$3:$AK$105,3,FALSE)</f>
        <v>Premiums Written</v>
      </c>
      <c r="AF2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289" spans="18:32" x14ac:dyDescent="0.2">
      <c r="R2289" t="s">
        <v>12</v>
      </c>
      <c r="S2289" t="s">
        <v>267</v>
      </c>
      <c r="T2289" t="s">
        <v>9</v>
      </c>
      <c r="U2289" s="21">
        <v>9071.7199999999993</v>
      </c>
      <c r="V2289" s="21" t="s">
        <v>368</v>
      </c>
      <c r="W2289" t="str">
        <f>VLOOKUP(Table_Query_from_Actuarial___Production[[#This Row],[Kor1]],$AI$3:$AK$105,3,FALSE)</f>
        <v>Premium Tax</v>
      </c>
      <c r="X2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89"/>
      <c r="Z2289" t="s">
        <v>3</v>
      </c>
      <c r="AA2289" t="s">
        <v>232</v>
      </c>
      <c r="AB2289" t="s">
        <v>442</v>
      </c>
      <c r="AC2289" s="21">
        <v>1454684</v>
      </c>
      <c r="AD2289" s="21" t="s">
        <v>368</v>
      </c>
      <c r="AE2289" t="str">
        <f>VLOOKUP(Table_Query_from_Actuarial___Production3[[#This Row],[Kor1]],$AI$3:$AK$105,3,FALSE)</f>
        <v>Premiums Written</v>
      </c>
      <c r="AF2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0" spans="18:32" x14ac:dyDescent="0.2">
      <c r="R2290" t="s">
        <v>49</v>
      </c>
      <c r="S2290" t="s">
        <v>239</v>
      </c>
      <c r="T2290" t="s">
        <v>7</v>
      </c>
      <c r="U2290" s="21">
        <v>122.56</v>
      </c>
      <c r="V2290" s="21" t="s">
        <v>368</v>
      </c>
      <c r="W2290" t="str">
        <f>VLOOKUP(Table_Query_from_Actuarial___Production[[#This Row],[Kor1]],$AI$3:$AK$105,3,FALSE)</f>
        <v>ALAE Paid</v>
      </c>
      <c r="X2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0"/>
      <c r="Z2290" t="s">
        <v>14</v>
      </c>
      <c r="AA2290" t="s">
        <v>247</v>
      </c>
      <c r="AB2290" t="s">
        <v>356</v>
      </c>
      <c r="AC2290" s="21">
        <v>467.21</v>
      </c>
      <c r="AD2290" s="21" t="s">
        <v>368</v>
      </c>
      <c r="AE2290" t="str">
        <f>VLOOKUP(Table_Query_from_Actuarial___Production3[[#This Row],[Kor1]],$AI$3:$AK$105,3,FALSE)</f>
        <v>Claims Expense</v>
      </c>
      <c r="AF2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1" spans="18:32" x14ac:dyDescent="0.2">
      <c r="R2291" t="s">
        <v>14</v>
      </c>
      <c r="S2291" t="s">
        <v>246</v>
      </c>
      <c r="T2291" t="s">
        <v>9</v>
      </c>
      <c r="U2291" s="21">
        <v>14642.64</v>
      </c>
      <c r="V2291" s="21" t="s">
        <v>368</v>
      </c>
      <c r="W2291" t="str">
        <f>VLOOKUP(Table_Query_from_Actuarial___Production[[#This Row],[Kor1]],$AI$3:$AK$105,3,FALSE)</f>
        <v>Claims Expense</v>
      </c>
      <c r="X2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1"/>
      <c r="Z2291" t="s">
        <v>13</v>
      </c>
      <c r="AA2291" t="s">
        <v>231</v>
      </c>
      <c r="AB2291" t="s">
        <v>427</v>
      </c>
      <c r="AC2291" s="21">
        <v>190955.9</v>
      </c>
      <c r="AD2291" s="21" t="s">
        <v>368</v>
      </c>
      <c r="AE2291" t="str">
        <f>VLOOKUP(Table_Query_from_Actuarial___Production3[[#This Row],[Kor1]],$AI$3:$AK$105,3,FALSE)</f>
        <v>Operating Service Fees</v>
      </c>
      <c r="AF2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2" spans="18:32" x14ac:dyDescent="0.2">
      <c r="R2292" t="s">
        <v>13</v>
      </c>
      <c r="S2292" t="s">
        <v>231</v>
      </c>
      <c r="T2292" t="s">
        <v>7</v>
      </c>
      <c r="U2292" s="21">
        <v>20656.91</v>
      </c>
      <c r="V2292" s="21" t="s">
        <v>368</v>
      </c>
      <c r="W2292" t="str">
        <f>VLOOKUP(Table_Query_from_Actuarial___Production[[#This Row],[Kor1]],$AI$3:$AK$105,3,FALSE)</f>
        <v>Operating Service Fees</v>
      </c>
      <c r="X2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2"/>
      <c r="Z2292" t="s">
        <v>10</v>
      </c>
      <c r="AA2292" t="s">
        <v>246</v>
      </c>
      <c r="AB2292" t="s">
        <v>441</v>
      </c>
      <c r="AC2292" s="21">
        <v>252414.7</v>
      </c>
      <c r="AD2292" s="21" t="s">
        <v>368</v>
      </c>
      <c r="AE2292" t="str">
        <f>VLOOKUP(Table_Query_from_Actuarial___Production3[[#This Row],[Kor1]],$AI$3:$AK$105,3,FALSE)</f>
        <v>Commissions</v>
      </c>
      <c r="AF2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3" spans="18:32" x14ac:dyDescent="0.2">
      <c r="R2293" t="s">
        <v>41</v>
      </c>
      <c r="S2293" t="s">
        <v>268</v>
      </c>
      <c r="T2293" t="s">
        <v>442</v>
      </c>
      <c r="U2293" s="21">
        <v>249.98</v>
      </c>
      <c r="V2293" s="21" t="s">
        <v>368</v>
      </c>
      <c r="W2293" t="str">
        <f>VLOOKUP(Table_Query_from_Actuarial___Production[[#This Row],[Kor1]],$AI$3:$AK$105,3,FALSE)</f>
        <v>Misc. Income</v>
      </c>
      <c r="X2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3"/>
      <c r="Z2293" t="s">
        <v>47</v>
      </c>
      <c r="AA2293" t="s">
        <v>248</v>
      </c>
      <c r="AB2293" t="s">
        <v>9</v>
      </c>
      <c r="AC2293" s="21">
        <v>108.88</v>
      </c>
      <c r="AD2293" s="21" t="s">
        <v>368</v>
      </c>
      <c r="AE2293" t="str">
        <f>VLOOKUP(Table_Query_from_Actuarial___Production3[[#This Row],[Kor1]],$AI$3:$AK$105,3,FALSE)</f>
        <v>Investment Income</v>
      </c>
      <c r="AF2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4" spans="18:32" x14ac:dyDescent="0.2">
      <c r="R2294" t="s">
        <v>48</v>
      </c>
      <c r="S2294" t="s">
        <v>251</v>
      </c>
      <c r="T2294" t="s">
        <v>442</v>
      </c>
      <c r="U2294" s="21">
        <v>541.02</v>
      </c>
      <c r="V2294" s="21" t="s">
        <v>368</v>
      </c>
      <c r="W2294" t="str">
        <f>VLOOKUP(Table_Query_from_Actuarial___Production[[#This Row],[Kor1]],$AI$3:$AK$105,3,FALSE)</f>
        <v>Anticipated Salvage</v>
      </c>
      <c r="X2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4"/>
      <c r="Z2294" t="s">
        <v>39</v>
      </c>
      <c r="AA2294" t="s">
        <v>233</v>
      </c>
      <c r="AB2294" t="s">
        <v>351</v>
      </c>
      <c r="AC2294" s="21">
        <v>1103.99</v>
      </c>
      <c r="AD2294" s="21" t="s">
        <v>368</v>
      </c>
      <c r="AE2294" t="str">
        <f>VLOOKUP(Table_Query_from_Actuarial___Production3[[#This Row],[Kor1]],$AI$3:$AK$105,3,FALSE)</f>
        <v>Misc. Income for Insolvent Companies</v>
      </c>
      <c r="AF2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5" spans="18:32" x14ac:dyDescent="0.2">
      <c r="R2295" t="s">
        <v>33</v>
      </c>
      <c r="S2295" t="s">
        <v>229</v>
      </c>
      <c r="T2295" t="s">
        <v>427</v>
      </c>
      <c r="U2295" s="21">
        <v>12545.73</v>
      </c>
      <c r="V2295" s="21" t="s">
        <v>368</v>
      </c>
      <c r="W2295" t="str">
        <f>VLOOKUP(Table_Query_from_Actuarial___Production[[#This Row],[Kor1]],$AI$3:$AK$105,3,FALSE)</f>
        <v>Misc. Expense</v>
      </c>
      <c r="X2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5"/>
      <c r="Z2295" t="s">
        <v>41</v>
      </c>
      <c r="AA2295" t="s">
        <v>246</v>
      </c>
      <c r="AB2295" t="s">
        <v>442</v>
      </c>
      <c r="AC2295" s="21">
        <v>850.99</v>
      </c>
      <c r="AD2295" s="21" t="s">
        <v>368</v>
      </c>
      <c r="AE2295" t="str">
        <f>VLOOKUP(Table_Query_from_Actuarial___Production3[[#This Row],[Kor1]],$AI$3:$AK$105,3,FALSE)</f>
        <v>Misc. Income</v>
      </c>
      <c r="AF2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6" spans="18:32" x14ac:dyDescent="0.2">
      <c r="R2296" t="s">
        <v>33</v>
      </c>
      <c r="S2296" t="s">
        <v>251</v>
      </c>
      <c r="T2296" t="s">
        <v>442</v>
      </c>
      <c r="U2296" s="21">
        <v>16421.68</v>
      </c>
      <c r="V2296" s="21" t="s">
        <v>368</v>
      </c>
      <c r="W2296" t="str">
        <f>VLOOKUP(Table_Query_from_Actuarial___Production[[#This Row],[Kor1]],$AI$3:$AK$105,3,FALSE)</f>
        <v>Misc. Expense</v>
      </c>
      <c r="X2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6"/>
      <c r="Z2296" t="s">
        <v>50</v>
      </c>
      <c r="AA2296" t="s">
        <v>232</v>
      </c>
      <c r="AB2296" t="s">
        <v>433</v>
      </c>
      <c r="AC2296" s="21">
        <v>5002.62</v>
      </c>
      <c r="AD2296" s="21" t="s">
        <v>368</v>
      </c>
      <c r="AE2296" t="str">
        <f>VLOOKUP(Table_Query_from_Actuarial___Production3[[#This Row],[Kor1]],$AI$3:$AK$105,3,FALSE)</f>
        <v>ALAE Reserve</v>
      </c>
      <c r="AF2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7" spans="18:32" x14ac:dyDescent="0.2">
      <c r="R2297" t="s">
        <v>47</v>
      </c>
      <c r="S2297" t="s">
        <v>255</v>
      </c>
      <c r="T2297" t="s">
        <v>427</v>
      </c>
      <c r="U2297" s="21">
        <v>1820.23</v>
      </c>
      <c r="V2297" s="21" t="s">
        <v>368</v>
      </c>
      <c r="W2297" t="str">
        <f>VLOOKUP(Table_Query_from_Actuarial___Production[[#This Row],[Kor1]],$AI$3:$AK$105,3,FALSE)</f>
        <v>Investment Income</v>
      </c>
      <c r="X2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7"/>
      <c r="Z2297" t="s">
        <v>16</v>
      </c>
      <c r="AA2297" t="s">
        <v>243</v>
      </c>
      <c r="AB2297" t="s">
        <v>442</v>
      </c>
      <c r="AC2297" s="21">
        <v>249181.02</v>
      </c>
      <c r="AD2297" s="21" t="s">
        <v>368</v>
      </c>
      <c r="AE2297" t="str">
        <f>VLOOKUP(Table_Query_from_Actuarial___Production3[[#This Row],[Kor1]],$AI$3:$AK$105,3,FALSE)</f>
        <v>Losses Outstanding</v>
      </c>
      <c r="AF2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8" spans="18:32" x14ac:dyDescent="0.2">
      <c r="R2298" t="s">
        <v>3</v>
      </c>
      <c r="S2298" t="s">
        <v>224</v>
      </c>
      <c r="T2298" t="s">
        <v>7</v>
      </c>
      <c r="U2298" s="21">
        <v>2223640.1800000002</v>
      </c>
      <c r="V2298" s="21" t="s">
        <v>368</v>
      </c>
      <c r="W2298" t="str">
        <f>VLOOKUP(Table_Query_from_Actuarial___Production[[#This Row],[Kor1]],$AI$3:$AK$105,3,FALSE)</f>
        <v>Premiums Written</v>
      </c>
      <c r="X2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298"/>
      <c r="Z2298" t="s">
        <v>19</v>
      </c>
      <c r="AA2298" t="s">
        <v>240</v>
      </c>
      <c r="AB2298" t="s">
        <v>351</v>
      </c>
      <c r="AC2298" s="21">
        <v>302.02</v>
      </c>
      <c r="AD2298" s="21" t="s">
        <v>368</v>
      </c>
      <c r="AE2298" t="str">
        <f>VLOOKUP(Table_Query_from_Actuarial___Production3[[#This Row],[Kor1]],$AI$3:$AK$105,3,FALSE)</f>
        <v>Misc. Expense for Insolvent Companies</v>
      </c>
      <c r="AF2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299" spans="18:32" x14ac:dyDescent="0.2">
      <c r="R2299" t="s">
        <v>33</v>
      </c>
      <c r="S2299" t="s">
        <v>239</v>
      </c>
      <c r="T2299" t="s">
        <v>9</v>
      </c>
      <c r="U2299" s="21">
        <v>16011.84</v>
      </c>
      <c r="V2299" s="21" t="s">
        <v>368</v>
      </c>
      <c r="W2299" t="str">
        <f>VLOOKUP(Table_Query_from_Actuarial___Production[[#This Row],[Kor1]],$AI$3:$AK$105,3,FALSE)</f>
        <v>Misc. Expense</v>
      </c>
      <c r="X2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299"/>
      <c r="Z2299" t="s">
        <v>10</v>
      </c>
      <c r="AA2299" t="s">
        <v>234</v>
      </c>
      <c r="AB2299" t="s">
        <v>442</v>
      </c>
      <c r="AC2299" s="21">
        <v>106291.65</v>
      </c>
      <c r="AD2299" s="21" t="s">
        <v>368</v>
      </c>
      <c r="AE2299" t="str">
        <f>VLOOKUP(Table_Query_from_Actuarial___Production3[[#This Row],[Kor1]],$AI$3:$AK$105,3,FALSE)</f>
        <v>Commissions</v>
      </c>
      <c r="AF2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0" spans="18:32" x14ac:dyDescent="0.2">
      <c r="R2300" t="s">
        <v>48</v>
      </c>
      <c r="S2300" t="s">
        <v>257</v>
      </c>
      <c r="T2300" t="s">
        <v>442</v>
      </c>
      <c r="U2300" s="21">
        <v>12356.62</v>
      </c>
      <c r="V2300" s="21" t="s">
        <v>368</v>
      </c>
      <c r="W2300" t="str">
        <f>VLOOKUP(Table_Query_from_Actuarial___Production[[#This Row],[Kor1]],$AI$3:$AK$105,3,FALSE)</f>
        <v>Anticipated Salvage</v>
      </c>
      <c r="X2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0"/>
      <c r="Z2300" t="s">
        <v>439</v>
      </c>
      <c r="AA2300" t="s">
        <v>267</v>
      </c>
      <c r="AB2300" t="s">
        <v>433</v>
      </c>
      <c r="AC2300" s="21">
        <v>2432</v>
      </c>
      <c r="AD2300" s="21" t="s">
        <v>368</v>
      </c>
      <c r="AE2300" t="str">
        <f>VLOOKUP(Table_Query_from_Actuarial___Production3[[#This Row],[Kor1]],$AI$3:$AK$105,3,FALSE)</f>
        <v>Operating Service Fees</v>
      </c>
      <c r="AF2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1" spans="18:32" x14ac:dyDescent="0.2">
      <c r="R2301" t="s">
        <v>3</v>
      </c>
      <c r="S2301" t="s">
        <v>244</v>
      </c>
      <c r="T2301" t="s">
        <v>8</v>
      </c>
      <c r="U2301" s="21">
        <v>1287985</v>
      </c>
      <c r="V2301" s="21" t="s">
        <v>368</v>
      </c>
      <c r="W2301" t="str">
        <f>VLOOKUP(Table_Query_from_Actuarial___Production[[#This Row],[Kor1]],$AI$3:$AK$105,3,FALSE)</f>
        <v>Premiums Written</v>
      </c>
      <c r="X2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1"/>
      <c r="Z2301" t="s">
        <v>16</v>
      </c>
      <c r="AA2301" t="s">
        <v>265</v>
      </c>
      <c r="AB2301" t="s">
        <v>443</v>
      </c>
      <c r="AC2301" s="21">
        <v>0.99</v>
      </c>
      <c r="AD2301" s="21" t="s">
        <v>368</v>
      </c>
      <c r="AE2301" t="str">
        <f>VLOOKUP(Table_Query_from_Actuarial___Production3[[#This Row],[Kor1]],$AI$3:$AK$105,3,FALSE)</f>
        <v>Losses Outstanding</v>
      </c>
      <c r="AF2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2" spans="18:32" x14ac:dyDescent="0.2">
      <c r="R2302" t="s">
        <v>17</v>
      </c>
      <c r="S2302" t="s">
        <v>230</v>
      </c>
      <c r="T2302" t="s">
        <v>441</v>
      </c>
      <c r="U2302" s="21">
        <v>1844190.38</v>
      </c>
      <c r="V2302" s="21" t="s">
        <v>368</v>
      </c>
      <c r="W2302" t="str">
        <f>VLOOKUP(Table_Query_from_Actuarial___Production[[#This Row],[Kor1]],$AI$3:$AK$105,3,FALSE)</f>
        <v>IBNR</v>
      </c>
      <c r="X2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2"/>
      <c r="Z2302" t="s">
        <v>21</v>
      </c>
      <c r="AA2302" t="s">
        <v>248</v>
      </c>
      <c r="AB2302" t="s">
        <v>351</v>
      </c>
      <c r="AC2302" s="21">
        <v>115.5</v>
      </c>
      <c r="AD2302" s="21" t="s">
        <v>368</v>
      </c>
      <c r="AE2302" t="str">
        <f>VLOOKUP(Table_Query_from_Actuarial___Production3[[#This Row],[Kor1]],$AI$3:$AK$105,3,FALSE)</f>
        <v>Misc. Expense</v>
      </c>
      <c r="AF2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3" spans="18:32" x14ac:dyDescent="0.2">
      <c r="R2303" t="s">
        <v>17</v>
      </c>
      <c r="S2303" t="s">
        <v>244</v>
      </c>
      <c r="T2303" t="s">
        <v>443</v>
      </c>
      <c r="U2303" s="21">
        <v>1447702.11</v>
      </c>
      <c r="V2303" s="21" t="s">
        <v>368</v>
      </c>
      <c r="W2303" t="str">
        <f>VLOOKUP(Table_Query_from_Actuarial___Production[[#This Row],[Kor1]],$AI$3:$AK$105,3,FALSE)</f>
        <v>IBNR</v>
      </c>
      <c r="X2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3"/>
      <c r="Z2303" t="s">
        <v>37</v>
      </c>
      <c r="AA2303" t="s">
        <v>237</v>
      </c>
      <c r="AB2303" t="s">
        <v>8</v>
      </c>
      <c r="AC2303" s="21">
        <v>1617.89</v>
      </c>
      <c r="AD2303" s="21" t="s">
        <v>368</v>
      </c>
      <c r="AE2303" t="str">
        <f>VLOOKUP(Table_Query_from_Actuarial___Production3[[#This Row],[Kor1]],$AI$3:$AK$105,3,FALSE)</f>
        <v>Misc. Expense</v>
      </c>
      <c r="AF2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4" spans="18:32" x14ac:dyDescent="0.2">
      <c r="R2304" t="s">
        <v>17</v>
      </c>
      <c r="S2304" t="s">
        <v>235</v>
      </c>
      <c r="T2304" t="s">
        <v>443</v>
      </c>
      <c r="U2304" s="21">
        <v>19376.38</v>
      </c>
      <c r="V2304" s="21" t="s">
        <v>368</v>
      </c>
      <c r="W2304" t="str">
        <f>VLOOKUP(Table_Query_from_Actuarial___Production[[#This Row],[Kor1]],$AI$3:$AK$105,3,FALSE)</f>
        <v>IBNR</v>
      </c>
      <c r="X2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4"/>
      <c r="Z2304" t="s">
        <v>12</v>
      </c>
      <c r="AA2304" t="s">
        <v>240</v>
      </c>
      <c r="AB2304" t="s">
        <v>351</v>
      </c>
      <c r="AC2304" s="21">
        <v>57265.68</v>
      </c>
      <c r="AD2304" s="21" t="s">
        <v>368</v>
      </c>
      <c r="AE2304" t="str">
        <f>VLOOKUP(Table_Query_from_Actuarial___Production3[[#This Row],[Kor1]],$AI$3:$AK$105,3,FALSE)</f>
        <v>Premium Tax</v>
      </c>
      <c r="AF2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5" spans="18:32" x14ac:dyDescent="0.2">
      <c r="R2305" t="s">
        <v>41</v>
      </c>
      <c r="S2305" t="s">
        <v>230</v>
      </c>
      <c r="T2305" t="s">
        <v>427</v>
      </c>
      <c r="U2305" s="21">
        <v>1303.49</v>
      </c>
      <c r="V2305" s="21" t="s">
        <v>368</v>
      </c>
      <c r="W2305" t="str">
        <f>VLOOKUP(Table_Query_from_Actuarial___Production[[#This Row],[Kor1]],$AI$3:$AK$105,3,FALSE)</f>
        <v>Misc. Income</v>
      </c>
      <c r="X2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5"/>
      <c r="Z2305" t="s">
        <v>3</v>
      </c>
      <c r="AA2305" t="s">
        <v>256</v>
      </c>
      <c r="AB2305" t="s">
        <v>351</v>
      </c>
      <c r="AC2305" s="21">
        <v>163399</v>
      </c>
      <c r="AD2305" s="21" t="s">
        <v>368</v>
      </c>
      <c r="AE2305" t="str">
        <f>VLOOKUP(Table_Query_from_Actuarial___Production3[[#This Row],[Kor1]],$AI$3:$AK$105,3,FALSE)</f>
        <v>Premiums Written</v>
      </c>
      <c r="AF2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6" spans="18:32" x14ac:dyDescent="0.2">
      <c r="R2306" t="s">
        <v>49</v>
      </c>
      <c r="S2306" t="s">
        <v>4</v>
      </c>
      <c r="T2306" t="s">
        <v>6</v>
      </c>
      <c r="U2306" s="21">
        <v>223570.15</v>
      </c>
      <c r="V2306" s="21" t="s">
        <v>368</v>
      </c>
      <c r="W2306" t="str">
        <f>VLOOKUP(Table_Query_from_Actuarial___Production[[#This Row],[Kor1]],$AI$3:$AK$105,3,FALSE)</f>
        <v>ALAE Paid</v>
      </c>
      <c r="X2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6"/>
      <c r="Z2306" t="s">
        <v>25</v>
      </c>
      <c r="AA2306" t="s">
        <v>259</v>
      </c>
      <c r="AB2306" t="s">
        <v>6</v>
      </c>
      <c r="AC2306" s="21">
        <v>120.87</v>
      </c>
      <c r="AD2306" s="21" t="s">
        <v>368</v>
      </c>
      <c r="AE2306" t="str">
        <f>VLOOKUP(Table_Query_from_Actuarial___Production3[[#This Row],[Kor1]],$AI$3:$AK$105,3,FALSE)</f>
        <v>Misc. Expense</v>
      </c>
      <c r="AF2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7" spans="18:32" x14ac:dyDescent="0.2">
      <c r="R2307" t="s">
        <v>49</v>
      </c>
      <c r="S2307" t="s">
        <v>226</v>
      </c>
      <c r="T2307" t="s">
        <v>427</v>
      </c>
      <c r="U2307" s="21">
        <v>176509.1</v>
      </c>
      <c r="V2307" s="21" t="s">
        <v>368</v>
      </c>
      <c r="W2307" t="str">
        <f>VLOOKUP(Table_Query_from_Actuarial___Production[[#This Row],[Kor1]],$AI$3:$AK$105,3,FALSE)</f>
        <v>ALAE Paid</v>
      </c>
      <c r="X2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307"/>
      <c r="Z2307" t="s">
        <v>31</v>
      </c>
      <c r="AA2307" t="s">
        <v>250</v>
      </c>
      <c r="AB2307" t="s">
        <v>433</v>
      </c>
      <c r="AC2307" s="21">
        <v>921.7</v>
      </c>
      <c r="AD2307" s="21" t="s">
        <v>368</v>
      </c>
      <c r="AE2307" t="str">
        <f>VLOOKUP(Table_Query_from_Actuarial___Production3[[#This Row],[Kor1]],$AI$3:$AK$105,3,FALSE)</f>
        <v>Misc. Expense</v>
      </c>
      <c r="AF2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8" spans="18:32" x14ac:dyDescent="0.2">
      <c r="R2308" t="s">
        <v>14</v>
      </c>
      <c r="S2308" t="s">
        <v>235</v>
      </c>
      <c r="T2308" t="s">
        <v>351</v>
      </c>
      <c r="U2308" s="21">
        <v>56881.17</v>
      </c>
      <c r="V2308" s="21" t="s">
        <v>368</v>
      </c>
      <c r="W2308" t="str">
        <f>VLOOKUP(Table_Query_from_Actuarial___Production[[#This Row],[Kor1]],$AI$3:$AK$105,3,FALSE)</f>
        <v>Claims Expense</v>
      </c>
      <c r="X2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8"/>
      <c r="Z2308" t="s">
        <v>10</v>
      </c>
      <c r="AA2308" t="s">
        <v>245</v>
      </c>
      <c r="AB2308" t="s">
        <v>5</v>
      </c>
      <c r="AC2308" s="21">
        <v>4117.2</v>
      </c>
      <c r="AD2308" s="21" t="s">
        <v>368</v>
      </c>
      <c r="AE2308" t="str">
        <f>VLOOKUP(Table_Query_from_Actuarial___Production3[[#This Row],[Kor1]],$AI$3:$AK$105,3,FALSE)</f>
        <v>Commissions</v>
      </c>
      <c r="AF2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09" spans="18:32" x14ac:dyDescent="0.2">
      <c r="R2309" t="s">
        <v>39</v>
      </c>
      <c r="S2309" t="s">
        <v>233</v>
      </c>
      <c r="T2309" t="s">
        <v>441</v>
      </c>
      <c r="U2309" s="21">
        <v>718.75</v>
      </c>
      <c r="V2309" s="21" t="s">
        <v>368</v>
      </c>
      <c r="W2309" t="str">
        <f>VLOOKUP(Table_Query_from_Actuarial___Production[[#This Row],[Kor1]],$AI$3:$AK$105,3,FALSE)</f>
        <v>Misc. Income for Insolvent Companies</v>
      </c>
      <c r="X2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09"/>
      <c r="Z2309" t="s">
        <v>19</v>
      </c>
      <c r="AA2309" t="s">
        <v>235</v>
      </c>
      <c r="AB2309" t="s">
        <v>5</v>
      </c>
      <c r="AC2309" s="21">
        <v>5594</v>
      </c>
      <c r="AD2309" s="21" t="s">
        <v>368</v>
      </c>
      <c r="AE2309" t="str">
        <f>VLOOKUP(Table_Query_from_Actuarial___Production3[[#This Row],[Kor1]],$AI$3:$AK$105,3,FALSE)</f>
        <v>Misc. Expense for Insolvent Companies</v>
      </c>
      <c r="AF2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0" spans="18:32" x14ac:dyDescent="0.2">
      <c r="R2310" t="s">
        <v>12</v>
      </c>
      <c r="S2310" t="s">
        <v>254</v>
      </c>
      <c r="T2310" t="s">
        <v>9</v>
      </c>
      <c r="U2310" s="21">
        <v>100332.36</v>
      </c>
      <c r="V2310" s="21" t="s">
        <v>368</v>
      </c>
      <c r="W2310" t="str">
        <f>VLOOKUP(Table_Query_from_Actuarial___Production[[#This Row],[Kor1]],$AI$3:$AK$105,3,FALSE)</f>
        <v>Premium Tax</v>
      </c>
      <c r="X2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0"/>
      <c r="Z2310" t="s">
        <v>21</v>
      </c>
      <c r="AA2310" t="s">
        <v>263</v>
      </c>
      <c r="AB2310" t="s">
        <v>5</v>
      </c>
      <c r="AC2310" s="21">
        <v>1130</v>
      </c>
      <c r="AD2310" s="21" t="s">
        <v>368</v>
      </c>
      <c r="AE2310" t="str">
        <f>VLOOKUP(Table_Query_from_Actuarial___Production3[[#This Row],[Kor1]],$AI$3:$AK$105,3,FALSE)</f>
        <v>Misc. Expense</v>
      </c>
      <c r="AF2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1" spans="18:32" x14ac:dyDescent="0.2">
      <c r="R2311" t="s">
        <v>17</v>
      </c>
      <c r="S2311" t="s">
        <v>231</v>
      </c>
      <c r="T2311" t="s">
        <v>443</v>
      </c>
      <c r="U2311" s="21">
        <v>1086440.44</v>
      </c>
      <c r="V2311" s="21" t="s">
        <v>368</v>
      </c>
      <c r="W2311" t="str">
        <f>VLOOKUP(Table_Query_from_Actuarial___Production[[#This Row],[Kor1]],$AI$3:$AK$105,3,FALSE)</f>
        <v>IBNR</v>
      </c>
      <c r="X2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1"/>
      <c r="Z2311" t="s">
        <v>47</v>
      </c>
      <c r="AA2311" t="s">
        <v>256</v>
      </c>
      <c r="AB2311" t="s">
        <v>351</v>
      </c>
      <c r="AC2311" s="21">
        <v>678.57</v>
      </c>
      <c r="AD2311" s="21" t="s">
        <v>368</v>
      </c>
      <c r="AE2311" t="str">
        <f>VLOOKUP(Table_Query_from_Actuarial___Production3[[#This Row],[Kor1]],$AI$3:$AK$105,3,FALSE)</f>
        <v>Investment Income</v>
      </c>
      <c r="AF2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2" spans="18:32" x14ac:dyDescent="0.2">
      <c r="R2312" t="s">
        <v>33</v>
      </c>
      <c r="S2312" t="s">
        <v>265</v>
      </c>
      <c r="T2312" t="s">
        <v>443</v>
      </c>
      <c r="U2312" s="21">
        <v>12129.78</v>
      </c>
      <c r="V2312" s="21" t="s">
        <v>368</v>
      </c>
      <c r="W2312" t="str">
        <f>VLOOKUP(Table_Query_from_Actuarial___Production[[#This Row],[Kor1]],$AI$3:$AK$105,3,FALSE)</f>
        <v>Misc. Expense</v>
      </c>
      <c r="X2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2"/>
      <c r="Z2312" t="s">
        <v>25</v>
      </c>
      <c r="AA2312" t="s">
        <v>4</v>
      </c>
      <c r="AB2312" t="s">
        <v>351</v>
      </c>
      <c r="AC2312" s="21">
        <v>14595.66</v>
      </c>
      <c r="AD2312" s="21" t="s">
        <v>368</v>
      </c>
      <c r="AE2312" t="str">
        <f>VLOOKUP(Table_Query_from_Actuarial___Production3[[#This Row],[Kor1]],$AI$3:$AK$105,3,FALSE)</f>
        <v>Misc. Expense</v>
      </c>
      <c r="AF2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3" spans="18:32" x14ac:dyDescent="0.2">
      <c r="R2313" t="s">
        <v>41</v>
      </c>
      <c r="S2313" t="s">
        <v>234</v>
      </c>
      <c r="T2313" t="s">
        <v>6</v>
      </c>
      <c r="U2313" s="21">
        <v>150.01</v>
      </c>
      <c r="V2313" s="21" t="s">
        <v>368</v>
      </c>
      <c r="W2313" t="str">
        <f>VLOOKUP(Table_Query_from_Actuarial___Production[[#This Row],[Kor1]],$AI$3:$AK$105,3,FALSE)</f>
        <v>Misc. Income</v>
      </c>
      <c r="X2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3"/>
      <c r="Z2313" t="s">
        <v>33</v>
      </c>
      <c r="AA2313" t="s">
        <v>234</v>
      </c>
      <c r="AB2313" t="s">
        <v>441</v>
      </c>
      <c r="AC2313" s="21">
        <v>18813.419999999998</v>
      </c>
      <c r="AD2313" s="21" t="s">
        <v>368</v>
      </c>
      <c r="AE2313" t="str">
        <f>VLOOKUP(Table_Query_from_Actuarial___Production3[[#This Row],[Kor1]],$AI$3:$AK$105,3,FALSE)</f>
        <v>Misc. Expense</v>
      </c>
      <c r="AF2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4" spans="18:32" x14ac:dyDescent="0.2">
      <c r="R2314" t="s">
        <v>21</v>
      </c>
      <c r="S2314" t="s">
        <v>263</v>
      </c>
      <c r="T2314" t="s">
        <v>351</v>
      </c>
      <c r="U2314" s="21">
        <v>88</v>
      </c>
      <c r="V2314" s="21" t="s">
        <v>368</v>
      </c>
      <c r="W2314" t="str">
        <f>VLOOKUP(Table_Query_from_Actuarial___Production[[#This Row],[Kor1]],$AI$3:$AK$105,3,FALSE)</f>
        <v>Misc. Expense</v>
      </c>
      <c r="X2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4"/>
      <c r="Z2314" t="s">
        <v>50</v>
      </c>
      <c r="AA2314" t="s">
        <v>263</v>
      </c>
      <c r="AB2314" t="s">
        <v>442</v>
      </c>
      <c r="AC2314" s="21">
        <v>894.25</v>
      </c>
      <c r="AD2314" s="21" t="s">
        <v>368</v>
      </c>
      <c r="AE2314" t="str">
        <f>VLOOKUP(Table_Query_from_Actuarial___Production3[[#This Row],[Kor1]],$AI$3:$AK$105,3,FALSE)</f>
        <v>ALAE Reserve</v>
      </c>
      <c r="AF2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5" spans="18:32" x14ac:dyDescent="0.2">
      <c r="R2315" t="s">
        <v>11</v>
      </c>
      <c r="S2315" t="s">
        <v>249</v>
      </c>
      <c r="T2315" t="s">
        <v>433</v>
      </c>
      <c r="U2315" s="21">
        <v>270858.94</v>
      </c>
      <c r="V2315" s="21" t="s">
        <v>368</v>
      </c>
      <c r="W2315" t="str">
        <f>VLOOKUP(Table_Query_from_Actuarial___Production[[#This Row],[Kor1]],$AI$3:$AK$105,3,FALSE)</f>
        <v>Losses Paid</v>
      </c>
      <c r="X2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5"/>
      <c r="Z2315" t="s">
        <v>11</v>
      </c>
      <c r="AA2315" t="s">
        <v>246</v>
      </c>
      <c r="AB2315" t="s">
        <v>9</v>
      </c>
      <c r="AC2315" s="21">
        <v>486513.17</v>
      </c>
      <c r="AD2315" s="21" t="s">
        <v>368</v>
      </c>
      <c r="AE2315" t="str">
        <f>VLOOKUP(Table_Query_from_Actuarial___Production3[[#This Row],[Kor1]],$AI$3:$AK$105,3,FALSE)</f>
        <v>Losses Paid</v>
      </c>
      <c r="AF2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6" spans="18:32" x14ac:dyDescent="0.2">
      <c r="R2316" t="s">
        <v>31</v>
      </c>
      <c r="S2316" t="s">
        <v>243</v>
      </c>
      <c r="T2316" t="s">
        <v>351</v>
      </c>
      <c r="U2316" s="21">
        <v>730.91</v>
      </c>
      <c r="V2316" s="21" t="s">
        <v>368</v>
      </c>
      <c r="W2316" t="str">
        <f>VLOOKUP(Table_Query_from_Actuarial___Production[[#This Row],[Kor1]],$AI$3:$AK$105,3,FALSE)</f>
        <v>Misc. Expense</v>
      </c>
      <c r="X2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6"/>
      <c r="Z2316" t="s">
        <v>31</v>
      </c>
      <c r="AA2316" t="s">
        <v>243</v>
      </c>
      <c r="AB2316" t="s">
        <v>441</v>
      </c>
      <c r="AC2316" s="21">
        <v>925.04</v>
      </c>
      <c r="AD2316" s="21" t="s">
        <v>368</v>
      </c>
      <c r="AE2316" t="str">
        <f>VLOOKUP(Table_Query_from_Actuarial___Production3[[#This Row],[Kor1]],$AI$3:$AK$105,3,FALSE)</f>
        <v>Misc. Expense</v>
      </c>
      <c r="AF2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7" spans="18:32" x14ac:dyDescent="0.2">
      <c r="R2317" t="s">
        <v>21</v>
      </c>
      <c r="S2317" t="s">
        <v>261</v>
      </c>
      <c r="T2317" t="s">
        <v>433</v>
      </c>
      <c r="U2317" s="21">
        <v>825</v>
      </c>
      <c r="V2317" s="21" t="s">
        <v>368</v>
      </c>
      <c r="W2317" t="str">
        <f>VLOOKUP(Table_Query_from_Actuarial___Production[[#This Row],[Kor1]],$AI$3:$AK$105,3,FALSE)</f>
        <v>Misc. Expense</v>
      </c>
      <c r="X2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7"/>
      <c r="Z2317" t="s">
        <v>31</v>
      </c>
      <c r="AA2317" t="s">
        <v>257</v>
      </c>
      <c r="AB2317" t="s">
        <v>427</v>
      </c>
      <c r="AC2317" s="21">
        <v>-301.13</v>
      </c>
      <c r="AD2317" s="21" t="s">
        <v>368</v>
      </c>
      <c r="AE2317" t="str">
        <f>VLOOKUP(Table_Query_from_Actuarial___Production3[[#This Row],[Kor1]],$AI$3:$AK$105,3,FALSE)</f>
        <v>Misc. Expense</v>
      </c>
      <c r="AF2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8" spans="18:32" x14ac:dyDescent="0.2">
      <c r="R2318" t="s">
        <v>41</v>
      </c>
      <c r="S2318" t="s">
        <v>247</v>
      </c>
      <c r="T2318" t="s">
        <v>443</v>
      </c>
      <c r="U2318" s="21">
        <v>650</v>
      </c>
      <c r="V2318" s="21" t="s">
        <v>368</v>
      </c>
      <c r="W2318" t="str">
        <f>VLOOKUP(Table_Query_from_Actuarial___Production[[#This Row],[Kor1]],$AI$3:$AK$105,3,FALSE)</f>
        <v>Misc. Income</v>
      </c>
      <c r="X2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8"/>
      <c r="Z2318" t="s">
        <v>32</v>
      </c>
      <c r="AA2318" t="s">
        <v>235</v>
      </c>
      <c r="AB2318" t="s">
        <v>9</v>
      </c>
      <c r="AC2318" s="21">
        <v>6783.33</v>
      </c>
      <c r="AD2318" s="21" t="s">
        <v>368</v>
      </c>
      <c r="AE2318" t="str">
        <f>VLOOKUP(Table_Query_from_Actuarial___Production3[[#This Row],[Kor1]],$AI$3:$AK$105,3,FALSE)</f>
        <v>Misc. Expense</v>
      </c>
      <c r="AF2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19" spans="18:32" x14ac:dyDescent="0.2">
      <c r="R2319" t="s">
        <v>13</v>
      </c>
      <c r="S2319" t="s">
        <v>253</v>
      </c>
      <c r="T2319" t="s">
        <v>356</v>
      </c>
      <c r="U2319" s="21">
        <v>11160.14</v>
      </c>
      <c r="V2319" s="21" t="s">
        <v>368</v>
      </c>
      <c r="W2319" t="str">
        <f>VLOOKUP(Table_Query_from_Actuarial___Production[[#This Row],[Kor1]],$AI$3:$AK$105,3,FALSE)</f>
        <v>Operating Service Fees</v>
      </c>
      <c r="X2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19"/>
      <c r="Z2319" t="s">
        <v>37</v>
      </c>
      <c r="AA2319" t="s">
        <v>239</v>
      </c>
      <c r="AB2319" t="s">
        <v>433</v>
      </c>
      <c r="AC2319" s="21">
        <v>714.1</v>
      </c>
      <c r="AD2319" s="21" t="s">
        <v>368</v>
      </c>
      <c r="AE2319" t="str">
        <f>VLOOKUP(Table_Query_from_Actuarial___Production3[[#This Row],[Kor1]],$AI$3:$AK$105,3,FALSE)</f>
        <v>Misc. Expense</v>
      </c>
      <c r="AF2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0" spans="18:32" x14ac:dyDescent="0.2">
      <c r="R2320" t="s">
        <v>13</v>
      </c>
      <c r="S2320" t="s">
        <v>240</v>
      </c>
      <c r="T2320" t="s">
        <v>433</v>
      </c>
      <c r="U2320" s="21">
        <v>1213916.67</v>
      </c>
      <c r="V2320" s="21" t="s">
        <v>368</v>
      </c>
      <c r="W2320" t="str">
        <f>VLOOKUP(Table_Query_from_Actuarial___Production[[#This Row],[Kor1]],$AI$3:$AK$105,3,FALSE)</f>
        <v>Operating Service Fees</v>
      </c>
      <c r="X2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0"/>
      <c r="Z2320" t="s">
        <v>43</v>
      </c>
      <c r="AA2320" t="s">
        <v>238</v>
      </c>
      <c r="AB2320" t="s">
        <v>9</v>
      </c>
      <c r="AC2320" s="21">
        <v>186.38</v>
      </c>
      <c r="AD2320" s="21" t="s">
        <v>368</v>
      </c>
      <c r="AE2320" t="str">
        <f>VLOOKUP(Table_Query_from_Actuarial___Production3[[#This Row],[Kor1]],$AI$3:$AK$105,3,FALSE)</f>
        <v>Charge-offs</v>
      </c>
      <c r="AF2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1" spans="18:32" x14ac:dyDescent="0.2">
      <c r="R2321" t="s">
        <v>47</v>
      </c>
      <c r="S2321" t="s">
        <v>254</v>
      </c>
      <c r="T2321" t="s">
        <v>8</v>
      </c>
      <c r="U2321" s="21">
        <v>7.0000000000000007E-2</v>
      </c>
      <c r="V2321" s="21" t="s">
        <v>368</v>
      </c>
      <c r="W2321" t="str">
        <f>VLOOKUP(Table_Query_from_Actuarial___Production[[#This Row],[Kor1]],$AI$3:$AK$105,3,FALSE)</f>
        <v>Investment Income</v>
      </c>
      <c r="X2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1"/>
      <c r="Z2321" t="s">
        <v>41</v>
      </c>
      <c r="AA2321" t="s">
        <v>236</v>
      </c>
      <c r="AB2321" t="s">
        <v>351</v>
      </c>
      <c r="AC2321" s="21">
        <v>449.99</v>
      </c>
      <c r="AD2321" s="21" t="s">
        <v>368</v>
      </c>
      <c r="AE2321" t="str">
        <f>VLOOKUP(Table_Query_from_Actuarial___Production3[[#This Row],[Kor1]],$AI$3:$AK$105,3,FALSE)</f>
        <v>Misc. Income</v>
      </c>
      <c r="AF2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2" spans="18:32" x14ac:dyDescent="0.2">
      <c r="R2322" t="s">
        <v>21</v>
      </c>
      <c r="S2322" t="s">
        <v>4</v>
      </c>
      <c r="T2322" t="s">
        <v>9</v>
      </c>
      <c r="U2322" s="21">
        <v>158.78</v>
      </c>
      <c r="V2322" s="21" t="s">
        <v>368</v>
      </c>
      <c r="W2322" t="str">
        <f>VLOOKUP(Table_Query_from_Actuarial___Production[[#This Row],[Kor1]],$AI$3:$AK$105,3,FALSE)</f>
        <v>Misc. Expense</v>
      </c>
      <c r="X2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2"/>
      <c r="Z2322" t="s">
        <v>44</v>
      </c>
      <c r="AA2322" t="s">
        <v>267</v>
      </c>
      <c r="AB2322" t="s">
        <v>427</v>
      </c>
      <c r="AC2322" s="21">
        <v>14342.25</v>
      </c>
      <c r="AD2322" s="21" t="s">
        <v>368</v>
      </c>
      <c r="AE2322" t="str">
        <f>VLOOKUP(Table_Query_from_Actuarial___Production3[[#This Row],[Kor1]],$AI$3:$AK$105,3,FALSE)</f>
        <v>Charge-offs</v>
      </c>
      <c r="AF2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3" spans="18:32" x14ac:dyDescent="0.2">
      <c r="R2323" t="s">
        <v>3</v>
      </c>
      <c r="S2323" t="s">
        <v>352</v>
      </c>
      <c r="T2323" t="s">
        <v>443</v>
      </c>
      <c r="U2323" s="21">
        <v>70800</v>
      </c>
      <c r="V2323" s="21" t="s">
        <v>369</v>
      </c>
      <c r="W2323" t="str">
        <f>VLOOKUP(Table_Query_from_Actuarial___Production[[#This Row],[Kor1]],$AI$3:$AK$105,3,FALSE)</f>
        <v>Premiums Written</v>
      </c>
      <c r="X2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323"/>
      <c r="Z2323" t="s">
        <v>14</v>
      </c>
      <c r="AA2323" t="s">
        <v>249</v>
      </c>
      <c r="AB2323" t="s">
        <v>427</v>
      </c>
      <c r="AC2323" s="21">
        <v>33839.65</v>
      </c>
      <c r="AD2323" s="21" t="s">
        <v>368</v>
      </c>
      <c r="AE2323" t="str">
        <f>VLOOKUP(Table_Query_from_Actuarial___Production3[[#This Row],[Kor1]],$AI$3:$AK$105,3,FALSE)</f>
        <v>Claims Expense</v>
      </c>
      <c r="AF2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4" spans="18:32" x14ac:dyDescent="0.2">
      <c r="R2324" t="s">
        <v>43</v>
      </c>
      <c r="S2324" t="s">
        <v>266</v>
      </c>
      <c r="T2324" t="s">
        <v>7</v>
      </c>
      <c r="U2324" s="21">
        <v>-0.09</v>
      </c>
      <c r="V2324" s="21" t="s">
        <v>368</v>
      </c>
      <c r="W2324" t="str">
        <f>VLOOKUP(Table_Query_from_Actuarial___Production[[#This Row],[Kor1]],$AI$3:$AK$105,3,FALSE)</f>
        <v>Charge-offs</v>
      </c>
      <c r="X2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4"/>
      <c r="Z2324" t="s">
        <v>31</v>
      </c>
      <c r="AA2324" t="s">
        <v>258</v>
      </c>
      <c r="AB2324" t="s">
        <v>5</v>
      </c>
      <c r="AC2324" s="21">
        <v>1454.26</v>
      </c>
      <c r="AD2324" s="21" t="s">
        <v>368</v>
      </c>
      <c r="AE2324" t="str">
        <f>VLOOKUP(Table_Query_from_Actuarial___Production3[[#This Row],[Kor1]],$AI$3:$AK$105,3,FALSE)</f>
        <v>Misc. Expense</v>
      </c>
      <c r="AF2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5" spans="18:32" x14ac:dyDescent="0.2">
      <c r="R2325" t="s">
        <v>48</v>
      </c>
      <c r="S2325" t="s">
        <v>246</v>
      </c>
      <c r="T2325" t="s">
        <v>441</v>
      </c>
      <c r="U2325" s="21">
        <v>11267.23</v>
      </c>
      <c r="V2325" s="21" t="s">
        <v>368</v>
      </c>
      <c r="W2325" t="str">
        <f>VLOOKUP(Table_Query_from_Actuarial___Production[[#This Row],[Kor1]],$AI$3:$AK$105,3,FALSE)</f>
        <v>Anticipated Salvage</v>
      </c>
      <c r="X2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5"/>
      <c r="Z2325" t="s">
        <v>43</v>
      </c>
      <c r="AA2325" t="s">
        <v>241</v>
      </c>
      <c r="AB2325" t="s">
        <v>442</v>
      </c>
      <c r="AC2325" s="21">
        <v>464.18</v>
      </c>
      <c r="AD2325" s="21" t="s">
        <v>368</v>
      </c>
      <c r="AE2325" t="str">
        <f>VLOOKUP(Table_Query_from_Actuarial___Production3[[#This Row],[Kor1]],$AI$3:$AK$105,3,FALSE)</f>
        <v>Charge-offs</v>
      </c>
      <c r="AF2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6" spans="18:32" x14ac:dyDescent="0.2">
      <c r="R2326" t="s">
        <v>34</v>
      </c>
      <c r="S2326" t="s">
        <v>244</v>
      </c>
      <c r="T2326" t="s">
        <v>443</v>
      </c>
      <c r="U2326" s="21">
        <v>13127.12</v>
      </c>
      <c r="V2326" s="21" t="s">
        <v>368</v>
      </c>
      <c r="W2326" t="str">
        <f>VLOOKUP(Table_Query_from_Actuarial___Production[[#This Row],[Kor1]],$AI$3:$AK$105,3,FALSE)</f>
        <v>Misc. Expense</v>
      </c>
      <c r="X2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6"/>
      <c r="Z2326" t="s">
        <v>46</v>
      </c>
      <c r="AA2326" t="s">
        <v>224</v>
      </c>
      <c r="AB2326" t="s">
        <v>427</v>
      </c>
      <c r="AC2326" s="21">
        <v>1079.53</v>
      </c>
      <c r="AD2326" s="21" t="s">
        <v>425</v>
      </c>
      <c r="AE2326" t="str">
        <f>VLOOKUP(Table_Query_from_Actuarial___Production3[[#This Row],[Kor1]],$AI$3:$AK$105,3,FALSE)</f>
        <v>Investment Income</v>
      </c>
      <c r="AF2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327" spans="18:32" x14ac:dyDescent="0.2">
      <c r="R2327" t="s">
        <v>14</v>
      </c>
      <c r="S2327" t="s">
        <v>258</v>
      </c>
      <c r="T2327" t="s">
        <v>427</v>
      </c>
      <c r="U2327" s="21">
        <v>359663.28</v>
      </c>
      <c r="V2327" s="21" t="s">
        <v>368</v>
      </c>
      <c r="W2327" t="str">
        <f>VLOOKUP(Table_Query_from_Actuarial___Production[[#This Row],[Kor1]],$AI$3:$AK$105,3,FALSE)</f>
        <v>Claims Expense</v>
      </c>
      <c r="X2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7"/>
      <c r="Z2327" t="s">
        <v>10</v>
      </c>
      <c r="AA2327" t="s">
        <v>230</v>
      </c>
      <c r="AB2327" t="s">
        <v>356</v>
      </c>
      <c r="AC2327" s="21">
        <v>1570912.06</v>
      </c>
      <c r="AD2327" s="21" t="s">
        <v>368</v>
      </c>
      <c r="AE2327" t="str">
        <f>VLOOKUP(Table_Query_from_Actuarial___Production3[[#This Row],[Kor1]],$AI$3:$AK$105,3,FALSE)</f>
        <v>Commissions</v>
      </c>
      <c r="AF2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28" spans="18:32" x14ac:dyDescent="0.2">
      <c r="R2328" t="s">
        <v>21</v>
      </c>
      <c r="S2328" t="s">
        <v>265</v>
      </c>
      <c r="T2328" t="s">
        <v>9</v>
      </c>
      <c r="U2328" s="21">
        <v>2071</v>
      </c>
      <c r="V2328" s="21" t="s">
        <v>368</v>
      </c>
      <c r="W2328" t="str">
        <f>VLOOKUP(Table_Query_from_Actuarial___Production[[#This Row],[Kor1]],$AI$3:$AK$105,3,FALSE)</f>
        <v>Misc. Expense</v>
      </c>
      <c r="X2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8"/>
      <c r="Z2328" t="s">
        <v>147</v>
      </c>
      <c r="AA2328" t="s">
        <v>354</v>
      </c>
      <c r="AB2328" t="s">
        <v>356</v>
      </c>
      <c r="AC2328" s="21">
        <v>134467.44</v>
      </c>
      <c r="AD2328" s="21" t="s">
        <v>368</v>
      </c>
      <c r="AE2328" t="str">
        <f>VLOOKUP(Table_Query_from_Actuarial___Production3[[#This Row],[Kor1]],$AI$3:$AK$105,3,FALSE)</f>
        <v>Investment Impairments</v>
      </c>
      <c r="AF2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329" spans="18:32" x14ac:dyDescent="0.2">
      <c r="R2329" t="s">
        <v>47</v>
      </c>
      <c r="S2329" t="s">
        <v>255</v>
      </c>
      <c r="T2329" t="s">
        <v>443</v>
      </c>
      <c r="U2329" s="21">
        <v>8854.66</v>
      </c>
      <c r="V2329" s="21" t="s">
        <v>368</v>
      </c>
      <c r="W2329" t="str">
        <f>VLOOKUP(Table_Query_from_Actuarial___Production[[#This Row],[Kor1]],$AI$3:$AK$105,3,FALSE)</f>
        <v>Investment Income</v>
      </c>
      <c r="X2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29"/>
      <c r="Z2329" t="s">
        <v>19</v>
      </c>
      <c r="AA2329" t="s">
        <v>250</v>
      </c>
      <c r="AB2329" t="s">
        <v>9</v>
      </c>
      <c r="AC2329" s="21">
        <v>322.99</v>
      </c>
      <c r="AD2329" s="21" t="s">
        <v>368</v>
      </c>
      <c r="AE2329" t="str">
        <f>VLOOKUP(Table_Query_from_Actuarial___Production3[[#This Row],[Kor1]],$AI$3:$AK$105,3,FALSE)</f>
        <v>Misc. Expense for Insolvent Companies</v>
      </c>
      <c r="AF2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0" spans="18:32" x14ac:dyDescent="0.2">
      <c r="R2330" t="s">
        <v>3</v>
      </c>
      <c r="S2330" t="s">
        <v>256</v>
      </c>
      <c r="T2330" t="s">
        <v>433</v>
      </c>
      <c r="U2330" s="21">
        <v>157848</v>
      </c>
      <c r="V2330" s="21" t="s">
        <v>368</v>
      </c>
      <c r="W2330" t="str">
        <f>VLOOKUP(Table_Query_from_Actuarial___Production[[#This Row],[Kor1]],$AI$3:$AK$105,3,FALSE)</f>
        <v>Premiums Written</v>
      </c>
      <c r="X2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0"/>
      <c r="Z2330" t="s">
        <v>37</v>
      </c>
      <c r="AA2330" t="s">
        <v>264</v>
      </c>
      <c r="AB2330" t="s">
        <v>427</v>
      </c>
      <c r="AC2330" s="21">
        <v>4430.83</v>
      </c>
      <c r="AD2330" s="21" t="s">
        <v>368</v>
      </c>
      <c r="AE2330" t="str">
        <f>VLOOKUP(Table_Query_from_Actuarial___Production3[[#This Row],[Kor1]],$AI$3:$AK$105,3,FALSE)</f>
        <v>Misc. Expense</v>
      </c>
      <c r="AF2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1" spans="18:32" x14ac:dyDescent="0.2">
      <c r="R2331" t="s">
        <v>10</v>
      </c>
      <c r="S2331" t="s">
        <v>251</v>
      </c>
      <c r="T2331" t="s">
        <v>7</v>
      </c>
      <c r="U2331" s="21">
        <v>2568.4499999999998</v>
      </c>
      <c r="V2331" s="21" t="s">
        <v>368</v>
      </c>
      <c r="W2331" t="str">
        <f>VLOOKUP(Table_Query_from_Actuarial___Production[[#This Row],[Kor1]],$AI$3:$AK$105,3,FALSE)</f>
        <v>Commissions</v>
      </c>
      <c r="X2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1"/>
      <c r="Z2331" t="s">
        <v>140</v>
      </c>
      <c r="AA2331" t="s">
        <v>354</v>
      </c>
      <c r="AB2331" t="s">
        <v>443</v>
      </c>
      <c r="AC2331" s="21">
        <v>46043.47</v>
      </c>
      <c r="AD2331" s="21" t="s">
        <v>369</v>
      </c>
      <c r="AE2331" t="str">
        <f>VLOOKUP(Table_Query_from_Actuarial___Production3[[#This Row],[Kor1]],$AI$3:$AK$105,3,FALSE)</f>
        <v>Advance Claims Expense</v>
      </c>
      <c r="AF2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332" spans="18:32" x14ac:dyDescent="0.2">
      <c r="R2332" t="s">
        <v>11</v>
      </c>
      <c r="S2332" t="s">
        <v>242</v>
      </c>
      <c r="T2332" t="s">
        <v>8</v>
      </c>
      <c r="U2332" s="21">
        <v>300000</v>
      </c>
      <c r="V2332" s="21" t="s">
        <v>368</v>
      </c>
      <c r="W2332" t="str">
        <f>VLOOKUP(Table_Query_from_Actuarial___Production[[#This Row],[Kor1]],$AI$3:$AK$105,3,FALSE)</f>
        <v>Losses Paid</v>
      </c>
      <c r="X2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2"/>
      <c r="Z2332" t="s">
        <v>17</v>
      </c>
      <c r="AA2332" t="s">
        <v>224</v>
      </c>
      <c r="AB2332" t="s">
        <v>427</v>
      </c>
      <c r="AC2332" s="21">
        <v>847.05</v>
      </c>
      <c r="AD2332" s="21" t="s">
        <v>368</v>
      </c>
      <c r="AE2332" t="str">
        <f>VLOOKUP(Table_Query_from_Actuarial___Production3[[#This Row],[Kor1]],$AI$3:$AK$105,3,FALSE)</f>
        <v>IBNR</v>
      </c>
      <c r="AF2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333" spans="18:32" x14ac:dyDescent="0.2">
      <c r="R2333" t="s">
        <v>26</v>
      </c>
      <c r="S2333" t="s">
        <v>250</v>
      </c>
      <c r="T2333" t="s">
        <v>351</v>
      </c>
      <c r="U2333" s="21">
        <v>-0.02</v>
      </c>
      <c r="V2333" s="21" t="s">
        <v>368</v>
      </c>
      <c r="W2333" t="str">
        <f>VLOOKUP(Table_Query_from_Actuarial___Production[[#This Row],[Kor1]],$AI$3:$AK$105,3,FALSE)</f>
        <v>Misc. Expense</v>
      </c>
      <c r="X2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3"/>
      <c r="Z2333" t="s">
        <v>16</v>
      </c>
      <c r="AA2333" t="s">
        <v>231</v>
      </c>
      <c r="AB2333" t="s">
        <v>433</v>
      </c>
      <c r="AC2333" s="21">
        <v>309632.2</v>
      </c>
      <c r="AD2333" s="21" t="s">
        <v>368</v>
      </c>
      <c r="AE2333" t="str">
        <f>VLOOKUP(Table_Query_from_Actuarial___Production3[[#This Row],[Kor1]],$AI$3:$AK$105,3,FALSE)</f>
        <v>Losses Outstanding</v>
      </c>
      <c r="AF2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4" spans="18:32" x14ac:dyDescent="0.2">
      <c r="R2334" t="s">
        <v>43</v>
      </c>
      <c r="S2334" t="s">
        <v>234</v>
      </c>
      <c r="T2334" t="s">
        <v>445</v>
      </c>
      <c r="U2334" s="21">
        <v>-36.97</v>
      </c>
      <c r="V2334" s="21" t="s">
        <v>368</v>
      </c>
      <c r="W2334" t="str">
        <f>VLOOKUP(Table_Query_from_Actuarial___Production[[#This Row],[Kor1]],$AI$3:$AK$105,3,FALSE)</f>
        <v>Charge-offs</v>
      </c>
      <c r="X2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4"/>
      <c r="Z2334" t="s">
        <v>38</v>
      </c>
      <c r="AA2334" t="s">
        <v>224</v>
      </c>
      <c r="AB2334" t="s">
        <v>441</v>
      </c>
      <c r="AC2334" s="21">
        <v>132799.69</v>
      </c>
      <c r="AD2334" s="21" t="s">
        <v>370</v>
      </c>
      <c r="AE2334" t="str">
        <f>VLOOKUP(Table_Query_from_Actuarial___Production3[[#This Row],[Kor1]],$AI$3:$AK$105,3,FALSE)</f>
        <v>Misc. Income</v>
      </c>
      <c r="AF2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335" spans="18:32" x14ac:dyDescent="0.2">
      <c r="R2335" t="s">
        <v>31</v>
      </c>
      <c r="S2335" t="s">
        <v>249</v>
      </c>
      <c r="T2335" t="s">
        <v>441</v>
      </c>
      <c r="U2335" s="21">
        <v>1202.6300000000001</v>
      </c>
      <c r="V2335" s="21" t="s">
        <v>368</v>
      </c>
      <c r="W2335" t="str">
        <f>VLOOKUP(Table_Query_from_Actuarial___Production[[#This Row],[Kor1]],$AI$3:$AK$105,3,FALSE)</f>
        <v>Misc. Expense</v>
      </c>
      <c r="X2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5"/>
      <c r="Z2335" t="s">
        <v>12</v>
      </c>
      <c r="AA2335" t="s">
        <v>267</v>
      </c>
      <c r="AB2335" t="s">
        <v>9</v>
      </c>
      <c r="AC2335" s="21">
        <v>9071.7199999999993</v>
      </c>
      <c r="AD2335" s="21" t="s">
        <v>368</v>
      </c>
      <c r="AE2335" t="str">
        <f>VLOOKUP(Table_Query_from_Actuarial___Production3[[#This Row],[Kor1]],$AI$3:$AK$105,3,FALSE)</f>
        <v>Premium Tax</v>
      </c>
      <c r="AF2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6" spans="18:32" x14ac:dyDescent="0.2">
      <c r="R2336" t="s">
        <v>19</v>
      </c>
      <c r="S2336" t="s">
        <v>232</v>
      </c>
      <c r="T2336" t="s">
        <v>442</v>
      </c>
      <c r="U2336" s="21">
        <v>3792</v>
      </c>
      <c r="V2336" s="21" t="s">
        <v>368</v>
      </c>
      <c r="W2336" t="str">
        <f>VLOOKUP(Table_Query_from_Actuarial___Production[[#This Row],[Kor1]],$AI$3:$AK$105,3,FALSE)</f>
        <v>Misc. Expense for Insolvent Companies</v>
      </c>
      <c r="X2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6"/>
      <c r="Z2336" t="s">
        <v>49</v>
      </c>
      <c r="AA2336" t="s">
        <v>239</v>
      </c>
      <c r="AB2336" t="s">
        <v>7</v>
      </c>
      <c r="AC2336" s="21">
        <v>122.56</v>
      </c>
      <c r="AD2336" s="21" t="s">
        <v>368</v>
      </c>
      <c r="AE2336" t="str">
        <f>VLOOKUP(Table_Query_from_Actuarial___Production3[[#This Row],[Kor1]],$AI$3:$AK$105,3,FALSE)</f>
        <v>ALAE Paid</v>
      </c>
      <c r="AF2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7" spans="18:32" x14ac:dyDescent="0.2">
      <c r="R2337" t="s">
        <v>12</v>
      </c>
      <c r="S2337" t="s">
        <v>263</v>
      </c>
      <c r="T2337" t="s">
        <v>433</v>
      </c>
      <c r="U2337" s="21">
        <v>10582</v>
      </c>
      <c r="V2337" s="21" t="s">
        <v>368</v>
      </c>
      <c r="W2337" t="str">
        <f>VLOOKUP(Table_Query_from_Actuarial___Production[[#This Row],[Kor1]],$AI$3:$AK$105,3,FALSE)</f>
        <v>Premium Tax</v>
      </c>
      <c r="X2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7"/>
      <c r="Z2337" t="s">
        <v>14</v>
      </c>
      <c r="AA2337" t="s">
        <v>246</v>
      </c>
      <c r="AB2337" t="s">
        <v>9</v>
      </c>
      <c r="AC2337" s="21">
        <v>14642.64</v>
      </c>
      <c r="AD2337" s="21" t="s">
        <v>368</v>
      </c>
      <c r="AE2337" t="str">
        <f>VLOOKUP(Table_Query_from_Actuarial___Production3[[#This Row],[Kor1]],$AI$3:$AK$105,3,FALSE)</f>
        <v>Claims Expense</v>
      </c>
      <c r="AF2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8" spans="18:32" x14ac:dyDescent="0.2">
      <c r="R2338" t="s">
        <v>13</v>
      </c>
      <c r="S2338" t="s">
        <v>228</v>
      </c>
      <c r="T2338" t="s">
        <v>351</v>
      </c>
      <c r="U2338" s="21">
        <v>64762.73</v>
      </c>
      <c r="V2338" s="21" t="s">
        <v>368</v>
      </c>
      <c r="W2338" t="str">
        <f>VLOOKUP(Table_Query_from_Actuarial___Production[[#This Row],[Kor1]],$AI$3:$AK$105,3,FALSE)</f>
        <v>Operating Service Fees</v>
      </c>
      <c r="X2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8"/>
      <c r="Z2338" t="s">
        <v>13</v>
      </c>
      <c r="AA2338" t="s">
        <v>231</v>
      </c>
      <c r="AB2338" t="s">
        <v>7</v>
      </c>
      <c r="AC2338" s="21">
        <v>20656.91</v>
      </c>
      <c r="AD2338" s="21" t="s">
        <v>368</v>
      </c>
      <c r="AE2338" t="str">
        <f>VLOOKUP(Table_Query_from_Actuarial___Production3[[#This Row],[Kor1]],$AI$3:$AK$105,3,FALSE)</f>
        <v>Operating Service Fees</v>
      </c>
      <c r="AF2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39" spans="18:32" x14ac:dyDescent="0.2">
      <c r="R2339" t="s">
        <v>444</v>
      </c>
      <c r="S2339" t="s">
        <v>264</v>
      </c>
      <c r="T2339" t="s">
        <v>443</v>
      </c>
      <c r="U2339" s="21">
        <v>39106.93</v>
      </c>
      <c r="V2339" s="21" t="s">
        <v>368</v>
      </c>
      <c r="W2339" t="str">
        <f>VLOOKUP(Table_Query_from_Actuarial___Production[[#This Row],[Kor1]],$AI$3:$AK$105,3,FALSE)</f>
        <v>Misc. Expense</v>
      </c>
      <c r="X2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39"/>
      <c r="Z2339" t="s">
        <v>41</v>
      </c>
      <c r="AA2339" t="s">
        <v>268</v>
      </c>
      <c r="AB2339" t="s">
        <v>442</v>
      </c>
      <c r="AC2339" s="21">
        <v>249.98</v>
      </c>
      <c r="AD2339" s="21" t="s">
        <v>368</v>
      </c>
      <c r="AE2339" t="str">
        <f>VLOOKUP(Table_Query_from_Actuarial___Production3[[#This Row],[Kor1]],$AI$3:$AK$105,3,FALSE)</f>
        <v>Misc. Income</v>
      </c>
      <c r="AF2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0" spans="18:32" x14ac:dyDescent="0.2">
      <c r="R2340" t="s">
        <v>43</v>
      </c>
      <c r="S2340" t="s">
        <v>229</v>
      </c>
      <c r="T2340" t="s">
        <v>356</v>
      </c>
      <c r="U2340" s="21">
        <v>0.24</v>
      </c>
      <c r="V2340" s="21" t="s">
        <v>368</v>
      </c>
      <c r="W2340" t="str">
        <f>VLOOKUP(Table_Query_from_Actuarial___Production[[#This Row],[Kor1]],$AI$3:$AK$105,3,FALSE)</f>
        <v>Charge-offs</v>
      </c>
      <c r="X2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0"/>
      <c r="Z2340" t="s">
        <v>48</v>
      </c>
      <c r="AA2340" t="s">
        <v>251</v>
      </c>
      <c r="AB2340" t="s">
        <v>442</v>
      </c>
      <c r="AC2340" s="21">
        <v>779.25</v>
      </c>
      <c r="AD2340" s="21" t="s">
        <v>368</v>
      </c>
      <c r="AE2340" t="str">
        <f>VLOOKUP(Table_Query_from_Actuarial___Production3[[#This Row],[Kor1]],$AI$3:$AK$105,3,FALSE)</f>
        <v>Anticipated Salvage</v>
      </c>
      <c r="AF2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1" spans="18:32" x14ac:dyDescent="0.2">
      <c r="R2341" t="s">
        <v>19</v>
      </c>
      <c r="S2341" t="s">
        <v>261</v>
      </c>
      <c r="T2341" t="s">
        <v>7</v>
      </c>
      <c r="U2341" s="21">
        <v>86</v>
      </c>
      <c r="V2341" s="21" t="s">
        <v>368</v>
      </c>
      <c r="W2341" t="str">
        <f>VLOOKUP(Table_Query_from_Actuarial___Production[[#This Row],[Kor1]],$AI$3:$AK$105,3,FALSE)</f>
        <v>Misc. Expense for Insolvent Companies</v>
      </c>
      <c r="X2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1"/>
      <c r="Z2341" t="s">
        <v>33</v>
      </c>
      <c r="AA2341" t="s">
        <v>229</v>
      </c>
      <c r="AB2341" t="s">
        <v>427</v>
      </c>
      <c r="AC2341" s="21">
        <v>12545.73</v>
      </c>
      <c r="AD2341" s="21" t="s">
        <v>368</v>
      </c>
      <c r="AE2341" t="str">
        <f>VLOOKUP(Table_Query_from_Actuarial___Production3[[#This Row],[Kor1]],$AI$3:$AK$105,3,FALSE)</f>
        <v>Misc. Expense</v>
      </c>
      <c r="AF2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2" spans="18:32" x14ac:dyDescent="0.2">
      <c r="R2342" t="s">
        <v>37</v>
      </c>
      <c r="S2342" t="s">
        <v>249</v>
      </c>
      <c r="T2342" t="s">
        <v>9</v>
      </c>
      <c r="U2342" s="21">
        <v>621.62</v>
      </c>
      <c r="V2342" s="21" t="s">
        <v>368</v>
      </c>
      <c r="W2342" t="str">
        <f>VLOOKUP(Table_Query_from_Actuarial___Production[[#This Row],[Kor1]],$AI$3:$AK$105,3,FALSE)</f>
        <v>Misc. Expense</v>
      </c>
      <c r="X2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2"/>
      <c r="Z2342" t="s">
        <v>33</v>
      </c>
      <c r="AA2342" t="s">
        <v>251</v>
      </c>
      <c r="AB2342" t="s">
        <v>442</v>
      </c>
      <c r="AC2342" s="21">
        <v>16421.68</v>
      </c>
      <c r="AD2342" s="21" t="s">
        <v>368</v>
      </c>
      <c r="AE2342" t="str">
        <f>VLOOKUP(Table_Query_from_Actuarial___Production3[[#This Row],[Kor1]],$AI$3:$AK$105,3,FALSE)</f>
        <v>Misc. Expense</v>
      </c>
      <c r="AF2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3" spans="18:32" x14ac:dyDescent="0.2">
      <c r="R2343" t="s">
        <v>38</v>
      </c>
      <c r="S2343" t="s">
        <v>224</v>
      </c>
      <c r="T2343" t="s">
        <v>351</v>
      </c>
      <c r="U2343" s="21">
        <v>154084.13</v>
      </c>
      <c r="V2343" s="21" t="s">
        <v>370</v>
      </c>
      <c r="W2343" t="str">
        <f>VLOOKUP(Table_Query_from_Actuarial___Production[[#This Row],[Kor1]],$AI$3:$AK$105,3,FALSE)</f>
        <v>Misc. Income</v>
      </c>
      <c r="X2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343"/>
      <c r="Z2343" t="s">
        <v>47</v>
      </c>
      <c r="AA2343" t="s">
        <v>255</v>
      </c>
      <c r="AB2343" t="s">
        <v>427</v>
      </c>
      <c r="AC2343" s="21">
        <v>1820.23</v>
      </c>
      <c r="AD2343" s="21" t="s">
        <v>368</v>
      </c>
      <c r="AE2343" t="str">
        <f>VLOOKUP(Table_Query_from_Actuarial___Production3[[#This Row],[Kor1]],$AI$3:$AK$105,3,FALSE)</f>
        <v>Investment Income</v>
      </c>
      <c r="AF2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4" spans="18:32" x14ac:dyDescent="0.2">
      <c r="R2344" t="s">
        <v>33</v>
      </c>
      <c r="S2344" t="s">
        <v>265</v>
      </c>
      <c r="T2344" t="s">
        <v>427</v>
      </c>
      <c r="U2344" s="21">
        <v>13005.28</v>
      </c>
      <c r="V2344" s="21" t="s">
        <v>368</v>
      </c>
      <c r="W2344" t="str">
        <f>VLOOKUP(Table_Query_from_Actuarial___Production[[#This Row],[Kor1]],$AI$3:$AK$105,3,FALSE)</f>
        <v>Misc. Expense</v>
      </c>
      <c r="X2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4"/>
      <c r="Z2344" t="s">
        <v>3</v>
      </c>
      <c r="AA2344" t="s">
        <v>224</v>
      </c>
      <c r="AB2344" t="s">
        <v>7</v>
      </c>
      <c r="AC2344" s="21">
        <v>2223640.1800000002</v>
      </c>
      <c r="AD2344" s="21" t="s">
        <v>368</v>
      </c>
      <c r="AE2344" t="str">
        <f>VLOOKUP(Table_Query_from_Actuarial___Production3[[#This Row],[Kor1]],$AI$3:$AK$105,3,FALSE)</f>
        <v>Premiums Written</v>
      </c>
      <c r="AF2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345" spans="18:32" x14ac:dyDescent="0.2">
      <c r="R2345" t="s">
        <v>13</v>
      </c>
      <c r="S2345" t="s">
        <v>259</v>
      </c>
      <c r="T2345" t="s">
        <v>6</v>
      </c>
      <c r="U2345" s="21">
        <v>23855.15</v>
      </c>
      <c r="V2345" s="21" t="s">
        <v>368</v>
      </c>
      <c r="W2345" t="str">
        <f>VLOOKUP(Table_Query_from_Actuarial___Production[[#This Row],[Kor1]],$AI$3:$AK$105,3,FALSE)</f>
        <v>Operating Service Fees</v>
      </c>
      <c r="X2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5"/>
      <c r="Z2345" t="s">
        <v>33</v>
      </c>
      <c r="AA2345" t="s">
        <v>239</v>
      </c>
      <c r="AB2345" t="s">
        <v>9</v>
      </c>
      <c r="AC2345" s="21">
        <v>16011.84</v>
      </c>
      <c r="AD2345" s="21" t="s">
        <v>368</v>
      </c>
      <c r="AE2345" t="str">
        <f>VLOOKUP(Table_Query_from_Actuarial___Production3[[#This Row],[Kor1]],$AI$3:$AK$105,3,FALSE)</f>
        <v>Misc. Expense</v>
      </c>
      <c r="AF2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6" spans="18:32" x14ac:dyDescent="0.2">
      <c r="R2346" t="s">
        <v>11</v>
      </c>
      <c r="S2346" t="s">
        <v>246</v>
      </c>
      <c r="T2346" t="s">
        <v>427</v>
      </c>
      <c r="U2346" s="21">
        <v>1017098.36</v>
      </c>
      <c r="V2346" s="21" t="s">
        <v>368</v>
      </c>
      <c r="W2346" t="str">
        <f>VLOOKUP(Table_Query_from_Actuarial___Production[[#This Row],[Kor1]],$AI$3:$AK$105,3,FALSE)</f>
        <v>Losses Paid</v>
      </c>
      <c r="X2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6"/>
      <c r="Z2346" t="s">
        <v>48</v>
      </c>
      <c r="AA2346" t="s">
        <v>257</v>
      </c>
      <c r="AB2346" t="s">
        <v>442</v>
      </c>
      <c r="AC2346" s="21">
        <v>13660.47</v>
      </c>
      <c r="AD2346" s="21" t="s">
        <v>368</v>
      </c>
      <c r="AE2346" t="str">
        <f>VLOOKUP(Table_Query_from_Actuarial___Production3[[#This Row],[Kor1]],$AI$3:$AK$105,3,FALSE)</f>
        <v>Anticipated Salvage</v>
      </c>
      <c r="AF2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7" spans="18:32" x14ac:dyDescent="0.2">
      <c r="R2347" t="s">
        <v>46</v>
      </c>
      <c r="S2347" t="s">
        <v>224</v>
      </c>
      <c r="T2347" t="s">
        <v>443</v>
      </c>
      <c r="U2347" s="21">
        <v>2401.71</v>
      </c>
      <c r="V2347" s="21" t="s">
        <v>425</v>
      </c>
      <c r="W2347" t="str">
        <f>VLOOKUP(Table_Query_from_Actuarial___Production[[#This Row],[Kor1]],$AI$3:$AK$105,3,FALSE)</f>
        <v>Investment Income</v>
      </c>
      <c r="X2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347"/>
      <c r="Z2347" t="s">
        <v>3</v>
      </c>
      <c r="AA2347" t="s">
        <v>244</v>
      </c>
      <c r="AB2347" t="s">
        <v>8</v>
      </c>
      <c r="AC2347" s="21">
        <v>1287985</v>
      </c>
      <c r="AD2347" s="21" t="s">
        <v>368</v>
      </c>
      <c r="AE2347" t="str">
        <f>VLOOKUP(Table_Query_from_Actuarial___Production3[[#This Row],[Kor1]],$AI$3:$AK$105,3,FALSE)</f>
        <v>Premiums Written</v>
      </c>
      <c r="AF2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8" spans="18:32" x14ac:dyDescent="0.2">
      <c r="R2348" t="s">
        <v>12</v>
      </c>
      <c r="S2348" t="s">
        <v>255</v>
      </c>
      <c r="T2348" t="s">
        <v>442</v>
      </c>
      <c r="U2348" s="21">
        <v>8906.09</v>
      </c>
      <c r="V2348" s="21" t="s">
        <v>368</v>
      </c>
      <c r="W2348" t="str">
        <f>VLOOKUP(Table_Query_from_Actuarial___Production[[#This Row],[Kor1]],$AI$3:$AK$105,3,FALSE)</f>
        <v>Premium Tax</v>
      </c>
      <c r="X2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8"/>
      <c r="Z2348" t="s">
        <v>17</v>
      </c>
      <c r="AA2348" t="s">
        <v>230</v>
      </c>
      <c r="AB2348" t="s">
        <v>441</v>
      </c>
      <c r="AC2348" s="21">
        <v>2778280.63</v>
      </c>
      <c r="AD2348" s="21" t="s">
        <v>368</v>
      </c>
      <c r="AE2348" t="str">
        <f>VLOOKUP(Table_Query_from_Actuarial___Production3[[#This Row],[Kor1]],$AI$3:$AK$105,3,FALSE)</f>
        <v>IBNR</v>
      </c>
      <c r="AF2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49" spans="18:32" x14ac:dyDescent="0.2">
      <c r="R2349" t="s">
        <v>77</v>
      </c>
      <c r="S2349" t="s">
        <v>236</v>
      </c>
      <c r="T2349" t="s">
        <v>443</v>
      </c>
      <c r="U2349" s="21">
        <v>1651</v>
      </c>
      <c r="V2349" s="21" t="s">
        <v>368</v>
      </c>
      <c r="W2349" t="str">
        <f>VLOOKUP(Table_Query_from_Actuarial___Production[[#This Row],[Kor1]],$AI$3:$AK$105,3,FALSE)</f>
        <v>PDR</v>
      </c>
      <c r="X2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49"/>
      <c r="Z2349" t="s">
        <v>17</v>
      </c>
      <c r="AA2349" t="s">
        <v>244</v>
      </c>
      <c r="AB2349" t="s">
        <v>443</v>
      </c>
      <c r="AC2349" s="21">
        <v>136699.4</v>
      </c>
      <c r="AD2349" s="21" t="s">
        <v>368</v>
      </c>
      <c r="AE2349" t="str">
        <f>VLOOKUP(Table_Query_from_Actuarial___Production3[[#This Row],[Kor1]],$AI$3:$AK$105,3,FALSE)</f>
        <v>IBNR</v>
      </c>
      <c r="AF2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0" spans="18:32" x14ac:dyDescent="0.2">
      <c r="R2350" t="s">
        <v>16</v>
      </c>
      <c r="S2350" t="s">
        <v>244</v>
      </c>
      <c r="T2350" t="s">
        <v>356</v>
      </c>
      <c r="U2350" s="21">
        <v>500650</v>
      </c>
      <c r="V2350" s="21" t="s">
        <v>368</v>
      </c>
      <c r="W2350" t="str">
        <f>VLOOKUP(Table_Query_from_Actuarial___Production[[#This Row],[Kor1]],$AI$3:$AK$105,3,FALSE)</f>
        <v>Losses Outstanding</v>
      </c>
      <c r="X2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0"/>
      <c r="Z2350" t="s">
        <v>17</v>
      </c>
      <c r="AA2350" t="s">
        <v>235</v>
      </c>
      <c r="AB2350" t="s">
        <v>443</v>
      </c>
      <c r="AC2350" s="21">
        <v>1400.54</v>
      </c>
      <c r="AD2350" s="21" t="s">
        <v>368</v>
      </c>
      <c r="AE2350" t="str">
        <f>VLOOKUP(Table_Query_from_Actuarial___Production3[[#This Row],[Kor1]],$AI$3:$AK$105,3,FALSE)</f>
        <v>IBNR</v>
      </c>
      <c r="AF2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1" spans="18:32" x14ac:dyDescent="0.2">
      <c r="R2351" t="s">
        <v>19</v>
      </c>
      <c r="S2351" t="s">
        <v>235</v>
      </c>
      <c r="T2351" t="s">
        <v>441</v>
      </c>
      <c r="U2351" s="21">
        <v>8</v>
      </c>
      <c r="V2351" s="21" t="s">
        <v>368</v>
      </c>
      <c r="W2351" t="str">
        <f>VLOOKUP(Table_Query_from_Actuarial___Production[[#This Row],[Kor1]],$AI$3:$AK$105,3,FALSE)</f>
        <v>Misc. Expense for Insolvent Companies</v>
      </c>
      <c r="X2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1"/>
      <c r="Z2351" t="s">
        <v>41</v>
      </c>
      <c r="AA2351" t="s">
        <v>230</v>
      </c>
      <c r="AB2351" t="s">
        <v>427</v>
      </c>
      <c r="AC2351" s="21">
        <v>1303.49</v>
      </c>
      <c r="AD2351" s="21" t="s">
        <v>368</v>
      </c>
      <c r="AE2351" t="str">
        <f>VLOOKUP(Table_Query_from_Actuarial___Production3[[#This Row],[Kor1]],$AI$3:$AK$105,3,FALSE)</f>
        <v>Misc. Income</v>
      </c>
      <c r="AF2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2" spans="18:32" x14ac:dyDescent="0.2">
      <c r="R2352" t="s">
        <v>3</v>
      </c>
      <c r="S2352" t="s">
        <v>352</v>
      </c>
      <c r="T2352" t="s">
        <v>427</v>
      </c>
      <c r="U2352" s="21">
        <v>102451</v>
      </c>
      <c r="V2352" s="21" t="s">
        <v>369</v>
      </c>
      <c r="W2352" t="str">
        <f>VLOOKUP(Table_Query_from_Actuarial___Production[[#This Row],[Kor1]],$AI$3:$AK$105,3,FALSE)</f>
        <v>Premiums Written</v>
      </c>
      <c r="X2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352"/>
      <c r="Z2352" t="s">
        <v>49</v>
      </c>
      <c r="AA2352" t="s">
        <v>4</v>
      </c>
      <c r="AB2352" t="s">
        <v>6</v>
      </c>
      <c r="AC2352" s="21">
        <v>223161.51</v>
      </c>
      <c r="AD2352" s="21" t="s">
        <v>368</v>
      </c>
      <c r="AE2352" t="str">
        <f>VLOOKUP(Table_Query_from_Actuarial___Production3[[#This Row],[Kor1]],$AI$3:$AK$105,3,FALSE)</f>
        <v>ALAE Paid</v>
      </c>
      <c r="AF2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3" spans="18:32" x14ac:dyDescent="0.2">
      <c r="R2353" t="s">
        <v>3</v>
      </c>
      <c r="S2353" t="s">
        <v>226</v>
      </c>
      <c r="T2353" t="s">
        <v>356</v>
      </c>
      <c r="U2353" s="21">
        <v>5440567</v>
      </c>
      <c r="V2353" s="21" t="s">
        <v>368</v>
      </c>
      <c r="W2353" t="str">
        <f>VLOOKUP(Table_Query_from_Actuarial___Production[[#This Row],[Kor1]],$AI$3:$AK$105,3,FALSE)</f>
        <v>Premiums Written</v>
      </c>
      <c r="X2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353"/>
      <c r="Z2353" t="s">
        <v>49</v>
      </c>
      <c r="AA2353" t="s">
        <v>226</v>
      </c>
      <c r="AB2353" t="s">
        <v>427</v>
      </c>
      <c r="AC2353" s="21">
        <v>162414.35999999999</v>
      </c>
      <c r="AD2353" s="21" t="s">
        <v>368</v>
      </c>
      <c r="AE2353" t="str">
        <f>VLOOKUP(Table_Query_from_Actuarial___Production3[[#This Row],[Kor1]],$AI$3:$AK$105,3,FALSE)</f>
        <v>ALAE Paid</v>
      </c>
      <c r="AF2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354" spans="18:32" x14ac:dyDescent="0.2">
      <c r="R2354" t="s">
        <v>20</v>
      </c>
      <c r="S2354" t="s">
        <v>246</v>
      </c>
      <c r="T2354" t="s">
        <v>9</v>
      </c>
      <c r="U2354" s="21">
        <v>120.29</v>
      </c>
      <c r="V2354" s="21" t="s">
        <v>368</v>
      </c>
      <c r="W2354" t="str">
        <f>VLOOKUP(Table_Query_from_Actuarial___Production[[#This Row],[Kor1]],$AI$3:$AK$105,3,FALSE)</f>
        <v>Misc. Expense</v>
      </c>
      <c r="X2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4"/>
      <c r="Z2354" t="s">
        <v>14</v>
      </c>
      <c r="AA2354" t="s">
        <v>235</v>
      </c>
      <c r="AB2354" t="s">
        <v>351</v>
      </c>
      <c r="AC2354" s="21">
        <v>56881.17</v>
      </c>
      <c r="AD2354" s="21" t="s">
        <v>368</v>
      </c>
      <c r="AE2354" t="str">
        <f>VLOOKUP(Table_Query_from_Actuarial___Production3[[#This Row],[Kor1]],$AI$3:$AK$105,3,FALSE)</f>
        <v>Claims Expense</v>
      </c>
      <c r="AF2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5" spans="18:32" x14ac:dyDescent="0.2">
      <c r="R2355" t="s">
        <v>31</v>
      </c>
      <c r="S2355" t="s">
        <v>241</v>
      </c>
      <c r="T2355" t="s">
        <v>9</v>
      </c>
      <c r="U2355" s="21">
        <v>498.11</v>
      </c>
      <c r="V2355" s="21" t="s">
        <v>368</v>
      </c>
      <c r="W2355" t="str">
        <f>VLOOKUP(Table_Query_from_Actuarial___Production[[#This Row],[Kor1]],$AI$3:$AK$105,3,FALSE)</f>
        <v>Misc. Expense</v>
      </c>
      <c r="X2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5"/>
      <c r="Z2355" t="s">
        <v>39</v>
      </c>
      <c r="AA2355" t="s">
        <v>233</v>
      </c>
      <c r="AB2355" t="s">
        <v>441</v>
      </c>
      <c r="AC2355" s="21">
        <v>718.75</v>
      </c>
      <c r="AD2355" s="21" t="s">
        <v>368</v>
      </c>
      <c r="AE2355" t="str">
        <f>VLOOKUP(Table_Query_from_Actuarial___Production3[[#This Row],[Kor1]],$AI$3:$AK$105,3,FALSE)</f>
        <v>Misc. Income for Insolvent Companies</v>
      </c>
      <c r="AF2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6" spans="18:32" x14ac:dyDescent="0.2">
      <c r="R2356" t="s">
        <v>49</v>
      </c>
      <c r="S2356" t="s">
        <v>266</v>
      </c>
      <c r="T2356" t="s">
        <v>7</v>
      </c>
      <c r="U2356" s="21">
        <v>10969.46</v>
      </c>
      <c r="V2356" s="21" t="s">
        <v>368</v>
      </c>
      <c r="W2356" t="str">
        <f>VLOOKUP(Table_Query_from_Actuarial___Production[[#This Row],[Kor1]],$AI$3:$AK$105,3,FALSE)</f>
        <v>ALAE Paid</v>
      </c>
      <c r="X2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6"/>
      <c r="Z2356" t="s">
        <v>12</v>
      </c>
      <c r="AA2356" t="s">
        <v>254</v>
      </c>
      <c r="AB2356" t="s">
        <v>9</v>
      </c>
      <c r="AC2356" s="21">
        <v>100332.36</v>
      </c>
      <c r="AD2356" s="21" t="s">
        <v>368</v>
      </c>
      <c r="AE2356" t="str">
        <f>VLOOKUP(Table_Query_from_Actuarial___Production3[[#This Row],[Kor1]],$AI$3:$AK$105,3,FALSE)</f>
        <v>Premium Tax</v>
      </c>
      <c r="AF2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7" spans="18:32" x14ac:dyDescent="0.2">
      <c r="R2357" t="s">
        <v>10</v>
      </c>
      <c r="S2357" t="s">
        <v>242</v>
      </c>
      <c r="T2357" t="s">
        <v>442</v>
      </c>
      <c r="U2357" s="21">
        <v>46206.7</v>
      </c>
      <c r="V2357" s="21" t="s">
        <v>368</v>
      </c>
      <c r="W2357" t="str">
        <f>VLOOKUP(Table_Query_from_Actuarial___Production[[#This Row],[Kor1]],$AI$3:$AK$105,3,FALSE)</f>
        <v>Commissions</v>
      </c>
      <c r="X2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7"/>
      <c r="Z2357" t="s">
        <v>17</v>
      </c>
      <c r="AA2357" t="s">
        <v>231</v>
      </c>
      <c r="AB2357" t="s">
        <v>443</v>
      </c>
      <c r="AC2357" s="21">
        <v>107137.49</v>
      </c>
      <c r="AD2357" s="21" t="s">
        <v>368</v>
      </c>
      <c r="AE2357" t="str">
        <f>VLOOKUP(Table_Query_from_Actuarial___Production3[[#This Row],[Kor1]],$AI$3:$AK$105,3,FALSE)</f>
        <v>IBNR</v>
      </c>
      <c r="AF2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8" spans="18:32" x14ac:dyDescent="0.2">
      <c r="R2358" t="s">
        <v>11</v>
      </c>
      <c r="S2358" t="s">
        <v>234</v>
      </c>
      <c r="T2358" t="s">
        <v>9</v>
      </c>
      <c r="U2358" s="21">
        <v>291425.59999999998</v>
      </c>
      <c r="V2358" s="21" t="s">
        <v>368</v>
      </c>
      <c r="W2358" t="str">
        <f>VLOOKUP(Table_Query_from_Actuarial___Production[[#This Row],[Kor1]],$AI$3:$AK$105,3,FALSE)</f>
        <v>Losses Paid</v>
      </c>
      <c r="X2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8"/>
      <c r="Z2358" t="s">
        <v>33</v>
      </c>
      <c r="AA2358" t="s">
        <v>265</v>
      </c>
      <c r="AB2358" t="s">
        <v>443</v>
      </c>
      <c r="AC2358" s="21">
        <v>4172.66</v>
      </c>
      <c r="AD2358" s="21" t="s">
        <v>368</v>
      </c>
      <c r="AE2358" t="str">
        <f>VLOOKUP(Table_Query_from_Actuarial___Production3[[#This Row],[Kor1]],$AI$3:$AK$105,3,FALSE)</f>
        <v>Misc. Expense</v>
      </c>
      <c r="AF2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59" spans="18:32" x14ac:dyDescent="0.2">
      <c r="R2359" t="s">
        <v>39</v>
      </c>
      <c r="S2359" t="s">
        <v>234</v>
      </c>
      <c r="T2359" t="s">
        <v>433</v>
      </c>
      <c r="U2359" s="21">
        <v>5904</v>
      </c>
      <c r="V2359" s="21" t="s">
        <v>368</v>
      </c>
      <c r="W2359" t="str">
        <f>VLOOKUP(Table_Query_from_Actuarial___Production[[#This Row],[Kor1]],$AI$3:$AK$105,3,FALSE)</f>
        <v>Misc. Income for Insolvent Companies</v>
      </c>
      <c r="X2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59"/>
      <c r="Z2359" t="s">
        <v>41</v>
      </c>
      <c r="AA2359" t="s">
        <v>234</v>
      </c>
      <c r="AB2359" t="s">
        <v>6</v>
      </c>
      <c r="AC2359" s="21">
        <v>150.01</v>
      </c>
      <c r="AD2359" s="21" t="s">
        <v>368</v>
      </c>
      <c r="AE2359" t="str">
        <f>VLOOKUP(Table_Query_from_Actuarial___Production3[[#This Row],[Kor1]],$AI$3:$AK$105,3,FALSE)</f>
        <v>Misc. Income</v>
      </c>
      <c r="AF2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0" spans="18:32" x14ac:dyDescent="0.2">
      <c r="R2360" t="s">
        <v>14</v>
      </c>
      <c r="S2360" t="s">
        <v>232</v>
      </c>
      <c r="T2360" t="s">
        <v>443</v>
      </c>
      <c r="U2360" s="21">
        <v>111343.41</v>
      </c>
      <c r="V2360" s="21" t="s">
        <v>368</v>
      </c>
      <c r="W2360" t="str">
        <f>VLOOKUP(Table_Query_from_Actuarial___Production[[#This Row],[Kor1]],$AI$3:$AK$105,3,FALSE)</f>
        <v>Claims Expense</v>
      </c>
      <c r="X2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0"/>
      <c r="Z2360" t="s">
        <v>21</v>
      </c>
      <c r="AA2360" t="s">
        <v>263</v>
      </c>
      <c r="AB2360" t="s">
        <v>351</v>
      </c>
      <c r="AC2360" s="21">
        <v>88</v>
      </c>
      <c r="AD2360" s="21" t="s">
        <v>368</v>
      </c>
      <c r="AE2360" t="str">
        <f>VLOOKUP(Table_Query_from_Actuarial___Production3[[#This Row],[Kor1]],$AI$3:$AK$105,3,FALSE)</f>
        <v>Misc. Expense</v>
      </c>
      <c r="AF2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1" spans="18:32" x14ac:dyDescent="0.2">
      <c r="R2361" t="s">
        <v>21</v>
      </c>
      <c r="S2361" t="s">
        <v>263</v>
      </c>
      <c r="T2361" t="s">
        <v>441</v>
      </c>
      <c r="U2361" s="21">
        <v>882</v>
      </c>
      <c r="V2361" s="21" t="s">
        <v>368</v>
      </c>
      <c r="W2361" t="str">
        <f>VLOOKUP(Table_Query_from_Actuarial___Production[[#This Row],[Kor1]],$AI$3:$AK$105,3,FALSE)</f>
        <v>Misc. Expense</v>
      </c>
      <c r="X2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1"/>
      <c r="Z2361" t="s">
        <v>11</v>
      </c>
      <c r="AA2361" t="s">
        <v>249</v>
      </c>
      <c r="AB2361" t="s">
        <v>433</v>
      </c>
      <c r="AC2361" s="21">
        <v>120251.86</v>
      </c>
      <c r="AD2361" s="21" t="s">
        <v>368</v>
      </c>
      <c r="AE2361" t="str">
        <f>VLOOKUP(Table_Query_from_Actuarial___Production3[[#This Row],[Kor1]],$AI$3:$AK$105,3,FALSE)</f>
        <v>Losses Paid</v>
      </c>
      <c r="AF2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2" spans="18:32" x14ac:dyDescent="0.2">
      <c r="R2362" t="s">
        <v>44</v>
      </c>
      <c r="S2362" t="s">
        <v>231</v>
      </c>
      <c r="T2362" t="s">
        <v>433</v>
      </c>
      <c r="U2362" s="21">
        <v>1921.14</v>
      </c>
      <c r="V2362" s="21" t="s">
        <v>368</v>
      </c>
      <c r="W2362" t="str">
        <f>VLOOKUP(Table_Query_from_Actuarial___Production[[#This Row],[Kor1]],$AI$3:$AK$105,3,FALSE)</f>
        <v>Charge-offs</v>
      </c>
      <c r="X2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2"/>
      <c r="Z2362" t="s">
        <v>31</v>
      </c>
      <c r="AA2362" t="s">
        <v>243</v>
      </c>
      <c r="AB2362" t="s">
        <v>351</v>
      </c>
      <c r="AC2362" s="21">
        <v>730.91</v>
      </c>
      <c r="AD2362" s="21" t="s">
        <v>368</v>
      </c>
      <c r="AE2362" t="str">
        <f>VLOOKUP(Table_Query_from_Actuarial___Production3[[#This Row],[Kor1]],$AI$3:$AK$105,3,FALSE)</f>
        <v>Misc. Expense</v>
      </c>
      <c r="AF2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3" spans="18:32" x14ac:dyDescent="0.2">
      <c r="R2363" t="s">
        <v>39</v>
      </c>
      <c r="S2363" t="s">
        <v>267</v>
      </c>
      <c r="T2363" t="s">
        <v>442</v>
      </c>
      <c r="U2363" s="21">
        <v>1989</v>
      </c>
      <c r="V2363" s="21" t="s">
        <v>368</v>
      </c>
      <c r="W2363" t="str">
        <f>VLOOKUP(Table_Query_from_Actuarial___Production[[#This Row],[Kor1]],$AI$3:$AK$105,3,FALSE)</f>
        <v>Misc. Income for Insolvent Companies</v>
      </c>
      <c r="X2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3"/>
      <c r="Z2363" t="s">
        <v>21</v>
      </c>
      <c r="AA2363" t="s">
        <v>261</v>
      </c>
      <c r="AB2363" t="s">
        <v>433</v>
      </c>
      <c r="AC2363" s="21">
        <v>825</v>
      </c>
      <c r="AD2363" s="21" t="s">
        <v>368</v>
      </c>
      <c r="AE2363" t="str">
        <f>VLOOKUP(Table_Query_from_Actuarial___Production3[[#This Row],[Kor1]],$AI$3:$AK$105,3,FALSE)</f>
        <v>Misc. Expense</v>
      </c>
      <c r="AF2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4" spans="18:32" x14ac:dyDescent="0.2">
      <c r="R2364" t="s">
        <v>14</v>
      </c>
      <c r="S2364" t="s">
        <v>228</v>
      </c>
      <c r="T2364" t="s">
        <v>351</v>
      </c>
      <c r="U2364" s="21">
        <v>22961.45</v>
      </c>
      <c r="V2364" s="21" t="s">
        <v>368</v>
      </c>
      <c r="W2364" t="str">
        <f>VLOOKUP(Table_Query_from_Actuarial___Production[[#This Row],[Kor1]],$AI$3:$AK$105,3,FALSE)</f>
        <v>Claims Expense</v>
      </c>
      <c r="X2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4"/>
      <c r="Z2364" t="s">
        <v>41</v>
      </c>
      <c r="AA2364" t="s">
        <v>247</v>
      </c>
      <c r="AB2364" t="s">
        <v>443</v>
      </c>
      <c r="AC2364" s="21">
        <v>100</v>
      </c>
      <c r="AD2364" s="21" t="s">
        <v>368</v>
      </c>
      <c r="AE2364" t="str">
        <f>VLOOKUP(Table_Query_from_Actuarial___Production3[[#This Row],[Kor1]],$AI$3:$AK$105,3,FALSE)</f>
        <v>Misc. Income</v>
      </c>
      <c r="AF2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5" spans="18:32" x14ac:dyDescent="0.2">
      <c r="R2365" t="s">
        <v>44</v>
      </c>
      <c r="S2365" t="s">
        <v>266</v>
      </c>
      <c r="T2365" t="s">
        <v>443</v>
      </c>
      <c r="U2365" s="21">
        <v>21059.84</v>
      </c>
      <c r="V2365" s="21" t="s">
        <v>368</v>
      </c>
      <c r="W2365" t="str">
        <f>VLOOKUP(Table_Query_from_Actuarial___Production[[#This Row],[Kor1]],$AI$3:$AK$105,3,FALSE)</f>
        <v>Charge-offs</v>
      </c>
      <c r="X2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5"/>
      <c r="Z2365" t="s">
        <v>13</v>
      </c>
      <c r="AA2365" t="s">
        <v>253</v>
      </c>
      <c r="AB2365" t="s">
        <v>356</v>
      </c>
      <c r="AC2365" s="21">
        <v>11160.14</v>
      </c>
      <c r="AD2365" s="21" t="s">
        <v>368</v>
      </c>
      <c r="AE2365" t="str">
        <f>VLOOKUP(Table_Query_from_Actuarial___Production3[[#This Row],[Kor1]],$AI$3:$AK$105,3,FALSE)</f>
        <v>Operating Service Fees</v>
      </c>
      <c r="AF2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6" spans="18:32" x14ac:dyDescent="0.2">
      <c r="R2366" t="s">
        <v>17</v>
      </c>
      <c r="S2366" t="s">
        <v>226</v>
      </c>
      <c r="T2366" t="s">
        <v>441</v>
      </c>
      <c r="U2366" s="21">
        <v>4495033.75</v>
      </c>
      <c r="V2366" s="21" t="s">
        <v>368</v>
      </c>
      <c r="W2366" t="str">
        <f>VLOOKUP(Table_Query_from_Actuarial___Production[[#This Row],[Kor1]],$AI$3:$AK$105,3,FALSE)</f>
        <v>IBNR</v>
      </c>
      <c r="X2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366"/>
      <c r="Z2366" t="s">
        <v>13</v>
      </c>
      <c r="AA2366" t="s">
        <v>240</v>
      </c>
      <c r="AB2366" t="s">
        <v>433</v>
      </c>
      <c r="AC2366" s="21">
        <v>1213916.67</v>
      </c>
      <c r="AD2366" s="21" t="s">
        <v>368</v>
      </c>
      <c r="AE2366" t="str">
        <f>VLOOKUP(Table_Query_from_Actuarial___Production3[[#This Row],[Kor1]],$AI$3:$AK$105,3,FALSE)</f>
        <v>Operating Service Fees</v>
      </c>
      <c r="AF2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7" spans="18:32" x14ac:dyDescent="0.2">
      <c r="R2367" t="s">
        <v>17</v>
      </c>
      <c r="S2367" t="s">
        <v>239</v>
      </c>
      <c r="T2367" t="s">
        <v>433</v>
      </c>
      <c r="U2367" s="21">
        <v>676959.76</v>
      </c>
      <c r="V2367" s="21" t="s">
        <v>368</v>
      </c>
      <c r="W2367" t="str">
        <f>VLOOKUP(Table_Query_from_Actuarial___Production[[#This Row],[Kor1]],$AI$3:$AK$105,3,FALSE)</f>
        <v>IBNR</v>
      </c>
      <c r="X2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7"/>
      <c r="Z2367" t="s">
        <v>47</v>
      </c>
      <c r="AA2367" t="s">
        <v>254</v>
      </c>
      <c r="AB2367" t="s">
        <v>8</v>
      </c>
      <c r="AC2367" s="21">
        <v>7.0000000000000007E-2</v>
      </c>
      <c r="AD2367" s="21" t="s">
        <v>368</v>
      </c>
      <c r="AE2367" t="str">
        <f>VLOOKUP(Table_Query_from_Actuarial___Production3[[#This Row],[Kor1]],$AI$3:$AK$105,3,FALSE)</f>
        <v>Investment Income</v>
      </c>
      <c r="AF2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8" spans="18:32" x14ac:dyDescent="0.2">
      <c r="R2368" t="s">
        <v>36</v>
      </c>
      <c r="S2368" t="s">
        <v>250</v>
      </c>
      <c r="T2368" t="s">
        <v>443</v>
      </c>
      <c r="U2368" s="21">
        <v>690</v>
      </c>
      <c r="V2368" s="21" t="s">
        <v>368</v>
      </c>
      <c r="W2368" t="str">
        <f>VLOOKUP(Table_Query_from_Actuarial___Production[[#This Row],[Kor1]],$AI$3:$AK$105,3,FALSE)</f>
        <v>Misc. Expense</v>
      </c>
      <c r="X2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8"/>
      <c r="Z2368" t="s">
        <v>21</v>
      </c>
      <c r="AA2368" t="s">
        <v>4</v>
      </c>
      <c r="AB2368" t="s">
        <v>9</v>
      </c>
      <c r="AC2368" s="21">
        <v>158.78</v>
      </c>
      <c r="AD2368" s="21" t="s">
        <v>368</v>
      </c>
      <c r="AE2368" t="str">
        <f>VLOOKUP(Table_Query_from_Actuarial___Production3[[#This Row],[Kor1]],$AI$3:$AK$105,3,FALSE)</f>
        <v>Misc. Expense</v>
      </c>
      <c r="AF2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69" spans="18:32" x14ac:dyDescent="0.2">
      <c r="R2369" t="s">
        <v>47</v>
      </c>
      <c r="S2369" t="s">
        <v>241</v>
      </c>
      <c r="T2369" t="s">
        <v>6</v>
      </c>
      <c r="U2369" s="21">
        <v>0.09</v>
      </c>
      <c r="V2369" s="21" t="s">
        <v>368</v>
      </c>
      <c r="W2369" t="str">
        <f>VLOOKUP(Table_Query_from_Actuarial___Production[[#This Row],[Kor1]],$AI$3:$AK$105,3,FALSE)</f>
        <v>Investment Income</v>
      </c>
      <c r="X2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69"/>
      <c r="Z2369" t="s">
        <v>3</v>
      </c>
      <c r="AA2369" t="s">
        <v>352</v>
      </c>
      <c r="AB2369" t="s">
        <v>443</v>
      </c>
      <c r="AC2369" s="21">
        <v>45889</v>
      </c>
      <c r="AD2369" s="21" t="s">
        <v>369</v>
      </c>
      <c r="AE2369" t="str">
        <f>VLOOKUP(Table_Query_from_Actuarial___Production3[[#This Row],[Kor1]],$AI$3:$AK$105,3,FALSE)</f>
        <v>Premiums Written</v>
      </c>
      <c r="AF2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370" spans="18:32" x14ac:dyDescent="0.2">
      <c r="R2370" t="s">
        <v>3</v>
      </c>
      <c r="S2370" t="s">
        <v>224</v>
      </c>
      <c r="T2370" t="s">
        <v>443</v>
      </c>
      <c r="U2370" s="21">
        <v>1894715.4</v>
      </c>
      <c r="V2370" s="21" t="s">
        <v>368</v>
      </c>
      <c r="W2370" t="str">
        <f>VLOOKUP(Table_Query_from_Actuarial___Production[[#This Row],[Kor1]],$AI$3:$AK$105,3,FALSE)</f>
        <v>Premiums Written</v>
      </c>
      <c r="X2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370"/>
      <c r="Z2370" t="s">
        <v>43</v>
      </c>
      <c r="AA2370" t="s">
        <v>266</v>
      </c>
      <c r="AB2370" t="s">
        <v>7</v>
      </c>
      <c r="AC2370" s="21">
        <v>-0.09</v>
      </c>
      <c r="AD2370" s="21" t="s">
        <v>368</v>
      </c>
      <c r="AE2370" t="str">
        <f>VLOOKUP(Table_Query_from_Actuarial___Production3[[#This Row],[Kor1]],$AI$3:$AK$105,3,FALSE)</f>
        <v>Charge-offs</v>
      </c>
      <c r="AF2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1" spans="18:32" x14ac:dyDescent="0.2">
      <c r="R2371" t="s">
        <v>39</v>
      </c>
      <c r="S2371" t="s">
        <v>261</v>
      </c>
      <c r="T2371" t="s">
        <v>441</v>
      </c>
      <c r="U2371" s="21">
        <v>824.65</v>
      </c>
      <c r="V2371" s="21" t="s">
        <v>368</v>
      </c>
      <c r="W2371" t="str">
        <f>VLOOKUP(Table_Query_from_Actuarial___Production[[#This Row],[Kor1]],$AI$3:$AK$105,3,FALSE)</f>
        <v>Misc. Income for Insolvent Companies</v>
      </c>
      <c r="X2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1"/>
      <c r="Z2371" t="s">
        <v>48</v>
      </c>
      <c r="AA2371" t="s">
        <v>246</v>
      </c>
      <c r="AB2371" t="s">
        <v>441</v>
      </c>
      <c r="AC2371" s="21">
        <v>16179.62</v>
      </c>
      <c r="AD2371" s="21" t="s">
        <v>368</v>
      </c>
      <c r="AE2371" t="str">
        <f>VLOOKUP(Table_Query_from_Actuarial___Production3[[#This Row],[Kor1]],$AI$3:$AK$105,3,FALSE)</f>
        <v>Anticipated Salvage</v>
      </c>
      <c r="AF2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2" spans="18:32" x14ac:dyDescent="0.2">
      <c r="R2372" t="s">
        <v>43</v>
      </c>
      <c r="S2372" t="s">
        <v>257</v>
      </c>
      <c r="T2372" t="s">
        <v>441</v>
      </c>
      <c r="U2372" s="21">
        <v>-196.03</v>
      </c>
      <c r="V2372" s="21" t="s">
        <v>368</v>
      </c>
      <c r="W2372" t="str">
        <f>VLOOKUP(Table_Query_from_Actuarial___Production[[#This Row],[Kor1]],$AI$3:$AK$105,3,FALSE)</f>
        <v>Charge-offs</v>
      </c>
      <c r="X2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2"/>
      <c r="Z2372" t="s">
        <v>19</v>
      </c>
      <c r="AA2372" t="s">
        <v>234</v>
      </c>
      <c r="AB2372" t="s">
        <v>5</v>
      </c>
      <c r="AC2372" s="21">
        <v>280</v>
      </c>
      <c r="AD2372" s="21" t="s">
        <v>368</v>
      </c>
      <c r="AE2372" t="str">
        <f>VLOOKUP(Table_Query_from_Actuarial___Production3[[#This Row],[Kor1]],$AI$3:$AK$105,3,FALSE)</f>
        <v>Misc. Expense for Insolvent Companies</v>
      </c>
      <c r="AF2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3" spans="18:32" x14ac:dyDescent="0.2">
      <c r="R2373" t="s">
        <v>10</v>
      </c>
      <c r="S2373" t="s">
        <v>352</v>
      </c>
      <c r="T2373" t="s">
        <v>445</v>
      </c>
      <c r="U2373" s="21">
        <v>1512.27</v>
      </c>
      <c r="V2373" s="21" t="s">
        <v>369</v>
      </c>
      <c r="W2373" t="str">
        <f>VLOOKUP(Table_Query_from_Actuarial___Production[[#This Row],[Kor1]],$AI$3:$AK$105,3,FALSE)</f>
        <v>Commissions</v>
      </c>
      <c r="X2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373"/>
      <c r="Z2373" t="s">
        <v>34</v>
      </c>
      <c r="AA2373" t="s">
        <v>244</v>
      </c>
      <c r="AB2373" t="s">
        <v>443</v>
      </c>
      <c r="AC2373" s="21">
        <v>2722.93</v>
      </c>
      <c r="AD2373" s="21" t="s">
        <v>368</v>
      </c>
      <c r="AE2373" t="str">
        <f>VLOOKUP(Table_Query_from_Actuarial___Production3[[#This Row],[Kor1]],$AI$3:$AK$105,3,FALSE)</f>
        <v>Misc. Expense</v>
      </c>
      <c r="AF2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4" spans="18:32" x14ac:dyDescent="0.2">
      <c r="R2374" t="s">
        <v>14</v>
      </c>
      <c r="S2374" t="s">
        <v>232</v>
      </c>
      <c r="T2374" t="s">
        <v>427</v>
      </c>
      <c r="U2374" s="21">
        <v>67333.100000000006</v>
      </c>
      <c r="V2374" s="21" t="s">
        <v>368</v>
      </c>
      <c r="W2374" t="str">
        <f>VLOOKUP(Table_Query_from_Actuarial___Production[[#This Row],[Kor1]],$AI$3:$AK$105,3,FALSE)</f>
        <v>Claims Expense</v>
      </c>
      <c r="X2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4"/>
      <c r="Z2374" t="s">
        <v>14</v>
      </c>
      <c r="AA2374" t="s">
        <v>258</v>
      </c>
      <c r="AB2374" t="s">
        <v>427</v>
      </c>
      <c r="AC2374" s="21">
        <v>359663.28</v>
      </c>
      <c r="AD2374" s="21" t="s">
        <v>368</v>
      </c>
      <c r="AE2374" t="str">
        <f>VLOOKUP(Table_Query_from_Actuarial___Production3[[#This Row],[Kor1]],$AI$3:$AK$105,3,FALSE)</f>
        <v>Claims Expense</v>
      </c>
      <c r="AF2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5" spans="18:32" x14ac:dyDescent="0.2">
      <c r="R2375" t="s">
        <v>40</v>
      </c>
      <c r="S2375" t="s">
        <v>249</v>
      </c>
      <c r="T2375" t="s">
        <v>6</v>
      </c>
      <c r="U2375" s="21">
        <v>24.01</v>
      </c>
      <c r="V2375" s="21" t="s">
        <v>368</v>
      </c>
      <c r="W2375" t="str">
        <f>VLOOKUP(Table_Query_from_Actuarial___Production[[#This Row],[Kor1]],$AI$3:$AK$105,3,FALSE)</f>
        <v>Misc. Income</v>
      </c>
      <c r="X2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5"/>
      <c r="Z2375" t="s">
        <v>21</v>
      </c>
      <c r="AA2375" t="s">
        <v>265</v>
      </c>
      <c r="AB2375" t="s">
        <v>9</v>
      </c>
      <c r="AC2375" s="21">
        <v>2071</v>
      </c>
      <c r="AD2375" s="21" t="s">
        <v>368</v>
      </c>
      <c r="AE2375" t="str">
        <f>VLOOKUP(Table_Query_from_Actuarial___Production3[[#This Row],[Kor1]],$AI$3:$AK$105,3,FALSE)</f>
        <v>Misc. Expense</v>
      </c>
      <c r="AF2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6" spans="18:32" x14ac:dyDescent="0.2">
      <c r="R2376" t="s">
        <v>30</v>
      </c>
      <c r="S2376" t="s">
        <v>259</v>
      </c>
      <c r="T2376" t="s">
        <v>8</v>
      </c>
      <c r="U2376" s="21">
        <v>1192.8800000000001</v>
      </c>
      <c r="V2376" s="21" t="s">
        <v>368</v>
      </c>
      <c r="W2376" t="str">
        <f>VLOOKUP(Table_Query_from_Actuarial___Production[[#This Row],[Kor1]],$AI$3:$AK$105,3,FALSE)</f>
        <v>Misc. Expense</v>
      </c>
      <c r="X2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6"/>
      <c r="Z2376" t="s">
        <v>47</v>
      </c>
      <c r="AA2376" t="s">
        <v>255</v>
      </c>
      <c r="AB2376" t="s">
        <v>443</v>
      </c>
      <c r="AC2376" s="21">
        <v>2345.13</v>
      </c>
      <c r="AD2376" s="21" t="s">
        <v>368</v>
      </c>
      <c r="AE2376" t="str">
        <f>VLOOKUP(Table_Query_from_Actuarial___Production3[[#This Row],[Kor1]],$AI$3:$AK$105,3,FALSE)</f>
        <v>Investment Income</v>
      </c>
      <c r="AF2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7" spans="18:32" x14ac:dyDescent="0.2">
      <c r="R2377" t="s">
        <v>33</v>
      </c>
      <c r="S2377" t="s">
        <v>258</v>
      </c>
      <c r="T2377" t="s">
        <v>442</v>
      </c>
      <c r="U2377" s="21">
        <v>23407.83</v>
      </c>
      <c r="V2377" s="21" t="s">
        <v>368</v>
      </c>
      <c r="W2377" t="str">
        <f>VLOOKUP(Table_Query_from_Actuarial___Production[[#This Row],[Kor1]],$AI$3:$AK$105,3,FALSE)</f>
        <v>Misc. Expense</v>
      </c>
      <c r="X2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7"/>
      <c r="Z2377" t="s">
        <v>3</v>
      </c>
      <c r="AA2377" t="s">
        <v>256</v>
      </c>
      <c r="AB2377" t="s">
        <v>433</v>
      </c>
      <c r="AC2377" s="21">
        <v>157848</v>
      </c>
      <c r="AD2377" s="21" t="s">
        <v>368</v>
      </c>
      <c r="AE2377" t="str">
        <f>VLOOKUP(Table_Query_from_Actuarial___Production3[[#This Row],[Kor1]],$AI$3:$AK$105,3,FALSE)</f>
        <v>Premiums Written</v>
      </c>
      <c r="AF2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8" spans="18:32" x14ac:dyDescent="0.2">
      <c r="R2378" t="s">
        <v>16</v>
      </c>
      <c r="S2378" t="s">
        <v>354</v>
      </c>
      <c r="T2378" t="s">
        <v>8</v>
      </c>
      <c r="U2378" s="21">
        <v>125363.5</v>
      </c>
      <c r="V2378" s="21" t="s">
        <v>368</v>
      </c>
      <c r="W2378" t="str">
        <f>VLOOKUP(Table_Query_from_Actuarial___Production[[#This Row],[Kor1]],$AI$3:$AK$105,3,FALSE)</f>
        <v>Losses Outstanding</v>
      </c>
      <c r="X2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378"/>
      <c r="Z2378" t="s">
        <v>10</v>
      </c>
      <c r="AA2378" t="s">
        <v>251</v>
      </c>
      <c r="AB2378" t="s">
        <v>7</v>
      </c>
      <c r="AC2378" s="21">
        <v>2568.4499999999998</v>
      </c>
      <c r="AD2378" s="21" t="s">
        <v>368</v>
      </c>
      <c r="AE2378" t="str">
        <f>VLOOKUP(Table_Query_from_Actuarial___Production3[[#This Row],[Kor1]],$AI$3:$AK$105,3,FALSE)</f>
        <v>Commissions</v>
      </c>
      <c r="AF2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79" spans="18:32" x14ac:dyDescent="0.2">
      <c r="R2379" t="s">
        <v>3</v>
      </c>
      <c r="S2379" t="s">
        <v>230</v>
      </c>
      <c r="T2379" t="s">
        <v>8</v>
      </c>
      <c r="U2379" s="21">
        <v>23149251</v>
      </c>
      <c r="V2379" s="21" t="s">
        <v>368</v>
      </c>
      <c r="W2379" t="str">
        <f>VLOOKUP(Table_Query_from_Actuarial___Production[[#This Row],[Kor1]],$AI$3:$AK$105,3,FALSE)</f>
        <v>Premiums Written</v>
      </c>
      <c r="X2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79"/>
      <c r="Z2379" t="s">
        <v>11</v>
      </c>
      <c r="AA2379" t="s">
        <v>242</v>
      </c>
      <c r="AB2379" t="s">
        <v>8</v>
      </c>
      <c r="AC2379" s="21">
        <v>300000</v>
      </c>
      <c r="AD2379" s="21" t="s">
        <v>368</v>
      </c>
      <c r="AE2379" t="str">
        <f>VLOOKUP(Table_Query_from_Actuarial___Production3[[#This Row],[Kor1]],$AI$3:$AK$105,3,FALSE)</f>
        <v>Losses Paid</v>
      </c>
      <c r="AF2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0" spans="18:32" x14ac:dyDescent="0.2">
      <c r="R2380" t="s">
        <v>11</v>
      </c>
      <c r="S2380" t="s">
        <v>237</v>
      </c>
      <c r="T2380" t="s">
        <v>441</v>
      </c>
      <c r="U2380" s="21">
        <v>49152969.509999998</v>
      </c>
      <c r="V2380" s="21" t="s">
        <v>368</v>
      </c>
      <c r="W2380" t="str">
        <f>VLOOKUP(Table_Query_from_Actuarial___Production[[#This Row],[Kor1]],$AI$3:$AK$105,3,FALSE)</f>
        <v>Losses Paid</v>
      </c>
      <c r="X2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0"/>
      <c r="Z2380" t="s">
        <v>26</v>
      </c>
      <c r="AA2380" t="s">
        <v>250</v>
      </c>
      <c r="AB2380" t="s">
        <v>351</v>
      </c>
      <c r="AC2380" s="21">
        <v>-0.02</v>
      </c>
      <c r="AD2380" s="21" t="s">
        <v>368</v>
      </c>
      <c r="AE2380" t="str">
        <f>VLOOKUP(Table_Query_from_Actuarial___Production3[[#This Row],[Kor1]],$AI$3:$AK$105,3,FALSE)</f>
        <v>Misc. Expense</v>
      </c>
      <c r="AF2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1" spans="18:32" x14ac:dyDescent="0.2">
      <c r="R2381" t="s">
        <v>36</v>
      </c>
      <c r="S2381" t="s">
        <v>258</v>
      </c>
      <c r="T2381" t="s">
        <v>443</v>
      </c>
      <c r="U2381" s="21">
        <v>389.98</v>
      </c>
      <c r="V2381" s="21" t="s">
        <v>368</v>
      </c>
      <c r="W2381" t="str">
        <f>VLOOKUP(Table_Query_from_Actuarial___Production[[#This Row],[Kor1]],$AI$3:$AK$105,3,FALSE)</f>
        <v>Misc. Expense</v>
      </c>
      <c r="X2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1"/>
      <c r="Z2381" t="s">
        <v>31</v>
      </c>
      <c r="AA2381" t="s">
        <v>249</v>
      </c>
      <c r="AB2381" t="s">
        <v>441</v>
      </c>
      <c r="AC2381" s="21">
        <v>1202.6300000000001</v>
      </c>
      <c r="AD2381" s="21" t="s">
        <v>368</v>
      </c>
      <c r="AE2381" t="str">
        <f>VLOOKUP(Table_Query_from_Actuarial___Production3[[#This Row],[Kor1]],$AI$3:$AK$105,3,FALSE)</f>
        <v>Misc. Expense</v>
      </c>
      <c r="AF2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2" spans="18:32" x14ac:dyDescent="0.2">
      <c r="R2382" t="s">
        <v>46</v>
      </c>
      <c r="S2382" t="s">
        <v>224</v>
      </c>
      <c r="T2382" t="s">
        <v>6</v>
      </c>
      <c r="U2382" s="21">
        <v>432.12</v>
      </c>
      <c r="V2382" s="21" t="s">
        <v>370</v>
      </c>
      <c r="W2382" t="str">
        <f>VLOOKUP(Table_Query_from_Actuarial___Production[[#This Row],[Kor1]],$AI$3:$AK$105,3,FALSE)</f>
        <v>Investment Income</v>
      </c>
      <c r="X2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382"/>
      <c r="Z2382" t="s">
        <v>19</v>
      </c>
      <c r="AA2382" t="s">
        <v>232</v>
      </c>
      <c r="AB2382" t="s">
        <v>442</v>
      </c>
      <c r="AC2382" s="21">
        <v>3792</v>
      </c>
      <c r="AD2382" s="21" t="s">
        <v>368</v>
      </c>
      <c r="AE2382" t="str">
        <f>VLOOKUP(Table_Query_from_Actuarial___Production3[[#This Row],[Kor1]],$AI$3:$AK$105,3,FALSE)</f>
        <v>Misc. Expense for Insolvent Companies</v>
      </c>
      <c r="AF2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3" spans="18:32" x14ac:dyDescent="0.2">
      <c r="R2383" t="s">
        <v>29</v>
      </c>
      <c r="S2383" t="s">
        <v>234</v>
      </c>
      <c r="T2383" t="s">
        <v>6</v>
      </c>
      <c r="U2383" s="21">
        <v>6711.15</v>
      </c>
      <c r="V2383" s="21" t="s">
        <v>368</v>
      </c>
      <c r="W2383" t="str">
        <f>VLOOKUP(Table_Query_from_Actuarial___Production[[#This Row],[Kor1]],$AI$3:$AK$105,3,FALSE)</f>
        <v>Misc. Expense</v>
      </c>
      <c r="X2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3"/>
      <c r="Z2383" t="s">
        <v>12</v>
      </c>
      <c r="AA2383" t="s">
        <v>263</v>
      </c>
      <c r="AB2383" t="s">
        <v>433</v>
      </c>
      <c r="AC2383" s="21">
        <v>10582</v>
      </c>
      <c r="AD2383" s="21" t="s">
        <v>368</v>
      </c>
      <c r="AE2383" t="str">
        <f>VLOOKUP(Table_Query_from_Actuarial___Production3[[#This Row],[Kor1]],$AI$3:$AK$105,3,FALSE)</f>
        <v>Premium Tax</v>
      </c>
      <c r="AF2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4" spans="18:32" x14ac:dyDescent="0.2">
      <c r="R2384" t="s">
        <v>11</v>
      </c>
      <c r="S2384" t="s">
        <v>240</v>
      </c>
      <c r="T2384" t="s">
        <v>351</v>
      </c>
      <c r="U2384" s="21">
        <v>2659381.21</v>
      </c>
      <c r="V2384" s="21" t="s">
        <v>368</v>
      </c>
      <c r="W2384" t="str">
        <f>VLOOKUP(Table_Query_from_Actuarial___Production[[#This Row],[Kor1]],$AI$3:$AK$105,3,FALSE)</f>
        <v>Losses Paid</v>
      </c>
      <c r="X2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4"/>
      <c r="Z2384" t="s">
        <v>13</v>
      </c>
      <c r="AA2384" t="s">
        <v>228</v>
      </c>
      <c r="AB2384" t="s">
        <v>351</v>
      </c>
      <c r="AC2384" s="21">
        <v>64762.73</v>
      </c>
      <c r="AD2384" s="21" t="s">
        <v>368</v>
      </c>
      <c r="AE2384" t="str">
        <f>VLOOKUP(Table_Query_from_Actuarial___Production3[[#This Row],[Kor1]],$AI$3:$AK$105,3,FALSE)</f>
        <v>Operating Service Fees</v>
      </c>
      <c r="AF2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5" spans="18:32" x14ac:dyDescent="0.2">
      <c r="R2385" t="s">
        <v>33</v>
      </c>
      <c r="S2385" t="s">
        <v>258</v>
      </c>
      <c r="T2385" t="s">
        <v>7</v>
      </c>
      <c r="U2385" s="21">
        <v>14162.93</v>
      </c>
      <c r="V2385" s="21" t="s">
        <v>368</v>
      </c>
      <c r="W2385" t="str">
        <f>VLOOKUP(Table_Query_from_Actuarial___Production[[#This Row],[Kor1]],$AI$3:$AK$105,3,FALSE)</f>
        <v>Misc. Expense</v>
      </c>
      <c r="X2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5"/>
      <c r="Z2385" t="s">
        <v>43</v>
      </c>
      <c r="AA2385" t="s">
        <v>229</v>
      </c>
      <c r="AB2385" t="s">
        <v>356</v>
      </c>
      <c r="AC2385" s="21">
        <v>0.24</v>
      </c>
      <c r="AD2385" s="21" t="s">
        <v>368</v>
      </c>
      <c r="AE2385" t="str">
        <f>VLOOKUP(Table_Query_from_Actuarial___Production3[[#This Row],[Kor1]],$AI$3:$AK$105,3,FALSE)</f>
        <v>Charge-offs</v>
      </c>
      <c r="AF2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6" spans="18:32" x14ac:dyDescent="0.2">
      <c r="R2386" t="s">
        <v>12</v>
      </c>
      <c r="S2386" t="s">
        <v>247</v>
      </c>
      <c r="T2386" t="s">
        <v>356</v>
      </c>
      <c r="U2386" s="21">
        <v>277.94</v>
      </c>
      <c r="V2386" s="21" t="s">
        <v>368</v>
      </c>
      <c r="W2386" t="str">
        <f>VLOOKUP(Table_Query_from_Actuarial___Production[[#This Row],[Kor1]],$AI$3:$AK$105,3,FALSE)</f>
        <v>Premium Tax</v>
      </c>
      <c r="X2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6"/>
      <c r="Z2386" t="s">
        <v>19</v>
      </c>
      <c r="AA2386" t="s">
        <v>261</v>
      </c>
      <c r="AB2386" t="s">
        <v>7</v>
      </c>
      <c r="AC2386" s="21">
        <v>86</v>
      </c>
      <c r="AD2386" s="21" t="s">
        <v>368</v>
      </c>
      <c r="AE2386" t="str">
        <f>VLOOKUP(Table_Query_from_Actuarial___Production3[[#This Row],[Kor1]],$AI$3:$AK$105,3,FALSE)</f>
        <v>Misc. Expense for Insolvent Companies</v>
      </c>
      <c r="AF2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7" spans="18:32" x14ac:dyDescent="0.2">
      <c r="R2387" t="s">
        <v>14</v>
      </c>
      <c r="S2387" t="s">
        <v>233</v>
      </c>
      <c r="T2387" t="s">
        <v>445</v>
      </c>
      <c r="U2387" s="21">
        <v>9738.57</v>
      </c>
      <c r="V2387" s="21" t="s">
        <v>368</v>
      </c>
      <c r="W2387" t="str">
        <f>VLOOKUP(Table_Query_from_Actuarial___Production[[#This Row],[Kor1]],$AI$3:$AK$105,3,FALSE)</f>
        <v>Claims Expense</v>
      </c>
      <c r="X2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7"/>
      <c r="Z2387" t="s">
        <v>37</v>
      </c>
      <c r="AA2387" t="s">
        <v>249</v>
      </c>
      <c r="AB2387" t="s">
        <v>9</v>
      </c>
      <c r="AC2387" s="21">
        <v>621.62</v>
      </c>
      <c r="AD2387" s="21" t="s">
        <v>368</v>
      </c>
      <c r="AE2387" t="str">
        <f>VLOOKUP(Table_Query_from_Actuarial___Production3[[#This Row],[Kor1]],$AI$3:$AK$105,3,FALSE)</f>
        <v>Misc. Expense</v>
      </c>
      <c r="AF2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88" spans="18:32" x14ac:dyDescent="0.2">
      <c r="R2388" t="s">
        <v>31</v>
      </c>
      <c r="S2388" t="s">
        <v>231</v>
      </c>
      <c r="T2388" t="s">
        <v>442</v>
      </c>
      <c r="U2388" s="21">
        <v>1204</v>
      </c>
      <c r="V2388" s="21" t="s">
        <v>368</v>
      </c>
      <c r="W2388" t="str">
        <f>VLOOKUP(Table_Query_from_Actuarial___Production[[#This Row],[Kor1]],$AI$3:$AK$105,3,FALSE)</f>
        <v>Misc. Expense</v>
      </c>
      <c r="X2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8"/>
      <c r="Z2388" t="s">
        <v>38</v>
      </c>
      <c r="AA2388" t="s">
        <v>224</v>
      </c>
      <c r="AB2388" t="s">
        <v>351</v>
      </c>
      <c r="AC2388" s="21">
        <v>154084.13</v>
      </c>
      <c r="AD2388" s="21" t="s">
        <v>370</v>
      </c>
      <c r="AE2388" t="str">
        <f>VLOOKUP(Table_Query_from_Actuarial___Production3[[#This Row],[Kor1]],$AI$3:$AK$105,3,FALSE)</f>
        <v>Misc. Income</v>
      </c>
      <c r="AF2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389" spans="18:32" x14ac:dyDescent="0.2">
      <c r="R2389" t="s">
        <v>44</v>
      </c>
      <c r="S2389" t="s">
        <v>4</v>
      </c>
      <c r="T2389" t="s">
        <v>9</v>
      </c>
      <c r="U2389" s="21">
        <v>1131480.51</v>
      </c>
      <c r="V2389" s="21" t="s">
        <v>368</v>
      </c>
      <c r="W2389" t="str">
        <f>VLOOKUP(Table_Query_from_Actuarial___Production[[#This Row],[Kor1]],$AI$3:$AK$105,3,FALSE)</f>
        <v>Charge-offs</v>
      </c>
      <c r="X2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89"/>
      <c r="Z2389" t="s">
        <v>33</v>
      </c>
      <c r="AA2389" t="s">
        <v>265</v>
      </c>
      <c r="AB2389" t="s">
        <v>427</v>
      </c>
      <c r="AC2389" s="21">
        <v>13005.28</v>
      </c>
      <c r="AD2389" s="21" t="s">
        <v>368</v>
      </c>
      <c r="AE2389" t="str">
        <f>VLOOKUP(Table_Query_from_Actuarial___Production3[[#This Row],[Kor1]],$AI$3:$AK$105,3,FALSE)</f>
        <v>Misc. Expense</v>
      </c>
      <c r="AF2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0" spans="18:32" x14ac:dyDescent="0.2">
      <c r="R2390" t="s">
        <v>20</v>
      </c>
      <c r="S2390" t="s">
        <v>261</v>
      </c>
      <c r="T2390" t="s">
        <v>9</v>
      </c>
      <c r="U2390" s="21">
        <v>543.69000000000005</v>
      </c>
      <c r="V2390" s="21" t="s">
        <v>368</v>
      </c>
      <c r="W2390" t="str">
        <f>VLOOKUP(Table_Query_from_Actuarial___Production[[#This Row],[Kor1]],$AI$3:$AK$105,3,FALSE)</f>
        <v>Misc. Expense</v>
      </c>
      <c r="X2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0"/>
      <c r="Z2390" t="s">
        <v>13</v>
      </c>
      <c r="AA2390" t="s">
        <v>259</v>
      </c>
      <c r="AB2390" t="s">
        <v>6</v>
      </c>
      <c r="AC2390" s="21">
        <v>23855.15</v>
      </c>
      <c r="AD2390" s="21" t="s">
        <v>368</v>
      </c>
      <c r="AE2390" t="str">
        <f>VLOOKUP(Table_Query_from_Actuarial___Production3[[#This Row],[Kor1]],$AI$3:$AK$105,3,FALSE)</f>
        <v>Operating Service Fees</v>
      </c>
      <c r="AF2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1" spans="18:32" x14ac:dyDescent="0.2">
      <c r="R2391" t="s">
        <v>33</v>
      </c>
      <c r="S2391" t="s">
        <v>257</v>
      </c>
      <c r="T2391" t="s">
        <v>356</v>
      </c>
      <c r="U2391" s="21">
        <v>17665.88</v>
      </c>
      <c r="V2391" s="21" t="s">
        <v>368</v>
      </c>
      <c r="W2391" t="str">
        <f>VLOOKUP(Table_Query_from_Actuarial___Production[[#This Row],[Kor1]],$AI$3:$AK$105,3,FALSE)</f>
        <v>Misc. Expense</v>
      </c>
      <c r="X2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1"/>
      <c r="Z2391" t="s">
        <v>11</v>
      </c>
      <c r="AA2391" t="s">
        <v>246</v>
      </c>
      <c r="AB2391" t="s">
        <v>427</v>
      </c>
      <c r="AC2391" s="21">
        <v>629598.36</v>
      </c>
      <c r="AD2391" s="21" t="s">
        <v>368</v>
      </c>
      <c r="AE2391" t="str">
        <f>VLOOKUP(Table_Query_from_Actuarial___Production3[[#This Row],[Kor1]],$AI$3:$AK$105,3,FALSE)</f>
        <v>Losses Paid</v>
      </c>
      <c r="AF2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2" spans="18:32" x14ac:dyDescent="0.2">
      <c r="R2392" t="s">
        <v>32</v>
      </c>
      <c r="S2392" t="s">
        <v>234</v>
      </c>
      <c r="T2392" t="s">
        <v>7</v>
      </c>
      <c r="U2392" s="21">
        <v>-6650.85</v>
      </c>
      <c r="V2392" s="21" t="s">
        <v>368</v>
      </c>
      <c r="W2392" t="str">
        <f>VLOOKUP(Table_Query_from_Actuarial___Production[[#This Row],[Kor1]],$AI$3:$AK$105,3,FALSE)</f>
        <v>Misc. Expense</v>
      </c>
      <c r="X2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2"/>
      <c r="Z2392" t="s">
        <v>46</v>
      </c>
      <c r="AA2392" t="s">
        <v>224</v>
      </c>
      <c r="AB2392" t="s">
        <v>443</v>
      </c>
      <c r="AC2392" s="21">
        <v>436.76</v>
      </c>
      <c r="AD2392" s="21" t="s">
        <v>425</v>
      </c>
      <c r="AE2392" t="str">
        <f>VLOOKUP(Table_Query_from_Actuarial___Production3[[#This Row],[Kor1]],$AI$3:$AK$105,3,FALSE)</f>
        <v>Investment Income</v>
      </c>
      <c r="AF2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393" spans="18:32" x14ac:dyDescent="0.2">
      <c r="R2393" t="s">
        <v>50</v>
      </c>
      <c r="S2393" t="s">
        <v>228</v>
      </c>
      <c r="T2393" t="s">
        <v>427</v>
      </c>
      <c r="U2393" s="21">
        <v>57222.27</v>
      </c>
      <c r="V2393" s="21" t="s">
        <v>368</v>
      </c>
      <c r="W2393" t="str">
        <f>VLOOKUP(Table_Query_from_Actuarial___Production[[#This Row],[Kor1]],$AI$3:$AK$105,3,FALSE)</f>
        <v>ALAE Reserve</v>
      </c>
      <c r="X2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3"/>
      <c r="Z2393" t="s">
        <v>12</v>
      </c>
      <c r="AA2393" t="s">
        <v>255</v>
      </c>
      <c r="AB2393" t="s">
        <v>442</v>
      </c>
      <c r="AC2393" s="21">
        <v>8900.14</v>
      </c>
      <c r="AD2393" s="21" t="s">
        <v>368</v>
      </c>
      <c r="AE2393" t="str">
        <f>VLOOKUP(Table_Query_from_Actuarial___Production3[[#This Row],[Kor1]],$AI$3:$AK$105,3,FALSE)</f>
        <v>Premium Tax</v>
      </c>
      <c r="AF2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4" spans="18:32" x14ac:dyDescent="0.2">
      <c r="R2394" t="s">
        <v>439</v>
      </c>
      <c r="S2394" t="s">
        <v>238</v>
      </c>
      <c r="T2394" t="s">
        <v>443</v>
      </c>
      <c r="U2394" s="21">
        <v>-18324.46</v>
      </c>
      <c r="V2394" s="21" t="s">
        <v>368</v>
      </c>
      <c r="W2394" t="str">
        <f>VLOOKUP(Table_Query_from_Actuarial___Production[[#This Row],[Kor1]],$AI$3:$AK$105,3,FALSE)</f>
        <v>Operating Service Fees</v>
      </c>
      <c r="X2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4"/>
      <c r="Z2394" t="s">
        <v>39</v>
      </c>
      <c r="AA2394" t="s">
        <v>250</v>
      </c>
      <c r="AB2394" t="s">
        <v>5</v>
      </c>
      <c r="AC2394" s="21">
        <v>14002</v>
      </c>
      <c r="AD2394" s="21" t="s">
        <v>368</v>
      </c>
      <c r="AE2394" t="str">
        <f>VLOOKUP(Table_Query_from_Actuarial___Production3[[#This Row],[Kor1]],$AI$3:$AK$105,3,FALSE)</f>
        <v>Misc. Income for Insolvent Companies</v>
      </c>
      <c r="AF2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5" spans="18:32" x14ac:dyDescent="0.2">
      <c r="R2395" t="s">
        <v>12</v>
      </c>
      <c r="S2395" t="s">
        <v>253</v>
      </c>
      <c r="T2395" t="s">
        <v>442</v>
      </c>
      <c r="U2395" s="21">
        <v>188.34</v>
      </c>
      <c r="V2395" s="21" t="s">
        <v>368</v>
      </c>
      <c r="W2395" t="str">
        <f>VLOOKUP(Table_Query_from_Actuarial___Production[[#This Row],[Kor1]],$AI$3:$AK$105,3,FALSE)</f>
        <v>Premium Tax</v>
      </c>
      <c r="X2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5"/>
      <c r="Z2395" t="s">
        <v>77</v>
      </c>
      <c r="AA2395" t="s">
        <v>236</v>
      </c>
      <c r="AB2395" t="s">
        <v>443</v>
      </c>
      <c r="AC2395" s="21">
        <v>1011</v>
      </c>
      <c r="AD2395" s="21" t="s">
        <v>368</v>
      </c>
      <c r="AE2395" t="str">
        <f>VLOOKUP(Table_Query_from_Actuarial___Production3[[#This Row],[Kor1]],$AI$3:$AK$105,3,FALSE)</f>
        <v>PDR</v>
      </c>
      <c r="AF2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6" spans="18:32" x14ac:dyDescent="0.2">
      <c r="R2396" t="s">
        <v>11</v>
      </c>
      <c r="S2396" t="s">
        <v>263</v>
      </c>
      <c r="T2396" t="s">
        <v>427</v>
      </c>
      <c r="U2396" s="21">
        <v>337438.5</v>
      </c>
      <c r="V2396" s="21" t="s">
        <v>368</v>
      </c>
      <c r="W2396" t="str">
        <f>VLOOKUP(Table_Query_from_Actuarial___Production[[#This Row],[Kor1]],$AI$3:$AK$105,3,FALSE)</f>
        <v>Losses Paid</v>
      </c>
      <c r="X2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6"/>
      <c r="Z2396" t="s">
        <v>16</v>
      </c>
      <c r="AA2396" t="s">
        <v>244</v>
      </c>
      <c r="AB2396" t="s">
        <v>356</v>
      </c>
      <c r="AC2396" s="21">
        <v>519582.64</v>
      </c>
      <c r="AD2396" s="21" t="s">
        <v>368</v>
      </c>
      <c r="AE2396" t="str">
        <f>VLOOKUP(Table_Query_from_Actuarial___Production3[[#This Row],[Kor1]],$AI$3:$AK$105,3,FALSE)</f>
        <v>Losses Outstanding</v>
      </c>
      <c r="AF2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7" spans="18:32" x14ac:dyDescent="0.2">
      <c r="R2397" t="s">
        <v>29</v>
      </c>
      <c r="S2397" t="s">
        <v>259</v>
      </c>
      <c r="T2397" t="s">
        <v>6</v>
      </c>
      <c r="U2397" s="21">
        <v>100</v>
      </c>
      <c r="V2397" s="21" t="s">
        <v>368</v>
      </c>
      <c r="W2397" t="str">
        <f>VLOOKUP(Table_Query_from_Actuarial___Production[[#This Row],[Kor1]],$AI$3:$AK$105,3,FALSE)</f>
        <v>Misc. Expense</v>
      </c>
      <c r="X2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7"/>
      <c r="Z2397" t="s">
        <v>19</v>
      </c>
      <c r="AA2397" t="s">
        <v>235</v>
      </c>
      <c r="AB2397" t="s">
        <v>441</v>
      </c>
      <c r="AC2397" s="21">
        <v>8</v>
      </c>
      <c r="AD2397" s="21" t="s">
        <v>368</v>
      </c>
      <c r="AE2397" t="str">
        <f>VLOOKUP(Table_Query_from_Actuarial___Production3[[#This Row],[Kor1]],$AI$3:$AK$105,3,FALSE)</f>
        <v>Misc. Expense for Insolvent Companies</v>
      </c>
      <c r="AF2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398" spans="18:32" x14ac:dyDescent="0.2">
      <c r="R2398" t="s">
        <v>49</v>
      </c>
      <c r="S2398" t="s">
        <v>267</v>
      </c>
      <c r="T2398" t="s">
        <v>427</v>
      </c>
      <c r="U2398" s="21">
        <v>5426.47</v>
      </c>
      <c r="V2398" s="21" t="s">
        <v>368</v>
      </c>
      <c r="W2398" t="str">
        <f>VLOOKUP(Table_Query_from_Actuarial___Production[[#This Row],[Kor1]],$AI$3:$AK$105,3,FALSE)</f>
        <v>ALAE Paid</v>
      </c>
      <c r="X2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8"/>
      <c r="Z2398" t="s">
        <v>3</v>
      </c>
      <c r="AA2398" t="s">
        <v>352</v>
      </c>
      <c r="AB2398" t="s">
        <v>427</v>
      </c>
      <c r="AC2398" s="21">
        <v>105810</v>
      </c>
      <c r="AD2398" s="21" t="s">
        <v>369</v>
      </c>
      <c r="AE2398" t="str">
        <f>VLOOKUP(Table_Query_from_Actuarial___Production3[[#This Row],[Kor1]],$AI$3:$AK$105,3,FALSE)</f>
        <v>Premiums Written</v>
      </c>
      <c r="AF2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399" spans="18:32" x14ac:dyDescent="0.2">
      <c r="R2399" t="s">
        <v>43</v>
      </c>
      <c r="S2399" t="s">
        <v>266</v>
      </c>
      <c r="T2399" t="s">
        <v>443</v>
      </c>
      <c r="U2399" s="21">
        <v>1624.36</v>
      </c>
      <c r="V2399" s="21" t="s">
        <v>368</v>
      </c>
      <c r="W2399" t="str">
        <f>VLOOKUP(Table_Query_from_Actuarial___Production[[#This Row],[Kor1]],$AI$3:$AK$105,3,FALSE)</f>
        <v>Charge-offs</v>
      </c>
      <c r="X2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399"/>
      <c r="Z2399" t="s">
        <v>3</v>
      </c>
      <c r="AA2399" t="s">
        <v>226</v>
      </c>
      <c r="AB2399" t="s">
        <v>356</v>
      </c>
      <c r="AC2399" s="21">
        <v>5440567</v>
      </c>
      <c r="AD2399" s="21" t="s">
        <v>368</v>
      </c>
      <c r="AE2399" t="str">
        <f>VLOOKUP(Table_Query_from_Actuarial___Production3[[#This Row],[Kor1]],$AI$3:$AK$105,3,FALSE)</f>
        <v>Premiums Written</v>
      </c>
      <c r="AF2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400" spans="18:32" x14ac:dyDescent="0.2">
      <c r="R2400" t="s">
        <v>3</v>
      </c>
      <c r="S2400" t="s">
        <v>225</v>
      </c>
      <c r="T2400" t="s">
        <v>441</v>
      </c>
      <c r="U2400" s="21">
        <v>990142</v>
      </c>
      <c r="V2400" s="21" t="s">
        <v>368</v>
      </c>
      <c r="W2400" t="str">
        <f>VLOOKUP(Table_Query_from_Actuarial___Production[[#This Row],[Kor1]],$AI$3:$AK$105,3,FALSE)</f>
        <v>Premiums Written</v>
      </c>
      <c r="X2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400"/>
      <c r="Z2400" t="s">
        <v>20</v>
      </c>
      <c r="AA2400" t="s">
        <v>246</v>
      </c>
      <c r="AB2400" t="s">
        <v>9</v>
      </c>
      <c r="AC2400" s="21">
        <v>120.29</v>
      </c>
      <c r="AD2400" s="21" t="s">
        <v>368</v>
      </c>
      <c r="AE2400" t="str">
        <f>VLOOKUP(Table_Query_from_Actuarial___Production3[[#This Row],[Kor1]],$AI$3:$AK$105,3,FALSE)</f>
        <v>Misc. Expense</v>
      </c>
      <c r="AF2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1" spans="18:32" x14ac:dyDescent="0.2">
      <c r="R2401" t="s">
        <v>24</v>
      </c>
      <c r="S2401" t="s">
        <v>4</v>
      </c>
      <c r="T2401" t="s">
        <v>8</v>
      </c>
      <c r="U2401" s="21">
        <v>-103.88</v>
      </c>
      <c r="V2401" s="21" t="s">
        <v>368</v>
      </c>
      <c r="W2401" t="str">
        <f>VLOOKUP(Table_Query_from_Actuarial___Production[[#This Row],[Kor1]],$AI$3:$AK$105,3,FALSE)</f>
        <v>Misc. Expense</v>
      </c>
      <c r="X2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1"/>
      <c r="Z2401" t="s">
        <v>31</v>
      </c>
      <c r="AA2401" t="s">
        <v>241</v>
      </c>
      <c r="AB2401" t="s">
        <v>9</v>
      </c>
      <c r="AC2401" s="21">
        <v>498.11</v>
      </c>
      <c r="AD2401" s="21" t="s">
        <v>368</v>
      </c>
      <c r="AE2401" t="str">
        <f>VLOOKUP(Table_Query_from_Actuarial___Production3[[#This Row],[Kor1]],$AI$3:$AK$105,3,FALSE)</f>
        <v>Misc. Expense</v>
      </c>
      <c r="AF2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2" spans="18:32" x14ac:dyDescent="0.2">
      <c r="R2402" t="s">
        <v>439</v>
      </c>
      <c r="S2402" t="s">
        <v>246</v>
      </c>
      <c r="T2402" t="s">
        <v>433</v>
      </c>
      <c r="U2402" s="21">
        <v>65714</v>
      </c>
      <c r="V2402" s="21" t="s">
        <v>368</v>
      </c>
      <c r="W2402" t="str">
        <f>VLOOKUP(Table_Query_from_Actuarial___Production[[#This Row],[Kor1]],$AI$3:$AK$105,3,FALSE)</f>
        <v>Operating Service Fees</v>
      </c>
      <c r="X2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2"/>
      <c r="Z2402" t="s">
        <v>49</v>
      </c>
      <c r="AA2402" t="s">
        <v>266</v>
      </c>
      <c r="AB2402" t="s">
        <v>7</v>
      </c>
      <c r="AC2402" s="21">
        <v>10969.46</v>
      </c>
      <c r="AD2402" s="21" t="s">
        <v>368</v>
      </c>
      <c r="AE2402" t="str">
        <f>VLOOKUP(Table_Query_from_Actuarial___Production3[[#This Row],[Kor1]],$AI$3:$AK$105,3,FALSE)</f>
        <v>ALAE Paid</v>
      </c>
      <c r="AF2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3" spans="18:32" x14ac:dyDescent="0.2">
      <c r="R2403" t="s">
        <v>17</v>
      </c>
      <c r="S2403" t="s">
        <v>229</v>
      </c>
      <c r="T2403" t="s">
        <v>441</v>
      </c>
      <c r="U2403" s="21">
        <v>5369.67</v>
      </c>
      <c r="V2403" s="21" t="s">
        <v>368</v>
      </c>
      <c r="W2403" t="str">
        <f>VLOOKUP(Table_Query_from_Actuarial___Production[[#This Row],[Kor1]],$AI$3:$AK$105,3,FALSE)</f>
        <v>IBNR</v>
      </c>
      <c r="X2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3"/>
      <c r="Z2403" t="s">
        <v>10</v>
      </c>
      <c r="AA2403" t="s">
        <v>242</v>
      </c>
      <c r="AB2403" t="s">
        <v>442</v>
      </c>
      <c r="AC2403" s="21">
        <v>47451.4</v>
      </c>
      <c r="AD2403" s="21" t="s">
        <v>368</v>
      </c>
      <c r="AE2403" t="str">
        <f>VLOOKUP(Table_Query_from_Actuarial___Production3[[#This Row],[Kor1]],$AI$3:$AK$105,3,FALSE)</f>
        <v>Commissions</v>
      </c>
      <c r="AF2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4" spans="18:32" x14ac:dyDescent="0.2">
      <c r="R2404" t="s">
        <v>33</v>
      </c>
      <c r="S2404" t="s">
        <v>253</v>
      </c>
      <c r="T2404" t="s">
        <v>443</v>
      </c>
      <c r="U2404" s="21">
        <v>12102.76</v>
      </c>
      <c r="V2404" s="21" t="s">
        <v>368</v>
      </c>
      <c r="W2404" t="str">
        <f>VLOOKUP(Table_Query_from_Actuarial___Production[[#This Row],[Kor1]],$AI$3:$AK$105,3,FALSE)</f>
        <v>Misc. Expense</v>
      </c>
      <c r="X2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4"/>
      <c r="Z2404" t="s">
        <v>11</v>
      </c>
      <c r="AA2404" t="s">
        <v>234</v>
      </c>
      <c r="AB2404" t="s">
        <v>9</v>
      </c>
      <c r="AC2404" s="21">
        <v>291425.59999999998</v>
      </c>
      <c r="AD2404" s="21" t="s">
        <v>368</v>
      </c>
      <c r="AE2404" t="str">
        <f>VLOOKUP(Table_Query_from_Actuarial___Production3[[#This Row],[Kor1]],$AI$3:$AK$105,3,FALSE)</f>
        <v>Losses Paid</v>
      </c>
      <c r="AF2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5" spans="18:32" x14ac:dyDescent="0.2">
      <c r="R2405" t="s">
        <v>13</v>
      </c>
      <c r="S2405" t="s">
        <v>225</v>
      </c>
      <c r="T2405" t="s">
        <v>443</v>
      </c>
      <c r="U2405" s="21">
        <v>132110.72</v>
      </c>
      <c r="V2405" s="21" t="s">
        <v>369</v>
      </c>
      <c r="W2405" t="str">
        <f>VLOOKUP(Table_Query_from_Actuarial___Production[[#This Row],[Kor1]],$AI$3:$AK$105,3,FALSE)</f>
        <v>Operating Service Fees</v>
      </c>
      <c r="X2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405"/>
      <c r="Z2405" t="s">
        <v>39</v>
      </c>
      <c r="AA2405" t="s">
        <v>234</v>
      </c>
      <c r="AB2405" t="s">
        <v>433</v>
      </c>
      <c r="AC2405" s="21">
        <v>5904</v>
      </c>
      <c r="AD2405" s="21" t="s">
        <v>368</v>
      </c>
      <c r="AE2405" t="str">
        <f>VLOOKUP(Table_Query_from_Actuarial___Production3[[#This Row],[Kor1]],$AI$3:$AK$105,3,FALSE)</f>
        <v>Misc. Income for Insolvent Companies</v>
      </c>
      <c r="AF2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6" spans="18:32" x14ac:dyDescent="0.2">
      <c r="R2406" t="s">
        <v>32</v>
      </c>
      <c r="S2406" t="s">
        <v>252</v>
      </c>
      <c r="T2406" t="s">
        <v>427</v>
      </c>
      <c r="U2406" s="21">
        <v>163589.31</v>
      </c>
      <c r="V2406" s="21" t="s">
        <v>368</v>
      </c>
      <c r="W2406" t="str">
        <f>VLOOKUP(Table_Query_from_Actuarial___Production[[#This Row],[Kor1]],$AI$3:$AK$105,3,FALSE)</f>
        <v>Misc. Expense</v>
      </c>
      <c r="X2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6"/>
      <c r="Z2406" t="s">
        <v>10</v>
      </c>
      <c r="AA2406" t="s">
        <v>246</v>
      </c>
      <c r="AB2406" t="s">
        <v>5</v>
      </c>
      <c r="AC2406" s="21">
        <v>7781.5</v>
      </c>
      <c r="AD2406" s="21" t="s">
        <v>368</v>
      </c>
      <c r="AE2406" t="str">
        <f>VLOOKUP(Table_Query_from_Actuarial___Production3[[#This Row],[Kor1]],$AI$3:$AK$105,3,FALSE)</f>
        <v>Commissions</v>
      </c>
      <c r="AF2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7" spans="18:32" x14ac:dyDescent="0.2">
      <c r="R2407" t="s">
        <v>14</v>
      </c>
      <c r="S2407" t="s">
        <v>236</v>
      </c>
      <c r="T2407" t="s">
        <v>445</v>
      </c>
      <c r="U2407" s="21">
        <v>188.81</v>
      </c>
      <c r="V2407" s="21" t="s">
        <v>368</v>
      </c>
      <c r="W2407" t="str">
        <f>VLOOKUP(Table_Query_from_Actuarial___Production[[#This Row],[Kor1]],$AI$3:$AK$105,3,FALSE)</f>
        <v>Claims Expense</v>
      </c>
      <c r="X2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7"/>
      <c r="Z2407" t="s">
        <v>14</v>
      </c>
      <c r="AA2407" t="s">
        <v>232</v>
      </c>
      <c r="AB2407" t="s">
        <v>443</v>
      </c>
      <c r="AC2407" s="21">
        <v>10382.549999999999</v>
      </c>
      <c r="AD2407" s="21" t="s">
        <v>368</v>
      </c>
      <c r="AE2407" t="str">
        <f>VLOOKUP(Table_Query_from_Actuarial___Production3[[#This Row],[Kor1]],$AI$3:$AK$105,3,FALSE)</f>
        <v>Claims Expense</v>
      </c>
      <c r="AF2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8" spans="18:32" x14ac:dyDescent="0.2">
      <c r="R2408" t="s">
        <v>43</v>
      </c>
      <c r="S2408" t="s">
        <v>232</v>
      </c>
      <c r="T2408" t="s">
        <v>441</v>
      </c>
      <c r="U2408" s="21">
        <v>355.33</v>
      </c>
      <c r="V2408" s="21" t="s">
        <v>368</v>
      </c>
      <c r="W2408" t="str">
        <f>VLOOKUP(Table_Query_from_Actuarial___Production[[#This Row],[Kor1]],$AI$3:$AK$105,3,FALSE)</f>
        <v>Charge-offs</v>
      </c>
      <c r="X2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8"/>
      <c r="Z2408" t="s">
        <v>21</v>
      </c>
      <c r="AA2408" t="s">
        <v>263</v>
      </c>
      <c r="AB2408" t="s">
        <v>441</v>
      </c>
      <c r="AC2408" s="21">
        <v>882</v>
      </c>
      <c r="AD2408" s="21" t="s">
        <v>368</v>
      </c>
      <c r="AE2408" t="str">
        <f>VLOOKUP(Table_Query_from_Actuarial___Production3[[#This Row],[Kor1]],$AI$3:$AK$105,3,FALSE)</f>
        <v>Misc. Expense</v>
      </c>
      <c r="AF2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09" spans="18:32" x14ac:dyDescent="0.2">
      <c r="R2409" t="s">
        <v>44</v>
      </c>
      <c r="S2409" t="s">
        <v>232</v>
      </c>
      <c r="T2409" t="s">
        <v>442</v>
      </c>
      <c r="U2409" s="21">
        <v>133056.62</v>
      </c>
      <c r="V2409" s="21" t="s">
        <v>368</v>
      </c>
      <c r="W2409" t="str">
        <f>VLOOKUP(Table_Query_from_Actuarial___Production[[#This Row],[Kor1]],$AI$3:$AK$105,3,FALSE)</f>
        <v>Charge-offs</v>
      </c>
      <c r="X2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09"/>
      <c r="Z2409" t="s">
        <v>17</v>
      </c>
      <c r="AA2409" t="s">
        <v>235</v>
      </c>
      <c r="AB2409" t="s">
        <v>427</v>
      </c>
      <c r="AC2409" s="21">
        <v>7287.64</v>
      </c>
      <c r="AD2409" s="21" t="s">
        <v>368</v>
      </c>
      <c r="AE2409" t="str">
        <f>VLOOKUP(Table_Query_from_Actuarial___Production3[[#This Row],[Kor1]],$AI$3:$AK$105,3,FALSE)</f>
        <v>IBNR</v>
      </c>
      <c r="AF2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0" spans="18:32" x14ac:dyDescent="0.2">
      <c r="R2410" t="s">
        <v>49</v>
      </c>
      <c r="S2410" t="s">
        <v>244</v>
      </c>
      <c r="T2410" t="s">
        <v>8</v>
      </c>
      <c r="U2410" s="21">
        <v>108581.09</v>
      </c>
      <c r="V2410" s="21" t="s">
        <v>368</v>
      </c>
      <c r="W2410" t="str">
        <f>VLOOKUP(Table_Query_from_Actuarial___Production[[#This Row],[Kor1]],$AI$3:$AK$105,3,FALSE)</f>
        <v>ALAE Paid</v>
      </c>
      <c r="X2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0"/>
      <c r="Z2410" t="s">
        <v>44</v>
      </c>
      <c r="AA2410" t="s">
        <v>231</v>
      </c>
      <c r="AB2410" t="s">
        <v>433</v>
      </c>
      <c r="AC2410" s="21">
        <v>1921.14</v>
      </c>
      <c r="AD2410" s="21" t="s">
        <v>368</v>
      </c>
      <c r="AE2410" t="str">
        <f>VLOOKUP(Table_Query_from_Actuarial___Production3[[#This Row],[Kor1]],$AI$3:$AK$105,3,FALSE)</f>
        <v>Charge-offs</v>
      </c>
      <c r="AF2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1" spans="18:32" x14ac:dyDescent="0.2">
      <c r="R2411" t="s">
        <v>130</v>
      </c>
      <c r="S2411" t="s">
        <v>224</v>
      </c>
      <c r="T2411" t="s">
        <v>433</v>
      </c>
      <c r="U2411" s="21">
        <v>1404532.84</v>
      </c>
      <c r="V2411" s="21" t="s">
        <v>370</v>
      </c>
      <c r="W2411" t="str">
        <f>VLOOKUP(Table_Query_from_Actuarial___Production[[#This Row],[Kor1]],$AI$3:$AK$105,3,FALSE)</f>
        <v>CPAI Charge-offs</v>
      </c>
      <c r="X2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411"/>
      <c r="Z2411" t="s">
        <v>14</v>
      </c>
      <c r="AA2411" t="s">
        <v>228</v>
      </c>
      <c r="AB2411" t="s">
        <v>351</v>
      </c>
      <c r="AC2411" s="21">
        <v>22961.45</v>
      </c>
      <c r="AD2411" s="21" t="s">
        <v>368</v>
      </c>
      <c r="AE2411" t="str">
        <f>VLOOKUP(Table_Query_from_Actuarial___Production3[[#This Row],[Kor1]],$AI$3:$AK$105,3,FALSE)</f>
        <v>Claims Expense</v>
      </c>
      <c r="AF2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2" spans="18:32" x14ac:dyDescent="0.2">
      <c r="R2412" t="s">
        <v>38</v>
      </c>
      <c r="S2412" t="s">
        <v>225</v>
      </c>
      <c r="T2412" t="s">
        <v>442</v>
      </c>
      <c r="U2412" s="21">
        <v>964270.9</v>
      </c>
      <c r="V2412" s="21" t="s">
        <v>369</v>
      </c>
      <c r="W2412" t="str">
        <f>VLOOKUP(Table_Query_from_Actuarial___Production[[#This Row],[Kor1]],$AI$3:$AK$105,3,FALSE)</f>
        <v>Misc. Income</v>
      </c>
      <c r="X2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412"/>
      <c r="Z2412" t="s">
        <v>33</v>
      </c>
      <c r="AA2412" t="s">
        <v>263</v>
      </c>
      <c r="AB2412" t="s">
        <v>5</v>
      </c>
      <c r="AC2412" s="21">
        <v>13781.68</v>
      </c>
      <c r="AD2412" s="21" t="s">
        <v>368</v>
      </c>
      <c r="AE2412" t="str">
        <f>VLOOKUP(Table_Query_from_Actuarial___Production3[[#This Row],[Kor1]],$AI$3:$AK$105,3,FALSE)</f>
        <v>Misc. Expense</v>
      </c>
      <c r="AF2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3" spans="18:32" x14ac:dyDescent="0.2">
      <c r="R2413" t="s">
        <v>3</v>
      </c>
      <c r="S2413" t="s">
        <v>252</v>
      </c>
      <c r="T2413" t="s">
        <v>433</v>
      </c>
      <c r="U2413" s="21">
        <v>28512889</v>
      </c>
      <c r="V2413" s="21" t="s">
        <v>368</v>
      </c>
      <c r="W2413" t="str">
        <f>VLOOKUP(Table_Query_from_Actuarial___Production[[#This Row],[Kor1]],$AI$3:$AK$105,3,FALSE)</f>
        <v>Premiums Written</v>
      </c>
      <c r="X2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3"/>
      <c r="Z2413" t="s">
        <v>17</v>
      </c>
      <c r="AA2413" t="s">
        <v>226</v>
      </c>
      <c r="AB2413" t="s">
        <v>441</v>
      </c>
      <c r="AC2413" s="21">
        <v>3664649.39</v>
      </c>
      <c r="AD2413" s="21" t="s">
        <v>368</v>
      </c>
      <c r="AE2413" t="str">
        <f>VLOOKUP(Table_Query_from_Actuarial___Production3[[#This Row],[Kor1]],$AI$3:$AK$105,3,FALSE)</f>
        <v>IBNR</v>
      </c>
      <c r="AF2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414" spans="18:32" x14ac:dyDescent="0.2">
      <c r="R2414" t="s">
        <v>12</v>
      </c>
      <c r="S2414" t="s">
        <v>228</v>
      </c>
      <c r="T2414" t="s">
        <v>7</v>
      </c>
      <c r="U2414" s="21">
        <v>9271.7999999999993</v>
      </c>
      <c r="V2414" s="21" t="s">
        <v>368</v>
      </c>
      <c r="W2414" t="str">
        <f>VLOOKUP(Table_Query_from_Actuarial___Production[[#This Row],[Kor1]],$AI$3:$AK$105,3,FALSE)</f>
        <v>Premium Tax</v>
      </c>
      <c r="X2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4"/>
      <c r="Z2414" t="s">
        <v>15</v>
      </c>
      <c r="AA2414" t="s">
        <v>229</v>
      </c>
      <c r="AB2414" t="s">
        <v>443</v>
      </c>
      <c r="AC2414" s="21">
        <v>15676.24</v>
      </c>
      <c r="AD2414" s="21" t="s">
        <v>368</v>
      </c>
      <c r="AE2414" t="str">
        <f>VLOOKUP(Table_Query_from_Actuarial___Production3[[#This Row],[Kor1]],$AI$3:$AK$105,3,FALSE)</f>
        <v>Unearned Premiums</v>
      </c>
      <c r="AF2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5" spans="18:32" x14ac:dyDescent="0.2">
      <c r="R2415" t="s">
        <v>10</v>
      </c>
      <c r="S2415" t="s">
        <v>256</v>
      </c>
      <c r="T2415" t="s">
        <v>441</v>
      </c>
      <c r="U2415" s="21">
        <v>5752.25</v>
      </c>
      <c r="V2415" s="21" t="s">
        <v>368</v>
      </c>
      <c r="W2415" t="str">
        <f>VLOOKUP(Table_Query_from_Actuarial___Production[[#This Row],[Kor1]],$AI$3:$AK$105,3,FALSE)</f>
        <v>Commissions</v>
      </c>
      <c r="X2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5"/>
      <c r="Z2415" t="s">
        <v>17</v>
      </c>
      <c r="AA2415" t="s">
        <v>239</v>
      </c>
      <c r="AB2415" t="s">
        <v>433</v>
      </c>
      <c r="AC2415" s="21">
        <v>674428.69</v>
      </c>
      <c r="AD2415" s="21" t="s">
        <v>368</v>
      </c>
      <c r="AE2415" t="str">
        <f>VLOOKUP(Table_Query_from_Actuarial___Production3[[#This Row],[Kor1]],$AI$3:$AK$105,3,FALSE)</f>
        <v>IBNR</v>
      </c>
      <c r="AF2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6" spans="18:32" x14ac:dyDescent="0.2">
      <c r="R2416" t="s">
        <v>13</v>
      </c>
      <c r="S2416" t="s">
        <v>243</v>
      </c>
      <c r="T2416" t="s">
        <v>7</v>
      </c>
      <c r="U2416" s="21">
        <v>97902.84</v>
      </c>
      <c r="V2416" s="21" t="s">
        <v>368</v>
      </c>
      <c r="W2416" t="str">
        <f>VLOOKUP(Table_Query_from_Actuarial___Production[[#This Row],[Kor1]],$AI$3:$AK$105,3,FALSE)</f>
        <v>Operating Service Fees</v>
      </c>
      <c r="X2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6"/>
      <c r="Z2416" t="s">
        <v>47</v>
      </c>
      <c r="AA2416" t="s">
        <v>241</v>
      </c>
      <c r="AB2416" t="s">
        <v>6</v>
      </c>
      <c r="AC2416" s="21">
        <v>0.09</v>
      </c>
      <c r="AD2416" s="21" t="s">
        <v>368</v>
      </c>
      <c r="AE2416" t="str">
        <f>VLOOKUP(Table_Query_from_Actuarial___Production3[[#This Row],[Kor1]],$AI$3:$AK$105,3,FALSE)</f>
        <v>Investment Income</v>
      </c>
      <c r="AF2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7" spans="18:32" x14ac:dyDescent="0.2">
      <c r="R2417" t="s">
        <v>20</v>
      </c>
      <c r="S2417" t="s">
        <v>233</v>
      </c>
      <c r="T2417" t="s">
        <v>442</v>
      </c>
      <c r="U2417" s="21">
        <v>178.72</v>
      </c>
      <c r="V2417" s="21" t="s">
        <v>368</v>
      </c>
      <c r="W2417" t="str">
        <f>VLOOKUP(Table_Query_from_Actuarial___Production[[#This Row],[Kor1]],$AI$3:$AK$105,3,FALSE)</f>
        <v>Misc. Expense</v>
      </c>
      <c r="X2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7"/>
      <c r="Z2417" t="s">
        <v>3</v>
      </c>
      <c r="AA2417" t="s">
        <v>224</v>
      </c>
      <c r="AB2417" t="s">
        <v>443</v>
      </c>
      <c r="AC2417" s="21">
        <v>1157687</v>
      </c>
      <c r="AD2417" s="21" t="s">
        <v>368</v>
      </c>
      <c r="AE2417" t="str">
        <f>VLOOKUP(Table_Query_from_Actuarial___Production3[[#This Row],[Kor1]],$AI$3:$AK$105,3,FALSE)</f>
        <v>Premiums Written</v>
      </c>
      <c r="AF2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418" spans="18:32" x14ac:dyDescent="0.2">
      <c r="R2418" t="s">
        <v>26</v>
      </c>
      <c r="S2418" t="s">
        <v>4</v>
      </c>
      <c r="T2418" t="s">
        <v>6</v>
      </c>
      <c r="U2418" s="21">
        <v>-2057.12</v>
      </c>
      <c r="V2418" s="21" t="s">
        <v>368</v>
      </c>
      <c r="W2418" t="str">
        <f>VLOOKUP(Table_Query_from_Actuarial___Production[[#This Row],[Kor1]],$AI$3:$AK$105,3,FALSE)</f>
        <v>Misc. Expense</v>
      </c>
      <c r="X2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8"/>
      <c r="Z2418" t="s">
        <v>39</v>
      </c>
      <c r="AA2418" t="s">
        <v>261</v>
      </c>
      <c r="AB2418" t="s">
        <v>441</v>
      </c>
      <c r="AC2418" s="21">
        <v>824.65</v>
      </c>
      <c r="AD2418" s="21" t="s">
        <v>368</v>
      </c>
      <c r="AE2418" t="str">
        <f>VLOOKUP(Table_Query_from_Actuarial___Production3[[#This Row],[Kor1]],$AI$3:$AK$105,3,FALSE)</f>
        <v>Misc. Income for Insolvent Companies</v>
      </c>
      <c r="AF2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19" spans="18:32" x14ac:dyDescent="0.2">
      <c r="R2419" t="s">
        <v>32</v>
      </c>
      <c r="S2419" t="s">
        <v>254</v>
      </c>
      <c r="T2419" t="s">
        <v>433</v>
      </c>
      <c r="U2419" s="21">
        <v>72014.399999999994</v>
      </c>
      <c r="V2419" s="21" t="s">
        <v>368</v>
      </c>
      <c r="W2419" t="str">
        <f>VLOOKUP(Table_Query_from_Actuarial___Production[[#This Row],[Kor1]],$AI$3:$AK$105,3,FALSE)</f>
        <v>Misc. Expense</v>
      </c>
      <c r="X2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19"/>
      <c r="Z2419" t="s">
        <v>43</v>
      </c>
      <c r="AA2419" t="s">
        <v>257</v>
      </c>
      <c r="AB2419" t="s">
        <v>441</v>
      </c>
      <c r="AC2419" s="21">
        <v>-196.03</v>
      </c>
      <c r="AD2419" s="21" t="s">
        <v>368</v>
      </c>
      <c r="AE2419" t="str">
        <f>VLOOKUP(Table_Query_from_Actuarial___Production3[[#This Row],[Kor1]],$AI$3:$AK$105,3,FALSE)</f>
        <v>Charge-offs</v>
      </c>
      <c r="AF2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0" spans="18:32" x14ac:dyDescent="0.2">
      <c r="R2420" t="s">
        <v>17</v>
      </c>
      <c r="S2420" t="s">
        <v>226</v>
      </c>
      <c r="T2420" t="s">
        <v>351</v>
      </c>
      <c r="U2420" s="21">
        <v>1191488.1599999999</v>
      </c>
      <c r="V2420" s="21" t="s">
        <v>368</v>
      </c>
      <c r="W2420" t="str">
        <f>VLOOKUP(Table_Query_from_Actuarial___Production[[#This Row],[Kor1]],$AI$3:$AK$105,3,FALSE)</f>
        <v>IBNR</v>
      </c>
      <c r="X2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420"/>
      <c r="Z2420" t="s">
        <v>14</v>
      </c>
      <c r="AA2420" t="s">
        <v>232</v>
      </c>
      <c r="AB2420" t="s">
        <v>427</v>
      </c>
      <c r="AC2420" s="21">
        <v>67333.100000000006</v>
      </c>
      <c r="AD2420" s="21" t="s">
        <v>368</v>
      </c>
      <c r="AE2420" t="str">
        <f>VLOOKUP(Table_Query_from_Actuarial___Production3[[#This Row],[Kor1]],$AI$3:$AK$105,3,FALSE)</f>
        <v>Claims Expense</v>
      </c>
      <c r="AF2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1" spans="18:32" x14ac:dyDescent="0.2">
      <c r="R2421" t="s">
        <v>18</v>
      </c>
      <c r="S2421" t="s">
        <v>354</v>
      </c>
      <c r="T2421" t="s">
        <v>8</v>
      </c>
      <c r="U2421" s="21">
        <v>5723881.1100000003</v>
      </c>
      <c r="V2421" s="21" t="s">
        <v>369</v>
      </c>
      <c r="W2421" t="str">
        <f>VLOOKUP(Table_Query_from_Actuarial___Production[[#This Row],[Kor1]],$AI$3:$AK$105,3,FALSE)</f>
        <v>Misc. Expense</v>
      </c>
      <c r="X2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421"/>
      <c r="Z2421" t="s">
        <v>40</v>
      </c>
      <c r="AA2421" t="s">
        <v>249</v>
      </c>
      <c r="AB2421" t="s">
        <v>6</v>
      </c>
      <c r="AC2421" s="21">
        <v>24.01</v>
      </c>
      <c r="AD2421" s="21" t="s">
        <v>368</v>
      </c>
      <c r="AE2421" t="str">
        <f>VLOOKUP(Table_Query_from_Actuarial___Production3[[#This Row],[Kor1]],$AI$3:$AK$105,3,FALSE)</f>
        <v>Misc. Income</v>
      </c>
      <c r="AF2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2" spans="18:32" x14ac:dyDescent="0.2">
      <c r="R2422" t="s">
        <v>39</v>
      </c>
      <c r="S2422" t="s">
        <v>261</v>
      </c>
      <c r="T2422" t="s">
        <v>351</v>
      </c>
      <c r="U2422" s="21">
        <v>1102.01</v>
      </c>
      <c r="V2422" s="21" t="s">
        <v>368</v>
      </c>
      <c r="W2422" t="str">
        <f>VLOOKUP(Table_Query_from_Actuarial___Production[[#This Row],[Kor1]],$AI$3:$AK$105,3,FALSE)</f>
        <v>Misc. Income for Insolvent Companies</v>
      </c>
      <c r="X2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2"/>
      <c r="Z2422" t="s">
        <v>30</v>
      </c>
      <c r="AA2422" t="s">
        <v>259</v>
      </c>
      <c r="AB2422" t="s">
        <v>8</v>
      </c>
      <c r="AC2422" s="21">
        <v>1192.8800000000001</v>
      </c>
      <c r="AD2422" s="21" t="s">
        <v>368</v>
      </c>
      <c r="AE2422" t="str">
        <f>VLOOKUP(Table_Query_from_Actuarial___Production3[[#This Row],[Kor1]],$AI$3:$AK$105,3,FALSE)</f>
        <v>Misc. Expense</v>
      </c>
      <c r="AF2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3" spans="18:32" x14ac:dyDescent="0.2">
      <c r="R2423" t="s">
        <v>43</v>
      </c>
      <c r="S2423" t="s">
        <v>268</v>
      </c>
      <c r="T2423" t="s">
        <v>441</v>
      </c>
      <c r="U2423" s="21">
        <v>1.81</v>
      </c>
      <c r="V2423" s="21" t="s">
        <v>368</v>
      </c>
      <c r="W2423" t="str">
        <f>VLOOKUP(Table_Query_from_Actuarial___Production[[#This Row],[Kor1]],$AI$3:$AK$105,3,FALSE)</f>
        <v>Charge-offs</v>
      </c>
      <c r="X2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3"/>
      <c r="Z2423" t="s">
        <v>33</v>
      </c>
      <c r="AA2423" t="s">
        <v>258</v>
      </c>
      <c r="AB2423" t="s">
        <v>442</v>
      </c>
      <c r="AC2423" s="21">
        <v>23407.83</v>
      </c>
      <c r="AD2423" s="21" t="s">
        <v>368</v>
      </c>
      <c r="AE2423" t="str">
        <f>VLOOKUP(Table_Query_from_Actuarial___Production3[[#This Row],[Kor1]],$AI$3:$AK$105,3,FALSE)</f>
        <v>Misc. Expense</v>
      </c>
      <c r="AF2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4" spans="18:32" x14ac:dyDescent="0.2">
      <c r="R2424" t="s">
        <v>44</v>
      </c>
      <c r="S2424" t="s">
        <v>243</v>
      </c>
      <c r="T2424" t="s">
        <v>427</v>
      </c>
      <c r="U2424" s="21">
        <v>1500.95</v>
      </c>
      <c r="V2424" s="21" t="s">
        <v>368</v>
      </c>
      <c r="W2424" t="str">
        <f>VLOOKUP(Table_Query_from_Actuarial___Production[[#This Row],[Kor1]],$AI$3:$AK$105,3,FALSE)</f>
        <v>Charge-offs</v>
      </c>
      <c r="X2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4"/>
      <c r="Z2424" t="s">
        <v>16</v>
      </c>
      <c r="AA2424" t="s">
        <v>354</v>
      </c>
      <c r="AB2424" t="s">
        <v>8</v>
      </c>
      <c r="AC2424" s="21">
        <v>34809.230000000003</v>
      </c>
      <c r="AD2424" s="21" t="s">
        <v>368</v>
      </c>
      <c r="AE2424" t="str">
        <f>VLOOKUP(Table_Query_from_Actuarial___Production3[[#This Row],[Kor1]],$AI$3:$AK$105,3,FALSE)</f>
        <v>Losses Outstanding</v>
      </c>
      <c r="AF2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425" spans="18:32" x14ac:dyDescent="0.2">
      <c r="R2425" t="s">
        <v>36</v>
      </c>
      <c r="S2425" t="s">
        <v>4</v>
      </c>
      <c r="T2425" t="s">
        <v>7</v>
      </c>
      <c r="U2425" s="21">
        <v>174450.45</v>
      </c>
      <c r="V2425" s="21" t="s">
        <v>368</v>
      </c>
      <c r="W2425" t="str">
        <f>VLOOKUP(Table_Query_from_Actuarial___Production[[#This Row],[Kor1]],$AI$3:$AK$105,3,FALSE)</f>
        <v>Misc. Expense</v>
      </c>
      <c r="X2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5"/>
      <c r="Z2425" t="s">
        <v>3</v>
      </c>
      <c r="AA2425" t="s">
        <v>230</v>
      </c>
      <c r="AB2425" t="s">
        <v>8</v>
      </c>
      <c r="AC2425" s="21">
        <v>23149251</v>
      </c>
      <c r="AD2425" s="21" t="s">
        <v>368</v>
      </c>
      <c r="AE2425" t="str">
        <f>VLOOKUP(Table_Query_from_Actuarial___Production3[[#This Row],[Kor1]],$AI$3:$AK$105,3,FALSE)</f>
        <v>Premiums Written</v>
      </c>
      <c r="AF2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6" spans="18:32" x14ac:dyDescent="0.2">
      <c r="R2426" t="s">
        <v>44</v>
      </c>
      <c r="S2426" t="s">
        <v>263</v>
      </c>
      <c r="T2426" t="s">
        <v>356</v>
      </c>
      <c r="U2426" s="21">
        <v>0.3</v>
      </c>
      <c r="V2426" s="21" t="s">
        <v>368</v>
      </c>
      <c r="W2426" t="str">
        <f>VLOOKUP(Table_Query_from_Actuarial___Production[[#This Row],[Kor1]],$AI$3:$AK$105,3,FALSE)</f>
        <v>Charge-offs</v>
      </c>
      <c r="X2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6"/>
      <c r="Z2426" t="s">
        <v>11</v>
      </c>
      <c r="AA2426" t="s">
        <v>237</v>
      </c>
      <c r="AB2426" t="s">
        <v>441</v>
      </c>
      <c r="AC2426" s="21">
        <v>33633037.829999998</v>
      </c>
      <c r="AD2426" s="21" t="s">
        <v>368</v>
      </c>
      <c r="AE2426" t="str">
        <f>VLOOKUP(Table_Query_from_Actuarial___Production3[[#This Row],[Kor1]],$AI$3:$AK$105,3,FALSE)</f>
        <v>Losses Paid</v>
      </c>
      <c r="AF2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7" spans="18:32" x14ac:dyDescent="0.2">
      <c r="R2427" t="s">
        <v>20</v>
      </c>
      <c r="S2427" t="s">
        <v>244</v>
      </c>
      <c r="T2427" t="s">
        <v>427</v>
      </c>
      <c r="U2427" s="21">
        <v>429.22</v>
      </c>
      <c r="V2427" s="21" t="s">
        <v>368</v>
      </c>
      <c r="W2427" t="str">
        <f>VLOOKUP(Table_Query_from_Actuarial___Production[[#This Row],[Kor1]],$AI$3:$AK$105,3,FALSE)</f>
        <v>Misc. Expense</v>
      </c>
      <c r="X2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7"/>
      <c r="Z2427" t="s">
        <v>46</v>
      </c>
      <c r="AA2427" t="s">
        <v>224</v>
      </c>
      <c r="AB2427" t="s">
        <v>6</v>
      </c>
      <c r="AC2427" s="21">
        <v>432.12</v>
      </c>
      <c r="AD2427" s="21" t="s">
        <v>370</v>
      </c>
      <c r="AE2427" t="str">
        <f>VLOOKUP(Table_Query_from_Actuarial___Production3[[#This Row],[Kor1]],$AI$3:$AK$105,3,FALSE)</f>
        <v>Investment Income</v>
      </c>
      <c r="AF2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428" spans="18:32" x14ac:dyDescent="0.2">
      <c r="R2428" t="s">
        <v>20</v>
      </c>
      <c r="S2428" t="s">
        <v>262</v>
      </c>
      <c r="T2428" t="s">
        <v>8</v>
      </c>
      <c r="U2428" s="21">
        <v>105.85</v>
      </c>
      <c r="V2428" s="21" t="s">
        <v>368</v>
      </c>
      <c r="W2428" t="str">
        <f>VLOOKUP(Table_Query_from_Actuarial___Production[[#This Row],[Kor1]],$AI$3:$AK$105,3,FALSE)</f>
        <v>Misc. Expense</v>
      </c>
      <c r="X2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8"/>
      <c r="Z2428" t="s">
        <v>29</v>
      </c>
      <c r="AA2428" t="s">
        <v>234</v>
      </c>
      <c r="AB2428" t="s">
        <v>6</v>
      </c>
      <c r="AC2428" s="21">
        <v>6711.15</v>
      </c>
      <c r="AD2428" s="21" t="s">
        <v>368</v>
      </c>
      <c r="AE2428" t="str">
        <f>VLOOKUP(Table_Query_from_Actuarial___Production3[[#This Row],[Kor1]],$AI$3:$AK$105,3,FALSE)</f>
        <v>Misc. Expense</v>
      </c>
      <c r="AF2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29" spans="18:32" x14ac:dyDescent="0.2">
      <c r="R2429" t="s">
        <v>39</v>
      </c>
      <c r="S2429" t="s">
        <v>244</v>
      </c>
      <c r="T2429" t="s">
        <v>8</v>
      </c>
      <c r="U2429" s="21">
        <v>977</v>
      </c>
      <c r="V2429" s="21" t="s">
        <v>368</v>
      </c>
      <c r="W2429" t="str">
        <f>VLOOKUP(Table_Query_from_Actuarial___Production[[#This Row],[Kor1]],$AI$3:$AK$105,3,FALSE)</f>
        <v>Misc. Income for Insolvent Companies</v>
      </c>
      <c r="X2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29"/>
      <c r="Z2429" t="s">
        <v>11</v>
      </c>
      <c r="AA2429" t="s">
        <v>240</v>
      </c>
      <c r="AB2429" t="s">
        <v>351</v>
      </c>
      <c r="AC2429" s="21">
        <v>2659381.21</v>
      </c>
      <c r="AD2429" s="21" t="s">
        <v>368</v>
      </c>
      <c r="AE2429" t="str">
        <f>VLOOKUP(Table_Query_from_Actuarial___Production3[[#This Row],[Kor1]],$AI$3:$AK$105,3,FALSE)</f>
        <v>Losses Paid</v>
      </c>
      <c r="AF2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0" spans="18:32" x14ac:dyDescent="0.2">
      <c r="R2430" t="s">
        <v>10</v>
      </c>
      <c r="S2430" t="s">
        <v>228</v>
      </c>
      <c r="T2430" t="s">
        <v>427</v>
      </c>
      <c r="U2430" s="21">
        <v>465948.55</v>
      </c>
      <c r="V2430" s="21" t="s">
        <v>368</v>
      </c>
      <c r="W2430" t="str">
        <f>VLOOKUP(Table_Query_from_Actuarial___Production[[#This Row],[Kor1]],$AI$3:$AK$105,3,FALSE)</f>
        <v>Commissions</v>
      </c>
      <c r="X2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0"/>
      <c r="Z2430" t="s">
        <v>33</v>
      </c>
      <c r="AA2430" t="s">
        <v>258</v>
      </c>
      <c r="AB2430" t="s">
        <v>7</v>
      </c>
      <c r="AC2430" s="21">
        <v>14162.93</v>
      </c>
      <c r="AD2430" s="21" t="s">
        <v>368</v>
      </c>
      <c r="AE2430" t="str">
        <f>VLOOKUP(Table_Query_from_Actuarial___Production3[[#This Row],[Kor1]],$AI$3:$AK$105,3,FALSE)</f>
        <v>Misc. Expense</v>
      </c>
      <c r="AF2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1" spans="18:32" x14ac:dyDescent="0.2">
      <c r="R2431" t="s">
        <v>21</v>
      </c>
      <c r="S2431" t="s">
        <v>228</v>
      </c>
      <c r="T2431" t="s">
        <v>441</v>
      </c>
      <c r="U2431" s="21">
        <v>923.01</v>
      </c>
      <c r="V2431" s="21" t="s">
        <v>368</v>
      </c>
      <c r="W2431" t="str">
        <f>VLOOKUP(Table_Query_from_Actuarial___Production[[#This Row],[Kor1]],$AI$3:$AK$105,3,FALSE)</f>
        <v>Misc. Expense</v>
      </c>
      <c r="X2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1"/>
      <c r="Z2431" t="s">
        <v>12</v>
      </c>
      <c r="AA2431" t="s">
        <v>247</v>
      </c>
      <c r="AB2431" t="s">
        <v>356</v>
      </c>
      <c r="AC2431" s="21">
        <v>277.94</v>
      </c>
      <c r="AD2431" s="21" t="s">
        <v>368</v>
      </c>
      <c r="AE2431" t="str">
        <f>VLOOKUP(Table_Query_from_Actuarial___Production3[[#This Row],[Kor1]],$AI$3:$AK$105,3,FALSE)</f>
        <v>Premium Tax</v>
      </c>
      <c r="AF2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2" spans="18:32" x14ac:dyDescent="0.2">
      <c r="R2432" t="s">
        <v>39</v>
      </c>
      <c r="S2432" t="s">
        <v>242</v>
      </c>
      <c r="T2432" t="s">
        <v>9</v>
      </c>
      <c r="U2432" s="21">
        <v>17322</v>
      </c>
      <c r="V2432" s="21" t="s">
        <v>368</v>
      </c>
      <c r="W2432" t="str">
        <f>VLOOKUP(Table_Query_from_Actuarial___Production[[#This Row],[Kor1]],$AI$3:$AK$105,3,FALSE)</f>
        <v>Misc. Income for Insolvent Companies</v>
      </c>
      <c r="X2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2"/>
      <c r="Z2432" t="s">
        <v>31</v>
      </c>
      <c r="AA2432" t="s">
        <v>231</v>
      </c>
      <c r="AB2432" t="s">
        <v>442</v>
      </c>
      <c r="AC2432" s="21">
        <v>1204</v>
      </c>
      <c r="AD2432" s="21" t="s">
        <v>368</v>
      </c>
      <c r="AE2432" t="str">
        <f>VLOOKUP(Table_Query_from_Actuarial___Production3[[#This Row],[Kor1]],$AI$3:$AK$105,3,FALSE)</f>
        <v>Misc. Expense</v>
      </c>
      <c r="AF2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3" spans="18:32" x14ac:dyDescent="0.2">
      <c r="R2433" t="s">
        <v>43</v>
      </c>
      <c r="S2433" t="s">
        <v>4</v>
      </c>
      <c r="T2433" t="s">
        <v>6</v>
      </c>
      <c r="U2433" s="21">
        <v>1896.19</v>
      </c>
      <c r="V2433" s="21" t="s">
        <v>368</v>
      </c>
      <c r="W2433" t="str">
        <f>VLOOKUP(Table_Query_from_Actuarial___Production[[#This Row],[Kor1]],$AI$3:$AK$105,3,FALSE)</f>
        <v>Charge-offs</v>
      </c>
      <c r="X2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3"/>
      <c r="Z2433" t="s">
        <v>44</v>
      </c>
      <c r="AA2433" t="s">
        <v>4</v>
      </c>
      <c r="AB2433" t="s">
        <v>9</v>
      </c>
      <c r="AC2433" s="21">
        <v>1131480.51</v>
      </c>
      <c r="AD2433" s="21" t="s">
        <v>368</v>
      </c>
      <c r="AE2433" t="str">
        <f>VLOOKUP(Table_Query_from_Actuarial___Production3[[#This Row],[Kor1]],$AI$3:$AK$105,3,FALSE)</f>
        <v>Charge-offs</v>
      </c>
      <c r="AF2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4" spans="18:32" x14ac:dyDescent="0.2">
      <c r="R2434" t="s">
        <v>19</v>
      </c>
      <c r="S2434" t="s">
        <v>234</v>
      </c>
      <c r="T2434" t="s">
        <v>8</v>
      </c>
      <c r="U2434" s="21">
        <v>6</v>
      </c>
      <c r="V2434" s="21" t="s">
        <v>368</v>
      </c>
      <c r="W2434" t="str">
        <f>VLOOKUP(Table_Query_from_Actuarial___Production[[#This Row],[Kor1]],$AI$3:$AK$105,3,FALSE)</f>
        <v>Misc. Expense for Insolvent Companies</v>
      </c>
      <c r="X2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4"/>
      <c r="Z2434" t="s">
        <v>20</v>
      </c>
      <c r="AA2434" t="s">
        <v>261</v>
      </c>
      <c r="AB2434" t="s">
        <v>9</v>
      </c>
      <c r="AC2434" s="21">
        <v>543.69000000000005</v>
      </c>
      <c r="AD2434" s="21" t="s">
        <v>368</v>
      </c>
      <c r="AE2434" t="str">
        <f>VLOOKUP(Table_Query_from_Actuarial___Production3[[#This Row],[Kor1]],$AI$3:$AK$105,3,FALSE)</f>
        <v>Misc. Expense</v>
      </c>
      <c r="AF2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5" spans="18:32" x14ac:dyDescent="0.2">
      <c r="R2435" t="s">
        <v>107</v>
      </c>
      <c r="S2435" t="s">
        <v>259</v>
      </c>
      <c r="T2435" t="s">
        <v>433</v>
      </c>
      <c r="U2435" s="21">
        <v>123.44</v>
      </c>
      <c r="V2435" s="21" t="s">
        <v>368</v>
      </c>
      <c r="W2435" t="str">
        <f>VLOOKUP(Table_Query_from_Actuarial___Production[[#This Row],[Kor1]],$AI$3:$AK$105,3,FALSE)</f>
        <v>Misc. Expense</v>
      </c>
      <c r="X2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5"/>
      <c r="Z2435" t="s">
        <v>33</v>
      </c>
      <c r="AA2435" t="s">
        <v>257</v>
      </c>
      <c r="AB2435" t="s">
        <v>356</v>
      </c>
      <c r="AC2435" s="21">
        <v>17665.88</v>
      </c>
      <c r="AD2435" s="21" t="s">
        <v>368</v>
      </c>
      <c r="AE2435" t="str">
        <f>VLOOKUP(Table_Query_from_Actuarial___Production3[[#This Row],[Kor1]],$AI$3:$AK$105,3,FALSE)</f>
        <v>Misc. Expense</v>
      </c>
      <c r="AF2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6" spans="18:32" x14ac:dyDescent="0.2">
      <c r="R2436" t="s">
        <v>33</v>
      </c>
      <c r="S2436" t="s">
        <v>236</v>
      </c>
      <c r="T2436" t="s">
        <v>7</v>
      </c>
      <c r="U2436" s="21">
        <v>13406.73</v>
      </c>
      <c r="V2436" s="21" t="s">
        <v>368</v>
      </c>
      <c r="W2436" t="str">
        <f>VLOOKUP(Table_Query_from_Actuarial___Production[[#This Row],[Kor1]],$AI$3:$AK$105,3,FALSE)</f>
        <v>Misc. Expense</v>
      </c>
      <c r="X2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6"/>
      <c r="Z2436" t="s">
        <v>32</v>
      </c>
      <c r="AA2436" t="s">
        <v>234</v>
      </c>
      <c r="AB2436" t="s">
        <v>7</v>
      </c>
      <c r="AC2436" s="21">
        <v>-6650.85</v>
      </c>
      <c r="AD2436" s="21" t="s">
        <v>368</v>
      </c>
      <c r="AE2436" t="str">
        <f>VLOOKUP(Table_Query_from_Actuarial___Production3[[#This Row],[Kor1]],$AI$3:$AK$105,3,FALSE)</f>
        <v>Misc. Expense</v>
      </c>
      <c r="AF2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7" spans="18:32" x14ac:dyDescent="0.2">
      <c r="R2437" t="s">
        <v>44</v>
      </c>
      <c r="S2437" t="s">
        <v>254</v>
      </c>
      <c r="T2437" t="s">
        <v>7</v>
      </c>
      <c r="U2437" s="21">
        <v>131</v>
      </c>
      <c r="V2437" s="21" t="s">
        <v>368</v>
      </c>
      <c r="W2437" t="str">
        <f>VLOOKUP(Table_Query_from_Actuarial___Production[[#This Row],[Kor1]],$AI$3:$AK$105,3,FALSE)</f>
        <v>Charge-offs</v>
      </c>
      <c r="X2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7"/>
      <c r="Z2437" t="s">
        <v>50</v>
      </c>
      <c r="AA2437" t="s">
        <v>228</v>
      </c>
      <c r="AB2437" t="s">
        <v>427</v>
      </c>
      <c r="AC2437" s="21">
        <v>151688.35999999999</v>
      </c>
      <c r="AD2437" s="21" t="s">
        <v>368</v>
      </c>
      <c r="AE2437" t="str">
        <f>VLOOKUP(Table_Query_from_Actuarial___Production3[[#This Row],[Kor1]],$AI$3:$AK$105,3,FALSE)</f>
        <v>ALAE Reserve</v>
      </c>
      <c r="AF2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8" spans="18:32" x14ac:dyDescent="0.2">
      <c r="R2438" t="s">
        <v>3</v>
      </c>
      <c r="S2438" t="s">
        <v>239</v>
      </c>
      <c r="T2438" t="s">
        <v>445</v>
      </c>
      <c r="U2438" s="21">
        <v>4236269</v>
      </c>
      <c r="V2438" s="21" t="s">
        <v>368</v>
      </c>
      <c r="W2438" t="str">
        <f>VLOOKUP(Table_Query_from_Actuarial___Production[[#This Row],[Kor1]],$AI$3:$AK$105,3,FALSE)</f>
        <v>Premiums Written</v>
      </c>
      <c r="X2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8"/>
      <c r="Z2438" t="s">
        <v>439</v>
      </c>
      <c r="AA2438" t="s">
        <v>238</v>
      </c>
      <c r="AB2438" t="s">
        <v>443</v>
      </c>
      <c r="AC2438" s="21">
        <v>-18324.46</v>
      </c>
      <c r="AD2438" s="21" t="s">
        <v>368</v>
      </c>
      <c r="AE2438" t="str">
        <f>VLOOKUP(Table_Query_from_Actuarial___Production3[[#This Row],[Kor1]],$AI$3:$AK$105,3,FALSE)</f>
        <v>Operating Service Fees</v>
      </c>
      <c r="AF2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39" spans="18:32" x14ac:dyDescent="0.2">
      <c r="R2439" t="s">
        <v>31</v>
      </c>
      <c r="S2439" t="s">
        <v>266</v>
      </c>
      <c r="T2439" t="s">
        <v>427</v>
      </c>
      <c r="U2439" s="21">
        <v>643.64</v>
      </c>
      <c r="V2439" s="21" t="s">
        <v>368</v>
      </c>
      <c r="W2439" t="str">
        <f>VLOOKUP(Table_Query_from_Actuarial___Production[[#This Row],[Kor1]],$AI$3:$AK$105,3,FALSE)</f>
        <v>Misc. Expense</v>
      </c>
      <c r="X2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39"/>
      <c r="Z2439" t="s">
        <v>12</v>
      </c>
      <c r="AA2439" t="s">
        <v>253</v>
      </c>
      <c r="AB2439" t="s">
        <v>442</v>
      </c>
      <c r="AC2439" s="21">
        <v>188.34</v>
      </c>
      <c r="AD2439" s="21" t="s">
        <v>368</v>
      </c>
      <c r="AE2439" t="str">
        <f>VLOOKUP(Table_Query_from_Actuarial___Production3[[#This Row],[Kor1]],$AI$3:$AK$105,3,FALSE)</f>
        <v>Premium Tax</v>
      </c>
      <c r="AF2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0" spans="18:32" x14ac:dyDescent="0.2">
      <c r="R2440" t="s">
        <v>14</v>
      </c>
      <c r="S2440" t="s">
        <v>256</v>
      </c>
      <c r="T2440" t="s">
        <v>445</v>
      </c>
      <c r="U2440" s="21">
        <v>336.96</v>
      </c>
      <c r="V2440" s="21" t="s">
        <v>368</v>
      </c>
      <c r="W2440" t="str">
        <f>VLOOKUP(Table_Query_from_Actuarial___Production[[#This Row],[Kor1]],$AI$3:$AK$105,3,FALSE)</f>
        <v>Claims Expense</v>
      </c>
      <c r="X2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0"/>
      <c r="Z2440" t="s">
        <v>48</v>
      </c>
      <c r="AA2440" t="s">
        <v>224</v>
      </c>
      <c r="AB2440" t="s">
        <v>356</v>
      </c>
      <c r="AC2440" s="21">
        <v>695.5</v>
      </c>
      <c r="AD2440" s="21" t="s">
        <v>425</v>
      </c>
      <c r="AE2440" t="str">
        <f>VLOOKUP(Table_Query_from_Actuarial___Production3[[#This Row],[Kor1]],$AI$3:$AK$105,3,FALSE)</f>
        <v>Anticipated Salvage</v>
      </c>
      <c r="AF2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441" spans="18:32" x14ac:dyDescent="0.2">
      <c r="R2441" t="s">
        <v>34</v>
      </c>
      <c r="S2441" t="s">
        <v>261</v>
      </c>
      <c r="T2441" t="s">
        <v>351</v>
      </c>
      <c r="U2441" s="21">
        <v>283.75</v>
      </c>
      <c r="V2441" s="21" t="s">
        <v>368</v>
      </c>
      <c r="W2441" t="str">
        <f>VLOOKUP(Table_Query_from_Actuarial___Production[[#This Row],[Kor1]],$AI$3:$AK$105,3,FALSE)</f>
        <v>Misc. Expense</v>
      </c>
      <c r="X2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1"/>
      <c r="Z2441" t="s">
        <v>11</v>
      </c>
      <c r="AA2441" t="s">
        <v>263</v>
      </c>
      <c r="AB2441" t="s">
        <v>427</v>
      </c>
      <c r="AC2441" s="21">
        <v>337438.5</v>
      </c>
      <c r="AD2441" s="21" t="s">
        <v>368</v>
      </c>
      <c r="AE2441" t="str">
        <f>VLOOKUP(Table_Query_from_Actuarial___Production3[[#This Row],[Kor1]],$AI$3:$AK$105,3,FALSE)</f>
        <v>Losses Paid</v>
      </c>
      <c r="AF2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2" spans="18:32" x14ac:dyDescent="0.2">
      <c r="R2442" t="s">
        <v>40</v>
      </c>
      <c r="S2442" t="s">
        <v>228</v>
      </c>
      <c r="T2442" t="s">
        <v>6</v>
      </c>
      <c r="U2442" s="21">
        <v>139</v>
      </c>
      <c r="V2442" s="21" t="s">
        <v>368</v>
      </c>
      <c r="W2442" t="str">
        <f>VLOOKUP(Table_Query_from_Actuarial___Production[[#This Row],[Kor1]],$AI$3:$AK$105,3,FALSE)</f>
        <v>Misc. Income</v>
      </c>
      <c r="X2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2"/>
      <c r="Z2442" t="s">
        <v>29</v>
      </c>
      <c r="AA2442" t="s">
        <v>259</v>
      </c>
      <c r="AB2442" t="s">
        <v>6</v>
      </c>
      <c r="AC2442" s="21">
        <v>100</v>
      </c>
      <c r="AD2442" s="21" t="s">
        <v>368</v>
      </c>
      <c r="AE2442" t="str">
        <f>VLOOKUP(Table_Query_from_Actuarial___Production3[[#This Row],[Kor1]],$AI$3:$AK$105,3,FALSE)</f>
        <v>Misc. Expense</v>
      </c>
      <c r="AF2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3" spans="18:32" x14ac:dyDescent="0.2">
      <c r="R2443" t="s">
        <v>47</v>
      </c>
      <c r="S2443" t="s">
        <v>230</v>
      </c>
      <c r="T2443" t="s">
        <v>433</v>
      </c>
      <c r="U2443" s="21">
        <v>24942.85</v>
      </c>
      <c r="V2443" s="21" t="s">
        <v>368</v>
      </c>
      <c r="W2443" t="str">
        <f>VLOOKUP(Table_Query_from_Actuarial___Production[[#This Row],[Kor1]],$AI$3:$AK$105,3,FALSE)</f>
        <v>Investment Income</v>
      </c>
      <c r="X2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3"/>
      <c r="Z2443" t="s">
        <v>49</v>
      </c>
      <c r="AA2443" t="s">
        <v>267</v>
      </c>
      <c r="AB2443" t="s">
        <v>427</v>
      </c>
      <c r="AC2443" s="21">
        <v>5426.47</v>
      </c>
      <c r="AD2443" s="21" t="s">
        <v>368</v>
      </c>
      <c r="AE2443" t="str">
        <f>VLOOKUP(Table_Query_from_Actuarial___Production3[[#This Row],[Kor1]],$AI$3:$AK$105,3,FALSE)</f>
        <v>ALAE Paid</v>
      </c>
      <c r="AF2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4" spans="18:32" x14ac:dyDescent="0.2">
      <c r="R2444" t="s">
        <v>33</v>
      </c>
      <c r="S2444" t="s">
        <v>246</v>
      </c>
      <c r="T2444" t="s">
        <v>427</v>
      </c>
      <c r="U2444" s="21">
        <v>13233.06</v>
      </c>
      <c r="V2444" s="21" t="s">
        <v>368</v>
      </c>
      <c r="W2444" t="str">
        <f>VLOOKUP(Table_Query_from_Actuarial___Production[[#This Row],[Kor1]],$AI$3:$AK$105,3,FALSE)</f>
        <v>Misc. Expense</v>
      </c>
      <c r="X2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4"/>
      <c r="Z2444" t="s">
        <v>43</v>
      </c>
      <c r="AA2444" t="s">
        <v>266</v>
      </c>
      <c r="AB2444" t="s">
        <v>443</v>
      </c>
      <c r="AC2444" s="21">
        <v>1924.01</v>
      </c>
      <c r="AD2444" s="21" t="s">
        <v>368</v>
      </c>
      <c r="AE2444" t="str">
        <f>VLOOKUP(Table_Query_from_Actuarial___Production3[[#This Row],[Kor1]],$AI$3:$AK$105,3,FALSE)</f>
        <v>Charge-offs</v>
      </c>
      <c r="AF2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5" spans="18:32" x14ac:dyDescent="0.2">
      <c r="R2445" t="s">
        <v>37</v>
      </c>
      <c r="S2445" t="s">
        <v>252</v>
      </c>
      <c r="T2445" t="s">
        <v>9</v>
      </c>
      <c r="U2445" s="21">
        <v>23977.19</v>
      </c>
      <c r="V2445" s="21" t="s">
        <v>368</v>
      </c>
      <c r="W2445" t="str">
        <f>VLOOKUP(Table_Query_from_Actuarial___Production[[#This Row],[Kor1]],$AI$3:$AK$105,3,FALSE)</f>
        <v>Misc. Expense</v>
      </c>
      <c r="X2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5"/>
      <c r="Z2445" t="s">
        <v>3</v>
      </c>
      <c r="AA2445" t="s">
        <v>225</v>
      </c>
      <c r="AB2445" t="s">
        <v>441</v>
      </c>
      <c r="AC2445" s="21">
        <v>990142</v>
      </c>
      <c r="AD2445" s="21" t="s">
        <v>368</v>
      </c>
      <c r="AE2445" t="str">
        <f>VLOOKUP(Table_Query_from_Actuarial___Production3[[#This Row],[Kor1]],$AI$3:$AK$105,3,FALSE)</f>
        <v>Premiums Written</v>
      </c>
      <c r="AF2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446" spans="18:32" x14ac:dyDescent="0.2">
      <c r="R2446" t="s">
        <v>44</v>
      </c>
      <c r="S2446" t="s">
        <v>257</v>
      </c>
      <c r="T2446" t="s">
        <v>441</v>
      </c>
      <c r="U2446" s="21">
        <v>186612.37</v>
      </c>
      <c r="V2446" s="21" t="s">
        <v>368</v>
      </c>
      <c r="W2446" t="str">
        <f>VLOOKUP(Table_Query_from_Actuarial___Production[[#This Row],[Kor1]],$AI$3:$AK$105,3,FALSE)</f>
        <v>Charge-offs</v>
      </c>
      <c r="X2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6"/>
      <c r="Z2446" t="s">
        <v>24</v>
      </c>
      <c r="AA2446" t="s">
        <v>4</v>
      </c>
      <c r="AB2446" t="s">
        <v>8</v>
      </c>
      <c r="AC2446" s="21">
        <v>-103.88</v>
      </c>
      <c r="AD2446" s="21" t="s">
        <v>368</v>
      </c>
      <c r="AE2446" t="str">
        <f>VLOOKUP(Table_Query_from_Actuarial___Production3[[#This Row],[Kor1]],$AI$3:$AK$105,3,FALSE)</f>
        <v>Misc. Expense</v>
      </c>
      <c r="AF2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7" spans="18:32" x14ac:dyDescent="0.2">
      <c r="R2447" t="s">
        <v>40</v>
      </c>
      <c r="S2447" t="s">
        <v>245</v>
      </c>
      <c r="T2447" t="s">
        <v>6</v>
      </c>
      <c r="U2447" s="21">
        <v>52</v>
      </c>
      <c r="V2447" s="21" t="s">
        <v>368</v>
      </c>
      <c r="W2447" t="str">
        <f>VLOOKUP(Table_Query_from_Actuarial___Production[[#This Row],[Kor1]],$AI$3:$AK$105,3,FALSE)</f>
        <v>Misc. Income</v>
      </c>
      <c r="X2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7"/>
      <c r="Z2447" t="s">
        <v>31</v>
      </c>
      <c r="AA2447" t="s">
        <v>245</v>
      </c>
      <c r="AB2447" t="s">
        <v>5</v>
      </c>
      <c r="AC2447" s="21">
        <v>1220.01</v>
      </c>
      <c r="AD2447" s="21" t="s">
        <v>368</v>
      </c>
      <c r="AE2447" t="str">
        <f>VLOOKUP(Table_Query_from_Actuarial___Production3[[#This Row],[Kor1]],$AI$3:$AK$105,3,FALSE)</f>
        <v>Misc. Expense</v>
      </c>
      <c r="AF2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8" spans="18:32" x14ac:dyDescent="0.2">
      <c r="R2448" t="s">
        <v>19</v>
      </c>
      <c r="S2448" t="s">
        <v>259</v>
      </c>
      <c r="T2448" t="s">
        <v>8</v>
      </c>
      <c r="U2448" s="21">
        <v>1056</v>
      </c>
      <c r="V2448" s="21" t="s">
        <v>368</v>
      </c>
      <c r="W2448" t="str">
        <f>VLOOKUP(Table_Query_from_Actuarial___Production[[#This Row],[Kor1]],$AI$3:$AK$105,3,FALSE)</f>
        <v>Misc. Expense for Insolvent Companies</v>
      </c>
      <c r="X2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8"/>
      <c r="Z2448" t="s">
        <v>439</v>
      </c>
      <c r="AA2448" t="s">
        <v>246</v>
      </c>
      <c r="AB2448" t="s">
        <v>433</v>
      </c>
      <c r="AC2448" s="21">
        <v>65714</v>
      </c>
      <c r="AD2448" s="21" t="s">
        <v>368</v>
      </c>
      <c r="AE2448" t="str">
        <f>VLOOKUP(Table_Query_from_Actuarial___Production3[[#This Row],[Kor1]],$AI$3:$AK$105,3,FALSE)</f>
        <v>Operating Service Fees</v>
      </c>
      <c r="AF2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49" spans="18:32" x14ac:dyDescent="0.2">
      <c r="R2449" t="s">
        <v>48</v>
      </c>
      <c r="S2449" t="s">
        <v>263</v>
      </c>
      <c r="T2449" t="s">
        <v>441</v>
      </c>
      <c r="U2449" s="21">
        <v>1128.27</v>
      </c>
      <c r="V2449" s="21" t="s">
        <v>368</v>
      </c>
      <c r="W2449" t="str">
        <f>VLOOKUP(Table_Query_from_Actuarial___Production[[#This Row],[Kor1]],$AI$3:$AK$105,3,FALSE)</f>
        <v>Anticipated Salvage</v>
      </c>
      <c r="X2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49"/>
      <c r="Z2449" t="s">
        <v>17</v>
      </c>
      <c r="AA2449" t="s">
        <v>229</v>
      </c>
      <c r="AB2449" t="s">
        <v>441</v>
      </c>
      <c r="AC2449" s="21">
        <v>6715.01</v>
      </c>
      <c r="AD2449" s="21" t="s">
        <v>368</v>
      </c>
      <c r="AE2449" t="str">
        <f>VLOOKUP(Table_Query_from_Actuarial___Production3[[#This Row],[Kor1]],$AI$3:$AK$105,3,FALSE)</f>
        <v>IBNR</v>
      </c>
      <c r="AF2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0" spans="18:32" x14ac:dyDescent="0.2">
      <c r="R2450" t="s">
        <v>13</v>
      </c>
      <c r="S2450" t="s">
        <v>225</v>
      </c>
      <c r="T2450" t="s">
        <v>427</v>
      </c>
      <c r="U2450" s="21">
        <v>112317.18</v>
      </c>
      <c r="V2450" s="21" t="s">
        <v>369</v>
      </c>
      <c r="W2450" t="str">
        <f>VLOOKUP(Table_Query_from_Actuarial___Production[[#This Row],[Kor1]],$AI$3:$AK$105,3,FALSE)</f>
        <v>Operating Service Fees</v>
      </c>
      <c r="X2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450"/>
      <c r="Z2450" t="s">
        <v>20</v>
      </c>
      <c r="AA2450" t="s">
        <v>235</v>
      </c>
      <c r="AB2450" t="s">
        <v>5</v>
      </c>
      <c r="AC2450" s="21">
        <v>446.51</v>
      </c>
      <c r="AD2450" s="21" t="s">
        <v>368</v>
      </c>
      <c r="AE2450" t="str">
        <f>VLOOKUP(Table_Query_from_Actuarial___Production3[[#This Row],[Kor1]],$AI$3:$AK$105,3,FALSE)</f>
        <v>Misc. Expense</v>
      </c>
      <c r="AF2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1" spans="18:32" x14ac:dyDescent="0.2">
      <c r="R2451" t="s">
        <v>13</v>
      </c>
      <c r="S2451" t="s">
        <v>254</v>
      </c>
      <c r="T2451" t="s">
        <v>443</v>
      </c>
      <c r="U2451" s="21">
        <v>5591000.8799999999</v>
      </c>
      <c r="V2451" s="21" t="s">
        <v>368</v>
      </c>
      <c r="W2451" t="str">
        <f>VLOOKUP(Table_Query_from_Actuarial___Production[[#This Row],[Kor1]],$AI$3:$AK$105,3,FALSE)</f>
        <v>Operating Service Fees</v>
      </c>
      <c r="X2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1"/>
      <c r="Z2451" t="s">
        <v>33</v>
      </c>
      <c r="AA2451" t="s">
        <v>253</v>
      </c>
      <c r="AB2451" t="s">
        <v>443</v>
      </c>
      <c r="AC2451" s="21">
        <v>4172.66</v>
      </c>
      <c r="AD2451" s="21" t="s">
        <v>368</v>
      </c>
      <c r="AE2451" t="str">
        <f>VLOOKUP(Table_Query_from_Actuarial___Production3[[#This Row],[Kor1]],$AI$3:$AK$105,3,FALSE)</f>
        <v>Misc. Expense</v>
      </c>
      <c r="AF2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2" spans="18:32" x14ac:dyDescent="0.2">
      <c r="R2452" t="s">
        <v>14</v>
      </c>
      <c r="S2452" t="s">
        <v>230</v>
      </c>
      <c r="T2452" t="s">
        <v>442</v>
      </c>
      <c r="U2452" s="21">
        <v>941609.98</v>
      </c>
      <c r="V2452" s="21" t="s">
        <v>368</v>
      </c>
      <c r="W2452" t="str">
        <f>VLOOKUP(Table_Query_from_Actuarial___Production[[#This Row],[Kor1]],$AI$3:$AK$105,3,FALSE)</f>
        <v>Claims Expense</v>
      </c>
      <c r="X2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2"/>
      <c r="Z2452" t="s">
        <v>13</v>
      </c>
      <c r="AA2452" t="s">
        <v>225</v>
      </c>
      <c r="AB2452" t="s">
        <v>443</v>
      </c>
      <c r="AC2452" s="21">
        <v>17532.48</v>
      </c>
      <c r="AD2452" s="21" t="s">
        <v>369</v>
      </c>
      <c r="AE2452" t="str">
        <f>VLOOKUP(Table_Query_from_Actuarial___Production3[[#This Row],[Kor1]],$AI$3:$AK$105,3,FALSE)</f>
        <v>Operating Service Fees</v>
      </c>
      <c r="AF2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453" spans="18:32" x14ac:dyDescent="0.2">
      <c r="R2453" t="s">
        <v>10</v>
      </c>
      <c r="S2453" t="s">
        <v>251</v>
      </c>
      <c r="T2453" t="s">
        <v>443</v>
      </c>
      <c r="U2453" s="21">
        <v>29298.2</v>
      </c>
      <c r="V2453" s="21" t="s">
        <v>368</v>
      </c>
      <c r="W2453" t="str">
        <f>VLOOKUP(Table_Query_from_Actuarial___Production[[#This Row],[Kor1]],$AI$3:$AK$105,3,FALSE)</f>
        <v>Commissions</v>
      </c>
      <c r="X2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3"/>
      <c r="Z2453" t="s">
        <v>32</v>
      </c>
      <c r="AA2453" t="s">
        <v>252</v>
      </c>
      <c r="AB2453" t="s">
        <v>427</v>
      </c>
      <c r="AC2453" s="21">
        <v>163589.31</v>
      </c>
      <c r="AD2453" s="21" t="s">
        <v>368</v>
      </c>
      <c r="AE2453" t="str">
        <f>VLOOKUP(Table_Query_from_Actuarial___Production3[[#This Row],[Kor1]],$AI$3:$AK$105,3,FALSE)</f>
        <v>Misc. Expense</v>
      </c>
      <c r="AF2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4" spans="18:32" x14ac:dyDescent="0.2">
      <c r="R2454" t="s">
        <v>47</v>
      </c>
      <c r="S2454" t="s">
        <v>241</v>
      </c>
      <c r="T2454" t="s">
        <v>445</v>
      </c>
      <c r="U2454" s="21">
        <v>8873.61</v>
      </c>
      <c r="V2454" s="21" t="s">
        <v>368</v>
      </c>
      <c r="W2454" t="str">
        <f>VLOOKUP(Table_Query_from_Actuarial___Production[[#This Row],[Kor1]],$AI$3:$AK$105,3,FALSE)</f>
        <v>Investment Income</v>
      </c>
      <c r="X2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4"/>
      <c r="Z2454" t="s">
        <v>43</v>
      </c>
      <c r="AA2454" t="s">
        <v>232</v>
      </c>
      <c r="AB2454" t="s">
        <v>441</v>
      </c>
      <c r="AC2454" s="21">
        <v>355.33</v>
      </c>
      <c r="AD2454" s="21" t="s">
        <v>368</v>
      </c>
      <c r="AE2454" t="str">
        <f>VLOOKUP(Table_Query_from_Actuarial___Production3[[#This Row],[Kor1]],$AI$3:$AK$105,3,FALSE)</f>
        <v>Charge-offs</v>
      </c>
      <c r="AF2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5" spans="18:32" x14ac:dyDescent="0.2">
      <c r="R2455" t="s">
        <v>12</v>
      </c>
      <c r="S2455" t="s">
        <v>256</v>
      </c>
      <c r="T2455" t="s">
        <v>356</v>
      </c>
      <c r="U2455" s="21">
        <v>-24.12</v>
      </c>
      <c r="V2455" s="21" t="s">
        <v>368</v>
      </c>
      <c r="W2455" t="str">
        <f>VLOOKUP(Table_Query_from_Actuarial___Production[[#This Row],[Kor1]],$AI$3:$AK$105,3,FALSE)</f>
        <v>Premium Tax</v>
      </c>
      <c r="X2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5"/>
      <c r="Z2455" t="s">
        <v>44</v>
      </c>
      <c r="AA2455" t="s">
        <v>232</v>
      </c>
      <c r="AB2455" t="s">
        <v>442</v>
      </c>
      <c r="AC2455" s="21">
        <v>122029.39</v>
      </c>
      <c r="AD2455" s="21" t="s">
        <v>368</v>
      </c>
      <c r="AE2455" t="str">
        <f>VLOOKUP(Table_Query_from_Actuarial___Production3[[#This Row],[Kor1]],$AI$3:$AK$105,3,FALSE)</f>
        <v>Charge-offs</v>
      </c>
      <c r="AF2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6" spans="18:32" x14ac:dyDescent="0.2">
      <c r="R2456" t="s">
        <v>44</v>
      </c>
      <c r="S2456" t="s">
        <v>240</v>
      </c>
      <c r="T2456" t="s">
        <v>8</v>
      </c>
      <c r="U2456" s="21">
        <v>19369.5</v>
      </c>
      <c r="V2456" s="21" t="s">
        <v>368</v>
      </c>
      <c r="W2456" t="str">
        <f>VLOOKUP(Table_Query_from_Actuarial___Production[[#This Row],[Kor1]],$AI$3:$AK$105,3,FALSE)</f>
        <v>Charge-offs</v>
      </c>
      <c r="X2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6"/>
      <c r="Z2456" t="s">
        <v>49</v>
      </c>
      <c r="AA2456" t="s">
        <v>244</v>
      </c>
      <c r="AB2456" t="s">
        <v>8</v>
      </c>
      <c r="AC2456" s="21">
        <v>108581.09</v>
      </c>
      <c r="AD2456" s="21" t="s">
        <v>368</v>
      </c>
      <c r="AE2456" t="str">
        <f>VLOOKUP(Table_Query_from_Actuarial___Production3[[#This Row],[Kor1]],$AI$3:$AK$105,3,FALSE)</f>
        <v>ALAE Paid</v>
      </c>
      <c r="AF2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57" spans="18:32" x14ac:dyDescent="0.2">
      <c r="R2457" t="s">
        <v>11</v>
      </c>
      <c r="S2457" t="s">
        <v>259</v>
      </c>
      <c r="T2457" t="s">
        <v>8</v>
      </c>
      <c r="U2457" s="21">
        <v>93411.13</v>
      </c>
      <c r="V2457" s="21" t="s">
        <v>368</v>
      </c>
      <c r="W2457" t="str">
        <f>VLOOKUP(Table_Query_from_Actuarial___Production[[#This Row],[Kor1]],$AI$3:$AK$105,3,FALSE)</f>
        <v>Losses Paid</v>
      </c>
      <c r="X2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7"/>
      <c r="Z2457" t="s">
        <v>130</v>
      </c>
      <c r="AA2457" t="s">
        <v>224</v>
      </c>
      <c r="AB2457" t="s">
        <v>433</v>
      </c>
      <c r="AC2457" s="21">
        <v>1404532.84</v>
      </c>
      <c r="AD2457" s="21" t="s">
        <v>370</v>
      </c>
      <c r="AE2457" t="str">
        <f>VLOOKUP(Table_Query_from_Actuarial___Production3[[#This Row],[Kor1]],$AI$3:$AK$105,3,FALSE)</f>
        <v>CPAI Charge-offs</v>
      </c>
      <c r="AF2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458" spans="18:32" x14ac:dyDescent="0.2">
      <c r="R2458" t="s">
        <v>34</v>
      </c>
      <c r="S2458" t="s">
        <v>259</v>
      </c>
      <c r="T2458" t="s">
        <v>351</v>
      </c>
      <c r="U2458" s="21">
        <v>1197.3</v>
      </c>
      <c r="V2458" s="21" t="s">
        <v>368</v>
      </c>
      <c r="W2458" t="str">
        <f>VLOOKUP(Table_Query_from_Actuarial___Production[[#This Row],[Kor1]],$AI$3:$AK$105,3,FALSE)</f>
        <v>Misc. Expense</v>
      </c>
      <c r="X2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8"/>
      <c r="Z2458" t="s">
        <v>38</v>
      </c>
      <c r="AA2458" t="s">
        <v>225</v>
      </c>
      <c r="AB2458" t="s">
        <v>442</v>
      </c>
      <c r="AC2458" s="21">
        <v>964270.9</v>
      </c>
      <c r="AD2458" s="21" t="s">
        <v>369</v>
      </c>
      <c r="AE2458" t="str">
        <f>VLOOKUP(Table_Query_from_Actuarial___Production3[[#This Row],[Kor1]],$AI$3:$AK$105,3,FALSE)</f>
        <v>Misc. Income</v>
      </c>
      <c r="AF2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459" spans="18:32" x14ac:dyDescent="0.2">
      <c r="R2459" t="s">
        <v>41</v>
      </c>
      <c r="S2459" t="s">
        <v>253</v>
      </c>
      <c r="T2459" t="s">
        <v>441</v>
      </c>
      <c r="U2459" s="21">
        <v>150</v>
      </c>
      <c r="V2459" s="21" t="s">
        <v>368</v>
      </c>
      <c r="W2459" t="str">
        <f>VLOOKUP(Table_Query_from_Actuarial___Production[[#This Row],[Kor1]],$AI$3:$AK$105,3,FALSE)</f>
        <v>Misc. Income</v>
      </c>
      <c r="X2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59"/>
      <c r="Z2459" t="s">
        <v>3</v>
      </c>
      <c r="AA2459" t="s">
        <v>252</v>
      </c>
      <c r="AB2459" t="s">
        <v>433</v>
      </c>
      <c r="AC2459" s="21">
        <v>28512889</v>
      </c>
      <c r="AD2459" s="21" t="s">
        <v>368</v>
      </c>
      <c r="AE2459" t="str">
        <f>VLOOKUP(Table_Query_from_Actuarial___Production3[[#This Row],[Kor1]],$AI$3:$AK$105,3,FALSE)</f>
        <v>Premiums Written</v>
      </c>
      <c r="AF2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0" spans="18:32" x14ac:dyDescent="0.2">
      <c r="R2460" t="s">
        <v>10</v>
      </c>
      <c r="S2460" t="s">
        <v>260</v>
      </c>
      <c r="T2460" t="s">
        <v>8</v>
      </c>
      <c r="U2460" s="21">
        <v>529.29999999999995</v>
      </c>
      <c r="V2460" s="21" t="s">
        <v>368</v>
      </c>
      <c r="W2460" t="str">
        <f>VLOOKUP(Table_Query_from_Actuarial___Production[[#This Row],[Kor1]],$AI$3:$AK$105,3,FALSE)</f>
        <v>Commissions</v>
      </c>
      <c r="X2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0"/>
      <c r="Z2460" t="s">
        <v>12</v>
      </c>
      <c r="AA2460" t="s">
        <v>228</v>
      </c>
      <c r="AB2460" t="s">
        <v>7</v>
      </c>
      <c r="AC2460" s="21">
        <v>9271.7999999999993</v>
      </c>
      <c r="AD2460" s="21" t="s">
        <v>368</v>
      </c>
      <c r="AE2460" t="str">
        <f>VLOOKUP(Table_Query_from_Actuarial___Production3[[#This Row],[Kor1]],$AI$3:$AK$105,3,FALSE)</f>
        <v>Premium Tax</v>
      </c>
      <c r="AF2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1" spans="18:32" x14ac:dyDescent="0.2">
      <c r="R2461" t="s">
        <v>31</v>
      </c>
      <c r="S2461" t="s">
        <v>233</v>
      </c>
      <c r="T2461" t="s">
        <v>442</v>
      </c>
      <c r="U2461" s="21">
        <v>1038.57</v>
      </c>
      <c r="V2461" s="21" t="s">
        <v>368</v>
      </c>
      <c r="W2461" t="str">
        <f>VLOOKUP(Table_Query_from_Actuarial___Production[[#This Row],[Kor1]],$AI$3:$AK$105,3,FALSE)</f>
        <v>Misc. Expense</v>
      </c>
      <c r="X2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1"/>
      <c r="Z2461" t="s">
        <v>39</v>
      </c>
      <c r="AA2461" t="s">
        <v>229</v>
      </c>
      <c r="AB2461" t="s">
        <v>5</v>
      </c>
      <c r="AC2461" s="21">
        <v>24657.56</v>
      </c>
      <c r="AD2461" s="21" t="s">
        <v>368</v>
      </c>
      <c r="AE2461" t="str">
        <f>VLOOKUP(Table_Query_from_Actuarial___Production3[[#This Row],[Kor1]],$AI$3:$AK$105,3,FALSE)</f>
        <v>Misc. Income for Insolvent Companies</v>
      </c>
      <c r="AF2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2" spans="18:32" x14ac:dyDescent="0.2">
      <c r="R2462" t="s">
        <v>36</v>
      </c>
      <c r="S2462" t="s">
        <v>250</v>
      </c>
      <c r="T2462" t="s">
        <v>427</v>
      </c>
      <c r="U2462" s="21">
        <v>662.01</v>
      </c>
      <c r="V2462" s="21" t="s">
        <v>368</v>
      </c>
      <c r="W2462" t="str">
        <f>VLOOKUP(Table_Query_from_Actuarial___Production[[#This Row],[Kor1]],$AI$3:$AK$105,3,FALSE)</f>
        <v>Misc. Expense</v>
      </c>
      <c r="X2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2"/>
      <c r="Z2462" t="s">
        <v>10</v>
      </c>
      <c r="AA2462" t="s">
        <v>256</v>
      </c>
      <c r="AB2462" t="s">
        <v>441</v>
      </c>
      <c r="AC2462" s="21">
        <v>5752.25</v>
      </c>
      <c r="AD2462" s="21" t="s">
        <v>368</v>
      </c>
      <c r="AE2462" t="str">
        <f>VLOOKUP(Table_Query_from_Actuarial___Production3[[#This Row],[Kor1]],$AI$3:$AK$105,3,FALSE)</f>
        <v>Commissions</v>
      </c>
      <c r="AF2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3" spans="18:32" x14ac:dyDescent="0.2">
      <c r="R2463" t="s">
        <v>44</v>
      </c>
      <c r="S2463" t="s">
        <v>231</v>
      </c>
      <c r="T2463" t="s">
        <v>351</v>
      </c>
      <c r="U2463" s="21">
        <v>3480.7</v>
      </c>
      <c r="V2463" s="21" t="s">
        <v>368</v>
      </c>
      <c r="W2463" t="str">
        <f>VLOOKUP(Table_Query_from_Actuarial___Production[[#This Row],[Kor1]],$AI$3:$AK$105,3,FALSE)</f>
        <v>Charge-offs</v>
      </c>
      <c r="X2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3"/>
      <c r="Z2463" t="s">
        <v>13</v>
      </c>
      <c r="AA2463" t="s">
        <v>243</v>
      </c>
      <c r="AB2463" t="s">
        <v>7</v>
      </c>
      <c r="AC2463" s="21">
        <v>97902.84</v>
      </c>
      <c r="AD2463" s="21" t="s">
        <v>368</v>
      </c>
      <c r="AE2463" t="str">
        <f>VLOOKUP(Table_Query_from_Actuarial___Production3[[#This Row],[Kor1]],$AI$3:$AK$105,3,FALSE)</f>
        <v>Operating Service Fees</v>
      </c>
      <c r="AF2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4" spans="18:32" x14ac:dyDescent="0.2">
      <c r="R2464" t="s">
        <v>39</v>
      </c>
      <c r="S2464" t="s">
        <v>264</v>
      </c>
      <c r="T2464" t="s">
        <v>442</v>
      </c>
      <c r="U2464" s="21">
        <v>717.03</v>
      </c>
      <c r="V2464" s="21" t="s">
        <v>368</v>
      </c>
      <c r="W2464" t="str">
        <f>VLOOKUP(Table_Query_from_Actuarial___Production[[#This Row],[Kor1]],$AI$3:$AK$105,3,FALSE)</f>
        <v>Misc. Income for Insolvent Companies</v>
      </c>
      <c r="X2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4"/>
      <c r="Z2464" t="s">
        <v>12</v>
      </c>
      <c r="AA2464" t="s">
        <v>236</v>
      </c>
      <c r="AB2464" t="s">
        <v>5</v>
      </c>
      <c r="AC2464" s="21">
        <v>411.68</v>
      </c>
      <c r="AD2464" s="21" t="s">
        <v>368</v>
      </c>
      <c r="AE2464" t="str">
        <f>VLOOKUP(Table_Query_from_Actuarial___Production3[[#This Row],[Kor1]],$AI$3:$AK$105,3,FALSE)</f>
        <v>Premium Tax</v>
      </c>
      <c r="AF2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5" spans="18:32" x14ac:dyDescent="0.2">
      <c r="R2465" t="s">
        <v>3</v>
      </c>
      <c r="S2465" t="s">
        <v>252</v>
      </c>
      <c r="T2465" t="s">
        <v>351</v>
      </c>
      <c r="U2465" s="21">
        <v>20130166</v>
      </c>
      <c r="V2465" s="21" t="s">
        <v>368</v>
      </c>
      <c r="W2465" t="str">
        <f>VLOOKUP(Table_Query_from_Actuarial___Production[[#This Row],[Kor1]],$AI$3:$AK$105,3,FALSE)</f>
        <v>Premiums Written</v>
      </c>
      <c r="X2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5"/>
      <c r="Z2465" t="s">
        <v>20</v>
      </c>
      <c r="AA2465" t="s">
        <v>233</v>
      </c>
      <c r="AB2465" t="s">
        <v>442</v>
      </c>
      <c r="AC2465" s="21">
        <v>178.72</v>
      </c>
      <c r="AD2465" s="21" t="s">
        <v>368</v>
      </c>
      <c r="AE2465" t="str">
        <f>VLOOKUP(Table_Query_from_Actuarial___Production3[[#This Row],[Kor1]],$AI$3:$AK$105,3,FALSE)</f>
        <v>Misc. Expense</v>
      </c>
      <c r="AF2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6" spans="18:32" x14ac:dyDescent="0.2">
      <c r="R2466" t="s">
        <v>11</v>
      </c>
      <c r="S2466" t="s">
        <v>224</v>
      </c>
      <c r="T2466" t="s">
        <v>9</v>
      </c>
      <c r="U2466" s="21">
        <v>5603.69</v>
      </c>
      <c r="V2466" s="21" t="s">
        <v>425</v>
      </c>
      <c r="W2466" t="str">
        <f>VLOOKUP(Table_Query_from_Actuarial___Production[[#This Row],[Kor1]],$AI$3:$AK$105,3,FALSE)</f>
        <v>Losses Paid</v>
      </c>
      <c r="X2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466"/>
      <c r="Z2466" t="s">
        <v>26</v>
      </c>
      <c r="AA2466" t="s">
        <v>4</v>
      </c>
      <c r="AB2466" t="s">
        <v>6</v>
      </c>
      <c r="AC2466" s="21">
        <v>-2057.12</v>
      </c>
      <c r="AD2466" s="21" t="s">
        <v>368</v>
      </c>
      <c r="AE2466" t="str">
        <f>VLOOKUP(Table_Query_from_Actuarial___Production3[[#This Row],[Kor1]],$AI$3:$AK$105,3,FALSE)</f>
        <v>Misc. Expense</v>
      </c>
      <c r="AF2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7" spans="18:32" x14ac:dyDescent="0.2">
      <c r="R2467" t="s">
        <v>17</v>
      </c>
      <c r="S2467" t="s">
        <v>256</v>
      </c>
      <c r="T2467" t="s">
        <v>442</v>
      </c>
      <c r="U2467" s="21">
        <v>3054.03</v>
      </c>
      <c r="V2467" s="21" t="s">
        <v>368</v>
      </c>
      <c r="W2467" t="str">
        <f>VLOOKUP(Table_Query_from_Actuarial___Production[[#This Row],[Kor1]],$AI$3:$AK$105,3,FALSE)</f>
        <v>IBNR</v>
      </c>
      <c r="X2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7"/>
      <c r="Z2467" t="s">
        <v>32</v>
      </c>
      <c r="AA2467" t="s">
        <v>254</v>
      </c>
      <c r="AB2467" t="s">
        <v>433</v>
      </c>
      <c r="AC2467" s="21">
        <v>72014.399999999994</v>
      </c>
      <c r="AD2467" s="21" t="s">
        <v>368</v>
      </c>
      <c r="AE2467" t="str">
        <f>VLOOKUP(Table_Query_from_Actuarial___Production3[[#This Row],[Kor1]],$AI$3:$AK$105,3,FALSE)</f>
        <v>Misc. Expense</v>
      </c>
      <c r="AF2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68" spans="18:32" x14ac:dyDescent="0.2">
      <c r="R2468" t="s">
        <v>19</v>
      </c>
      <c r="S2468" t="s">
        <v>4</v>
      </c>
      <c r="T2468" t="s">
        <v>441</v>
      </c>
      <c r="U2468" s="21">
        <v>187728.5</v>
      </c>
      <c r="V2468" s="21" t="s">
        <v>368</v>
      </c>
      <c r="W2468" t="str">
        <f>VLOOKUP(Table_Query_from_Actuarial___Production[[#This Row],[Kor1]],$AI$3:$AK$105,3,FALSE)</f>
        <v>Misc. Expense for Insolvent Companies</v>
      </c>
      <c r="X2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8"/>
      <c r="Z2468" t="s">
        <v>17</v>
      </c>
      <c r="AA2468" t="s">
        <v>226</v>
      </c>
      <c r="AB2468" t="s">
        <v>351</v>
      </c>
      <c r="AC2468" s="21">
        <v>791410.8</v>
      </c>
      <c r="AD2468" s="21" t="s">
        <v>368</v>
      </c>
      <c r="AE2468" t="str">
        <f>VLOOKUP(Table_Query_from_Actuarial___Production3[[#This Row],[Kor1]],$AI$3:$AK$105,3,FALSE)</f>
        <v>IBNR</v>
      </c>
      <c r="AF2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469" spans="18:32" x14ac:dyDescent="0.2">
      <c r="R2469" t="s">
        <v>10</v>
      </c>
      <c r="S2469" t="s">
        <v>251</v>
      </c>
      <c r="T2469" t="s">
        <v>427</v>
      </c>
      <c r="U2469" s="21">
        <v>52582.45</v>
      </c>
      <c r="V2469" s="21" t="s">
        <v>368</v>
      </c>
      <c r="W2469" t="str">
        <f>VLOOKUP(Table_Query_from_Actuarial___Production[[#This Row],[Kor1]],$AI$3:$AK$105,3,FALSE)</f>
        <v>Commissions</v>
      </c>
      <c r="X2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69"/>
      <c r="Z2469" t="s">
        <v>18</v>
      </c>
      <c r="AA2469" t="s">
        <v>354</v>
      </c>
      <c r="AB2469" t="s">
        <v>8</v>
      </c>
      <c r="AC2469" s="21">
        <v>5723881.1100000003</v>
      </c>
      <c r="AD2469" s="21" t="s">
        <v>369</v>
      </c>
      <c r="AE2469" t="str">
        <f>VLOOKUP(Table_Query_from_Actuarial___Production3[[#This Row],[Kor1]],$AI$3:$AK$105,3,FALSE)</f>
        <v>Misc. Expense</v>
      </c>
      <c r="AF2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470" spans="18:32" x14ac:dyDescent="0.2">
      <c r="R2470" t="s">
        <v>10</v>
      </c>
      <c r="S2470" t="s">
        <v>228</v>
      </c>
      <c r="T2470" t="s">
        <v>443</v>
      </c>
      <c r="U2470" s="21">
        <v>22117.5</v>
      </c>
      <c r="V2470" s="21" t="s">
        <v>368</v>
      </c>
      <c r="W2470" t="str">
        <f>VLOOKUP(Table_Query_from_Actuarial___Production[[#This Row],[Kor1]],$AI$3:$AK$105,3,FALSE)</f>
        <v>Commissions</v>
      </c>
      <c r="X2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0"/>
      <c r="Z2470" t="s">
        <v>39</v>
      </c>
      <c r="AA2470" t="s">
        <v>261</v>
      </c>
      <c r="AB2470" t="s">
        <v>351</v>
      </c>
      <c r="AC2470" s="21">
        <v>1102.01</v>
      </c>
      <c r="AD2470" s="21" t="s">
        <v>368</v>
      </c>
      <c r="AE2470" t="str">
        <f>VLOOKUP(Table_Query_from_Actuarial___Production3[[#This Row],[Kor1]],$AI$3:$AK$105,3,FALSE)</f>
        <v>Misc. Income for Insolvent Companies</v>
      </c>
      <c r="AF2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1" spans="18:32" x14ac:dyDescent="0.2">
      <c r="R2471" t="s">
        <v>10</v>
      </c>
      <c r="S2471" t="s">
        <v>249</v>
      </c>
      <c r="T2471" t="s">
        <v>6</v>
      </c>
      <c r="U2471" s="21">
        <v>22993.7</v>
      </c>
      <c r="V2471" s="21" t="s">
        <v>368</v>
      </c>
      <c r="W2471" t="str">
        <f>VLOOKUP(Table_Query_from_Actuarial___Production[[#This Row],[Kor1]],$AI$3:$AK$105,3,FALSE)</f>
        <v>Commissions</v>
      </c>
      <c r="X2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1"/>
      <c r="Z2471" t="s">
        <v>43</v>
      </c>
      <c r="AA2471" t="s">
        <v>268</v>
      </c>
      <c r="AB2471" t="s">
        <v>441</v>
      </c>
      <c r="AC2471" s="21">
        <v>1.81</v>
      </c>
      <c r="AD2471" s="21" t="s">
        <v>368</v>
      </c>
      <c r="AE2471" t="str">
        <f>VLOOKUP(Table_Query_from_Actuarial___Production3[[#This Row],[Kor1]],$AI$3:$AK$105,3,FALSE)</f>
        <v>Charge-offs</v>
      </c>
      <c r="AF2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2" spans="18:32" x14ac:dyDescent="0.2">
      <c r="R2472" t="s">
        <v>12</v>
      </c>
      <c r="S2472" t="s">
        <v>250</v>
      </c>
      <c r="T2472" t="s">
        <v>356</v>
      </c>
      <c r="U2472" s="21">
        <v>23904.99</v>
      </c>
      <c r="V2472" s="21" t="s">
        <v>368</v>
      </c>
      <c r="W2472" t="str">
        <f>VLOOKUP(Table_Query_from_Actuarial___Production[[#This Row],[Kor1]],$AI$3:$AK$105,3,FALSE)</f>
        <v>Premium Tax</v>
      </c>
      <c r="X2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2"/>
      <c r="Z2472" t="s">
        <v>44</v>
      </c>
      <c r="AA2472" t="s">
        <v>243</v>
      </c>
      <c r="AB2472" t="s">
        <v>427</v>
      </c>
      <c r="AC2472" s="21">
        <v>1500.95</v>
      </c>
      <c r="AD2472" s="21" t="s">
        <v>368</v>
      </c>
      <c r="AE2472" t="str">
        <f>VLOOKUP(Table_Query_from_Actuarial___Production3[[#This Row],[Kor1]],$AI$3:$AK$105,3,FALSE)</f>
        <v>Charge-offs</v>
      </c>
      <c r="AF2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3" spans="18:32" x14ac:dyDescent="0.2">
      <c r="R2473" t="s">
        <v>14</v>
      </c>
      <c r="S2473" t="s">
        <v>4</v>
      </c>
      <c r="T2473" t="s">
        <v>356</v>
      </c>
      <c r="U2473" s="21">
        <v>2668338.44</v>
      </c>
      <c r="V2473" s="21" t="s">
        <v>368</v>
      </c>
      <c r="W2473" t="str">
        <f>VLOOKUP(Table_Query_from_Actuarial___Production[[#This Row],[Kor1]],$AI$3:$AK$105,3,FALSE)</f>
        <v>Claims Expense</v>
      </c>
      <c r="X2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3"/>
      <c r="Z2473" t="s">
        <v>36</v>
      </c>
      <c r="AA2473" t="s">
        <v>4</v>
      </c>
      <c r="AB2473" t="s">
        <v>7</v>
      </c>
      <c r="AC2473" s="21">
        <v>174450.45</v>
      </c>
      <c r="AD2473" s="21" t="s">
        <v>368</v>
      </c>
      <c r="AE2473" t="str">
        <f>VLOOKUP(Table_Query_from_Actuarial___Production3[[#This Row],[Kor1]],$AI$3:$AK$105,3,FALSE)</f>
        <v>Misc. Expense</v>
      </c>
      <c r="AF2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4" spans="18:32" x14ac:dyDescent="0.2">
      <c r="R2474" t="s">
        <v>33</v>
      </c>
      <c r="S2474" t="s">
        <v>235</v>
      </c>
      <c r="T2474" t="s">
        <v>441</v>
      </c>
      <c r="U2474" s="21">
        <v>18211.650000000001</v>
      </c>
      <c r="V2474" s="21" t="s">
        <v>368</v>
      </c>
      <c r="W2474" t="str">
        <f>VLOOKUP(Table_Query_from_Actuarial___Production[[#This Row],[Kor1]],$AI$3:$AK$105,3,FALSE)</f>
        <v>Misc. Expense</v>
      </c>
      <c r="X2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4"/>
      <c r="Z2474" t="s">
        <v>44</v>
      </c>
      <c r="AA2474" t="s">
        <v>263</v>
      </c>
      <c r="AB2474" t="s">
        <v>356</v>
      </c>
      <c r="AC2474" s="21">
        <v>0.3</v>
      </c>
      <c r="AD2474" s="21" t="s">
        <v>368</v>
      </c>
      <c r="AE2474" t="str">
        <f>VLOOKUP(Table_Query_from_Actuarial___Production3[[#This Row],[Kor1]],$AI$3:$AK$105,3,FALSE)</f>
        <v>Charge-offs</v>
      </c>
      <c r="AF2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5" spans="18:32" x14ac:dyDescent="0.2">
      <c r="R2475" t="s">
        <v>10</v>
      </c>
      <c r="S2475" t="s">
        <v>250</v>
      </c>
      <c r="T2475" t="s">
        <v>441</v>
      </c>
      <c r="U2475" s="21">
        <v>105616.45</v>
      </c>
      <c r="V2475" s="21" t="s">
        <v>368</v>
      </c>
      <c r="W2475" t="str">
        <f>VLOOKUP(Table_Query_from_Actuarial___Production[[#This Row],[Kor1]],$AI$3:$AK$105,3,FALSE)</f>
        <v>Commissions</v>
      </c>
      <c r="X2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5"/>
      <c r="Z2475" t="s">
        <v>20</v>
      </c>
      <c r="AA2475" t="s">
        <v>244</v>
      </c>
      <c r="AB2475" t="s">
        <v>427</v>
      </c>
      <c r="AC2475" s="21">
        <v>429.22</v>
      </c>
      <c r="AD2475" s="21" t="s">
        <v>368</v>
      </c>
      <c r="AE2475" t="str">
        <f>VLOOKUP(Table_Query_from_Actuarial___Production3[[#This Row],[Kor1]],$AI$3:$AK$105,3,FALSE)</f>
        <v>Misc. Expense</v>
      </c>
      <c r="AF2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6" spans="18:32" x14ac:dyDescent="0.2">
      <c r="R2476" t="s">
        <v>20</v>
      </c>
      <c r="S2476" t="s">
        <v>244</v>
      </c>
      <c r="T2476" t="s">
        <v>7</v>
      </c>
      <c r="U2476" s="21">
        <v>581.65</v>
      </c>
      <c r="V2476" s="21" t="s">
        <v>368</v>
      </c>
      <c r="W2476" t="str">
        <f>VLOOKUP(Table_Query_from_Actuarial___Production[[#This Row],[Kor1]],$AI$3:$AK$105,3,FALSE)</f>
        <v>Misc. Expense</v>
      </c>
      <c r="X2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6"/>
      <c r="Z2476" t="s">
        <v>20</v>
      </c>
      <c r="AA2476" t="s">
        <v>262</v>
      </c>
      <c r="AB2476" t="s">
        <v>8</v>
      </c>
      <c r="AC2476" s="21">
        <v>105.85</v>
      </c>
      <c r="AD2476" s="21" t="s">
        <v>368</v>
      </c>
      <c r="AE2476" t="str">
        <f>VLOOKUP(Table_Query_from_Actuarial___Production3[[#This Row],[Kor1]],$AI$3:$AK$105,3,FALSE)</f>
        <v>Misc. Expense</v>
      </c>
      <c r="AF2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7" spans="18:32" x14ac:dyDescent="0.2">
      <c r="R2477" t="s">
        <v>49</v>
      </c>
      <c r="S2477" t="s">
        <v>242</v>
      </c>
      <c r="T2477" t="s">
        <v>9</v>
      </c>
      <c r="U2477" s="21">
        <v>9687.06</v>
      </c>
      <c r="V2477" s="21" t="s">
        <v>368</v>
      </c>
      <c r="W2477" t="str">
        <f>VLOOKUP(Table_Query_from_Actuarial___Production[[#This Row],[Kor1]],$AI$3:$AK$105,3,FALSE)</f>
        <v>ALAE Paid</v>
      </c>
      <c r="X2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7"/>
      <c r="Z2477" t="s">
        <v>39</v>
      </c>
      <c r="AA2477" t="s">
        <v>244</v>
      </c>
      <c r="AB2477" t="s">
        <v>8</v>
      </c>
      <c r="AC2477" s="21">
        <v>977</v>
      </c>
      <c r="AD2477" s="21" t="s">
        <v>368</v>
      </c>
      <c r="AE2477" t="str">
        <f>VLOOKUP(Table_Query_from_Actuarial___Production3[[#This Row],[Kor1]],$AI$3:$AK$105,3,FALSE)</f>
        <v>Misc. Income for Insolvent Companies</v>
      </c>
      <c r="AF2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8" spans="18:32" x14ac:dyDescent="0.2">
      <c r="R2478" t="s">
        <v>17</v>
      </c>
      <c r="S2478" t="s">
        <v>249</v>
      </c>
      <c r="T2478" t="s">
        <v>443</v>
      </c>
      <c r="U2478" s="21">
        <v>263558.75</v>
      </c>
      <c r="V2478" s="21" t="s">
        <v>368</v>
      </c>
      <c r="W2478" t="str">
        <f>VLOOKUP(Table_Query_from_Actuarial___Production[[#This Row],[Kor1]],$AI$3:$AK$105,3,FALSE)</f>
        <v>IBNR</v>
      </c>
      <c r="X2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8"/>
      <c r="Z2478" t="s">
        <v>17</v>
      </c>
      <c r="AA2478" t="s">
        <v>249</v>
      </c>
      <c r="AB2478" t="s">
        <v>427</v>
      </c>
      <c r="AC2478" s="21">
        <v>56297.61</v>
      </c>
      <c r="AD2478" s="21" t="s">
        <v>368</v>
      </c>
      <c r="AE2478" t="str">
        <f>VLOOKUP(Table_Query_from_Actuarial___Production3[[#This Row],[Kor1]],$AI$3:$AK$105,3,FALSE)</f>
        <v>IBNR</v>
      </c>
      <c r="AF2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79" spans="18:32" x14ac:dyDescent="0.2">
      <c r="R2479" t="s">
        <v>31</v>
      </c>
      <c r="S2479" t="s">
        <v>257</v>
      </c>
      <c r="T2479" t="s">
        <v>7</v>
      </c>
      <c r="U2479" s="21">
        <v>325.93</v>
      </c>
      <c r="V2479" s="21" t="s">
        <v>368</v>
      </c>
      <c r="W2479" t="str">
        <f>VLOOKUP(Table_Query_from_Actuarial___Production[[#This Row],[Kor1]],$AI$3:$AK$105,3,FALSE)</f>
        <v>Misc. Expense</v>
      </c>
      <c r="X2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79"/>
      <c r="Z2479" t="s">
        <v>10</v>
      </c>
      <c r="AA2479" t="s">
        <v>228</v>
      </c>
      <c r="AB2479" t="s">
        <v>427</v>
      </c>
      <c r="AC2479" s="21">
        <v>465948.55</v>
      </c>
      <c r="AD2479" s="21" t="s">
        <v>368</v>
      </c>
      <c r="AE2479" t="str">
        <f>VLOOKUP(Table_Query_from_Actuarial___Production3[[#This Row],[Kor1]],$AI$3:$AK$105,3,FALSE)</f>
        <v>Commissions</v>
      </c>
      <c r="AF2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0" spans="18:32" x14ac:dyDescent="0.2">
      <c r="R2480" t="s">
        <v>36</v>
      </c>
      <c r="S2480" t="s">
        <v>4</v>
      </c>
      <c r="T2480" t="s">
        <v>443</v>
      </c>
      <c r="U2480" s="21">
        <v>385437.91</v>
      </c>
      <c r="V2480" s="21" t="s">
        <v>368</v>
      </c>
      <c r="W2480" t="str">
        <f>VLOOKUP(Table_Query_from_Actuarial___Production[[#This Row],[Kor1]],$AI$3:$AK$105,3,FALSE)</f>
        <v>Misc. Expense</v>
      </c>
      <c r="X2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0"/>
      <c r="Z2480" t="s">
        <v>21</v>
      </c>
      <c r="AA2480" t="s">
        <v>228</v>
      </c>
      <c r="AB2480" t="s">
        <v>441</v>
      </c>
      <c r="AC2480" s="21">
        <v>923.01</v>
      </c>
      <c r="AD2480" s="21" t="s">
        <v>368</v>
      </c>
      <c r="AE2480" t="str">
        <f>VLOOKUP(Table_Query_from_Actuarial___Production3[[#This Row],[Kor1]],$AI$3:$AK$105,3,FALSE)</f>
        <v>Misc. Expense</v>
      </c>
      <c r="AF2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1" spans="18:32" x14ac:dyDescent="0.2">
      <c r="R2481" t="s">
        <v>39</v>
      </c>
      <c r="S2481" t="s">
        <v>246</v>
      </c>
      <c r="T2481" t="s">
        <v>6</v>
      </c>
      <c r="U2481" s="21">
        <v>55</v>
      </c>
      <c r="V2481" s="21" t="s">
        <v>368</v>
      </c>
      <c r="W2481" t="str">
        <f>VLOOKUP(Table_Query_from_Actuarial___Production[[#This Row],[Kor1]],$AI$3:$AK$105,3,FALSE)</f>
        <v>Misc. Income for Insolvent Companies</v>
      </c>
      <c r="X2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1"/>
      <c r="Z2481" t="s">
        <v>39</v>
      </c>
      <c r="AA2481" t="s">
        <v>242</v>
      </c>
      <c r="AB2481" t="s">
        <v>9</v>
      </c>
      <c r="AC2481" s="21">
        <v>17322</v>
      </c>
      <c r="AD2481" s="21" t="s">
        <v>368</v>
      </c>
      <c r="AE2481" t="str">
        <f>VLOOKUP(Table_Query_from_Actuarial___Production3[[#This Row],[Kor1]],$AI$3:$AK$105,3,FALSE)</f>
        <v>Misc. Income for Insolvent Companies</v>
      </c>
      <c r="AF2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2" spans="18:32" x14ac:dyDescent="0.2">
      <c r="R2482" t="s">
        <v>44</v>
      </c>
      <c r="S2482" t="s">
        <v>241</v>
      </c>
      <c r="T2482" t="s">
        <v>356</v>
      </c>
      <c r="U2482" s="21">
        <v>522.91999999999996</v>
      </c>
      <c r="V2482" s="21" t="s">
        <v>368</v>
      </c>
      <c r="W2482" t="str">
        <f>VLOOKUP(Table_Query_from_Actuarial___Production[[#This Row],[Kor1]],$AI$3:$AK$105,3,FALSE)</f>
        <v>Charge-offs</v>
      </c>
      <c r="X2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2"/>
      <c r="Z2482" t="s">
        <v>43</v>
      </c>
      <c r="AA2482" t="s">
        <v>4</v>
      </c>
      <c r="AB2482" t="s">
        <v>6</v>
      </c>
      <c r="AC2482" s="21">
        <v>1896.19</v>
      </c>
      <c r="AD2482" s="21" t="s">
        <v>368</v>
      </c>
      <c r="AE2482" t="str">
        <f>VLOOKUP(Table_Query_from_Actuarial___Production3[[#This Row],[Kor1]],$AI$3:$AK$105,3,FALSE)</f>
        <v>Charge-offs</v>
      </c>
      <c r="AF2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3" spans="18:32" x14ac:dyDescent="0.2">
      <c r="R2483" t="s">
        <v>10</v>
      </c>
      <c r="S2483" t="s">
        <v>252</v>
      </c>
      <c r="T2483" t="s">
        <v>442</v>
      </c>
      <c r="U2483" s="21">
        <v>2330483.81</v>
      </c>
      <c r="V2483" s="21" t="s">
        <v>368</v>
      </c>
      <c r="W2483" t="str">
        <f>VLOOKUP(Table_Query_from_Actuarial___Production[[#This Row],[Kor1]],$AI$3:$AK$105,3,FALSE)</f>
        <v>Commissions</v>
      </c>
      <c r="X2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3"/>
      <c r="Z2483" t="s">
        <v>19</v>
      </c>
      <c r="AA2483" t="s">
        <v>234</v>
      </c>
      <c r="AB2483" t="s">
        <v>8</v>
      </c>
      <c r="AC2483" s="21">
        <v>6</v>
      </c>
      <c r="AD2483" s="21" t="s">
        <v>368</v>
      </c>
      <c r="AE2483" t="str">
        <f>VLOOKUP(Table_Query_from_Actuarial___Production3[[#This Row],[Kor1]],$AI$3:$AK$105,3,FALSE)</f>
        <v>Misc. Expense for Insolvent Companies</v>
      </c>
      <c r="AF2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4" spans="18:32" x14ac:dyDescent="0.2">
      <c r="R2484" t="s">
        <v>19</v>
      </c>
      <c r="S2484" t="s">
        <v>264</v>
      </c>
      <c r="T2484" t="s">
        <v>7</v>
      </c>
      <c r="U2484" s="21">
        <v>2121.0100000000002</v>
      </c>
      <c r="V2484" s="21" t="s">
        <v>368</v>
      </c>
      <c r="W2484" t="str">
        <f>VLOOKUP(Table_Query_from_Actuarial___Production[[#This Row],[Kor1]],$AI$3:$AK$105,3,FALSE)</f>
        <v>Misc. Expense for Insolvent Companies</v>
      </c>
      <c r="X2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4"/>
      <c r="Z2484" t="s">
        <v>107</v>
      </c>
      <c r="AA2484" t="s">
        <v>259</v>
      </c>
      <c r="AB2484" t="s">
        <v>433</v>
      </c>
      <c r="AC2484" s="21">
        <v>123.44</v>
      </c>
      <c r="AD2484" s="21" t="s">
        <v>368</v>
      </c>
      <c r="AE2484" t="str">
        <f>VLOOKUP(Table_Query_from_Actuarial___Production3[[#This Row],[Kor1]],$AI$3:$AK$105,3,FALSE)</f>
        <v>Misc. Expense</v>
      </c>
      <c r="AF2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5" spans="18:32" x14ac:dyDescent="0.2">
      <c r="R2485" t="s">
        <v>40</v>
      </c>
      <c r="S2485" t="s">
        <v>238</v>
      </c>
      <c r="T2485" t="s">
        <v>427</v>
      </c>
      <c r="U2485" s="21">
        <v>24.99</v>
      </c>
      <c r="V2485" s="21" t="s">
        <v>368</v>
      </c>
      <c r="W2485" t="str">
        <f>VLOOKUP(Table_Query_from_Actuarial___Production[[#This Row],[Kor1]],$AI$3:$AK$105,3,FALSE)</f>
        <v>Misc. Income</v>
      </c>
      <c r="X2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5"/>
      <c r="Z2485" t="s">
        <v>33</v>
      </c>
      <c r="AA2485" t="s">
        <v>236</v>
      </c>
      <c r="AB2485" t="s">
        <v>7</v>
      </c>
      <c r="AC2485" s="21">
        <v>13406.73</v>
      </c>
      <c r="AD2485" s="21" t="s">
        <v>368</v>
      </c>
      <c r="AE2485" t="str">
        <f>VLOOKUP(Table_Query_from_Actuarial___Production3[[#This Row],[Kor1]],$AI$3:$AK$105,3,FALSE)</f>
        <v>Misc. Expense</v>
      </c>
      <c r="AF2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6" spans="18:32" x14ac:dyDescent="0.2">
      <c r="R2486" t="s">
        <v>31</v>
      </c>
      <c r="S2486" t="s">
        <v>261</v>
      </c>
      <c r="T2486" t="s">
        <v>9</v>
      </c>
      <c r="U2486" s="21">
        <v>449.79</v>
      </c>
      <c r="V2486" s="21" t="s">
        <v>368</v>
      </c>
      <c r="W2486" t="str">
        <f>VLOOKUP(Table_Query_from_Actuarial___Production[[#This Row],[Kor1]],$AI$3:$AK$105,3,FALSE)</f>
        <v>Misc. Expense</v>
      </c>
      <c r="X2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6"/>
      <c r="Z2486" t="s">
        <v>44</v>
      </c>
      <c r="AA2486" t="s">
        <v>254</v>
      </c>
      <c r="AB2486" t="s">
        <v>7</v>
      </c>
      <c r="AC2486" s="21">
        <v>131</v>
      </c>
      <c r="AD2486" s="21" t="s">
        <v>368</v>
      </c>
      <c r="AE2486" t="str">
        <f>VLOOKUP(Table_Query_from_Actuarial___Production3[[#This Row],[Kor1]],$AI$3:$AK$105,3,FALSE)</f>
        <v>Charge-offs</v>
      </c>
      <c r="AF2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7" spans="18:32" x14ac:dyDescent="0.2">
      <c r="R2487" t="s">
        <v>44</v>
      </c>
      <c r="S2487" t="s">
        <v>228</v>
      </c>
      <c r="T2487" t="s">
        <v>8</v>
      </c>
      <c r="U2487" s="21">
        <v>58630</v>
      </c>
      <c r="V2487" s="21" t="s">
        <v>368</v>
      </c>
      <c r="W2487" t="str">
        <f>VLOOKUP(Table_Query_from_Actuarial___Production[[#This Row],[Kor1]],$AI$3:$AK$105,3,FALSE)</f>
        <v>Charge-offs</v>
      </c>
      <c r="X2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7"/>
      <c r="Z2487" t="s">
        <v>31</v>
      </c>
      <c r="AA2487" t="s">
        <v>266</v>
      </c>
      <c r="AB2487" t="s">
        <v>427</v>
      </c>
      <c r="AC2487" s="21">
        <v>643.64</v>
      </c>
      <c r="AD2487" s="21" t="s">
        <v>368</v>
      </c>
      <c r="AE2487" t="str">
        <f>VLOOKUP(Table_Query_from_Actuarial___Production3[[#This Row],[Kor1]],$AI$3:$AK$105,3,FALSE)</f>
        <v>Misc. Expense</v>
      </c>
      <c r="AF2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8" spans="18:32" x14ac:dyDescent="0.2">
      <c r="R2488" t="s">
        <v>13</v>
      </c>
      <c r="S2488" t="s">
        <v>224</v>
      </c>
      <c r="T2488" t="s">
        <v>441</v>
      </c>
      <c r="U2488" s="21">
        <v>2222.3200000000002</v>
      </c>
      <c r="V2488" s="21" t="s">
        <v>425</v>
      </c>
      <c r="W2488" t="str">
        <f>VLOOKUP(Table_Query_from_Actuarial___Production[[#This Row],[Kor1]],$AI$3:$AK$105,3,FALSE)</f>
        <v>Operating Service Fees</v>
      </c>
      <c r="X2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488"/>
      <c r="Z2488" t="s">
        <v>34</v>
      </c>
      <c r="AA2488" t="s">
        <v>261</v>
      </c>
      <c r="AB2488" t="s">
        <v>351</v>
      </c>
      <c r="AC2488" s="21">
        <v>283.75</v>
      </c>
      <c r="AD2488" s="21" t="s">
        <v>368</v>
      </c>
      <c r="AE2488" t="str">
        <f>VLOOKUP(Table_Query_from_Actuarial___Production3[[#This Row],[Kor1]],$AI$3:$AK$105,3,FALSE)</f>
        <v>Misc. Expense</v>
      </c>
      <c r="AF2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89" spans="18:32" x14ac:dyDescent="0.2">
      <c r="R2489" t="s">
        <v>33</v>
      </c>
      <c r="S2489" t="s">
        <v>267</v>
      </c>
      <c r="T2489" t="s">
        <v>8</v>
      </c>
      <c r="U2489" s="21">
        <v>15395</v>
      </c>
      <c r="V2489" s="21" t="s">
        <v>368</v>
      </c>
      <c r="W2489" t="str">
        <f>VLOOKUP(Table_Query_from_Actuarial___Production[[#This Row],[Kor1]],$AI$3:$AK$105,3,FALSE)</f>
        <v>Misc. Expense</v>
      </c>
      <c r="X2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89"/>
      <c r="Z2489" t="s">
        <v>40</v>
      </c>
      <c r="AA2489" t="s">
        <v>228</v>
      </c>
      <c r="AB2489" t="s">
        <v>6</v>
      </c>
      <c r="AC2489" s="21">
        <v>139</v>
      </c>
      <c r="AD2489" s="21" t="s">
        <v>368</v>
      </c>
      <c r="AE2489" t="str">
        <f>VLOOKUP(Table_Query_from_Actuarial___Production3[[#This Row],[Kor1]],$AI$3:$AK$105,3,FALSE)</f>
        <v>Misc. Income</v>
      </c>
      <c r="AF2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0" spans="18:32" x14ac:dyDescent="0.2">
      <c r="R2490" t="s">
        <v>18</v>
      </c>
      <c r="S2490" t="s">
        <v>226</v>
      </c>
      <c r="T2490" t="s">
        <v>445</v>
      </c>
      <c r="U2490" s="21">
        <v>168073.18</v>
      </c>
      <c r="V2490" s="21" t="s">
        <v>368</v>
      </c>
      <c r="W2490" t="str">
        <f>VLOOKUP(Table_Query_from_Actuarial___Production[[#This Row],[Kor1]],$AI$3:$AK$105,3,FALSE)</f>
        <v>Misc. Expense</v>
      </c>
      <c r="X2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490"/>
      <c r="Z2490" t="s">
        <v>47</v>
      </c>
      <c r="AA2490" t="s">
        <v>230</v>
      </c>
      <c r="AB2490" t="s">
        <v>433</v>
      </c>
      <c r="AC2490" s="21">
        <v>24942.85</v>
      </c>
      <c r="AD2490" s="21" t="s">
        <v>368</v>
      </c>
      <c r="AE2490" t="str">
        <f>VLOOKUP(Table_Query_from_Actuarial___Production3[[#This Row],[Kor1]],$AI$3:$AK$105,3,FALSE)</f>
        <v>Investment Income</v>
      </c>
      <c r="AF2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1" spans="18:32" x14ac:dyDescent="0.2">
      <c r="R2491" t="s">
        <v>48</v>
      </c>
      <c r="S2491" t="s">
        <v>225</v>
      </c>
      <c r="T2491" t="s">
        <v>445</v>
      </c>
      <c r="U2491" s="21">
        <v>787.14</v>
      </c>
      <c r="V2491" s="21" t="s">
        <v>368</v>
      </c>
      <c r="W2491" t="str">
        <f>VLOOKUP(Table_Query_from_Actuarial___Production[[#This Row],[Kor1]],$AI$3:$AK$105,3,FALSE)</f>
        <v>Anticipated Salvage</v>
      </c>
      <c r="X2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491"/>
      <c r="Z2491" t="s">
        <v>33</v>
      </c>
      <c r="AA2491" t="s">
        <v>246</v>
      </c>
      <c r="AB2491" t="s">
        <v>427</v>
      </c>
      <c r="AC2491" s="21">
        <v>13233.06</v>
      </c>
      <c r="AD2491" s="21" t="s">
        <v>368</v>
      </c>
      <c r="AE2491" t="str">
        <f>VLOOKUP(Table_Query_from_Actuarial___Production3[[#This Row],[Kor1]],$AI$3:$AK$105,3,FALSE)</f>
        <v>Misc. Expense</v>
      </c>
      <c r="AF2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2" spans="18:32" x14ac:dyDescent="0.2">
      <c r="R2492" t="s">
        <v>11</v>
      </c>
      <c r="S2492" t="s">
        <v>227</v>
      </c>
      <c r="T2492" t="s">
        <v>442</v>
      </c>
      <c r="U2492" s="21">
        <v>1626.58</v>
      </c>
      <c r="V2492" s="21" t="s">
        <v>368</v>
      </c>
      <c r="W2492" t="str">
        <f>VLOOKUP(Table_Query_from_Actuarial___Production[[#This Row],[Kor1]],$AI$3:$AK$105,3,FALSE)</f>
        <v>Losses Paid</v>
      </c>
      <c r="X2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2"/>
      <c r="Z2492" t="s">
        <v>37</v>
      </c>
      <c r="AA2492" t="s">
        <v>252</v>
      </c>
      <c r="AB2492" t="s">
        <v>9</v>
      </c>
      <c r="AC2492" s="21">
        <v>23977.19</v>
      </c>
      <c r="AD2492" s="21" t="s">
        <v>368</v>
      </c>
      <c r="AE2492" t="str">
        <f>VLOOKUP(Table_Query_from_Actuarial___Production3[[#This Row],[Kor1]],$AI$3:$AK$105,3,FALSE)</f>
        <v>Misc. Expense</v>
      </c>
      <c r="AF2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3" spans="18:32" x14ac:dyDescent="0.2">
      <c r="R2493" t="s">
        <v>40</v>
      </c>
      <c r="S2493" t="s">
        <v>232</v>
      </c>
      <c r="T2493" t="s">
        <v>9</v>
      </c>
      <c r="U2493" s="21">
        <v>2356.29</v>
      </c>
      <c r="V2493" s="21" t="s">
        <v>368</v>
      </c>
      <c r="W2493" t="str">
        <f>VLOOKUP(Table_Query_from_Actuarial___Production[[#This Row],[Kor1]],$AI$3:$AK$105,3,FALSE)</f>
        <v>Misc. Income</v>
      </c>
      <c r="X2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3"/>
      <c r="Z2493" t="s">
        <v>44</v>
      </c>
      <c r="AA2493" t="s">
        <v>257</v>
      </c>
      <c r="AB2493" t="s">
        <v>441</v>
      </c>
      <c r="AC2493" s="21">
        <v>186612.37</v>
      </c>
      <c r="AD2493" s="21" t="s">
        <v>368</v>
      </c>
      <c r="AE2493" t="str">
        <f>VLOOKUP(Table_Query_from_Actuarial___Production3[[#This Row],[Kor1]],$AI$3:$AK$105,3,FALSE)</f>
        <v>Charge-offs</v>
      </c>
      <c r="AF2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4" spans="18:32" x14ac:dyDescent="0.2">
      <c r="R2494" t="s">
        <v>50</v>
      </c>
      <c r="S2494" t="s">
        <v>4</v>
      </c>
      <c r="T2494" t="s">
        <v>442</v>
      </c>
      <c r="U2494" s="21">
        <v>1171188.3</v>
      </c>
      <c r="V2494" s="21" t="s">
        <v>368</v>
      </c>
      <c r="W2494" t="str">
        <f>VLOOKUP(Table_Query_from_Actuarial___Production[[#This Row],[Kor1]],$AI$3:$AK$105,3,FALSE)</f>
        <v>ALAE Reserve</v>
      </c>
      <c r="X2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4"/>
      <c r="Z2494" t="s">
        <v>40</v>
      </c>
      <c r="AA2494" t="s">
        <v>245</v>
      </c>
      <c r="AB2494" t="s">
        <v>6</v>
      </c>
      <c r="AC2494" s="21">
        <v>52</v>
      </c>
      <c r="AD2494" s="21" t="s">
        <v>368</v>
      </c>
      <c r="AE2494" t="str">
        <f>VLOOKUP(Table_Query_from_Actuarial___Production3[[#This Row],[Kor1]],$AI$3:$AK$105,3,FALSE)</f>
        <v>Misc. Income</v>
      </c>
      <c r="AF2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5" spans="18:32" x14ac:dyDescent="0.2">
      <c r="R2495" t="s">
        <v>11</v>
      </c>
      <c r="S2495" t="s">
        <v>241</v>
      </c>
      <c r="T2495" t="s">
        <v>441</v>
      </c>
      <c r="U2495" s="21">
        <v>170288.1</v>
      </c>
      <c r="V2495" s="21" t="s">
        <v>368</v>
      </c>
      <c r="W2495" t="str">
        <f>VLOOKUP(Table_Query_from_Actuarial___Production[[#This Row],[Kor1]],$AI$3:$AK$105,3,FALSE)</f>
        <v>Losses Paid</v>
      </c>
      <c r="X2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5"/>
      <c r="Z2495" t="s">
        <v>19</v>
      </c>
      <c r="AA2495" t="s">
        <v>259</v>
      </c>
      <c r="AB2495" t="s">
        <v>8</v>
      </c>
      <c r="AC2495" s="21">
        <v>1056</v>
      </c>
      <c r="AD2495" s="21" t="s">
        <v>368</v>
      </c>
      <c r="AE2495" t="str">
        <f>VLOOKUP(Table_Query_from_Actuarial___Production3[[#This Row],[Kor1]],$AI$3:$AK$105,3,FALSE)</f>
        <v>Misc. Expense for Insolvent Companies</v>
      </c>
      <c r="AF2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6" spans="18:32" x14ac:dyDescent="0.2">
      <c r="R2496" t="s">
        <v>47</v>
      </c>
      <c r="S2496" t="s">
        <v>240</v>
      </c>
      <c r="T2496" t="s">
        <v>442</v>
      </c>
      <c r="U2496" s="21">
        <v>3934.2</v>
      </c>
      <c r="V2496" s="21" t="s">
        <v>368</v>
      </c>
      <c r="W2496" t="str">
        <f>VLOOKUP(Table_Query_from_Actuarial___Production[[#This Row],[Kor1]],$AI$3:$AK$105,3,FALSE)</f>
        <v>Investment Income</v>
      </c>
      <c r="X2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6"/>
      <c r="Z2496" t="s">
        <v>48</v>
      </c>
      <c r="AA2496" t="s">
        <v>263</v>
      </c>
      <c r="AB2496" t="s">
        <v>441</v>
      </c>
      <c r="AC2496" s="21">
        <v>1066.8699999999999</v>
      </c>
      <c r="AD2496" s="21" t="s">
        <v>368</v>
      </c>
      <c r="AE2496" t="str">
        <f>VLOOKUP(Table_Query_from_Actuarial___Production3[[#This Row],[Kor1]],$AI$3:$AK$105,3,FALSE)</f>
        <v>Anticipated Salvage</v>
      </c>
      <c r="AF2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7" spans="18:32" x14ac:dyDescent="0.2">
      <c r="R2497" t="s">
        <v>47</v>
      </c>
      <c r="S2497" t="s">
        <v>266</v>
      </c>
      <c r="T2497" t="s">
        <v>442</v>
      </c>
      <c r="U2497" s="21">
        <v>3213.45</v>
      </c>
      <c r="V2497" s="21" t="s">
        <v>368</v>
      </c>
      <c r="W2497" t="str">
        <f>VLOOKUP(Table_Query_from_Actuarial___Production[[#This Row],[Kor1]],$AI$3:$AK$105,3,FALSE)</f>
        <v>Investment Income</v>
      </c>
      <c r="X2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7"/>
      <c r="Z2497" t="s">
        <v>13</v>
      </c>
      <c r="AA2497" t="s">
        <v>225</v>
      </c>
      <c r="AB2497" t="s">
        <v>427</v>
      </c>
      <c r="AC2497" s="21">
        <v>112321.08</v>
      </c>
      <c r="AD2497" s="21" t="s">
        <v>369</v>
      </c>
      <c r="AE2497" t="str">
        <f>VLOOKUP(Table_Query_from_Actuarial___Production3[[#This Row],[Kor1]],$AI$3:$AK$105,3,FALSE)</f>
        <v>Operating Service Fees</v>
      </c>
      <c r="AF2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498" spans="18:32" x14ac:dyDescent="0.2">
      <c r="R2498" t="s">
        <v>13</v>
      </c>
      <c r="S2498" t="s">
        <v>254</v>
      </c>
      <c r="T2498" t="s">
        <v>427</v>
      </c>
      <c r="U2498" s="21">
        <v>1081857.6000000001</v>
      </c>
      <c r="V2498" s="21" t="s">
        <v>368</v>
      </c>
      <c r="W2498" t="str">
        <f>VLOOKUP(Table_Query_from_Actuarial___Production[[#This Row],[Kor1]],$AI$3:$AK$105,3,FALSE)</f>
        <v>Operating Service Fees</v>
      </c>
      <c r="X2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8"/>
      <c r="Z2498" t="s">
        <v>13</v>
      </c>
      <c r="AA2498" t="s">
        <v>254</v>
      </c>
      <c r="AB2498" t="s">
        <v>443</v>
      </c>
      <c r="AC2498" s="21">
        <v>1550941.38</v>
      </c>
      <c r="AD2498" s="21" t="s">
        <v>368</v>
      </c>
      <c r="AE2498" t="str">
        <f>VLOOKUP(Table_Query_from_Actuarial___Production3[[#This Row],[Kor1]],$AI$3:$AK$105,3,FALSE)</f>
        <v>Operating Service Fees</v>
      </c>
      <c r="AF2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499" spans="18:32" x14ac:dyDescent="0.2">
      <c r="R2499" t="s">
        <v>15</v>
      </c>
      <c r="S2499" t="s">
        <v>263</v>
      </c>
      <c r="T2499" t="s">
        <v>443</v>
      </c>
      <c r="U2499" s="21">
        <v>100517.7</v>
      </c>
      <c r="V2499" s="21" t="s">
        <v>368</v>
      </c>
      <c r="W2499" t="str">
        <f>VLOOKUP(Table_Query_from_Actuarial___Production[[#This Row],[Kor1]],$AI$3:$AK$105,3,FALSE)</f>
        <v>Unearned Premiums</v>
      </c>
      <c r="X2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499"/>
      <c r="Z2499" t="s">
        <v>14</v>
      </c>
      <c r="AA2499" t="s">
        <v>230</v>
      </c>
      <c r="AB2499" t="s">
        <v>442</v>
      </c>
      <c r="AC2499" s="21">
        <v>808984.72</v>
      </c>
      <c r="AD2499" s="21" t="s">
        <v>368</v>
      </c>
      <c r="AE2499" t="str">
        <f>VLOOKUP(Table_Query_from_Actuarial___Production3[[#This Row],[Kor1]],$AI$3:$AK$105,3,FALSE)</f>
        <v>Claims Expense</v>
      </c>
      <c r="AF2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0" spans="18:32" x14ac:dyDescent="0.2">
      <c r="R2500" t="s">
        <v>16</v>
      </c>
      <c r="S2500" t="s">
        <v>246</v>
      </c>
      <c r="T2500" t="s">
        <v>441</v>
      </c>
      <c r="U2500" s="21">
        <v>1596132.85</v>
      </c>
      <c r="V2500" s="21" t="s">
        <v>368</v>
      </c>
      <c r="W2500" t="str">
        <f>VLOOKUP(Table_Query_from_Actuarial___Production[[#This Row],[Kor1]],$AI$3:$AK$105,3,FALSE)</f>
        <v>Losses Outstanding</v>
      </c>
      <c r="X2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0"/>
      <c r="Z2500" t="s">
        <v>10</v>
      </c>
      <c r="AA2500" t="s">
        <v>251</v>
      </c>
      <c r="AB2500" t="s">
        <v>443</v>
      </c>
      <c r="AC2500" s="21">
        <v>8961.2000000000007</v>
      </c>
      <c r="AD2500" s="21" t="s">
        <v>368</v>
      </c>
      <c r="AE2500" t="str">
        <f>VLOOKUP(Table_Query_from_Actuarial___Production3[[#This Row],[Kor1]],$AI$3:$AK$105,3,FALSE)</f>
        <v>Commissions</v>
      </c>
      <c r="AF2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1" spans="18:32" x14ac:dyDescent="0.2">
      <c r="R2501" t="s">
        <v>32</v>
      </c>
      <c r="S2501" t="s">
        <v>244</v>
      </c>
      <c r="T2501" t="s">
        <v>356</v>
      </c>
      <c r="U2501" s="21">
        <v>4529.79</v>
      </c>
      <c r="V2501" s="21" t="s">
        <v>368</v>
      </c>
      <c r="W2501" t="str">
        <f>VLOOKUP(Table_Query_from_Actuarial___Production[[#This Row],[Kor1]],$AI$3:$AK$105,3,FALSE)</f>
        <v>Misc. Expense</v>
      </c>
      <c r="X2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1"/>
      <c r="Z2501" t="s">
        <v>10</v>
      </c>
      <c r="AA2501" t="s">
        <v>234</v>
      </c>
      <c r="AB2501" t="s">
        <v>5</v>
      </c>
      <c r="AC2501" s="21">
        <v>38475.5</v>
      </c>
      <c r="AD2501" s="21" t="s">
        <v>368</v>
      </c>
      <c r="AE2501" t="str">
        <f>VLOOKUP(Table_Query_from_Actuarial___Production3[[#This Row],[Kor1]],$AI$3:$AK$105,3,FALSE)</f>
        <v>Commissions</v>
      </c>
      <c r="AF2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2" spans="18:32" x14ac:dyDescent="0.2">
      <c r="R2502" t="s">
        <v>3</v>
      </c>
      <c r="S2502" t="s">
        <v>224</v>
      </c>
      <c r="T2502" t="s">
        <v>427</v>
      </c>
      <c r="U2502" s="21">
        <v>2697936.11</v>
      </c>
      <c r="V2502" s="21" t="s">
        <v>368</v>
      </c>
      <c r="W2502" t="str">
        <f>VLOOKUP(Table_Query_from_Actuarial___Production[[#This Row],[Kor1]],$AI$3:$AK$105,3,FALSE)</f>
        <v>Premiums Written</v>
      </c>
      <c r="X2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502"/>
      <c r="Z2502" t="s">
        <v>12</v>
      </c>
      <c r="AA2502" t="s">
        <v>256</v>
      </c>
      <c r="AB2502" t="s">
        <v>356</v>
      </c>
      <c r="AC2502" s="21">
        <v>-24.12</v>
      </c>
      <c r="AD2502" s="21" t="s">
        <v>368</v>
      </c>
      <c r="AE2502" t="str">
        <f>VLOOKUP(Table_Query_from_Actuarial___Production3[[#This Row],[Kor1]],$AI$3:$AK$105,3,FALSE)</f>
        <v>Premium Tax</v>
      </c>
      <c r="AF2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3" spans="18:32" x14ac:dyDescent="0.2">
      <c r="R2503" t="s">
        <v>12</v>
      </c>
      <c r="S2503" t="s">
        <v>229</v>
      </c>
      <c r="T2503" t="s">
        <v>9</v>
      </c>
      <c r="U2503" s="21">
        <v>1952.21</v>
      </c>
      <c r="V2503" s="21" t="s">
        <v>368</v>
      </c>
      <c r="W2503" t="str">
        <f>VLOOKUP(Table_Query_from_Actuarial___Production[[#This Row],[Kor1]],$AI$3:$AK$105,3,FALSE)</f>
        <v>Premium Tax</v>
      </c>
      <c r="X2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3"/>
      <c r="Z2503" t="s">
        <v>44</v>
      </c>
      <c r="AA2503" t="s">
        <v>240</v>
      </c>
      <c r="AB2503" t="s">
        <v>8</v>
      </c>
      <c r="AC2503" s="21">
        <v>19369.5</v>
      </c>
      <c r="AD2503" s="21" t="s">
        <v>368</v>
      </c>
      <c r="AE2503" t="str">
        <f>VLOOKUP(Table_Query_from_Actuarial___Production3[[#This Row],[Kor1]],$AI$3:$AK$105,3,FALSE)</f>
        <v>Charge-offs</v>
      </c>
      <c r="AF2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4" spans="18:32" x14ac:dyDescent="0.2">
      <c r="R2504" t="s">
        <v>19</v>
      </c>
      <c r="S2504" t="s">
        <v>4</v>
      </c>
      <c r="T2504" t="s">
        <v>351</v>
      </c>
      <c r="U2504" s="21">
        <v>43563.18</v>
      </c>
      <c r="V2504" s="21" t="s">
        <v>368</v>
      </c>
      <c r="W2504" t="str">
        <f>VLOOKUP(Table_Query_from_Actuarial___Production[[#This Row],[Kor1]],$AI$3:$AK$105,3,FALSE)</f>
        <v>Misc. Expense for Insolvent Companies</v>
      </c>
      <c r="X2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4"/>
      <c r="Z2504" t="s">
        <v>11</v>
      </c>
      <c r="AA2504" t="s">
        <v>259</v>
      </c>
      <c r="AB2504" t="s">
        <v>8</v>
      </c>
      <c r="AC2504" s="21">
        <v>93411.13</v>
      </c>
      <c r="AD2504" s="21" t="s">
        <v>368</v>
      </c>
      <c r="AE2504" t="str">
        <f>VLOOKUP(Table_Query_from_Actuarial___Production3[[#This Row],[Kor1]],$AI$3:$AK$105,3,FALSE)</f>
        <v>Losses Paid</v>
      </c>
      <c r="AF2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5" spans="18:32" x14ac:dyDescent="0.2">
      <c r="R2505" t="s">
        <v>13</v>
      </c>
      <c r="S2505" t="s">
        <v>238</v>
      </c>
      <c r="T2505" t="s">
        <v>445</v>
      </c>
      <c r="U2505" s="21">
        <v>291814.11</v>
      </c>
      <c r="V2505" s="21" t="s">
        <v>368</v>
      </c>
      <c r="W2505" t="str">
        <f>VLOOKUP(Table_Query_from_Actuarial___Production[[#This Row],[Kor1]],$AI$3:$AK$105,3,FALSE)</f>
        <v>Operating Service Fees</v>
      </c>
      <c r="X2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5"/>
      <c r="Z2505" t="s">
        <v>34</v>
      </c>
      <c r="AA2505" t="s">
        <v>259</v>
      </c>
      <c r="AB2505" t="s">
        <v>351</v>
      </c>
      <c r="AC2505" s="21">
        <v>1197.3</v>
      </c>
      <c r="AD2505" s="21" t="s">
        <v>368</v>
      </c>
      <c r="AE2505" t="str">
        <f>VLOOKUP(Table_Query_from_Actuarial___Production3[[#This Row],[Kor1]],$AI$3:$AK$105,3,FALSE)</f>
        <v>Misc. Expense</v>
      </c>
      <c r="AF2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6" spans="18:32" x14ac:dyDescent="0.2">
      <c r="R2506" t="s">
        <v>37</v>
      </c>
      <c r="S2506" t="s">
        <v>4</v>
      </c>
      <c r="T2506" t="s">
        <v>7</v>
      </c>
      <c r="U2506" s="21">
        <v>2854.96</v>
      </c>
      <c r="V2506" s="21" t="s">
        <v>368</v>
      </c>
      <c r="W2506" t="str">
        <f>VLOOKUP(Table_Query_from_Actuarial___Production[[#This Row],[Kor1]],$AI$3:$AK$105,3,FALSE)</f>
        <v>Misc. Expense</v>
      </c>
      <c r="X2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6"/>
      <c r="Z2506" t="s">
        <v>41</v>
      </c>
      <c r="AA2506" t="s">
        <v>253</v>
      </c>
      <c r="AB2506" t="s">
        <v>441</v>
      </c>
      <c r="AC2506" s="21">
        <v>150</v>
      </c>
      <c r="AD2506" s="21" t="s">
        <v>368</v>
      </c>
      <c r="AE2506" t="str">
        <f>VLOOKUP(Table_Query_from_Actuarial___Production3[[#This Row],[Kor1]],$AI$3:$AK$105,3,FALSE)</f>
        <v>Misc. Income</v>
      </c>
      <c r="AF2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7" spans="18:32" x14ac:dyDescent="0.2">
      <c r="R2507" t="s">
        <v>48</v>
      </c>
      <c r="S2507" t="s">
        <v>233</v>
      </c>
      <c r="T2507" t="s">
        <v>441</v>
      </c>
      <c r="U2507" s="21">
        <v>3811.11</v>
      </c>
      <c r="V2507" s="21" t="s">
        <v>368</v>
      </c>
      <c r="W2507" t="str">
        <f>VLOOKUP(Table_Query_from_Actuarial___Production[[#This Row],[Kor1]],$AI$3:$AK$105,3,FALSE)</f>
        <v>Anticipated Salvage</v>
      </c>
      <c r="X2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7"/>
      <c r="Z2507" t="s">
        <v>10</v>
      </c>
      <c r="AA2507" t="s">
        <v>260</v>
      </c>
      <c r="AB2507" t="s">
        <v>8</v>
      </c>
      <c r="AC2507" s="21">
        <v>529.29999999999995</v>
      </c>
      <c r="AD2507" s="21" t="s">
        <v>368</v>
      </c>
      <c r="AE2507" t="str">
        <f>VLOOKUP(Table_Query_from_Actuarial___Production3[[#This Row],[Kor1]],$AI$3:$AK$105,3,FALSE)</f>
        <v>Commissions</v>
      </c>
      <c r="AF2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8" spans="18:32" x14ac:dyDescent="0.2">
      <c r="R2508" t="s">
        <v>12</v>
      </c>
      <c r="S2508" t="s">
        <v>234</v>
      </c>
      <c r="T2508" t="s">
        <v>8</v>
      </c>
      <c r="U2508" s="21">
        <v>15639.76</v>
      </c>
      <c r="V2508" s="21" t="s">
        <v>368</v>
      </c>
      <c r="W2508" t="str">
        <f>VLOOKUP(Table_Query_from_Actuarial___Production[[#This Row],[Kor1]],$AI$3:$AK$105,3,FALSE)</f>
        <v>Premium Tax</v>
      </c>
      <c r="X2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8"/>
      <c r="Z2508" t="s">
        <v>31</v>
      </c>
      <c r="AA2508" t="s">
        <v>233</v>
      </c>
      <c r="AB2508" t="s">
        <v>442</v>
      </c>
      <c r="AC2508" s="21">
        <v>1038.57</v>
      </c>
      <c r="AD2508" s="21" t="s">
        <v>368</v>
      </c>
      <c r="AE2508" t="str">
        <f>VLOOKUP(Table_Query_from_Actuarial___Production3[[#This Row],[Kor1]],$AI$3:$AK$105,3,FALSE)</f>
        <v>Misc. Expense</v>
      </c>
      <c r="AF2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09" spans="18:32" x14ac:dyDescent="0.2">
      <c r="R2509" t="s">
        <v>41</v>
      </c>
      <c r="S2509" t="s">
        <v>237</v>
      </c>
      <c r="T2509" t="s">
        <v>356</v>
      </c>
      <c r="U2509" s="21">
        <v>543.48</v>
      </c>
      <c r="V2509" s="21" t="s">
        <v>368</v>
      </c>
      <c r="W2509" t="str">
        <f>VLOOKUP(Table_Query_from_Actuarial___Production[[#This Row],[Kor1]],$AI$3:$AK$105,3,FALSE)</f>
        <v>Misc. Income</v>
      </c>
      <c r="X2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09"/>
      <c r="Z2509" t="s">
        <v>36</v>
      </c>
      <c r="AA2509" t="s">
        <v>250</v>
      </c>
      <c r="AB2509" t="s">
        <v>427</v>
      </c>
      <c r="AC2509" s="21">
        <v>662.01</v>
      </c>
      <c r="AD2509" s="21" t="s">
        <v>368</v>
      </c>
      <c r="AE2509" t="str">
        <f>VLOOKUP(Table_Query_from_Actuarial___Production3[[#This Row],[Kor1]],$AI$3:$AK$105,3,FALSE)</f>
        <v>Misc. Expense</v>
      </c>
      <c r="AF2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0" spans="18:32" x14ac:dyDescent="0.2">
      <c r="R2510" t="s">
        <v>13</v>
      </c>
      <c r="S2510" t="s">
        <v>225</v>
      </c>
      <c r="T2510" t="s">
        <v>7</v>
      </c>
      <c r="U2510" s="21">
        <v>145146.13</v>
      </c>
      <c r="V2510" s="21" t="s">
        <v>369</v>
      </c>
      <c r="W2510" t="str">
        <f>VLOOKUP(Table_Query_from_Actuarial___Production[[#This Row],[Kor1]],$AI$3:$AK$105,3,FALSE)</f>
        <v>Operating Service Fees</v>
      </c>
      <c r="X2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510"/>
      <c r="Z2510" t="s">
        <v>44</v>
      </c>
      <c r="AA2510" t="s">
        <v>231</v>
      </c>
      <c r="AB2510" t="s">
        <v>351</v>
      </c>
      <c r="AC2510" s="21">
        <v>3480.7</v>
      </c>
      <c r="AD2510" s="21" t="s">
        <v>368</v>
      </c>
      <c r="AE2510" t="str">
        <f>VLOOKUP(Table_Query_from_Actuarial___Production3[[#This Row],[Kor1]],$AI$3:$AK$105,3,FALSE)</f>
        <v>Charge-offs</v>
      </c>
      <c r="AF2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1" spans="18:32" x14ac:dyDescent="0.2">
      <c r="R2511" t="s">
        <v>44</v>
      </c>
      <c r="S2511" t="s">
        <v>231</v>
      </c>
      <c r="T2511" t="s">
        <v>441</v>
      </c>
      <c r="U2511" s="21">
        <v>223639.2</v>
      </c>
      <c r="V2511" s="21" t="s">
        <v>368</v>
      </c>
      <c r="W2511" t="str">
        <f>VLOOKUP(Table_Query_from_Actuarial___Production[[#This Row],[Kor1]],$AI$3:$AK$105,3,FALSE)</f>
        <v>Charge-offs</v>
      </c>
      <c r="X2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1"/>
      <c r="Z2511" t="s">
        <v>39</v>
      </c>
      <c r="AA2511" t="s">
        <v>264</v>
      </c>
      <c r="AB2511" t="s">
        <v>442</v>
      </c>
      <c r="AC2511" s="21">
        <v>717.03</v>
      </c>
      <c r="AD2511" s="21" t="s">
        <v>368</v>
      </c>
      <c r="AE2511" t="str">
        <f>VLOOKUP(Table_Query_from_Actuarial___Production3[[#This Row],[Kor1]],$AI$3:$AK$105,3,FALSE)</f>
        <v>Misc. Income for Insolvent Companies</v>
      </c>
      <c r="AF2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2" spans="18:32" x14ac:dyDescent="0.2">
      <c r="R2512" t="s">
        <v>11</v>
      </c>
      <c r="S2512" t="s">
        <v>237</v>
      </c>
      <c r="T2512" t="s">
        <v>351</v>
      </c>
      <c r="U2512" s="21">
        <v>20994004.59</v>
      </c>
      <c r="V2512" s="21" t="s">
        <v>368</v>
      </c>
      <c r="W2512" t="str">
        <f>VLOOKUP(Table_Query_from_Actuarial___Production[[#This Row],[Kor1]],$AI$3:$AK$105,3,FALSE)</f>
        <v>Losses Paid</v>
      </c>
      <c r="X2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2"/>
      <c r="Z2512" t="s">
        <v>43</v>
      </c>
      <c r="AA2512" t="s">
        <v>257</v>
      </c>
      <c r="AB2512" t="s">
        <v>5</v>
      </c>
      <c r="AC2512" s="21">
        <v>-47.96</v>
      </c>
      <c r="AD2512" s="21" t="s">
        <v>368</v>
      </c>
      <c r="AE2512" t="str">
        <f>VLOOKUP(Table_Query_from_Actuarial___Production3[[#This Row],[Kor1]],$AI$3:$AK$105,3,FALSE)</f>
        <v>Charge-offs</v>
      </c>
      <c r="AF2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3" spans="18:32" x14ac:dyDescent="0.2">
      <c r="R2513" t="s">
        <v>33</v>
      </c>
      <c r="S2513" t="s">
        <v>229</v>
      </c>
      <c r="T2513" t="s">
        <v>442</v>
      </c>
      <c r="U2513" s="21">
        <v>16372.3</v>
      </c>
      <c r="V2513" s="21" t="s">
        <v>368</v>
      </c>
      <c r="W2513" t="str">
        <f>VLOOKUP(Table_Query_from_Actuarial___Production[[#This Row],[Kor1]],$AI$3:$AK$105,3,FALSE)</f>
        <v>Misc. Expense</v>
      </c>
      <c r="X2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3"/>
      <c r="Z2513" t="s">
        <v>3</v>
      </c>
      <c r="AA2513" t="s">
        <v>252</v>
      </c>
      <c r="AB2513" t="s">
        <v>351</v>
      </c>
      <c r="AC2513" s="21">
        <v>20130166</v>
      </c>
      <c r="AD2513" s="21" t="s">
        <v>368</v>
      </c>
      <c r="AE2513" t="str">
        <f>VLOOKUP(Table_Query_from_Actuarial___Production3[[#This Row],[Kor1]],$AI$3:$AK$105,3,FALSE)</f>
        <v>Premiums Written</v>
      </c>
      <c r="AF2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4" spans="18:32" x14ac:dyDescent="0.2">
      <c r="R2514" t="s">
        <v>43</v>
      </c>
      <c r="S2514" t="s">
        <v>228</v>
      </c>
      <c r="T2514" t="s">
        <v>8</v>
      </c>
      <c r="U2514" s="21">
        <v>3656.67</v>
      </c>
      <c r="V2514" s="21" t="s">
        <v>368</v>
      </c>
      <c r="W2514" t="str">
        <f>VLOOKUP(Table_Query_from_Actuarial___Production[[#This Row],[Kor1]],$AI$3:$AK$105,3,FALSE)</f>
        <v>Charge-offs</v>
      </c>
      <c r="X2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4"/>
      <c r="Z2514" t="s">
        <v>11</v>
      </c>
      <c r="AA2514" t="s">
        <v>224</v>
      </c>
      <c r="AB2514" t="s">
        <v>9</v>
      </c>
      <c r="AC2514" s="21">
        <v>5603.69</v>
      </c>
      <c r="AD2514" s="21" t="s">
        <v>425</v>
      </c>
      <c r="AE2514" t="str">
        <f>VLOOKUP(Table_Query_from_Actuarial___Production3[[#This Row],[Kor1]],$AI$3:$AK$105,3,FALSE)</f>
        <v>Losses Paid</v>
      </c>
      <c r="AF2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515" spans="18:32" x14ac:dyDescent="0.2">
      <c r="R2515" t="s">
        <v>34</v>
      </c>
      <c r="S2515" t="s">
        <v>237</v>
      </c>
      <c r="T2515" t="s">
        <v>445</v>
      </c>
      <c r="U2515" s="21">
        <v>322752.28000000003</v>
      </c>
      <c r="V2515" s="21" t="s">
        <v>368</v>
      </c>
      <c r="W2515" t="str">
        <f>VLOOKUP(Table_Query_from_Actuarial___Production[[#This Row],[Kor1]],$AI$3:$AK$105,3,FALSE)</f>
        <v>Misc. Expense</v>
      </c>
      <c r="X2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5"/>
      <c r="Z2515" t="s">
        <v>17</v>
      </c>
      <c r="AA2515" t="s">
        <v>256</v>
      </c>
      <c r="AB2515" t="s">
        <v>442</v>
      </c>
      <c r="AC2515" s="21">
        <v>5531.8</v>
      </c>
      <c r="AD2515" s="21" t="s">
        <v>368</v>
      </c>
      <c r="AE2515" t="str">
        <f>VLOOKUP(Table_Query_from_Actuarial___Production3[[#This Row],[Kor1]],$AI$3:$AK$105,3,FALSE)</f>
        <v>IBNR</v>
      </c>
      <c r="AF2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6" spans="18:32" x14ac:dyDescent="0.2">
      <c r="R2516" t="s">
        <v>15</v>
      </c>
      <c r="S2516" t="s">
        <v>262</v>
      </c>
      <c r="T2516" t="s">
        <v>445</v>
      </c>
      <c r="U2516" s="21">
        <v>179691.39</v>
      </c>
      <c r="V2516" s="21" t="s">
        <v>368</v>
      </c>
      <c r="W2516" t="str">
        <f>VLOOKUP(Table_Query_from_Actuarial___Production[[#This Row],[Kor1]],$AI$3:$AK$105,3,FALSE)</f>
        <v>Unearned Premiums</v>
      </c>
      <c r="X2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6"/>
      <c r="Z2516" t="s">
        <v>19</v>
      </c>
      <c r="AA2516" t="s">
        <v>4</v>
      </c>
      <c r="AB2516" t="s">
        <v>441</v>
      </c>
      <c r="AC2516" s="21">
        <v>187728.5</v>
      </c>
      <c r="AD2516" s="21" t="s">
        <v>368</v>
      </c>
      <c r="AE2516" t="str">
        <f>VLOOKUP(Table_Query_from_Actuarial___Production3[[#This Row],[Kor1]],$AI$3:$AK$105,3,FALSE)</f>
        <v>Misc. Expense for Insolvent Companies</v>
      </c>
      <c r="AF2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7" spans="18:32" x14ac:dyDescent="0.2">
      <c r="R2517" t="s">
        <v>10</v>
      </c>
      <c r="S2517" t="s">
        <v>250</v>
      </c>
      <c r="T2517" t="s">
        <v>351</v>
      </c>
      <c r="U2517" s="21">
        <v>110732.05</v>
      </c>
      <c r="V2517" s="21" t="s">
        <v>368</v>
      </c>
      <c r="W2517" t="str">
        <f>VLOOKUP(Table_Query_from_Actuarial___Production[[#This Row],[Kor1]],$AI$3:$AK$105,3,FALSE)</f>
        <v>Commissions</v>
      </c>
      <c r="X2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7"/>
      <c r="Z2517" t="s">
        <v>10</v>
      </c>
      <c r="AA2517" t="s">
        <v>251</v>
      </c>
      <c r="AB2517" t="s">
        <v>427</v>
      </c>
      <c r="AC2517" s="21">
        <v>52582.45</v>
      </c>
      <c r="AD2517" s="21" t="s">
        <v>368</v>
      </c>
      <c r="AE2517" t="str">
        <f>VLOOKUP(Table_Query_from_Actuarial___Production3[[#This Row],[Kor1]],$AI$3:$AK$105,3,FALSE)</f>
        <v>Commissions</v>
      </c>
      <c r="AF2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8" spans="18:32" x14ac:dyDescent="0.2">
      <c r="R2518" t="s">
        <v>13</v>
      </c>
      <c r="S2518" t="s">
        <v>354</v>
      </c>
      <c r="T2518" t="s">
        <v>8</v>
      </c>
      <c r="U2518" s="21">
        <v>217771649.78999999</v>
      </c>
      <c r="V2518" s="21" t="s">
        <v>369</v>
      </c>
      <c r="W2518" t="str">
        <f>VLOOKUP(Table_Query_from_Actuarial___Production[[#This Row],[Kor1]],$AI$3:$AK$105,3,FALSE)</f>
        <v>Operating Service Fees</v>
      </c>
      <c r="X2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518"/>
      <c r="Z2518" t="s">
        <v>50</v>
      </c>
      <c r="AA2518" t="s">
        <v>258</v>
      </c>
      <c r="AB2518" t="s">
        <v>356</v>
      </c>
      <c r="AC2518" s="21">
        <v>10793.46</v>
      </c>
      <c r="AD2518" s="21" t="s">
        <v>368</v>
      </c>
      <c r="AE2518" t="str">
        <f>VLOOKUP(Table_Query_from_Actuarial___Production3[[#This Row],[Kor1]],$AI$3:$AK$105,3,FALSE)</f>
        <v>ALAE Reserve</v>
      </c>
      <c r="AF2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19" spans="18:32" x14ac:dyDescent="0.2">
      <c r="R2519" t="s">
        <v>33</v>
      </c>
      <c r="S2519" t="s">
        <v>237</v>
      </c>
      <c r="T2519" t="s">
        <v>9</v>
      </c>
      <c r="U2519" s="21">
        <v>16969.23</v>
      </c>
      <c r="V2519" s="21" t="s">
        <v>368</v>
      </c>
      <c r="W2519" t="str">
        <f>VLOOKUP(Table_Query_from_Actuarial___Production[[#This Row],[Kor1]],$AI$3:$AK$105,3,FALSE)</f>
        <v>Misc. Expense</v>
      </c>
      <c r="X2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19"/>
      <c r="Z2519" t="s">
        <v>10</v>
      </c>
      <c r="AA2519" t="s">
        <v>228</v>
      </c>
      <c r="AB2519" t="s">
        <v>443</v>
      </c>
      <c r="AC2519" s="21">
        <v>37304.25</v>
      </c>
      <c r="AD2519" s="21" t="s">
        <v>368</v>
      </c>
      <c r="AE2519" t="str">
        <f>VLOOKUP(Table_Query_from_Actuarial___Production3[[#This Row],[Kor1]],$AI$3:$AK$105,3,FALSE)</f>
        <v>Commissions</v>
      </c>
      <c r="AF2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0" spans="18:32" x14ac:dyDescent="0.2">
      <c r="R2520" t="s">
        <v>43</v>
      </c>
      <c r="S2520" t="s">
        <v>4</v>
      </c>
      <c r="T2520" t="s">
        <v>445</v>
      </c>
      <c r="U2520" s="21">
        <v>-2211.71</v>
      </c>
      <c r="V2520" s="21" t="s">
        <v>368</v>
      </c>
      <c r="W2520" t="str">
        <f>VLOOKUP(Table_Query_from_Actuarial___Production[[#This Row],[Kor1]],$AI$3:$AK$105,3,FALSE)</f>
        <v>Charge-offs</v>
      </c>
      <c r="X2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0"/>
      <c r="Z2520" t="s">
        <v>10</v>
      </c>
      <c r="AA2520" t="s">
        <v>249</v>
      </c>
      <c r="AB2520" t="s">
        <v>6</v>
      </c>
      <c r="AC2520" s="21">
        <v>22993.7</v>
      </c>
      <c r="AD2520" s="21" t="s">
        <v>368</v>
      </c>
      <c r="AE2520" t="str">
        <f>VLOOKUP(Table_Query_from_Actuarial___Production3[[#This Row],[Kor1]],$AI$3:$AK$105,3,FALSE)</f>
        <v>Commissions</v>
      </c>
      <c r="AF2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1" spans="18:32" x14ac:dyDescent="0.2">
      <c r="R2521" t="s">
        <v>12</v>
      </c>
      <c r="S2521" t="s">
        <v>232</v>
      </c>
      <c r="T2521" t="s">
        <v>8</v>
      </c>
      <c r="U2521" s="21">
        <v>19931.169999999998</v>
      </c>
      <c r="V2521" s="21" t="s">
        <v>368</v>
      </c>
      <c r="W2521" t="str">
        <f>VLOOKUP(Table_Query_from_Actuarial___Production[[#This Row],[Kor1]],$AI$3:$AK$105,3,FALSE)</f>
        <v>Premium Tax</v>
      </c>
      <c r="X2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1"/>
      <c r="Z2521" t="s">
        <v>12</v>
      </c>
      <c r="AA2521" t="s">
        <v>250</v>
      </c>
      <c r="AB2521" t="s">
        <v>356</v>
      </c>
      <c r="AC2521" s="21">
        <v>23904.99</v>
      </c>
      <c r="AD2521" s="21" t="s">
        <v>368</v>
      </c>
      <c r="AE2521" t="str">
        <f>VLOOKUP(Table_Query_from_Actuarial___Production3[[#This Row],[Kor1]],$AI$3:$AK$105,3,FALSE)</f>
        <v>Premium Tax</v>
      </c>
      <c r="AF2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2" spans="18:32" x14ac:dyDescent="0.2">
      <c r="R2522" t="s">
        <v>33</v>
      </c>
      <c r="S2522" t="s">
        <v>246</v>
      </c>
      <c r="T2522" t="s">
        <v>443</v>
      </c>
      <c r="U2522" s="21">
        <v>16520.34</v>
      </c>
      <c r="V2522" s="21" t="s">
        <v>368</v>
      </c>
      <c r="W2522" t="str">
        <f>VLOOKUP(Table_Query_from_Actuarial___Production[[#This Row],[Kor1]],$AI$3:$AK$105,3,FALSE)</f>
        <v>Misc. Expense</v>
      </c>
      <c r="X2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2"/>
      <c r="Z2522" t="s">
        <v>14</v>
      </c>
      <c r="AA2522" t="s">
        <v>4</v>
      </c>
      <c r="AB2522" t="s">
        <v>356</v>
      </c>
      <c r="AC2522" s="21">
        <v>2668338.44</v>
      </c>
      <c r="AD2522" s="21" t="s">
        <v>368</v>
      </c>
      <c r="AE2522" t="str">
        <f>VLOOKUP(Table_Query_from_Actuarial___Production3[[#This Row],[Kor1]],$AI$3:$AK$105,3,FALSE)</f>
        <v>Claims Expense</v>
      </c>
      <c r="AF2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3" spans="18:32" x14ac:dyDescent="0.2">
      <c r="R2523" t="s">
        <v>48</v>
      </c>
      <c r="S2523" t="s">
        <v>261</v>
      </c>
      <c r="T2523" t="s">
        <v>433</v>
      </c>
      <c r="U2523" s="21">
        <v>73.83</v>
      </c>
      <c r="V2523" s="21" t="s">
        <v>368</v>
      </c>
      <c r="W2523" t="str">
        <f>VLOOKUP(Table_Query_from_Actuarial___Production[[#This Row],[Kor1]],$AI$3:$AK$105,3,FALSE)</f>
        <v>Anticipated Salvage</v>
      </c>
      <c r="X2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3"/>
      <c r="Z2523" t="s">
        <v>33</v>
      </c>
      <c r="AA2523" t="s">
        <v>235</v>
      </c>
      <c r="AB2523" t="s">
        <v>441</v>
      </c>
      <c r="AC2523" s="21">
        <v>18211.650000000001</v>
      </c>
      <c r="AD2523" s="21" t="s">
        <v>368</v>
      </c>
      <c r="AE2523" t="str">
        <f>VLOOKUP(Table_Query_from_Actuarial___Production3[[#This Row],[Kor1]],$AI$3:$AK$105,3,FALSE)</f>
        <v>Misc. Expense</v>
      </c>
      <c r="AF2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4" spans="18:32" x14ac:dyDescent="0.2">
      <c r="R2524" t="s">
        <v>14</v>
      </c>
      <c r="S2524" t="s">
        <v>249</v>
      </c>
      <c r="T2524" t="s">
        <v>7</v>
      </c>
      <c r="U2524" s="21">
        <v>38032.879999999997</v>
      </c>
      <c r="V2524" s="21" t="s">
        <v>368</v>
      </c>
      <c r="W2524" t="str">
        <f>VLOOKUP(Table_Query_from_Actuarial___Production[[#This Row],[Kor1]],$AI$3:$AK$105,3,FALSE)</f>
        <v>Claims Expense</v>
      </c>
      <c r="X2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4"/>
      <c r="Z2524" t="s">
        <v>10</v>
      </c>
      <c r="AA2524" t="s">
        <v>250</v>
      </c>
      <c r="AB2524" t="s">
        <v>441</v>
      </c>
      <c r="AC2524" s="21">
        <v>105616.45</v>
      </c>
      <c r="AD2524" s="21" t="s">
        <v>368</v>
      </c>
      <c r="AE2524" t="str">
        <f>VLOOKUP(Table_Query_from_Actuarial___Production3[[#This Row],[Kor1]],$AI$3:$AK$105,3,FALSE)</f>
        <v>Commissions</v>
      </c>
      <c r="AF2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5" spans="18:32" x14ac:dyDescent="0.2">
      <c r="R2525" t="s">
        <v>19</v>
      </c>
      <c r="S2525" t="s">
        <v>265</v>
      </c>
      <c r="T2525" t="s">
        <v>356</v>
      </c>
      <c r="U2525" s="21">
        <v>6262</v>
      </c>
      <c r="V2525" s="21" t="s">
        <v>368</v>
      </c>
      <c r="W2525" t="str">
        <f>VLOOKUP(Table_Query_from_Actuarial___Production[[#This Row],[Kor1]],$AI$3:$AK$105,3,FALSE)</f>
        <v>Misc. Expense for Insolvent Companies</v>
      </c>
      <c r="X2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5"/>
      <c r="Z2525" t="s">
        <v>20</v>
      </c>
      <c r="AA2525" t="s">
        <v>244</v>
      </c>
      <c r="AB2525" t="s">
        <v>7</v>
      </c>
      <c r="AC2525" s="21">
        <v>581.65</v>
      </c>
      <c r="AD2525" s="21" t="s">
        <v>368</v>
      </c>
      <c r="AE2525" t="str">
        <f>VLOOKUP(Table_Query_from_Actuarial___Production3[[#This Row],[Kor1]],$AI$3:$AK$105,3,FALSE)</f>
        <v>Misc. Expense</v>
      </c>
      <c r="AF2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6" spans="18:32" x14ac:dyDescent="0.2">
      <c r="R2526" t="s">
        <v>20</v>
      </c>
      <c r="S2526" t="s">
        <v>241</v>
      </c>
      <c r="T2526" t="s">
        <v>7</v>
      </c>
      <c r="U2526" s="21">
        <v>226.74</v>
      </c>
      <c r="V2526" s="21" t="s">
        <v>368</v>
      </c>
      <c r="W2526" t="str">
        <f>VLOOKUP(Table_Query_from_Actuarial___Production[[#This Row],[Kor1]],$AI$3:$AK$105,3,FALSE)</f>
        <v>Misc. Expense</v>
      </c>
      <c r="X2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6"/>
      <c r="Z2526" t="s">
        <v>49</v>
      </c>
      <c r="AA2526" t="s">
        <v>242</v>
      </c>
      <c r="AB2526" t="s">
        <v>9</v>
      </c>
      <c r="AC2526" s="21">
        <v>6580.56</v>
      </c>
      <c r="AD2526" s="21" t="s">
        <v>368</v>
      </c>
      <c r="AE2526" t="str">
        <f>VLOOKUP(Table_Query_from_Actuarial___Production3[[#This Row],[Kor1]],$AI$3:$AK$105,3,FALSE)</f>
        <v>ALAE Paid</v>
      </c>
      <c r="AF2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7" spans="18:32" x14ac:dyDescent="0.2">
      <c r="R2527" t="s">
        <v>31</v>
      </c>
      <c r="S2527" t="s">
        <v>266</v>
      </c>
      <c r="T2527" t="s">
        <v>443</v>
      </c>
      <c r="U2527" s="21">
        <v>1201.23</v>
      </c>
      <c r="V2527" s="21" t="s">
        <v>368</v>
      </c>
      <c r="W2527" t="str">
        <f>VLOOKUP(Table_Query_from_Actuarial___Production[[#This Row],[Kor1]],$AI$3:$AK$105,3,FALSE)</f>
        <v>Misc. Expense</v>
      </c>
      <c r="X2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7"/>
      <c r="Z2527" t="s">
        <v>17</v>
      </c>
      <c r="AA2527" t="s">
        <v>249</v>
      </c>
      <c r="AB2527" t="s">
        <v>443</v>
      </c>
      <c r="AC2527" s="21">
        <v>58204.6</v>
      </c>
      <c r="AD2527" s="21" t="s">
        <v>368</v>
      </c>
      <c r="AE2527" t="str">
        <f>VLOOKUP(Table_Query_from_Actuarial___Production3[[#This Row],[Kor1]],$AI$3:$AK$105,3,FALSE)</f>
        <v>IBNR</v>
      </c>
      <c r="AF2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8" spans="18:32" x14ac:dyDescent="0.2">
      <c r="R2528" t="s">
        <v>13</v>
      </c>
      <c r="S2528" t="s">
        <v>4</v>
      </c>
      <c r="T2528" t="s">
        <v>7</v>
      </c>
      <c r="U2528" s="21">
        <v>1944428.89</v>
      </c>
      <c r="V2528" s="21" t="s">
        <v>368</v>
      </c>
      <c r="W2528" t="str">
        <f>VLOOKUP(Table_Query_from_Actuarial___Production[[#This Row],[Kor1]],$AI$3:$AK$105,3,FALSE)</f>
        <v>Operating Service Fees</v>
      </c>
      <c r="X2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8"/>
      <c r="Z2528" t="s">
        <v>31</v>
      </c>
      <c r="AA2528" t="s">
        <v>257</v>
      </c>
      <c r="AB2528" t="s">
        <v>7</v>
      </c>
      <c r="AC2528" s="21">
        <v>325.93</v>
      </c>
      <c r="AD2528" s="21" t="s">
        <v>368</v>
      </c>
      <c r="AE2528" t="str">
        <f>VLOOKUP(Table_Query_from_Actuarial___Production3[[#This Row],[Kor1]],$AI$3:$AK$105,3,FALSE)</f>
        <v>Misc. Expense</v>
      </c>
      <c r="AF2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29" spans="18:32" x14ac:dyDescent="0.2">
      <c r="R2529" t="s">
        <v>43</v>
      </c>
      <c r="S2529" t="s">
        <v>254</v>
      </c>
      <c r="T2529" t="s">
        <v>443</v>
      </c>
      <c r="U2529" s="21">
        <v>1782.19</v>
      </c>
      <c r="V2529" s="21" t="s">
        <v>368</v>
      </c>
      <c r="W2529" t="str">
        <f>VLOOKUP(Table_Query_from_Actuarial___Production[[#This Row],[Kor1]],$AI$3:$AK$105,3,FALSE)</f>
        <v>Charge-offs</v>
      </c>
      <c r="X2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29"/>
      <c r="Z2529" t="s">
        <v>36</v>
      </c>
      <c r="AA2529" t="s">
        <v>4</v>
      </c>
      <c r="AB2529" t="s">
        <v>443</v>
      </c>
      <c r="AC2529" s="21">
        <v>198848.94</v>
      </c>
      <c r="AD2529" s="21" t="s">
        <v>368</v>
      </c>
      <c r="AE2529" t="str">
        <f>VLOOKUP(Table_Query_from_Actuarial___Production3[[#This Row],[Kor1]],$AI$3:$AK$105,3,FALSE)</f>
        <v>Misc. Expense</v>
      </c>
      <c r="AF2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0" spans="18:32" x14ac:dyDescent="0.2">
      <c r="R2530" t="s">
        <v>18</v>
      </c>
      <c r="S2530" t="s">
        <v>224</v>
      </c>
      <c r="T2530" t="s">
        <v>442</v>
      </c>
      <c r="U2530" s="21">
        <v>2023.79</v>
      </c>
      <c r="V2530" s="21" t="s">
        <v>425</v>
      </c>
      <c r="W2530" t="str">
        <f>VLOOKUP(Table_Query_from_Actuarial___Production[[#This Row],[Kor1]],$AI$3:$AK$105,3,FALSE)</f>
        <v>Misc. Expense</v>
      </c>
      <c r="X2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530"/>
      <c r="Z2530" t="s">
        <v>39</v>
      </c>
      <c r="AA2530" t="s">
        <v>246</v>
      </c>
      <c r="AB2530" t="s">
        <v>6</v>
      </c>
      <c r="AC2530" s="21">
        <v>55</v>
      </c>
      <c r="AD2530" s="21" t="s">
        <v>368</v>
      </c>
      <c r="AE2530" t="str">
        <f>VLOOKUP(Table_Query_from_Actuarial___Production3[[#This Row],[Kor1]],$AI$3:$AK$105,3,FALSE)</f>
        <v>Misc. Income for Insolvent Companies</v>
      </c>
      <c r="AF2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1" spans="18:32" x14ac:dyDescent="0.2">
      <c r="R2531" t="s">
        <v>3</v>
      </c>
      <c r="S2531" t="s">
        <v>246</v>
      </c>
      <c r="T2531" t="s">
        <v>8</v>
      </c>
      <c r="U2531" s="21">
        <v>329796</v>
      </c>
      <c r="V2531" s="21" t="s">
        <v>368</v>
      </c>
      <c r="W2531" t="str">
        <f>VLOOKUP(Table_Query_from_Actuarial___Production[[#This Row],[Kor1]],$AI$3:$AK$105,3,FALSE)</f>
        <v>Premiums Written</v>
      </c>
      <c r="X2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1"/>
      <c r="Z2531" t="s">
        <v>44</v>
      </c>
      <c r="AA2531" t="s">
        <v>241</v>
      </c>
      <c r="AB2531" t="s">
        <v>356</v>
      </c>
      <c r="AC2531" s="21">
        <v>522.91999999999996</v>
      </c>
      <c r="AD2531" s="21" t="s">
        <v>368</v>
      </c>
      <c r="AE2531" t="str">
        <f>VLOOKUP(Table_Query_from_Actuarial___Production3[[#This Row],[Kor1]],$AI$3:$AK$105,3,FALSE)</f>
        <v>Charge-offs</v>
      </c>
      <c r="AF2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2" spans="18:32" x14ac:dyDescent="0.2">
      <c r="R2532" t="s">
        <v>47</v>
      </c>
      <c r="S2532" t="s">
        <v>265</v>
      </c>
      <c r="T2532" t="s">
        <v>356</v>
      </c>
      <c r="U2532" s="21">
        <v>3440.74</v>
      </c>
      <c r="V2532" s="21" t="s">
        <v>368</v>
      </c>
      <c r="W2532" t="str">
        <f>VLOOKUP(Table_Query_from_Actuarial___Production[[#This Row],[Kor1]],$AI$3:$AK$105,3,FALSE)</f>
        <v>Investment Income</v>
      </c>
      <c r="X2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2"/>
      <c r="Z2532" t="s">
        <v>10</v>
      </c>
      <c r="AA2532" t="s">
        <v>252</v>
      </c>
      <c r="AB2532" t="s">
        <v>442</v>
      </c>
      <c r="AC2532" s="21">
        <v>2370813.4300000002</v>
      </c>
      <c r="AD2532" s="21" t="s">
        <v>368</v>
      </c>
      <c r="AE2532" t="str">
        <f>VLOOKUP(Table_Query_from_Actuarial___Production3[[#This Row],[Kor1]],$AI$3:$AK$105,3,FALSE)</f>
        <v>Commissions</v>
      </c>
      <c r="AF2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3" spans="18:32" x14ac:dyDescent="0.2">
      <c r="R2533" t="s">
        <v>16</v>
      </c>
      <c r="S2533" t="s">
        <v>239</v>
      </c>
      <c r="T2533" t="s">
        <v>442</v>
      </c>
      <c r="U2533" s="21">
        <v>5267897.99</v>
      </c>
      <c r="V2533" s="21" t="s">
        <v>368</v>
      </c>
      <c r="W2533" t="str">
        <f>VLOOKUP(Table_Query_from_Actuarial___Production[[#This Row],[Kor1]],$AI$3:$AK$105,3,FALSE)</f>
        <v>Losses Outstanding</v>
      </c>
      <c r="X2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3"/>
      <c r="Z2533" t="s">
        <v>19</v>
      </c>
      <c r="AA2533" t="s">
        <v>264</v>
      </c>
      <c r="AB2533" t="s">
        <v>7</v>
      </c>
      <c r="AC2533" s="21">
        <v>2121.0100000000002</v>
      </c>
      <c r="AD2533" s="21" t="s">
        <v>368</v>
      </c>
      <c r="AE2533" t="str">
        <f>VLOOKUP(Table_Query_from_Actuarial___Production3[[#This Row],[Kor1]],$AI$3:$AK$105,3,FALSE)</f>
        <v>Misc. Expense for Insolvent Companies</v>
      </c>
      <c r="AF2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4" spans="18:32" x14ac:dyDescent="0.2">
      <c r="R2534" t="s">
        <v>3</v>
      </c>
      <c r="S2534" t="s">
        <v>234</v>
      </c>
      <c r="T2534" t="s">
        <v>433</v>
      </c>
      <c r="U2534" s="21">
        <v>917256</v>
      </c>
      <c r="V2534" s="21" t="s">
        <v>368</v>
      </c>
      <c r="W2534" t="str">
        <f>VLOOKUP(Table_Query_from_Actuarial___Production[[#This Row],[Kor1]],$AI$3:$AK$105,3,FALSE)</f>
        <v>Premiums Written</v>
      </c>
      <c r="X2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4"/>
      <c r="Z2534" t="s">
        <v>40</v>
      </c>
      <c r="AA2534" t="s">
        <v>238</v>
      </c>
      <c r="AB2534" t="s">
        <v>427</v>
      </c>
      <c r="AC2534" s="21">
        <v>24.99</v>
      </c>
      <c r="AD2534" s="21" t="s">
        <v>368</v>
      </c>
      <c r="AE2534" t="str">
        <f>VLOOKUP(Table_Query_from_Actuarial___Production3[[#This Row],[Kor1]],$AI$3:$AK$105,3,FALSE)</f>
        <v>Misc. Income</v>
      </c>
      <c r="AF2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5" spans="18:32" x14ac:dyDescent="0.2">
      <c r="R2535" t="s">
        <v>41</v>
      </c>
      <c r="S2535" t="s">
        <v>264</v>
      </c>
      <c r="T2535" t="s">
        <v>356</v>
      </c>
      <c r="U2535" s="21">
        <v>500.03</v>
      </c>
      <c r="V2535" s="21" t="s">
        <v>368</v>
      </c>
      <c r="W2535" t="str">
        <f>VLOOKUP(Table_Query_from_Actuarial___Production[[#This Row],[Kor1]],$AI$3:$AK$105,3,FALSE)</f>
        <v>Misc. Income</v>
      </c>
      <c r="X2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5"/>
      <c r="Z2535" t="s">
        <v>31</v>
      </c>
      <c r="AA2535" t="s">
        <v>261</v>
      </c>
      <c r="AB2535" t="s">
        <v>9</v>
      </c>
      <c r="AC2535" s="21">
        <v>449.79</v>
      </c>
      <c r="AD2535" s="21" t="s">
        <v>368</v>
      </c>
      <c r="AE2535" t="str">
        <f>VLOOKUP(Table_Query_from_Actuarial___Production3[[#This Row],[Kor1]],$AI$3:$AK$105,3,FALSE)</f>
        <v>Misc. Expense</v>
      </c>
      <c r="AF2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6" spans="18:32" x14ac:dyDescent="0.2">
      <c r="R2536" t="s">
        <v>11</v>
      </c>
      <c r="S2536" t="s">
        <v>241</v>
      </c>
      <c r="T2536" t="s">
        <v>351</v>
      </c>
      <c r="U2536" s="21">
        <v>705967.6</v>
      </c>
      <c r="V2536" s="21" t="s">
        <v>368</v>
      </c>
      <c r="W2536" t="str">
        <f>VLOOKUP(Table_Query_from_Actuarial___Production[[#This Row],[Kor1]],$AI$3:$AK$105,3,FALSE)</f>
        <v>Losses Paid</v>
      </c>
      <c r="X2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6"/>
      <c r="Z2536" t="s">
        <v>44</v>
      </c>
      <c r="AA2536" t="s">
        <v>228</v>
      </c>
      <c r="AB2536" t="s">
        <v>8</v>
      </c>
      <c r="AC2536" s="21">
        <v>58630</v>
      </c>
      <c r="AD2536" s="21" t="s">
        <v>368</v>
      </c>
      <c r="AE2536" t="str">
        <f>VLOOKUP(Table_Query_from_Actuarial___Production3[[#This Row],[Kor1]],$AI$3:$AK$105,3,FALSE)</f>
        <v>Charge-offs</v>
      </c>
      <c r="AF2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7" spans="18:32" x14ac:dyDescent="0.2">
      <c r="R2537" t="s">
        <v>44</v>
      </c>
      <c r="S2537" t="s">
        <v>233</v>
      </c>
      <c r="T2537" t="s">
        <v>356</v>
      </c>
      <c r="U2537" s="21">
        <v>3357.7</v>
      </c>
      <c r="V2537" s="21" t="s">
        <v>368</v>
      </c>
      <c r="W2537" t="str">
        <f>VLOOKUP(Table_Query_from_Actuarial___Production[[#This Row],[Kor1]],$AI$3:$AK$105,3,FALSE)</f>
        <v>Charge-offs</v>
      </c>
      <c r="X2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7"/>
      <c r="Z2537" t="s">
        <v>13</v>
      </c>
      <c r="AA2537" t="s">
        <v>224</v>
      </c>
      <c r="AB2537" t="s">
        <v>441</v>
      </c>
      <c r="AC2537" s="21">
        <v>2684.92</v>
      </c>
      <c r="AD2537" s="21" t="s">
        <v>425</v>
      </c>
      <c r="AE2537" t="str">
        <f>VLOOKUP(Table_Query_from_Actuarial___Production3[[#This Row],[Kor1]],$AI$3:$AK$105,3,FALSE)</f>
        <v>Operating Service Fees</v>
      </c>
      <c r="AF2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538" spans="18:32" x14ac:dyDescent="0.2">
      <c r="R2538" t="s">
        <v>44</v>
      </c>
      <c r="S2538" t="s">
        <v>254</v>
      </c>
      <c r="T2538" t="s">
        <v>443</v>
      </c>
      <c r="U2538" s="21">
        <v>139096.1</v>
      </c>
      <c r="V2538" s="21" t="s">
        <v>368</v>
      </c>
      <c r="W2538" t="str">
        <f>VLOOKUP(Table_Query_from_Actuarial___Production[[#This Row],[Kor1]],$AI$3:$AK$105,3,FALSE)</f>
        <v>Charge-offs</v>
      </c>
      <c r="X2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8"/>
      <c r="Z2538" t="s">
        <v>33</v>
      </c>
      <c r="AA2538" t="s">
        <v>267</v>
      </c>
      <c r="AB2538" t="s">
        <v>8</v>
      </c>
      <c r="AC2538" s="21">
        <v>15395</v>
      </c>
      <c r="AD2538" s="21" t="s">
        <v>368</v>
      </c>
      <c r="AE2538" t="str">
        <f>VLOOKUP(Table_Query_from_Actuarial___Production3[[#This Row],[Kor1]],$AI$3:$AK$105,3,FALSE)</f>
        <v>Misc. Expense</v>
      </c>
      <c r="AF2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39" spans="18:32" x14ac:dyDescent="0.2">
      <c r="R2539" t="s">
        <v>12</v>
      </c>
      <c r="S2539" t="s">
        <v>252</v>
      </c>
      <c r="T2539" t="s">
        <v>8</v>
      </c>
      <c r="U2539" s="21">
        <v>310110.90000000002</v>
      </c>
      <c r="V2539" s="21" t="s">
        <v>368</v>
      </c>
      <c r="W2539" t="str">
        <f>VLOOKUP(Table_Query_from_Actuarial___Production[[#This Row],[Kor1]],$AI$3:$AK$105,3,FALSE)</f>
        <v>Premium Tax</v>
      </c>
      <c r="X2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39"/>
      <c r="Z2539" t="s">
        <v>11</v>
      </c>
      <c r="AA2539" t="s">
        <v>227</v>
      </c>
      <c r="AB2539" t="s">
        <v>442</v>
      </c>
      <c r="AC2539" s="21">
        <v>1626.58</v>
      </c>
      <c r="AD2539" s="21" t="s">
        <v>368</v>
      </c>
      <c r="AE2539" t="str">
        <f>VLOOKUP(Table_Query_from_Actuarial___Production3[[#This Row],[Kor1]],$AI$3:$AK$105,3,FALSE)</f>
        <v>Losses Paid</v>
      </c>
      <c r="AF2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0" spans="18:32" x14ac:dyDescent="0.2">
      <c r="R2540" t="s">
        <v>14</v>
      </c>
      <c r="S2540" t="s">
        <v>260</v>
      </c>
      <c r="T2540" t="s">
        <v>445</v>
      </c>
      <c r="U2540" s="21">
        <v>691.15</v>
      </c>
      <c r="V2540" s="21" t="s">
        <v>368</v>
      </c>
      <c r="W2540" t="str">
        <f>VLOOKUP(Table_Query_from_Actuarial___Production[[#This Row],[Kor1]],$AI$3:$AK$105,3,FALSE)</f>
        <v>Claims Expense</v>
      </c>
      <c r="X2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0"/>
      <c r="Z2540" t="s">
        <v>20</v>
      </c>
      <c r="AA2540" t="s">
        <v>245</v>
      </c>
      <c r="AB2540" t="s">
        <v>5</v>
      </c>
      <c r="AC2540" s="21">
        <v>41.18</v>
      </c>
      <c r="AD2540" s="21" t="s">
        <v>368</v>
      </c>
      <c r="AE2540" t="str">
        <f>VLOOKUP(Table_Query_from_Actuarial___Production3[[#This Row],[Kor1]],$AI$3:$AK$105,3,FALSE)</f>
        <v>Misc. Expense</v>
      </c>
      <c r="AF2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1" spans="18:32" x14ac:dyDescent="0.2">
      <c r="R2541" t="s">
        <v>39</v>
      </c>
      <c r="S2541" t="s">
        <v>255</v>
      </c>
      <c r="T2541" t="s">
        <v>9</v>
      </c>
      <c r="U2541" s="21">
        <v>82</v>
      </c>
      <c r="V2541" s="21" t="s">
        <v>368</v>
      </c>
      <c r="W2541" t="str">
        <f>VLOOKUP(Table_Query_from_Actuarial___Production[[#This Row],[Kor1]],$AI$3:$AK$105,3,FALSE)</f>
        <v>Misc. Income for Insolvent Companies</v>
      </c>
      <c r="X2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1"/>
      <c r="Z2541" t="s">
        <v>39</v>
      </c>
      <c r="AA2541" t="s">
        <v>244</v>
      </c>
      <c r="AB2541" t="s">
        <v>5</v>
      </c>
      <c r="AC2541" s="21">
        <v>96378.04</v>
      </c>
      <c r="AD2541" s="21" t="s">
        <v>368</v>
      </c>
      <c r="AE2541" t="str">
        <f>VLOOKUP(Table_Query_from_Actuarial___Production3[[#This Row],[Kor1]],$AI$3:$AK$105,3,FALSE)</f>
        <v>Misc. Income for Insolvent Companies</v>
      </c>
      <c r="AF2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2" spans="18:32" x14ac:dyDescent="0.2">
      <c r="R2542" t="s">
        <v>19</v>
      </c>
      <c r="S2542" t="s">
        <v>242</v>
      </c>
      <c r="T2542" t="s">
        <v>9</v>
      </c>
      <c r="U2542" s="21">
        <v>525.01</v>
      </c>
      <c r="V2542" s="21" t="s">
        <v>368</v>
      </c>
      <c r="W2542" t="str">
        <f>VLOOKUP(Table_Query_from_Actuarial___Production[[#This Row],[Kor1]],$AI$3:$AK$105,3,FALSE)</f>
        <v>Misc. Expense for Insolvent Companies</v>
      </c>
      <c r="X2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2"/>
      <c r="Z2542" t="s">
        <v>40</v>
      </c>
      <c r="AA2542" t="s">
        <v>232</v>
      </c>
      <c r="AB2542" t="s">
        <v>9</v>
      </c>
      <c r="AC2542" s="21">
        <v>2356.29</v>
      </c>
      <c r="AD2542" s="21" t="s">
        <v>368</v>
      </c>
      <c r="AE2542" t="str">
        <f>VLOOKUP(Table_Query_from_Actuarial___Production3[[#This Row],[Kor1]],$AI$3:$AK$105,3,FALSE)</f>
        <v>Misc. Income</v>
      </c>
      <c r="AF2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3" spans="18:32" x14ac:dyDescent="0.2">
      <c r="R2543" t="s">
        <v>47</v>
      </c>
      <c r="S2543" t="s">
        <v>245</v>
      </c>
      <c r="T2543" t="s">
        <v>445</v>
      </c>
      <c r="U2543" s="21">
        <v>1328.41</v>
      </c>
      <c r="V2543" s="21" t="s">
        <v>368</v>
      </c>
      <c r="W2543" t="str">
        <f>VLOOKUP(Table_Query_from_Actuarial___Production[[#This Row],[Kor1]],$AI$3:$AK$105,3,FALSE)</f>
        <v>Investment Income</v>
      </c>
      <c r="X2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3"/>
      <c r="Z2543" t="s">
        <v>50</v>
      </c>
      <c r="AA2543" t="s">
        <v>4</v>
      </c>
      <c r="AB2543" t="s">
        <v>442</v>
      </c>
      <c r="AC2543" s="21">
        <v>657341.77</v>
      </c>
      <c r="AD2543" s="21" t="s">
        <v>368</v>
      </c>
      <c r="AE2543" t="str">
        <f>VLOOKUP(Table_Query_from_Actuarial___Production3[[#This Row],[Kor1]],$AI$3:$AK$105,3,FALSE)</f>
        <v>ALAE Reserve</v>
      </c>
      <c r="AF2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4" spans="18:32" x14ac:dyDescent="0.2">
      <c r="R2544" t="s">
        <v>40</v>
      </c>
      <c r="S2544" t="s">
        <v>237</v>
      </c>
      <c r="T2544" t="s">
        <v>9</v>
      </c>
      <c r="U2544" s="21">
        <v>50.76</v>
      </c>
      <c r="V2544" s="21" t="s">
        <v>368</v>
      </c>
      <c r="W2544" t="str">
        <f>VLOOKUP(Table_Query_from_Actuarial___Production[[#This Row],[Kor1]],$AI$3:$AK$105,3,FALSE)</f>
        <v>Misc. Income</v>
      </c>
      <c r="X2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4"/>
      <c r="Z2544" t="s">
        <v>11</v>
      </c>
      <c r="AA2544" t="s">
        <v>241</v>
      </c>
      <c r="AB2544" t="s">
        <v>441</v>
      </c>
      <c r="AC2544" s="21">
        <v>112180.48</v>
      </c>
      <c r="AD2544" s="21" t="s">
        <v>368</v>
      </c>
      <c r="AE2544" t="str">
        <f>VLOOKUP(Table_Query_from_Actuarial___Production3[[#This Row],[Kor1]],$AI$3:$AK$105,3,FALSE)</f>
        <v>Losses Paid</v>
      </c>
      <c r="AF2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5" spans="18:32" x14ac:dyDescent="0.2">
      <c r="R2545" t="s">
        <v>13</v>
      </c>
      <c r="S2545" t="s">
        <v>249</v>
      </c>
      <c r="T2545" t="s">
        <v>445</v>
      </c>
      <c r="U2545" s="21">
        <v>70652.02</v>
      </c>
      <c r="V2545" s="21" t="s">
        <v>368</v>
      </c>
      <c r="W2545" t="str">
        <f>VLOOKUP(Table_Query_from_Actuarial___Production[[#This Row],[Kor1]],$AI$3:$AK$105,3,FALSE)</f>
        <v>Operating Service Fees</v>
      </c>
      <c r="X2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5"/>
      <c r="Z2545" t="s">
        <v>47</v>
      </c>
      <c r="AA2545" t="s">
        <v>240</v>
      </c>
      <c r="AB2545" t="s">
        <v>442</v>
      </c>
      <c r="AC2545" s="21">
        <v>3934.2</v>
      </c>
      <c r="AD2545" s="21" t="s">
        <v>368</v>
      </c>
      <c r="AE2545" t="str">
        <f>VLOOKUP(Table_Query_from_Actuarial___Production3[[#This Row],[Kor1]],$AI$3:$AK$105,3,FALSE)</f>
        <v>Investment Income</v>
      </c>
      <c r="AF2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6" spans="18:32" x14ac:dyDescent="0.2">
      <c r="R2546" t="s">
        <v>3</v>
      </c>
      <c r="S2546" t="s">
        <v>225</v>
      </c>
      <c r="T2546" t="s">
        <v>351</v>
      </c>
      <c r="U2546" s="21">
        <v>1705562.6</v>
      </c>
      <c r="V2546" s="21" t="s">
        <v>368</v>
      </c>
      <c r="W2546" t="str">
        <f>VLOOKUP(Table_Query_from_Actuarial___Production[[#This Row],[Kor1]],$AI$3:$AK$105,3,FALSE)</f>
        <v>Premiums Written</v>
      </c>
      <c r="X2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546"/>
      <c r="Z2546" t="s">
        <v>47</v>
      </c>
      <c r="AA2546" t="s">
        <v>266</v>
      </c>
      <c r="AB2546" t="s">
        <v>442</v>
      </c>
      <c r="AC2546" s="21">
        <v>3213.45</v>
      </c>
      <c r="AD2546" s="21" t="s">
        <v>368</v>
      </c>
      <c r="AE2546" t="str">
        <f>VLOOKUP(Table_Query_from_Actuarial___Production3[[#This Row],[Kor1]],$AI$3:$AK$105,3,FALSE)</f>
        <v>Investment Income</v>
      </c>
      <c r="AF2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7" spans="18:32" x14ac:dyDescent="0.2">
      <c r="R2547" t="s">
        <v>16</v>
      </c>
      <c r="S2547" t="s">
        <v>250</v>
      </c>
      <c r="T2547" t="s">
        <v>441</v>
      </c>
      <c r="U2547" s="21">
        <v>262957.02</v>
      </c>
      <c r="V2547" s="21" t="s">
        <v>368</v>
      </c>
      <c r="W2547" t="str">
        <f>VLOOKUP(Table_Query_from_Actuarial___Production[[#This Row],[Kor1]],$AI$3:$AK$105,3,FALSE)</f>
        <v>Losses Outstanding</v>
      </c>
      <c r="X2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7"/>
      <c r="Z2547" t="s">
        <v>13</v>
      </c>
      <c r="AA2547" t="s">
        <v>254</v>
      </c>
      <c r="AB2547" t="s">
        <v>427</v>
      </c>
      <c r="AC2547" s="21">
        <v>1092647.7</v>
      </c>
      <c r="AD2547" s="21" t="s">
        <v>368</v>
      </c>
      <c r="AE2547" t="str">
        <f>VLOOKUP(Table_Query_from_Actuarial___Production3[[#This Row],[Kor1]],$AI$3:$AK$105,3,FALSE)</f>
        <v>Operating Service Fees</v>
      </c>
      <c r="AF2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8" spans="18:32" x14ac:dyDescent="0.2">
      <c r="R2548" t="s">
        <v>50</v>
      </c>
      <c r="S2548" t="s">
        <v>240</v>
      </c>
      <c r="T2548" t="s">
        <v>433</v>
      </c>
      <c r="U2548" s="21">
        <v>43696.92</v>
      </c>
      <c r="V2548" s="21" t="s">
        <v>368</v>
      </c>
      <c r="W2548" t="str">
        <f>VLOOKUP(Table_Query_from_Actuarial___Production[[#This Row],[Kor1]],$AI$3:$AK$105,3,FALSE)</f>
        <v>ALAE Reserve</v>
      </c>
      <c r="X2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8"/>
      <c r="Z2548" t="s">
        <v>15</v>
      </c>
      <c r="AA2548" t="s">
        <v>263</v>
      </c>
      <c r="AB2548" t="s">
        <v>443</v>
      </c>
      <c r="AC2548" s="21">
        <v>42097.42</v>
      </c>
      <c r="AD2548" s="21" t="s">
        <v>368</v>
      </c>
      <c r="AE2548" t="str">
        <f>VLOOKUP(Table_Query_from_Actuarial___Production3[[#This Row],[Kor1]],$AI$3:$AK$105,3,FALSE)</f>
        <v>Unearned Premiums</v>
      </c>
      <c r="AF2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49" spans="18:32" x14ac:dyDescent="0.2">
      <c r="R2549" t="s">
        <v>15</v>
      </c>
      <c r="S2549" t="s">
        <v>258</v>
      </c>
      <c r="T2549" t="s">
        <v>443</v>
      </c>
      <c r="U2549" s="21">
        <v>658814.71</v>
      </c>
      <c r="V2549" s="21" t="s">
        <v>368</v>
      </c>
      <c r="W2549" t="str">
        <f>VLOOKUP(Table_Query_from_Actuarial___Production[[#This Row],[Kor1]],$AI$3:$AK$105,3,FALSE)</f>
        <v>Unearned Premiums</v>
      </c>
      <c r="X2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49"/>
      <c r="Z2549" t="s">
        <v>16</v>
      </c>
      <c r="AA2549" t="s">
        <v>246</v>
      </c>
      <c r="AB2549" t="s">
        <v>441</v>
      </c>
      <c r="AC2549" s="21">
        <v>2656060.3199999998</v>
      </c>
      <c r="AD2549" s="21" t="s">
        <v>368</v>
      </c>
      <c r="AE2549" t="str">
        <f>VLOOKUP(Table_Query_from_Actuarial___Production3[[#This Row],[Kor1]],$AI$3:$AK$105,3,FALSE)</f>
        <v>Losses Outstanding</v>
      </c>
      <c r="AF2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0" spans="18:32" x14ac:dyDescent="0.2">
      <c r="R2550" t="s">
        <v>20</v>
      </c>
      <c r="S2550" t="s">
        <v>261</v>
      </c>
      <c r="T2550" t="s">
        <v>427</v>
      </c>
      <c r="U2550" s="21">
        <v>255.31</v>
      </c>
      <c r="V2550" s="21" t="s">
        <v>368</v>
      </c>
      <c r="W2550" t="str">
        <f>VLOOKUP(Table_Query_from_Actuarial___Production[[#This Row],[Kor1]],$AI$3:$AK$105,3,FALSE)</f>
        <v>Misc. Expense</v>
      </c>
      <c r="X2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0"/>
      <c r="Z2550" t="s">
        <v>17</v>
      </c>
      <c r="AA2550" t="s">
        <v>237</v>
      </c>
      <c r="AB2550" t="s">
        <v>427</v>
      </c>
      <c r="AC2550" s="21">
        <v>6061070.0899999999</v>
      </c>
      <c r="AD2550" s="21" t="s">
        <v>368</v>
      </c>
      <c r="AE2550" t="str">
        <f>VLOOKUP(Table_Query_from_Actuarial___Production3[[#This Row],[Kor1]],$AI$3:$AK$105,3,FALSE)</f>
        <v>IBNR</v>
      </c>
      <c r="AF2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1" spans="18:32" x14ac:dyDescent="0.2">
      <c r="R2551" t="s">
        <v>10</v>
      </c>
      <c r="S2551" t="s">
        <v>257</v>
      </c>
      <c r="T2551" t="s">
        <v>6</v>
      </c>
      <c r="U2551" s="21">
        <v>97915.48</v>
      </c>
      <c r="V2551" s="21" t="s">
        <v>368</v>
      </c>
      <c r="W2551" t="str">
        <f>VLOOKUP(Table_Query_from_Actuarial___Production[[#This Row],[Kor1]],$AI$3:$AK$105,3,FALSE)</f>
        <v>Commissions</v>
      </c>
      <c r="X2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1"/>
      <c r="Z2551" t="s">
        <v>32</v>
      </c>
      <c r="AA2551" t="s">
        <v>244</v>
      </c>
      <c r="AB2551" t="s">
        <v>356</v>
      </c>
      <c r="AC2551" s="21">
        <v>4529.79</v>
      </c>
      <c r="AD2551" s="21" t="s">
        <v>368</v>
      </c>
      <c r="AE2551" t="str">
        <f>VLOOKUP(Table_Query_from_Actuarial___Production3[[#This Row],[Kor1]],$AI$3:$AK$105,3,FALSE)</f>
        <v>Misc. Expense</v>
      </c>
      <c r="AF2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2" spans="18:32" x14ac:dyDescent="0.2">
      <c r="R2552" t="s">
        <v>11</v>
      </c>
      <c r="S2552" t="s">
        <v>235</v>
      </c>
      <c r="T2552" t="s">
        <v>356</v>
      </c>
      <c r="U2552" s="21">
        <v>1271348.81</v>
      </c>
      <c r="V2552" s="21" t="s">
        <v>368</v>
      </c>
      <c r="W2552" t="str">
        <f>VLOOKUP(Table_Query_from_Actuarial___Production[[#This Row],[Kor1]],$AI$3:$AK$105,3,FALSE)</f>
        <v>Losses Paid</v>
      </c>
      <c r="X2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2"/>
      <c r="Z2552" t="s">
        <v>34</v>
      </c>
      <c r="AA2552" t="s">
        <v>255</v>
      </c>
      <c r="AB2552" t="s">
        <v>5</v>
      </c>
      <c r="AC2552" s="21">
        <v>4.68</v>
      </c>
      <c r="AD2552" s="21" t="s">
        <v>368</v>
      </c>
      <c r="AE2552" t="str">
        <f>VLOOKUP(Table_Query_from_Actuarial___Production3[[#This Row],[Kor1]],$AI$3:$AK$105,3,FALSE)</f>
        <v>Misc. Expense</v>
      </c>
      <c r="AF2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3" spans="18:32" x14ac:dyDescent="0.2">
      <c r="R2553" t="s">
        <v>44</v>
      </c>
      <c r="S2553" t="s">
        <v>229</v>
      </c>
      <c r="T2553" t="s">
        <v>356</v>
      </c>
      <c r="U2553" s="21">
        <v>-4</v>
      </c>
      <c r="V2553" s="21" t="s">
        <v>368</v>
      </c>
      <c r="W2553" t="str">
        <f>VLOOKUP(Table_Query_from_Actuarial___Production[[#This Row],[Kor1]],$AI$3:$AK$105,3,FALSE)</f>
        <v>Charge-offs</v>
      </c>
      <c r="X2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3"/>
      <c r="Z2553" t="s">
        <v>3</v>
      </c>
      <c r="AA2553" t="s">
        <v>224</v>
      </c>
      <c r="AB2553" t="s">
        <v>427</v>
      </c>
      <c r="AC2553" s="21">
        <v>2697936.11</v>
      </c>
      <c r="AD2553" s="21" t="s">
        <v>368</v>
      </c>
      <c r="AE2553" t="str">
        <f>VLOOKUP(Table_Query_from_Actuarial___Production3[[#This Row],[Kor1]],$AI$3:$AK$105,3,FALSE)</f>
        <v>Premiums Written</v>
      </c>
      <c r="AF2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554" spans="18:32" x14ac:dyDescent="0.2">
      <c r="R2554" t="s">
        <v>46</v>
      </c>
      <c r="S2554" t="s">
        <v>224</v>
      </c>
      <c r="T2554" t="s">
        <v>351</v>
      </c>
      <c r="U2554" s="21">
        <v>1873.17</v>
      </c>
      <c r="V2554" s="21" t="s">
        <v>369</v>
      </c>
      <c r="W2554" t="str">
        <f>VLOOKUP(Table_Query_from_Actuarial___Production[[#This Row],[Kor1]],$AI$3:$AK$105,3,FALSE)</f>
        <v>Investment Income</v>
      </c>
      <c r="X2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554"/>
      <c r="Z2554" t="s">
        <v>12</v>
      </c>
      <c r="AA2554" t="s">
        <v>229</v>
      </c>
      <c r="AB2554" t="s">
        <v>9</v>
      </c>
      <c r="AC2554" s="21">
        <v>1952.21</v>
      </c>
      <c r="AD2554" s="21" t="s">
        <v>368</v>
      </c>
      <c r="AE2554" t="str">
        <f>VLOOKUP(Table_Query_from_Actuarial___Production3[[#This Row],[Kor1]],$AI$3:$AK$105,3,FALSE)</f>
        <v>Premium Tax</v>
      </c>
      <c r="AF2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5" spans="18:32" x14ac:dyDescent="0.2">
      <c r="R2555" t="s">
        <v>12</v>
      </c>
      <c r="S2555" t="s">
        <v>242</v>
      </c>
      <c r="T2555" t="s">
        <v>445</v>
      </c>
      <c r="U2555" s="21">
        <v>15043.02</v>
      </c>
      <c r="V2555" s="21" t="s">
        <v>368</v>
      </c>
      <c r="W2555" t="str">
        <f>VLOOKUP(Table_Query_from_Actuarial___Production[[#This Row],[Kor1]],$AI$3:$AK$105,3,FALSE)</f>
        <v>Premium Tax</v>
      </c>
      <c r="X2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5"/>
      <c r="Z2555" t="s">
        <v>19</v>
      </c>
      <c r="AA2555" t="s">
        <v>4</v>
      </c>
      <c r="AB2555" t="s">
        <v>351</v>
      </c>
      <c r="AC2555" s="21">
        <v>43563.18</v>
      </c>
      <c r="AD2555" s="21" t="s">
        <v>368</v>
      </c>
      <c r="AE2555" t="str">
        <f>VLOOKUP(Table_Query_from_Actuarial___Production3[[#This Row],[Kor1]],$AI$3:$AK$105,3,FALSE)</f>
        <v>Misc. Expense for Insolvent Companies</v>
      </c>
      <c r="AF2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6" spans="18:32" x14ac:dyDescent="0.2">
      <c r="R2556" t="s">
        <v>10</v>
      </c>
      <c r="S2556" t="s">
        <v>236</v>
      </c>
      <c r="T2556" t="s">
        <v>427</v>
      </c>
      <c r="U2556" s="21">
        <v>4684.8</v>
      </c>
      <c r="V2556" s="21" t="s">
        <v>368</v>
      </c>
      <c r="W2556" t="str">
        <f>VLOOKUP(Table_Query_from_Actuarial___Production[[#This Row],[Kor1]],$AI$3:$AK$105,3,FALSE)</f>
        <v>Commissions</v>
      </c>
      <c r="X2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6"/>
      <c r="Z2556" t="s">
        <v>37</v>
      </c>
      <c r="AA2556" t="s">
        <v>4</v>
      </c>
      <c r="AB2556" t="s">
        <v>7</v>
      </c>
      <c r="AC2556" s="21">
        <v>2854.96</v>
      </c>
      <c r="AD2556" s="21" t="s">
        <v>368</v>
      </c>
      <c r="AE2556" t="str">
        <f>VLOOKUP(Table_Query_from_Actuarial___Production3[[#This Row],[Kor1]],$AI$3:$AK$105,3,FALSE)</f>
        <v>Misc. Expense</v>
      </c>
      <c r="AF2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7" spans="18:32" x14ac:dyDescent="0.2">
      <c r="R2557" t="s">
        <v>34</v>
      </c>
      <c r="S2557" t="s">
        <v>255</v>
      </c>
      <c r="T2557" t="s">
        <v>441</v>
      </c>
      <c r="U2557" s="21">
        <v>6.37</v>
      </c>
      <c r="V2557" s="21" t="s">
        <v>368</v>
      </c>
      <c r="W2557" t="str">
        <f>VLOOKUP(Table_Query_from_Actuarial___Production[[#This Row],[Kor1]],$AI$3:$AK$105,3,FALSE)</f>
        <v>Misc. Expense</v>
      </c>
      <c r="X2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7"/>
      <c r="Z2557" t="s">
        <v>48</v>
      </c>
      <c r="AA2557" t="s">
        <v>233</v>
      </c>
      <c r="AB2557" t="s">
        <v>441</v>
      </c>
      <c r="AC2557" s="21">
        <v>3503.19</v>
      </c>
      <c r="AD2557" s="21" t="s">
        <v>368</v>
      </c>
      <c r="AE2557" t="str">
        <f>VLOOKUP(Table_Query_from_Actuarial___Production3[[#This Row],[Kor1]],$AI$3:$AK$105,3,FALSE)</f>
        <v>Anticipated Salvage</v>
      </c>
      <c r="AF2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8" spans="18:32" x14ac:dyDescent="0.2">
      <c r="R2558" t="s">
        <v>39</v>
      </c>
      <c r="S2558" t="s">
        <v>236</v>
      </c>
      <c r="T2558" t="s">
        <v>7</v>
      </c>
      <c r="U2558" s="21">
        <v>342</v>
      </c>
      <c r="V2558" s="21" t="s">
        <v>368</v>
      </c>
      <c r="W2558" t="str">
        <f>VLOOKUP(Table_Query_from_Actuarial___Production[[#This Row],[Kor1]],$AI$3:$AK$105,3,FALSE)</f>
        <v>Misc. Income for Insolvent Companies</v>
      </c>
      <c r="X2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8"/>
      <c r="Z2558" t="s">
        <v>12</v>
      </c>
      <c r="AA2558" t="s">
        <v>234</v>
      </c>
      <c r="AB2558" t="s">
        <v>8</v>
      </c>
      <c r="AC2558" s="21">
        <v>15639.76</v>
      </c>
      <c r="AD2558" s="21" t="s">
        <v>368</v>
      </c>
      <c r="AE2558" t="str">
        <f>VLOOKUP(Table_Query_from_Actuarial___Production3[[#This Row],[Kor1]],$AI$3:$AK$105,3,FALSE)</f>
        <v>Premium Tax</v>
      </c>
      <c r="AF2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59" spans="18:32" x14ac:dyDescent="0.2">
      <c r="R2559" t="s">
        <v>14</v>
      </c>
      <c r="S2559" t="s">
        <v>252</v>
      </c>
      <c r="T2559" t="s">
        <v>427</v>
      </c>
      <c r="U2559" s="21">
        <v>4297928.75</v>
      </c>
      <c r="V2559" s="21" t="s">
        <v>368</v>
      </c>
      <c r="W2559" t="str">
        <f>VLOOKUP(Table_Query_from_Actuarial___Production[[#This Row],[Kor1]],$AI$3:$AK$105,3,FALSE)</f>
        <v>Claims Expense</v>
      </c>
      <c r="X2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59"/>
      <c r="Z2559" t="s">
        <v>41</v>
      </c>
      <c r="AA2559" t="s">
        <v>237</v>
      </c>
      <c r="AB2559" t="s">
        <v>356</v>
      </c>
      <c r="AC2559" s="21">
        <v>543.48</v>
      </c>
      <c r="AD2559" s="21" t="s">
        <v>368</v>
      </c>
      <c r="AE2559" t="str">
        <f>VLOOKUP(Table_Query_from_Actuarial___Production3[[#This Row],[Kor1]],$AI$3:$AK$105,3,FALSE)</f>
        <v>Misc. Income</v>
      </c>
      <c r="AF2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0" spans="18:32" x14ac:dyDescent="0.2">
      <c r="R2560" t="s">
        <v>44</v>
      </c>
      <c r="S2560" t="s">
        <v>257</v>
      </c>
      <c r="T2560" t="s">
        <v>8</v>
      </c>
      <c r="U2560" s="21">
        <v>127045.72</v>
      </c>
      <c r="V2560" s="21" t="s">
        <v>368</v>
      </c>
      <c r="W2560" t="str">
        <f>VLOOKUP(Table_Query_from_Actuarial___Production[[#This Row],[Kor1]],$AI$3:$AK$105,3,FALSE)</f>
        <v>Charge-offs</v>
      </c>
      <c r="X2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0"/>
      <c r="Z2560" t="s">
        <v>17</v>
      </c>
      <c r="AA2560" t="s">
        <v>247</v>
      </c>
      <c r="AB2560" t="s">
        <v>427</v>
      </c>
      <c r="AC2560" s="21">
        <v>1084.3699999999999</v>
      </c>
      <c r="AD2560" s="21" t="s">
        <v>368</v>
      </c>
      <c r="AE2560" t="str">
        <f>VLOOKUP(Table_Query_from_Actuarial___Production3[[#This Row],[Kor1]],$AI$3:$AK$105,3,FALSE)</f>
        <v>IBNR</v>
      </c>
      <c r="AF2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1" spans="18:32" x14ac:dyDescent="0.2">
      <c r="R2561" t="s">
        <v>48</v>
      </c>
      <c r="S2561" t="s">
        <v>255</v>
      </c>
      <c r="T2561" t="s">
        <v>445</v>
      </c>
      <c r="U2561" s="21">
        <v>194.94</v>
      </c>
      <c r="V2561" s="21" t="s">
        <v>368</v>
      </c>
      <c r="W2561" t="str">
        <f>VLOOKUP(Table_Query_from_Actuarial___Production[[#This Row],[Kor1]],$AI$3:$AK$105,3,FALSE)</f>
        <v>Anticipated Salvage</v>
      </c>
      <c r="X2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1"/>
      <c r="Z2561" t="s">
        <v>43</v>
      </c>
      <c r="AA2561" t="s">
        <v>240</v>
      </c>
      <c r="AB2561" t="s">
        <v>5</v>
      </c>
      <c r="AC2561" s="21">
        <v>22.76</v>
      </c>
      <c r="AD2561" s="21" t="s">
        <v>368</v>
      </c>
      <c r="AE2561" t="str">
        <f>VLOOKUP(Table_Query_from_Actuarial___Production3[[#This Row],[Kor1]],$AI$3:$AK$105,3,FALSE)</f>
        <v>Charge-offs</v>
      </c>
      <c r="AF2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2" spans="18:32" x14ac:dyDescent="0.2">
      <c r="R2562" t="s">
        <v>50</v>
      </c>
      <c r="S2562" t="s">
        <v>253</v>
      </c>
      <c r="T2562" t="s">
        <v>441</v>
      </c>
      <c r="U2562" s="21">
        <v>152.91</v>
      </c>
      <c r="V2562" s="21" t="s">
        <v>368</v>
      </c>
      <c r="W2562" t="str">
        <f>VLOOKUP(Table_Query_from_Actuarial___Production[[#This Row],[Kor1]],$AI$3:$AK$105,3,FALSE)</f>
        <v>ALAE Reserve</v>
      </c>
      <c r="X2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2"/>
      <c r="Z2562" t="s">
        <v>13</v>
      </c>
      <c r="AA2562" t="s">
        <v>225</v>
      </c>
      <c r="AB2562" t="s">
        <v>7</v>
      </c>
      <c r="AC2562" s="21">
        <v>145146.13</v>
      </c>
      <c r="AD2562" s="21" t="s">
        <v>369</v>
      </c>
      <c r="AE2562" t="str">
        <f>VLOOKUP(Table_Query_from_Actuarial___Production3[[#This Row],[Kor1]],$AI$3:$AK$105,3,FALSE)</f>
        <v>Operating Service Fees</v>
      </c>
      <c r="AF2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563" spans="18:32" x14ac:dyDescent="0.2">
      <c r="R2563" t="s">
        <v>439</v>
      </c>
      <c r="S2563" t="s">
        <v>264</v>
      </c>
      <c r="T2563" t="s">
        <v>433</v>
      </c>
      <c r="U2563" s="21">
        <v>145131</v>
      </c>
      <c r="V2563" s="21" t="s">
        <v>368</v>
      </c>
      <c r="W2563" t="str">
        <f>VLOOKUP(Table_Query_from_Actuarial___Production[[#This Row],[Kor1]],$AI$3:$AK$105,3,FALSE)</f>
        <v>Operating Service Fees</v>
      </c>
      <c r="X2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3"/>
      <c r="Z2563" t="s">
        <v>44</v>
      </c>
      <c r="AA2563" t="s">
        <v>231</v>
      </c>
      <c r="AB2563" t="s">
        <v>441</v>
      </c>
      <c r="AC2563" s="21">
        <v>223639.2</v>
      </c>
      <c r="AD2563" s="21" t="s">
        <v>368</v>
      </c>
      <c r="AE2563" t="str">
        <f>VLOOKUP(Table_Query_from_Actuarial___Production3[[#This Row],[Kor1]],$AI$3:$AK$105,3,FALSE)</f>
        <v>Charge-offs</v>
      </c>
      <c r="AF2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4" spans="18:32" x14ac:dyDescent="0.2">
      <c r="R2564" t="s">
        <v>19</v>
      </c>
      <c r="S2564" t="s">
        <v>266</v>
      </c>
      <c r="T2564" t="s">
        <v>8</v>
      </c>
      <c r="U2564" s="21">
        <v>36</v>
      </c>
      <c r="V2564" s="21" t="s">
        <v>368</v>
      </c>
      <c r="W2564" t="str">
        <f>VLOOKUP(Table_Query_from_Actuarial___Production[[#This Row],[Kor1]],$AI$3:$AK$105,3,FALSE)</f>
        <v>Misc. Expense for Insolvent Companies</v>
      </c>
      <c r="X2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4"/>
      <c r="Z2564" t="s">
        <v>11</v>
      </c>
      <c r="AA2564" t="s">
        <v>237</v>
      </c>
      <c r="AB2564" t="s">
        <v>351</v>
      </c>
      <c r="AC2564" s="21">
        <v>20611056.75</v>
      </c>
      <c r="AD2564" s="21" t="s">
        <v>368</v>
      </c>
      <c r="AE2564" t="str">
        <f>VLOOKUP(Table_Query_from_Actuarial___Production3[[#This Row],[Kor1]],$AI$3:$AK$105,3,FALSE)</f>
        <v>Losses Paid</v>
      </c>
      <c r="AF2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5" spans="18:32" x14ac:dyDescent="0.2">
      <c r="R2565" t="s">
        <v>29</v>
      </c>
      <c r="S2565" t="s">
        <v>238</v>
      </c>
      <c r="T2565" t="s">
        <v>356</v>
      </c>
      <c r="U2565" s="21">
        <v>70325.42</v>
      </c>
      <c r="V2565" s="21" t="s">
        <v>368</v>
      </c>
      <c r="W2565" t="str">
        <f>VLOOKUP(Table_Query_from_Actuarial___Production[[#This Row],[Kor1]],$AI$3:$AK$105,3,FALSE)</f>
        <v>Misc. Expense</v>
      </c>
      <c r="X2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5"/>
      <c r="Z2565" t="s">
        <v>33</v>
      </c>
      <c r="AA2565" t="s">
        <v>229</v>
      </c>
      <c r="AB2565" t="s">
        <v>442</v>
      </c>
      <c r="AC2565" s="21">
        <v>16372.3</v>
      </c>
      <c r="AD2565" s="21" t="s">
        <v>368</v>
      </c>
      <c r="AE2565" t="str">
        <f>VLOOKUP(Table_Query_from_Actuarial___Production3[[#This Row],[Kor1]],$AI$3:$AK$105,3,FALSE)</f>
        <v>Misc. Expense</v>
      </c>
      <c r="AF2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6" spans="18:32" x14ac:dyDescent="0.2">
      <c r="R2566" t="s">
        <v>34</v>
      </c>
      <c r="S2566" t="s">
        <v>246</v>
      </c>
      <c r="T2566" t="s">
        <v>433</v>
      </c>
      <c r="U2566" s="21">
        <v>2799.99</v>
      </c>
      <c r="V2566" s="21" t="s">
        <v>368</v>
      </c>
      <c r="W2566" t="str">
        <f>VLOOKUP(Table_Query_from_Actuarial___Production[[#This Row],[Kor1]],$AI$3:$AK$105,3,FALSE)</f>
        <v>Misc. Expense</v>
      </c>
      <c r="X2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6"/>
      <c r="Z2566" t="s">
        <v>43</v>
      </c>
      <c r="AA2566" t="s">
        <v>228</v>
      </c>
      <c r="AB2566" t="s">
        <v>8</v>
      </c>
      <c r="AC2566" s="21">
        <v>3656.67</v>
      </c>
      <c r="AD2566" s="21" t="s">
        <v>368</v>
      </c>
      <c r="AE2566" t="str">
        <f>VLOOKUP(Table_Query_from_Actuarial___Production3[[#This Row],[Kor1]],$AI$3:$AK$105,3,FALSE)</f>
        <v>Charge-offs</v>
      </c>
      <c r="AF2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7" spans="18:32" x14ac:dyDescent="0.2">
      <c r="R2567" t="s">
        <v>36</v>
      </c>
      <c r="S2567" t="s">
        <v>4</v>
      </c>
      <c r="T2567" t="s">
        <v>427</v>
      </c>
      <c r="U2567" s="21">
        <v>354887.39</v>
      </c>
      <c r="V2567" s="21" t="s">
        <v>368</v>
      </c>
      <c r="W2567" t="str">
        <f>VLOOKUP(Table_Query_from_Actuarial___Production[[#This Row],[Kor1]],$AI$3:$AK$105,3,FALSE)</f>
        <v>Misc. Expense</v>
      </c>
      <c r="X2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7"/>
      <c r="Z2567" t="s">
        <v>13</v>
      </c>
      <c r="AA2567" t="s">
        <v>224</v>
      </c>
      <c r="AB2567" t="s">
        <v>5</v>
      </c>
      <c r="AC2567" s="21">
        <v>41646.769999999997</v>
      </c>
      <c r="AD2567" s="21" t="s">
        <v>425</v>
      </c>
      <c r="AE2567" t="str">
        <f>VLOOKUP(Table_Query_from_Actuarial___Production3[[#This Row],[Kor1]],$AI$3:$AK$105,3,FALSE)</f>
        <v>Operating Service Fees</v>
      </c>
      <c r="AF2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568" spans="18:32" x14ac:dyDescent="0.2">
      <c r="R2568" t="s">
        <v>77</v>
      </c>
      <c r="S2568" t="s">
        <v>240</v>
      </c>
      <c r="T2568" t="s">
        <v>443</v>
      </c>
      <c r="U2568" s="21">
        <v>37127</v>
      </c>
      <c r="V2568" s="21" t="s">
        <v>368</v>
      </c>
      <c r="W2568" t="str">
        <f>VLOOKUP(Table_Query_from_Actuarial___Production[[#This Row],[Kor1]],$AI$3:$AK$105,3,FALSE)</f>
        <v>PDR</v>
      </c>
      <c r="X2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8"/>
      <c r="Z2568" t="s">
        <v>10</v>
      </c>
      <c r="AA2568" t="s">
        <v>250</v>
      </c>
      <c r="AB2568" t="s">
        <v>351</v>
      </c>
      <c r="AC2568" s="21">
        <v>110732.05</v>
      </c>
      <c r="AD2568" s="21" t="s">
        <v>368</v>
      </c>
      <c r="AE2568" t="str">
        <f>VLOOKUP(Table_Query_from_Actuarial___Production3[[#This Row],[Kor1]],$AI$3:$AK$105,3,FALSE)</f>
        <v>Commissions</v>
      </c>
      <c r="AF2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69" spans="18:32" x14ac:dyDescent="0.2">
      <c r="R2569" t="s">
        <v>19</v>
      </c>
      <c r="S2569" t="s">
        <v>237</v>
      </c>
      <c r="T2569" t="s">
        <v>441</v>
      </c>
      <c r="U2569" s="21">
        <v>267.69</v>
      </c>
      <c r="V2569" s="21" t="s">
        <v>368</v>
      </c>
      <c r="W2569" t="str">
        <f>VLOOKUP(Table_Query_from_Actuarial___Production[[#This Row],[Kor1]],$AI$3:$AK$105,3,FALSE)</f>
        <v>Misc. Expense for Insolvent Companies</v>
      </c>
      <c r="X2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69"/>
      <c r="Z2569" t="s">
        <v>13</v>
      </c>
      <c r="AA2569" t="s">
        <v>354</v>
      </c>
      <c r="AB2569" t="s">
        <v>8</v>
      </c>
      <c r="AC2569" s="21">
        <v>217771646.66</v>
      </c>
      <c r="AD2569" s="21" t="s">
        <v>369</v>
      </c>
      <c r="AE2569" t="str">
        <f>VLOOKUP(Table_Query_from_Actuarial___Production3[[#This Row],[Kor1]],$AI$3:$AK$105,3,FALSE)</f>
        <v>Operating Service Fees</v>
      </c>
      <c r="AF2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570" spans="18:32" x14ac:dyDescent="0.2">
      <c r="R2570" t="s">
        <v>41</v>
      </c>
      <c r="S2570" t="s">
        <v>248</v>
      </c>
      <c r="T2570" t="s">
        <v>6</v>
      </c>
      <c r="U2570" s="21">
        <v>50</v>
      </c>
      <c r="V2570" s="21" t="s">
        <v>368</v>
      </c>
      <c r="W2570" t="str">
        <f>VLOOKUP(Table_Query_from_Actuarial___Production[[#This Row],[Kor1]],$AI$3:$AK$105,3,FALSE)</f>
        <v>Misc. Income</v>
      </c>
      <c r="X2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0"/>
      <c r="Z2570" t="s">
        <v>33</v>
      </c>
      <c r="AA2570" t="s">
        <v>237</v>
      </c>
      <c r="AB2570" t="s">
        <v>9</v>
      </c>
      <c r="AC2570" s="21">
        <v>16969.23</v>
      </c>
      <c r="AD2570" s="21" t="s">
        <v>368</v>
      </c>
      <c r="AE2570" t="str">
        <f>VLOOKUP(Table_Query_from_Actuarial___Production3[[#This Row],[Kor1]],$AI$3:$AK$105,3,FALSE)</f>
        <v>Misc. Expense</v>
      </c>
      <c r="AF2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1" spans="18:32" x14ac:dyDescent="0.2">
      <c r="R2571" t="s">
        <v>10</v>
      </c>
      <c r="S2571" t="s">
        <v>243</v>
      </c>
      <c r="T2571" t="s">
        <v>8</v>
      </c>
      <c r="U2571" s="21">
        <v>35624.86</v>
      </c>
      <c r="V2571" s="21" t="s">
        <v>368</v>
      </c>
      <c r="W2571" t="str">
        <f>VLOOKUP(Table_Query_from_Actuarial___Production[[#This Row],[Kor1]],$AI$3:$AK$105,3,FALSE)</f>
        <v>Commissions</v>
      </c>
      <c r="X2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1"/>
      <c r="Z2571" t="s">
        <v>12</v>
      </c>
      <c r="AA2571" t="s">
        <v>232</v>
      </c>
      <c r="AB2571" t="s">
        <v>8</v>
      </c>
      <c r="AC2571" s="21">
        <v>19931.169999999998</v>
      </c>
      <c r="AD2571" s="21" t="s">
        <v>368</v>
      </c>
      <c r="AE2571" t="str">
        <f>VLOOKUP(Table_Query_from_Actuarial___Production3[[#This Row],[Kor1]],$AI$3:$AK$105,3,FALSE)</f>
        <v>Premium Tax</v>
      </c>
      <c r="AF2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2" spans="18:32" x14ac:dyDescent="0.2">
      <c r="R2572" t="s">
        <v>12</v>
      </c>
      <c r="S2572" t="s">
        <v>230</v>
      </c>
      <c r="T2572" t="s">
        <v>9</v>
      </c>
      <c r="U2572" s="21">
        <v>598934.22</v>
      </c>
      <c r="V2572" s="21" t="s">
        <v>368</v>
      </c>
      <c r="W2572" t="str">
        <f>VLOOKUP(Table_Query_from_Actuarial___Production[[#This Row],[Kor1]],$AI$3:$AK$105,3,FALSE)</f>
        <v>Premium Tax</v>
      </c>
      <c r="X2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2"/>
      <c r="Z2572" t="s">
        <v>33</v>
      </c>
      <c r="AA2572" t="s">
        <v>246</v>
      </c>
      <c r="AB2572" t="s">
        <v>443</v>
      </c>
      <c r="AC2572" s="21">
        <v>8482.24</v>
      </c>
      <c r="AD2572" s="21" t="s">
        <v>368</v>
      </c>
      <c r="AE2572" t="str">
        <f>VLOOKUP(Table_Query_from_Actuarial___Production3[[#This Row],[Kor1]],$AI$3:$AK$105,3,FALSE)</f>
        <v>Misc. Expense</v>
      </c>
      <c r="AF2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3" spans="18:32" x14ac:dyDescent="0.2">
      <c r="R2573" t="s">
        <v>43</v>
      </c>
      <c r="S2573" t="s">
        <v>251</v>
      </c>
      <c r="T2573" t="s">
        <v>433</v>
      </c>
      <c r="U2573" s="21">
        <v>225.91</v>
      </c>
      <c r="V2573" s="21" t="s">
        <v>368</v>
      </c>
      <c r="W2573" t="str">
        <f>VLOOKUP(Table_Query_from_Actuarial___Production[[#This Row],[Kor1]],$AI$3:$AK$105,3,FALSE)</f>
        <v>Charge-offs</v>
      </c>
      <c r="X2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3"/>
      <c r="Z2573" t="s">
        <v>48</v>
      </c>
      <c r="AA2573" t="s">
        <v>261</v>
      </c>
      <c r="AB2573" t="s">
        <v>433</v>
      </c>
      <c r="AC2573" s="21">
        <v>123.7</v>
      </c>
      <c r="AD2573" s="21" t="s">
        <v>368</v>
      </c>
      <c r="AE2573" t="str">
        <f>VLOOKUP(Table_Query_from_Actuarial___Production3[[#This Row],[Kor1]],$AI$3:$AK$105,3,FALSE)</f>
        <v>Anticipated Salvage</v>
      </c>
      <c r="AF2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4" spans="18:32" x14ac:dyDescent="0.2">
      <c r="R2574" t="s">
        <v>17</v>
      </c>
      <c r="S2574" t="s">
        <v>352</v>
      </c>
      <c r="T2574" t="s">
        <v>442</v>
      </c>
      <c r="U2574" s="21">
        <v>131.93</v>
      </c>
      <c r="V2574" s="21" t="s">
        <v>369</v>
      </c>
      <c r="W2574" t="str">
        <f>VLOOKUP(Table_Query_from_Actuarial___Production[[#This Row],[Kor1]],$AI$3:$AK$105,3,FALSE)</f>
        <v>IBNR</v>
      </c>
      <c r="X2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574"/>
      <c r="Z2574" t="s">
        <v>14</v>
      </c>
      <c r="AA2574" t="s">
        <v>249</v>
      </c>
      <c r="AB2574" t="s">
        <v>7</v>
      </c>
      <c r="AC2574" s="21">
        <v>38032.879999999997</v>
      </c>
      <c r="AD2574" s="21" t="s">
        <v>368</v>
      </c>
      <c r="AE2574" t="str">
        <f>VLOOKUP(Table_Query_from_Actuarial___Production3[[#This Row],[Kor1]],$AI$3:$AK$105,3,FALSE)</f>
        <v>Claims Expense</v>
      </c>
      <c r="AF2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5" spans="18:32" x14ac:dyDescent="0.2">
      <c r="R2575" t="s">
        <v>20</v>
      </c>
      <c r="S2575" t="s">
        <v>263</v>
      </c>
      <c r="T2575" t="s">
        <v>9</v>
      </c>
      <c r="U2575" s="21">
        <v>216.51</v>
      </c>
      <c r="V2575" s="21" t="s">
        <v>368</v>
      </c>
      <c r="W2575" t="str">
        <f>VLOOKUP(Table_Query_from_Actuarial___Production[[#This Row],[Kor1]],$AI$3:$AK$105,3,FALSE)</f>
        <v>Misc. Expense</v>
      </c>
      <c r="X2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5"/>
      <c r="Z2575" t="s">
        <v>19</v>
      </c>
      <c r="AA2575" t="s">
        <v>265</v>
      </c>
      <c r="AB2575" t="s">
        <v>356</v>
      </c>
      <c r="AC2575" s="21">
        <v>6262</v>
      </c>
      <c r="AD2575" s="21" t="s">
        <v>368</v>
      </c>
      <c r="AE2575" t="str">
        <f>VLOOKUP(Table_Query_from_Actuarial___Production3[[#This Row],[Kor1]],$AI$3:$AK$105,3,FALSE)</f>
        <v>Misc. Expense for Insolvent Companies</v>
      </c>
      <c r="AF2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6" spans="18:32" x14ac:dyDescent="0.2">
      <c r="R2576" t="s">
        <v>47</v>
      </c>
      <c r="S2576" t="s">
        <v>227</v>
      </c>
      <c r="T2576" t="s">
        <v>433</v>
      </c>
      <c r="U2576" s="21">
        <v>300.29000000000002</v>
      </c>
      <c r="V2576" s="21" t="s">
        <v>368</v>
      </c>
      <c r="W2576" t="str">
        <f>VLOOKUP(Table_Query_from_Actuarial___Production[[#This Row],[Kor1]],$AI$3:$AK$105,3,FALSE)</f>
        <v>Investment Income</v>
      </c>
      <c r="X2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6"/>
      <c r="Z2576" t="s">
        <v>20</v>
      </c>
      <c r="AA2576" t="s">
        <v>241</v>
      </c>
      <c r="AB2576" t="s">
        <v>7</v>
      </c>
      <c r="AC2576" s="21">
        <v>226.74</v>
      </c>
      <c r="AD2576" s="21" t="s">
        <v>368</v>
      </c>
      <c r="AE2576" t="str">
        <f>VLOOKUP(Table_Query_from_Actuarial___Production3[[#This Row],[Kor1]],$AI$3:$AK$105,3,FALSE)</f>
        <v>Misc. Expense</v>
      </c>
      <c r="AF2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7" spans="18:32" x14ac:dyDescent="0.2">
      <c r="R2577" t="s">
        <v>21</v>
      </c>
      <c r="S2577" t="s">
        <v>231</v>
      </c>
      <c r="T2577" t="s">
        <v>6</v>
      </c>
      <c r="U2577" s="21">
        <v>671.65</v>
      </c>
      <c r="V2577" s="21" t="s">
        <v>368</v>
      </c>
      <c r="W2577" t="str">
        <f>VLOOKUP(Table_Query_from_Actuarial___Production[[#This Row],[Kor1]],$AI$3:$AK$105,3,FALSE)</f>
        <v>Misc. Expense</v>
      </c>
      <c r="X2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7"/>
      <c r="Z2577" t="s">
        <v>31</v>
      </c>
      <c r="AA2577" t="s">
        <v>266</v>
      </c>
      <c r="AB2577" t="s">
        <v>443</v>
      </c>
      <c r="AC2577" s="21">
        <v>812.63</v>
      </c>
      <c r="AD2577" s="21" t="s">
        <v>368</v>
      </c>
      <c r="AE2577" t="str">
        <f>VLOOKUP(Table_Query_from_Actuarial___Production3[[#This Row],[Kor1]],$AI$3:$AK$105,3,FALSE)</f>
        <v>Misc. Expense</v>
      </c>
      <c r="AF2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8" spans="18:32" x14ac:dyDescent="0.2">
      <c r="R2578" t="s">
        <v>43</v>
      </c>
      <c r="S2578" t="s">
        <v>232</v>
      </c>
      <c r="T2578" t="s">
        <v>433</v>
      </c>
      <c r="U2578" s="21">
        <v>-5.15</v>
      </c>
      <c r="V2578" s="21" t="s">
        <v>368</v>
      </c>
      <c r="W2578" t="str">
        <f>VLOOKUP(Table_Query_from_Actuarial___Production[[#This Row],[Kor1]],$AI$3:$AK$105,3,FALSE)</f>
        <v>Charge-offs</v>
      </c>
      <c r="X2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8"/>
      <c r="Z2578" t="s">
        <v>13</v>
      </c>
      <c r="AA2578" t="s">
        <v>4</v>
      </c>
      <c r="AB2578" t="s">
        <v>7</v>
      </c>
      <c r="AC2578" s="21">
        <v>1944428.89</v>
      </c>
      <c r="AD2578" s="21" t="s">
        <v>368</v>
      </c>
      <c r="AE2578" t="str">
        <f>VLOOKUP(Table_Query_from_Actuarial___Production3[[#This Row],[Kor1]],$AI$3:$AK$105,3,FALSE)</f>
        <v>Operating Service Fees</v>
      </c>
      <c r="AF2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79" spans="18:32" x14ac:dyDescent="0.2">
      <c r="R2579" t="s">
        <v>439</v>
      </c>
      <c r="S2579" t="s">
        <v>248</v>
      </c>
      <c r="T2579" t="s">
        <v>443</v>
      </c>
      <c r="U2579" s="21">
        <v>-12144.66</v>
      </c>
      <c r="V2579" s="21" t="s">
        <v>368</v>
      </c>
      <c r="W2579" t="str">
        <f>VLOOKUP(Table_Query_from_Actuarial___Production[[#This Row],[Kor1]],$AI$3:$AK$105,3,FALSE)</f>
        <v>Operating Service Fees</v>
      </c>
      <c r="X2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79"/>
      <c r="Z2579" t="s">
        <v>33</v>
      </c>
      <c r="AA2579" t="s">
        <v>235</v>
      </c>
      <c r="AB2579" t="s">
        <v>5</v>
      </c>
      <c r="AC2579" s="21">
        <v>16055.97</v>
      </c>
      <c r="AD2579" s="21" t="s">
        <v>368</v>
      </c>
      <c r="AE2579" t="str">
        <f>VLOOKUP(Table_Query_from_Actuarial___Production3[[#This Row],[Kor1]],$AI$3:$AK$105,3,FALSE)</f>
        <v>Misc. Expense</v>
      </c>
      <c r="AF2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0" spans="18:32" x14ac:dyDescent="0.2">
      <c r="R2580" t="s">
        <v>31</v>
      </c>
      <c r="S2580" t="s">
        <v>239</v>
      </c>
      <c r="T2580" t="s">
        <v>351</v>
      </c>
      <c r="U2580" s="21">
        <v>431.95</v>
      </c>
      <c r="V2580" s="21" t="s">
        <v>368</v>
      </c>
      <c r="W2580" t="str">
        <f>VLOOKUP(Table_Query_from_Actuarial___Production[[#This Row],[Kor1]],$AI$3:$AK$105,3,FALSE)</f>
        <v>Misc. Expense</v>
      </c>
      <c r="X2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0"/>
      <c r="Z2580" t="s">
        <v>43</v>
      </c>
      <c r="AA2580" t="s">
        <v>254</v>
      </c>
      <c r="AB2580" t="s">
        <v>443</v>
      </c>
      <c r="AC2580" s="21">
        <v>2596.79</v>
      </c>
      <c r="AD2580" s="21" t="s">
        <v>368</v>
      </c>
      <c r="AE2580" t="str">
        <f>VLOOKUP(Table_Query_from_Actuarial___Production3[[#This Row],[Kor1]],$AI$3:$AK$105,3,FALSE)</f>
        <v>Charge-offs</v>
      </c>
      <c r="AF2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1" spans="18:32" x14ac:dyDescent="0.2">
      <c r="R2581" t="s">
        <v>33</v>
      </c>
      <c r="S2581" t="s">
        <v>260</v>
      </c>
      <c r="T2581" t="s">
        <v>441</v>
      </c>
      <c r="U2581" s="21">
        <v>10885.62</v>
      </c>
      <c r="V2581" s="21" t="s">
        <v>368</v>
      </c>
      <c r="W2581" t="str">
        <f>VLOOKUP(Table_Query_from_Actuarial___Production[[#This Row],[Kor1]],$AI$3:$AK$105,3,FALSE)</f>
        <v>Misc. Expense</v>
      </c>
      <c r="X2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1"/>
      <c r="Z2581" t="s">
        <v>18</v>
      </c>
      <c r="AA2581" t="s">
        <v>224</v>
      </c>
      <c r="AB2581" t="s">
        <v>442</v>
      </c>
      <c r="AC2581" s="21">
        <v>2023.79</v>
      </c>
      <c r="AD2581" s="21" t="s">
        <v>425</v>
      </c>
      <c r="AE2581" t="str">
        <f>VLOOKUP(Table_Query_from_Actuarial___Production3[[#This Row],[Kor1]],$AI$3:$AK$105,3,FALSE)</f>
        <v>Misc. Expense</v>
      </c>
      <c r="AF2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582" spans="18:32" x14ac:dyDescent="0.2">
      <c r="R2582" t="s">
        <v>37</v>
      </c>
      <c r="S2582" t="s">
        <v>258</v>
      </c>
      <c r="T2582" t="s">
        <v>441</v>
      </c>
      <c r="U2582" s="21">
        <v>3482.8</v>
      </c>
      <c r="V2582" s="21" t="s">
        <v>368</v>
      </c>
      <c r="W2582" t="str">
        <f>VLOOKUP(Table_Query_from_Actuarial___Production[[#This Row],[Kor1]],$AI$3:$AK$105,3,FALSE)</f>
        <v>Misc. Expense</v>
      </c>
      <c r="X2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2"/>
      <c r="Z2582" t="s">
        <v>3</v>
      </c>
      <c r="AA2582" t="s">
        <v>246</v>
      </c>
      <c r="AB2582" t="s">
        <v>8</v>
      </c>
      <c r="AC2582" s="21">
        <v>329796</v>
      </c>
      <c r="AD2582" s="21" t="s">
        <v>368</v>
      </c>
      <c r="AE2582" t="str">
        <f>VLOOKUP(Table_Query_from_Actuarial___Production3[[#This Row],[Kor1]],$AI$3:$AK$105,3,FALSE)</f>
        <v>Premiums Written</v>
      </c>
      <c r="AF2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3" spans="18:32" x14ac:dyDescent="0.2">
      <c r="R2583" t="s">
        <v>14</v>
      </c>
      <c r="S2583" t="s">
        <v>243</v>
      </c>
      <c r="T2583" t="s">
        <v>356</v>
      </c>
      <c r="U2583" s="21">
        <v>47645.73</v>
      </c>
      <c r="V2583" s="21" t="s">
        <v>368</v>
      </c>
      <c r="W2583" t="str">
        <f>VLOOKUP(Table_Query_from_Actuarial___Production[[#This Row],[Kor1]],$AI$3:$AK$105,3,FALSE)</f>
        <v>Claims Expense</v>
      </c>
      <c r="X2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3"/>
      <c r="Z2583" t="s">
        <v>47</v>
      </c>
      <c r="AA2583" t="s">
        <v>265</v>
      </c>
      <c r="AB2583" t="s">
        <v>356</v>
      </c>
      <c r="AC2583" s="21">
        <v>3440.74</v>
      </c>
      <c r="AD2583" s="21" t="s">
        <v>368</v>
      </c>
      <c r="AE2583" t="str">
        <f>VLOOKUP(Table_Query_from_Actuarial___Production3[[#This Row],[Kor1]],$AI$3:$AK$105,3,FALSE)</f>
        <v>Investment Income</v>
      </c>
      <c r="AF2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4" spans="18:32" x14ac:dyDescent="0.2">
      <c r="R2584" t="s">
        <v>39</v>
      </c>
      <c r="S2584" t="s">
        <v>246</v>
      </c>
      <c r="T2584" t="s">
        <v>445</v>
      </c>
      <c r="U2584" s="21">
        <v>3873</v>
      </c>
      <c r="V2584" s="21" t="s">
        <v>368</v>
      </c>
      <c r="W2584" t="str">
        <f>VLOOKUP(Table_Query_from_Actuarial___Production[[#This Row],[Kor1]],$AI$3:$AK$105,3,FALSE)</f>
        <v>Misc. Income for Insolvent Companies</v>
      </c>
      <c r="X2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4"/>
      <c r="Z2584" t="s">
        <v>16</v>
      </c>
      <c r="AA2584" t="s">
        <v>239</v>
      </c>
      <c r="AB2584" t="s">
        <v>442</v>
      </c>
      <c r="AC2584" s="21">
        <v>5653209.9400000004</v>
      </c>
      <c r="AD2584" s="21" t="s">
        <v>368</v>
      </c>
      <c r="AE2584" t="str">
        <f>VLOOKUP(Table_Query_from_Actuarial___Production3[[#This Row],[Kor1]],$AI$3:$AK$105,3,FALSE)</f>
        <v>Losses Outstanding</v>
      </c>
      <c r="AF2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5" spans="18:32" x14ac:dyDescent="0.2">
      <c r="R2585" t="s">
        <v>11</v>
      </c>
      <c r="S2585" t="s">
        <v>255</v>
      </c>
      <c r="T2585" t="s">
        <v>442</v>
      </c>
      <c r="U2585" s="21">
        <v>275859.05</v>
      </c>
      <c r="V2585" s="21" t="s">
        <v>368</v>
      </c>
      <c r="W2585" t="str">
        <f>VLOOKUP(Table_Query_from_Actuarial___Production[[#This Row],[Kor1]],$AI$3:$AK$105,3,FALSE)</f>
        <v>Losses Paid</v>
      </c>
      <c r="X2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5"/>
      <c r="Z2585" t="s">
        <v>3</v>
      </c>
      <c r="AA2585" t="s">
        <v>234</v>
      </c>
      <c r="AB2585" t="s">
        <v>433</v>
      </c>
      <c r="AC2585" s="21">
        <v>917256</v>
      </c>
      <c r="AD2585" s="21" t="s">
        <v>368</v>
      </c>
      <c r="AE2585" t="str">
        <f>VLOOKUP(Table_Query_from_Actuarial___Production3[[#This Row],[Kor1]],$AI$3:$AK$105,3,FALSE)</f>
        <v>Premiums Written</v>
      </c>
      <c r="AF2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6" spans="18:32" x14ac:dyDescent="0.2">
      <c r="R2586" t="s">
        <v>14</v>
      </c>
      <c r="S2586" t="s">
        <v>234</v>
      </c>
      <c r="T2586" t="s">
        <v>7</v>
      </c>
      <c r="U2586" s="21">
        <v>40603.01</v>
      </c>
      <c r="V2586" s="21" t="s">
        <v>368</v>
      </c>
      <c r="W2586" t="str">
        <f>VLOOKUP(Table_Query_from_Actuarial___Production[[#This Row],[Kor1]],$AI$3:$AK$105,3,FALSE)</f>
        <v>Claims Expense</v>
      </c>
      <c r="X2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6"/>
      <c r="Z2586" t="s">
        <v>41</v>
      </c>
      <c r="AA2586" t="s">
        <v>264</v>
      </c>
      <c r="AB2586" t="s">
        <v>356</v>
      </c>
      <c r="AC2586" s="21">
        <v>500.03</v>
      </c>
      <c r="AD2586" s="21" t="s">
        <v>368</v>
      </c>
      <c r="AE2586" t="str">
        <f>VLOOKUP(Table_Query_from_Actuarial___Production3[[#This Row],[Kor1]],$AI$3:$AK$105,3,FALSE)</f>
        <v>Misc. Income</v>
      </c>
      <c r="AF2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7" spans="18:32" x14ac:dyDescent="0.2">
      <c r="R2587" t="s">
        <v>41</v>
      </c>
      <c r="S2587" t="s">
        <v>229</v>
      </c>
      <c r="T2587" t="s">
        <v>433</v>
      </c>
      <c r="U2587" s="21">
        <v>400</v>
      </c>
      <c r="V2587" s="21" t="s">
        <v>368</v>
      </c>
      <c r="W2587" t="str">
        <f>VLOOKUP(Table_Query_from_Actuarial___Production[[#This Row],[Kor1]],$AI$3:$AK$105,3,FALSE)</f>
        <v>Misc. Income</v>
      </c>
      <c r="X2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7"/>
      <c r="Z2587" t="s">
        <v>11</v>
      </c>
      <c r="AA2587" t="s">
        <v>241</v>
      </c>
      <c r="AB2587" t="s">
        <v>351</v>
      </c>
      <c r="AC2587" s="21">
        <v>705967.6</v>
      </c>
      <c r="AD2587" s="21" t="s">
        <v>368</v>
      </c>
      <c r="AE2587" t="str">
        <f>VLOOKUP(Table_Query_from_Actuarial___Production3[[#This Row],[Kor1]],$AI$3:$AK$105,3,FALSE)</f>
        <v>Losses Paid</v>
      </c>
      <c r="AF2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8" spans="18:32" x14ac:dyDescent="0.2">
      <c r="R2588" t="s">
        <v>44</v>
      </c>
      <c r="S2588" t="s">
        <v>258</v>
      </c>
      <c r="T2588" t="s">
        <v>351</v>
      </c>
      <c r="U2588" s="21">
        <v>32778.019999999997</v>
      </c>
      <c r="V2588" s="21" t="s">
        <v>368</v>
      </c>
      <c r="W2588" t="str">
        <f>VLOOKUP(Table_Query_from_Actuarial___Production[[#This Row],[Kor1]],$AI$3:$AK$105,3,FALSE)</f>
        <v>Charge-offs</v>
      </c>
      <c r="X2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8"/>
      <c r="Z2588" t="s">
        <v>44</v>
      </c>
      <c r="AA2588" t="s">
        <v>233</v>
      </c>
      <c r="AB2588" t="s">
        <v>356</v>
      </c>
      <c r="AC2588" s="21">
        <v>3357.7</v>
      </c>
      <c r="AD2588" s="21" t="s">
        <v>368</v>
      </c>
      <c r="AE2588" t="str">
        <f>VLOOKUP(Table_Query_from_Actuarial___Production3[[#This Row],[Kor1]],$AI$3:$AK$105,3,FALSE)</f>
        <v>Charge-offs</v>
      </c>
      <c r="AF2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89" spans="18:32" x14ac:dyDescent="0.2">
      <c r="R2589" t="s">
        <v>33</v>
      </c>
      <c r="S2589" t="s">
        <v>261</v>
      </c>
      <c r="T2589" t="s">
        <v>427</v>
      </c>
      <c r="U2589" s="21">
        <v>12952.51</v>
      </c>
      <c r="V2589" s="21" t="s">
        <v>368</v>
      </c>
      <c r="W2589" t="str">
        <f>VLOOKUP(Table_Query_from_Actuarial___Production[[#This Row],[Kor1]],$AI$3:$AK$105,3,FALSE)</f>
        <v>Misc. Expense</v>
      </c>
      <c r="X2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89"/>
      <c r="Z2589" t="s">
        <v>37</v>
      </c>
      <c r="AA2589" t="s">
        <v>254</v>
      </c>
      <c r="AB2589" t="s">
        <v>5</v>
      </c>
      <c r="AC2589" s="21">
        <v>-31.36</v>
      </c>
      <c r="AD2589" s="21" t="s">
        <v>368</v>
      </c>
      <c r="AE2589" t="str">
        <f>VLOOKUP(Table_Query_from_Actuarial___Production3[[#This Row],[Kor1]],$AI$3:$AK$105,3,FALSE)</f>
        <v>Misc. Expense</v>
      </c>
      <c r="AF2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0" spans="18:32" x14ac:dyDescent="0.2">
      <c r="R2590" t="s">
        <v>46</v>
      </c>
      <c r="S2590" t="s">
        <v>352</v>
      </c>
      <c r="T2590" t="s">
        <v>442</v>
      </c>
      <c r="U2590" s="21">
        <v>3857.1</v>
      </c>
      <c r="V2590" s="21" t="s">
        <v>369</v>
      </c>
      <c r="W2590" t="str">
        <f>VLOOKUP(Table_Query_from_Actuarial___Production[[#This Row],[Kor1]],$AI$3:$AK$105,3,FALSE)</f>
        <v>Investment Income</v>
      </c>
      <c r="X2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590"/>
      <c r="Z2590" t="s">
        <v>44</v>
      </c>
      <c r="AA2590" t="s">
        <v>257</v>
      </c>
      <c r="AB2590" t="s">
        <v>5</v>
      </c>
      <c r="AC2590" s="21">
        <v>20128.919999999998</v>
      </c>
      <c r="AD2590" s="21" t="s">
        <v>368</v>
      </c>
      <c r="AE2590" t="str">
        <f>VLOOKUP(Table_Query_from_Actuarial___Production3[[#This Row],[Kor1]],$AI$3:$AK$105,3,FALSE)</f>
        <v>Charge-offs</v>
      </c>
      <c r="AF2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1" spans="18:32" x14ac:dyDescent="0.2">
      <c r="R2591" t="s">
        <v>17</v>
      </c>
      <c r="S2591" t="s">
        <v>229</v>
      </c>
      <c r="T2591" t="s">
        <v>433</v>
      </c>
      <c r="U2591" s="21">
        <v>9607.0400000000009</v>
      </c>
      <c r="V2591" s="21" t="s">
        <v>368</v>
      </c>
      <c r="W2591" t="str">
        <f>VLOOKUP(Table_Query_from_Actuarial___Production[[#This Row],[Kor1]],$AI$3:$AK$105,3,FALSE)</f>
        <v>IBNR</v>
      </c>
      <c r="X2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1"/>
      <c r="Z2591" t="s">
        <v>12</v>
      </c>
      <c r="AA2591" t="s">
        <v>252</v>
      </c>
      <c r="AB2591" t="s">
        <v>8</v>
      </c>
      <c r="AC2591" s="21">
        <v>310110.90000000002</v>
      </c>
      <c r="AD2591" s="21" t="s">
        <v>368</v>
      </c>
      <c r="AE2591" t="str">
        <f>VLOOKUP(Table_Query_from_Actuarial___Production3[[#This Row],[Kor1]],$AI$3:$AK$105,3,FALSE)</f>
        <v>Premium Tax</v>
      </c>
      <c r="AF2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2" spans="18:32" x14ac:dyDescent="0.2">
      <c r="R2592" t="s">
        <v>49</v>
      </c>
      <c r="S2592" t="s">
        <v>257</v>
      </c>
      <c r="T2592" t="s">
        <v>351</v>
      </c>
      <c r="U2592" s="21">
        <v>24134.33</v>
      </c>
      <c r="V2592" s="21" t="s">
        <v>368</v>
      </c>
      <c r="W2592" t="str">
        <f>VLOOKUP(Table_Query_from_Actuarial___Production[[#This Row],[Kor1]],$AI$3:$AK$105,3,FALSE)</f>
        <v>ALAE Paid</v>
      </c>
      <c r="X2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2"/>
      <c r="Z2592" t="s">
        <v>39</v>
      </c>
      <c r="AA2592" t="s">
        <v>255</v>
      </c>
      <c r="AB2592" t="s">
        <v>9</v>
      </c>
      <c r="AC2592" s="21">
        <v>82</v>
      </c>
      <c r="AD2592" s="21" t="s">
        <v>368</v>
      </c>
      <c r="AE2592" t="str">
        <f>VLOOKUP(Table_Query_from_Actuarial___Production3[[#This Row],[Kor1]],$AI$3:$AK$105,3,FALSE)</f>
        <v>Misc. Income for Insolvent Companies</v>
      </c>
      <c r="AF2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3" spans="18:32" x14ac:dyDescent="0.2">
      <c r="R2593" t="s">
        <v>3</v>
      </c>
      <c r="S2593" t="s">
        <v>249</v>
      </c>
      <c r="T2593" t="s">
        <v>442</v>
      </c>
      <c r="U2593" s="21">
        <v>832349</v>
      </c>
      <c r="V2593" s="21" t="s">
        <v>368</v>
      </c>
      <c r="W2593" t="str">
        <f>VLOOKUP(Table_Query_from_Actuarial___Production[[#This Row],[Kor1]],$AI$3:$AK$105,3,FALSE)</f>
        <v>Premiums Written</v>
      </c>
      <c r="X2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3"/>
      <c r="Z2593" t="s">
        <v>19</v>
      </c>
      <c r="AA2593" t="s">
        <v>242</v>
      </c>
      <c r="AB2593" t="s">
        <v>9</v>
      </c>
      <c r="AC2593" s="21">
        <v>525.01</v>
      </c>
      <c r="AD2593" s="21" t="s">
        <v>368</v>
      </c>
      <c r="AE2593" t="str">
        <f>VLOOKUP(Table_Query_from_Actuarial___Production3[[#This Row],[Kor1]],$AI$3:$AK$105,3,FALSE)</f>
        <v>Misc. Expense for Insolvent Companies</v>
      </c>
      <c r="AF2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4" spans="18:32" x14ac:dyDescent="0.2">
      <c r="R2594" t="s">
        <v>14</v>
      </c>
      <c r="S2594" t="s">
        <v>234</v>
      </c>
      <c r="T2594" t="s">
        <v>443</v>
      </c>
      <c r="U2594" s="21">
        <v>58414.400000000001</v>
      </c>
      <c r="V2594" s="21" t="s">
        <v>368</v>
      </c>
      <c r="W2594" t="str">
        <f>VLOOKUP(Table_Query_from_Actuarial___Production[[#This Row],[Kor1]],$AI$3:$AK$105,3,FALSE)</f>
        <v>Claims Expense</v>
      </c>
      <c r="X2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4"/>
      <c r="Z2594" t="s">
        <v>40</v>
      </c>
      <c r="AA2594" t="s">
        <v>237</v>
      </c>
      <c r="AB2594" t="s">
        <v>9</v>
      </c>
      <c r="AC2594" s="21">
        <v>50.76</v>
      </c>
      <c r="AD2594" s="21" t="s">
        <v>368</v>
      </c>
      <c r="AE2594" t="str">
        <f>VLOOKUP(Table_Query_from_Actuarial___Production3[[#This Row],[Kor1]],$AI$3:$AK$105,3,FALSE)</f>
        <v>Misc. Income</v>
      </c>
      <c r="AF2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5" spans="18:32" x14ac:dyDescent="0.2">
      <c r="R2595" t="s">
        <v>34</v>
      </c>
      <c r="S2595" t="s">
        <v>242</v>
      </c>
      <c r="T2595" t="s">
        <v>6</v>
      </c>
      <c r="U2595" s="21">
        <v>76.5</v>
      </c>
      <c r="V2595" s="21" t="s">
        <v>368</v>
      </c>
      <c r="W2595" t="str">
        <f>VLOOKUP(Table_Query_from_Actuarial___Production[[#This Row],[Kor1]],$AI$3:$AK$105,3,FALSE)</f>
        <v>Misc. Expense</v>
      </c>
      <c r="X2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5"/>
      <c r="Z2595" t="s">
        <v>3</v>
      </c>
      <c r="AA2595" t="s">
        <v>225</v>
      </c>
      <c r="AB2595" t="s">
        <v>351</v>
      </c>
      <c r="AC2595" s="21">
        <v>1705562.6</v>
      </c>
      <c r="AD2595" s="21" t="s">
        <v>368</v>
      </c>
      <c r="AE2595" t="str">
        <f>VLOOKUP(Table_Query_from_Actuarial___Production3[[#This Row],[Kor1]],$AI$3:$AK$105,3,FALSE)</f>
        <v>Premiums Written</v>
      </c>
      <c r="AF2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596" spans="18:32" x14ac:dyDescent="0.2">
      <c r="R2596" t="s">
        <v>39</v>
      </c>
      <c r="S2596" t="s">
        <v>239</v>
      </c>
      <c r="T2596" t="s">
        <v>6</v>
      </c>
      <c r="U2596" s="21">
        <v>401.49</v>
      </c>
      <c r="V2596" s="21" t="s">
        <v>368</v>
      </c>
      <c r="W2596" t="str">
        <f>VLOOKUP(Table_Query_from_Actuarial___Production[[#This Row],[Kor1]],$AI$3:$AK$105,3,FALSE)</f>
        <v>Misc. Income for Insolvent Companies</v>
      </c>
      <c r="X2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6"/>
      <c r="Z2596" t="s">
        <v>16</v>
      </c>
      <c r="AA2596" t="s">
        <v>250</v>
      </c>
      <c r="AB2596" t="s">
        <v>441</v>
      </c>
      <c r="AC2596" s="21">
        <v>463199.96</v>
      </c>
      <c r="AD2596" s="21" t="s">
        <v>368</v>
      </c>
      <c r="AE2596" t="str">
        <f>VLOOKUP(Table_Query_from_Actuarial___Production3[[#This Row],[Kor1]],$AI$3:$AK$105,3,FALSE)</f>
        <v>Losses Outstanding</v>
      </c>
      <c r="AF2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7" spans="18:32" x14ac:dyDescent="0.2">
      <c r="R2597" t="s">
        <v>21</v>
      </c>
      <c r="S2597" t="s">
        <v>228</v>
      </c>
      <c r="T2597" t="s">
        <v>433</v>
      </c>
      <c r="U2597" s="21">
        <v>42</v>
      </c>
      <c r="V2597" s="21" t="s">
        <v>368</v>
      </c>
      <c r="W2597" t="str">
        <f>VLOOKUP(Table_Query_from_Actuarial___Production[[#This Row],[Kor1]],$AI$3:$AK$105,3,FALSE)</f>
        <v>Misc. Expense</v>
      </c>
      <c r="X2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7"/>
      <c r="Z2597" t="s">
        <v>50</v>
      </c>
      <c r="AA2597" t="s">
        <v>240</v>
      </c>
      <c r="AB2597" t="s">
        <v>433</v>
      </c>
      <c r="AC2597" s="21">
        <v>123662.06</v>
      </c>
      <c r="AD2597" s="21" t="s">
        <v>368</v>
      </c>
      <c r="AE2597" t="str">
        <f>VLOOKUP(Table_Query_from_Actuarial___Production3[[#This Row],[Kor1]],$AI$3:$AK$105,3,FALSE)</f>
        <v>ALAE Reserve</v>
      </c>
      <c r="AF2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8" spans="18:32" x14ac:dyDescent="0.2">
      <c r="R2598" t="s">
        <v>46</v>
      </c>
      <c r="S2598" t="s">
        <v>224</v>
      </c>
      <c r="T2598" t="s">
        <v>441</v>
      </c>
      <c r="U2598" s="21">
        <v>10.57</v>
      </c>
      <c r="V2598" s="21" t="s">
        <v>369</v>
      </c>
      <c r="W2598" t="str">
        <f>VLOOKUP(Table_Query_from_Actuarial___Production[[#This Row],[Kor1]],$AI$3:$AK$105,3,FALSE)</f>
        <v>Investment Income</v>
      </c>
      <c r="X2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598"/>
      <c r="Z2598" t="s">
        <v>15</v>
      </c>
      <c r="AA2598" t="s">
        <v>258</v>
      </c>
      <c r="AB2598" t="s">
        <v>443</v>
      </c>
      <c r="AC2598" s="21">
        <v>951081.83</v>
      </c>
      <c r="AD2598" s="21" t="s">
        <v>368</v>
      </c>
      <c r="AE2598" t="str">
        <f>VLOOKUP(Table_Query_from_Actuarial___Production3[[#This Row],[Kor1]],$AI$3:$AK$105,3,FALSE)</f>
        <v>Unearned Premiums</v>
      </c>
      <c r="AF2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599" spans="18:32" x14ac:dyDescent="0.2">
      <c r="R2599" t="s">
        <v>33</v>
      </c>
      <c r="S2599" t="s">
        <v>262</v>
      </c>
      <c r="T2599" t="s">
        <v>8</v>
      </c>
      <c r="U2599" s="21">
        <v>8262.86</v>
      </c>
      <c r="V2599" s="21" t="s">
        <v>368</v>
      </c>
      <c r="W2599" t="str">
        <f>VLOOKUP(Table_Query_from_Actuarial___Production[[#This Row],[Kor1]],$AI$3:$AK$105,3,FALSE)</f>
        <v>Misc. Expense</v>
      </c>
      <c r="X2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599"/>
      <c r="Z2599" t="s">
        <v>20</v>
      </c>
      <c r="AA2599" t="s">
        <v>261</v>
      </c>
      <c r="AB2599" t="s">
        <v>427</v>
      </c>
      <c r="AC2599" s="21">
        <v>255.31</v>
      </c>
      <c r="AD2599" s="21" t="s">
        <v>368</v>
      </c>
      <c r="AE2599" t="str">
        <f>VLOOKUP(Table_Query_from_Actuarial___Production3[[#This Row],[Kor1]],$AI$3:$AK$105,3,FALSE)</f>
        <v>Misc. Expense</v>
      </c>
      <c r="AF2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0" spans="18:32" x14ac:dyDescent="0.2">
      <c r="R2600" t="s">
        <v>33</v>
      </c>
      <c r="S2600" t="s">
        <v>231</v>
      </c>
      <c r="T2600" t="s">
        <v>356</v>
      </c>
      <c r="U2600" s="21">
        <v>15460.63</v>
      </c>
      <c r="V2600" s="21" t="s">
        <v>368</v>
      </c>
      <c r="W2600" t="str">
        <f>VLOOKUP(Table_Query_from_Actuarial___Production[[#This Row],[Kor1]],$AI$3:$AK$105,3,FALSE)</f>
        <v>Misc. Expense</v>
      </c>
      <c r="X2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0"/>
      <c r="Z2600" t="s">
        <v>10</v>
      </c>
      <c r="AA2600" t="s">
        <v>257</v>
      </c>
      <c r="AB2600" t="s">
        <v>6</v>
      </c>
      <c r="AC2600" s="21">
        <v>97915.48</v>
      </c>
      <c r="AD2600" s="21" t="s">
        <v>368</v>
      </c>
      <c r="AE2600" t="str">
        <f>VLOOKUP(Table_Query_from_Actuarial___Production3[[#This Row],[Kor1]],$AI$3:$AK$105,3,FALSE)</f>
        <v>Commissions</v>
      </c>
      <c r="AF2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1" spans="18:32" x14ac:dyDescent="0.2">
      <c r="R2601" t="s">
        <v>37</v>
      </c>
      <c r="S2601" t="s">
        <v>254</v>
      </c>
      <c r="T2601" t="s">
        <v>441</v>
      </c>
      <c r="U2601" s="21">
        <v>36381.769999999997</v>
      </c>
      <c r="V2601" s="21" t="s">
        <v>368</v>
      </c>
      <c r="W2601" t="str">
        <f>VLOOKUP(Table_Query_from_Actuarial___Production[[#This Row],[Kor1]],$AI$3:$AK$105,3,FALSE)</f>
        <v>Misc. Expense</v>
      </c>
      <c r="X2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1"/>
      <c r="Z2601" t="s">
        <v>11</v>
      </c>
      <c r="AA2601" t="s">
        <v>235</v>
      </c>
      <c r="AB2601" t="s">
        <v>356</v>
      </c>
      <c r="AC2601" s="21">
        <v>1271348.81</v>
      </c>
      <c r="AD2601" s="21" t="s">
        <v>368</v>
      </c>
      <c r="AE2601" t="str">
        <f>VLOOKUP(Table_Query_from_Actuarial___Production3[[#This Row],[Kor1]],$AI$3:$AK$105,3,FALSE)</f>
        <v>Losses Paid</v>
      </c>
      <c r="AF2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2" spans="18:32" x14ac:dyDescent="0.2">
      <c r="R2602" t="s">
        <v>43</v>
      </c>
      <c r="S2602" t="s">
        <v>231</v>
      </c>
      <c r="T2602" t="s">
        <v>356</v>
      </c>
      <c r="U2602" s="21">
        <v>813.9</v>
      </c>
      <c r="V2602" s="21" t="s">
        <v>368</v>
      </c>
      <c r="W2602" t="str">
        <f>VLOOKUP(Table_Query_from_Actuarial___Production[[#This Row],[Kor1]],$AI$3:$AK$105,3,FALSE)</f>
        <v>Charge-offs</v>
      </c>
      <c r="X2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2"/>
      <c r="Z2602" t="s">
        <v>44</v>
      </c>
      <c r="AA2602" t="s">
        <v>229</v>
      </c>
      <c r="AB2602" t="s">
        <v>356</v>
      </c>
      <c r="AC2602" s="21">
        <v>-4</v>
      </c>
      <c r="AD2602" s="21" t="s">
        <v>368</v>
      </c>
      <c r="AE2602" t="str">
        <f>VLOOKUP(Table_Query_from_Actuarial___Production3[[#This Row],[Kor1]],$AI$3:$AK$105,3,FALSE)</f>
        <v>Charge-offs</v>
      </c>
      <c r="AF2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3" spans="18:32" x14ac:dyDescent="0.2">
      <c r="R2603" t="s">
        <v>12</v>
      </c>
      <c r="S2603" t="s">
        <v>4</v>
      </c>
      <c r="T2603" t="s">
        <v>6</v>
      </c>
      <c r="U2603" s="21">
        <v>56335.6</v>
      </c>
      <c r="V2603" s="21" t="s">
        <v>368</v>
      </c>
      <c r="W2603" t="str">
        <f>VLOOKUP(Table_Query_from_Actuarial___Production[[#This Row],[Kor1]],$AI$3:$AK$105,3,FALSE)</f>
        <v>Premium Tax</v>
      </c>
      <c r="X2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3"/>
      <c r="Z2603" t="s">
        <v>46</v>
      </c>
      <c r="AA2603" t="s">
        <v>224</v>
      </c>
      <c r="AB2603" t="s">
        <v>351</v>
      </c>
      <c r="AC2603" s="21">
        <v>1873.17</v>
      </c>
      <c r="AD2603" s="21" t="s">
        <v>369</v>
      </c>
      <c r="AE2603" t="str">
        <f>VLOOKUP(Table_Query_from_Actuarial___Production3[[#This Row],[Kor1]],$AI$3:$AK$105,3,FALSE)</f>
        <v>Investment Income</v>
      </c>
      <c r="AF2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604" spans="18:32" x14ac:dyDescent="0.2">
      <c r="R2604" t="s">
        <v>10</v>
      </c>
      <c r="S2604" t="s">
        <v>238</v>
      </c>
      <c r="T2604" t="s">
        <v>356</v>
      </c>
      <c r="U2604" s="21">
        <v>91851.87</v>
      </c>
      <c r="V2604" s="21" t="s">
        <v>368</v>
      </c>
      <c r="W2604" t="str">
        <f>VLOOKUP(Table_Query_from_Actuarial___Production[[#This Row],[Kor1]],$AI$3:$AK$105,3,FALSE)</f>
        <v>Commissions</v>
      </c>
      <c r="X2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4"/>
      <c r="Z2604" t="s">
        <v>10</v>
      </c>
      <c r="AA2604" t="s">
        <v>236</v>
      </c>
      <c r="AB2604" t="s">
        <v>427</v>
      </c>
      <c r="AC2604" s="21">
        <v>4684.8</v>
      </c>
      <c r="AD2604" s="21" t="s">
        <v>368</v>
      </c>
      <c r="AE2604" t="str">
        <f>VLOOKUP(Table_Query_from_Actuarial___Production3[[#This Row],[Kor1]],$AI$3:$AK$105,3,FALSE)</f>
        <v>Commissions</v>
      </c>
      <c r="AF2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5" spans="18:32" x14ac:dyDescent="0.2">
      <c r="R2605" t="s">
        <v>31</v>
      </c>
      <c r="S2605" t="s">
        <v>246</v>
      </c>
      <c r="T2605" t="s">
        <v>9</v>
      </c>
      <c r="U2605" s="21">
        <v>498.3</v>
      </c>
      <c r="V2605" s="21" t="s">
        <v>368</v>
      </c>
      <c r="W2605" t="str">
        <f>VLOOKUP(Table_Query_from_Actuarial___Production[[#This Row],[Kor1]],$AI$3:$AK$105,3,FALSE)</f>
        <v>Misc. Expense</v>
      </c>
      <c r="X2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5"/>
      <c r="Z2605" t="s">
        <v>34</v>
      </c>
      <c r="AA2605" t="s">
        <v>255</v>
      </c>
      <c r="AB2605" t="s">
        <v>441</v>
      </c>
      <c r="AC2605" s="21">
        <v>6.37</v>
      </c>
      <c r="AD2605" s="21" t="s">
        <v>368</v>
      </c>
      <c r="AE2605" t="str">
        <f>VLOOKUP(Table_Query_from_Actuarial___Production3[[#This Row],[Kor1]],$AI$3:$AK$105,3,FALSE)</f>
        <v>Misc. Expense</v>
      </c>
      <c r="AF2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6" spans="18:32" x14ac:dyDescent="0.2">
      <c r="R2606" t="s">
        <v>34</v>
      </c>
      <c r="S2606" t="s">
        <v>262</v>
      </c>
      <c r="T2606" t="s">
        <v>442</v>
      </c>
      <c r="U2606" s="21">
        <v>879.28</v>
      </c>
      <c r="V2606" s="21" t="s">
        <v>368</v>
      </c>
      <c r="W2606" t="str">
        <f>VLOOKUP(Table_Query_from_Actuarial___Production[[#This Row],[Kor1]],$AI$3:$AK$105,3,FALSE)</f>
        <v>Misc. Expense</v>
      </c>
      <c r="X2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6"/>
      <c r="Z2606" t="s">
        <v>39</v>
      </c>
      <c r="AA2606" t="s">
        <v>236</v>
      </c>
      <c r="AB2606" t="s">
        <v>7</v>
      </c>
      <c r="AC2606" s="21">
        <v>342</v>
      </c>
      <c r="AD2606" s="21" t="s">
        <v>368</v>
      </c>
      <c r="AE2606" t="str">
        <f>VLOOKUP(Table_Query_from_Actuarial___Production3[[#This Row],[Kor1]],$AI$3:$AK$105,3,FALSE)</f>
        <v>Misc. Income for Insolvent Companies</v>
      </c>
      <c r="AF2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7" spans="18:32" x14ac:dyDescent="0.2">
      <c r="R2607" t="s">
        <v>444</v>
      </c>
      <c r="S2607" t="s">
        <v>258</v>
      </c>
      <c r="T2607" t="s">
        <v>443</v>
      </c>
      <c r="U2607" s="21">
        <v>39106.980000000003</v>
      </c>
      <c r="V2607" s="21" t="s">
        <v>368</v>
      </c>
      <c r="W2607" t="str">
        <f>VLOOKUP(Table_Query_from_Actuarial___Production[[#This Row],[Kor1]],$AI$3:$AK$105,3,FALSE)</f>
        <v>Misc. Expense</v>
      </c>
      <c r="X2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7"/>
      <c r="Z2607" t="s">
        <v>14</v>
      </c>
      <c r="AA2607" t="s">
        <v>252</v>
      </c>
      <c r="AB2607" t="s">
        <v>427</v>
      </c>
      <c r="AC2607" s="21">
        <v>4297928.75</v>
      </c>
      <c r="AD2607" s="21" t="s">
        <v>368</v>
      </c>
      <c r="AE2607" t="str">
        <f>VLOOKUP(Table_Query_from_Actuarial___Production3[[#This Row],[Kor1]],$AI$3:$AK$105,3,FALSE)</f>
        <v>Claims Expense</v>
      </c>
      <c r="AF2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8" spans="18:32" x14ac:dyDescent="0.2">
      <c r="R2608" t="s">
        <v>31</v>
      </c>
      <c r="S2608" t="s">
        <v>227</v>
      </c>
      <c r="T2608" t="s">
        <v>441</v>
      </c>
      <c r="U2608" s="21">
        <v>1339.06</v>
      </c>
      <c r="V2608" s="21" t="s">
        <v>368</v>
      </c>
      <c r="W2608" t="str">
        <f>VLOOKUP(Table_Query_from_Actuarial___Production[[#This Row],[Kor1]],$AI$3:$AK$105,3,FALSE)</f>
        <v>Misc. Expense</v>
      </c>
      <c r="X2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8"/>
      <c r="Z2608" t="s">
        <v>44</v>
      </c>
      <c r="AA2608" t="s">
        <v>257</v>
      </c>
      <c r="AB2608" t="s">
        <v>8</v>
      </c>
      <c r="AC2608" s="21">
        <v>127045.72</v>
      </c>
      <c r="AD2608" s="21" t="s">
        <v>368</v>
      </c>
      <c r="AE2608" t="str">
        <f>VLOOKUP(Table_Query_from_Actuarial___Production3[[#This Row],[Kor1]],$AI$3:$AK$105,3,FALSE)</f>
        <v>Charge-offs</v>
      </c>
      <c r="AF2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09" spans="18:32" x14ac:dyDescent="0.2">
      <c r="R2609" t="s">
        <v>33</v>
      </c>
      <c r="S2609" t="s">
        <v>250</v>
      </c>
      <c r="T2609" t="s">
        <v>441</v>
      </c>
      <c r="U2609" s="21">
        <v>33278.82</v>
      </c>
      <c r="V2609" s="21" t="s">
        <v>368</v>
      </c>
      <c r="W2609" t="str">
        <f>VLOOKUP(Table_Query_from_Actuarial___Production[[#This Row],[Kor1]],$AI$3:$AK$105,3,FALSE)</f>
        <v>Misc. Expense</v>
      </c>
      <c r="X2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09"/>
      <c r="Z2609" t="s">
        <v>50</v>
      </c>
      <c r="AA2609" t="s">
        <v>253</v>
      </c>
      <c r="AB2609" t="s">
        <v>441</v>
      </c>
      <c r="AC2609" s="21">
        <v>178.85</v>
      </c>
      <c r="AD2609" s="21" t="s">
        <v>368</v>
      </c>
      <c r="AE2609" t="str">
        <f>VLOOKUP(Table_Query_from_Actuarial___Production3[[#This Row],[Kor1]],$AI$3:$AK$105,3,FALSE)</f>
        <v>ALAE Reserve</v>
      </c>
      <c r="AF2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0" spans="18:32" x14ac:dyDescent="0.2">
      <c r="R2610" t="s">
        <v>44</v>
      </c>
      <c r="S2610" t="s">
        <v>251</v>
      </c>
      <c r="T2610" t="s">
        <v>8</v>
      </c>
      <c r="U2610" s="21">
        <v>-4</v>
      </c>
      <c r="V2610" s="21" t="s">
        <v>368</v>
      </c>
      <c r="W2610" t="str">
        <f>VLOOKUP(Table_Query_from_Actuarial___Production[[#This Row],[Kor1]],$AI$3:$AK$105,3,FALSE)</f>
        <v>Charge-offs</v>
      </c>
      <c r="X2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0"/>
      <c r="Z2610" t="s">
        <v>439</v>
      </c>
      <c r="AA2610" t="s">
        <v>264</v>
      </c>
      <c r="AB2610" t="s">
        <v>433</v>
      </c>
      <c r="AC2610" s="21">
        <v>145131</v>
      </c>
      <c r="AD2610" s="21" t="s">
        <v>368</v>
      </c>
      <c r="AE2610" t="str">
        <f>VLOOKUP(Table_Query_from_Actuarial___Production3[[#This Row],[Kor1]],$AI$3:$AK$105,3,FALSE)</f>
        <v>Operating Service Fees</v>
      </c>
      <c r="AF2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1" spans="18:32" x14ac:dyDescent="0.2">
      <c r="R2611" t="s">
        <v>44</v>
      </c>
      <c r="S2611" t="s">
        <v>258</v>
      </c>
      <c r="T2611" t="s">
        <v>441</v>
      </c>
      <c r="U2611" s="21">
        <v>34326.89</v>
      </c>
      <c r="V2611" s="21" t="s">
        <v>368</v>
      </c>
      <c r="W2611" t="str">
        <f>VLOOKUP(Table_Query_from_Actuarial___Production[[#This Row],[Kor1]],$AI$3:$AK$105,3,FALSE)</f>
        <v>Charge-offs</v>
      </c>
      <c r="X2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1"/>
      <c r="Z2611" t="s">
        <v>19</v>
      </c>
      <c r="AA2611" t="s">
        <v>266</v>
      </c>
      <c r="AB2611" t="s">
        <v>8</v>
      </c>
      <c r="AC2611" s="21">
        <v>36</v>
      </c>
      <c r="AD2611" s="21" t="s">
        <v>368</v>
      </c>
      <c r="AE2611" t="str">
        <f>VLOOKUP(Table_Query_from_Actuarial___Production3[[#This Row],[Kor1]],$AI$3:$AK$105,3,FALSE)</f>
        <v>Misc. Expense for Insolvent Companies</v>
      </c>
      <c r="AF2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2" spans="18:32" x14ac:dyDescent="0.2">
      <c r="R2612" t="s">
        <v>20</v>
      </c>
      <c r="S2612" t="s">
        <v>240</v>
      </c>
      <c r="T2612" t="s">
        <v>7</v>
      </c>
      <c r="U2612" s="21">
        <v>586.57000000000005</v>
      </c>
      <c r="V2612" s="21" t="s">
        <v>368</v>
      </c>
      <c r="W2612" t="str">
        <f>VLOOKUP(Table_Query_from_Actuarial___Production[[#This Row],[Kor1]],$AI$3:$AK$105,3,FALSE)</f>
        <v>Misc. Expense</v>
      </c>
      <c r="X2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2"/>
      <c r="Z2612" t="s">
        <v>29</v>
      </c>
      <c r="AA2612" t="s">
        <v>238</v>
      </c>
      <c r="AB2612" t="s">
        <v>356</v>
      </c>
      <c r="AC2612" s="21">
        <v>70325.42</v>
      </c>
      <c r="AD2612" s="21" t="s">
        <v>368</v>
      </c>
      <c r="AE2612" t="str">
        <f>VLOOKUP(Table_Query_from_Actuarial___Production3[[#This Row],[Kor1]],$AI$3:$AK$105,3,FALSE)</f>
        <v>Misc. Expense</v>
      </c>
      <c r="AF2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3" spans="18:32" x14ac:dyDescent="0.2">
      <c r="R2613" t="s">
        <v>39</v>
      </c>
      <c r="S2613" t="s">
        <v>235</v>
      </c>
      <c r="T2613" t="s">
        <v>445</v>
      </c>
      <c r="U2613" s="21">
        <v>565.54</v>
      </c>
      <c r="V2613" s="21" t="s">
        <v>368</v>
      </c>
      <c r="W2613" t="str">
        <f>VLOOKUP(Table_Query_from_Actuarial___Production[[#This Row],[Kor1]],$AI$3:$AK$105,3,FALSE)</f>
        <v>Misc. Income for Insolvent Companies</v>
      </c>
      <c r="X2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3"/>
      <c r="Z2613" t="s">
        <v>34</v>
      </c>
      <c r="AA2613" t="s">
        <v>246</v>
      </c>
      <c r="AB2613" t="s">
        <v>433</v>
      </c>
      <c r="AC2613" s="21">
        <v>2799.99</v>
      </c>
      <c r="AD2613" s="21" t="s">
        <v>368</v>
      </c>
      <c r="AE2613" t="str">
        <f>VLOOKUP(Table_Query_from_Actuarial___Production3[[#This Row],[Kor1]],$AI$3:$AK$105,3,FALSE)</f>
        <v>Misc. Expense</v>
      </c>
      <c r="AF2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4" spans="18:32" x14ac:dyDescent="0.2">
      <c r="R2614" t="s">
        <v>14</v>
      </c>
      <c r="S2614" t="s">
        <v>225</v>
      </c>
      <c r="T2614" t="s">
        <v>351</v>
      </c>
      <c r="U2614" s="21">
        <v>96003</v>
      </c>
      <c r="V2614" s="21" t="s">
        <v>369</v>
      </c>
      <c r="W2614" t="str">
        <f>VLOOKUP(Table_Query_from_Actuarial___Production[[#This Row],[Kor1]],$AI$3:$AK$105,3,FALSE)</f>
        <v>Claims Expense</v>
      </c>
      <c r="X2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614"/>
      <c r="Z2614" t="s">
        <v>40</v>
      </c>
      <c r="AA2614" t="s">
        <v>231</v>
      </c>
      <c r="AB2614" t="s">
        <v>5</v>
      </c>
      <c r="AC2614" s="21">
        <v>2</v>
      </c>
      <c r="AD2614" s="21" t="s">
        <v>368</v>
      </c>
      <c r="AE2614" t="str">
        <f>VLOOKUP(Table_Query_from_Actuarial___Production3[[#This Row],[Kor1]],$AI$3:$AK$105,3,FALSE)</f>
        <v>Misc. Income</v>
      </c>
      <c r="AF2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5" spans="18:32" x14ac:dyDescent="0.2">
      <c r="R2615" t="s">
        <v>37</v>
      </c>
      <c r="S2615" t="s">
        <v>266</v>
      </c>
      <c r="T2615" t="s">
        <v>9</v>
      </c>
      <c r="U2615" s="21">
        <v>1948.36</v>
      </c>
      <c r="V2615" s="21" t="s">
        <v>368</v>
      </c>
      <c r="W2615" t="str">
        <f>VLOOKUP(Table_Query_from_Actuarial___Production[[#This Row],[Kor1]],$AI$3:$AK$105,3,FALSE)</f>
        <v>Misc. Expense</v>
      </c>
      <c r="X2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5"/>
      <c r="Z2615" t="s">
        <v>36</v>
      </c>
      <c r="AA2615" t="s">
        <v>4</v>
      </c>
      <c r="AB2615" t="s">
        <v>427</v>
      </c>
      <c r="AC2615" s="21">
        <v>354887.39</v>
      </c>
      <c r="AD2615" s="21" t="s">
        <v>368</v>
      </c>
      <c r="AE2615" t="str">
        <f>VLOOKUP(Table_Query_from_Actuarial___Production3[[#This Row],[Kor1]],$AI$3:$AK$105,3,FALSE)</f>
        <v>Misc. Expense</v>
      </c>
      <c r="AF2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6" spans="18:32" x14ac:dyDescent="0.2">
      <c r="R2616" t="s">
        <v>3</v>
      </c>
      <c r="S2616" t="s">
        <v>236</v>
      </c>
      <c r="T2616" t="s">
        <v>7</v>
      </c>
      <c r="U2616" s="21">
        <v>23648</v>
      </c>
      <c r="V2616" s="21" t="s">
        <v>368</v>
      </c>
      <c r="W2616" t="str">
        <f>VLOOKUP(Table_Query_from_Actuarial___Production[[#This Row],[Kor1]],$AI$3:$AK$105,3,FALSE)</f>
        <v>Premiums Written</v>
      </c>
      <c r="X2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6"/>
      <c r="Z2616" t="s">
        <v>19</v>
      </c>
      <c r="AA2616" t="s">
        <v>237</v>
      </c>
      <c r="AB2616" t="s">
        <v>441</v>
      </c>
      <c r="AC2616" s="21">
        <v>267.69</v>
      </c>
      <c r="AD2616" s="21" t="s">
        <v>368</v>
      </c>
      <c r="AE2616" t="str">
        <f>VLOOKUP(Table_Query_from_Actuarial___Production3[[#This Row],[Kor1]],$AI$3:$AK$105,3,FALSE)</f>
        <v>Misc. Expense for Insolvent Companies</v>
      </c>
      <c r="AF2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7" spans="18:32" x14ac:dyDescent="0.2">
      <c r="R2617" t="s">
        <v>32</v>
      </c>
      <c r="S2617" t="s">
        <v>4</v>
      </c>
      <c r="T2617" t="s">
        <v>427</v>
      </c>
      <c r="U2617" s="21">
        <v>75088.78</v>
      </c>
      <c r="V2617" s="21" t="s">
        <v>368</v>
      </c>
      <c r="W2617" t="str">
        <f>VLOOKUP(Table_Query_from_Actuarial___Production[[#This Row],[Kor1]],$AI$3:$AK$105,3,FALSE)</f>
        <v>Misc. Expense</v>
      </c>
      <c r="X2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7"/>
      <c r="Z2617" t="s">
        <v>41</v>
      </c>
      <c r="AA2617" t="s">
        <v>248</v>
      </c>
      <c r="AB2617" t="s">
        <v>6</v>
      </c>
      <c r="AC2617" s="21">
        <v>50</v>
      </c>
      <c r="AD2617" s="21" t="s">
        <v>368</v>
      </c>
      <c r="AE2617" t="str">
        <f>VLOOKUP(Table_Query_from_Actuarial___Production3[[#This Row],[Kor1]],$AI$3:$AK$105,3,FALSE)</f>
        <v>Misc. Income</v>
      </c>
      <c r="AF2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8" spans="18:32" x14ac:dyDescent="0.2">
      <c r="R2618" t="s">
        <v>11</v>
      </c>
      <c r="S2618" t="s">
        <v>261</v>
      </c>
      <c r="T2618" t="s">
        <v>427</v>
      </c>
      <c r="U2618" s="21">
        <v>26680.51</v>
      </c>
      <c r="V2618" s="21" t="s">
        <v>368</v>
      </c>
      <c r="W2618" t="str">
        <f>VLOOKUP(Table_Query_from_Actuarial___Production[[#This Row],[Kor1]],$AI$3:$AK$105,3,FALSE)</f>
        <v>Losses Paid</v>
      </c>
      <c r="X2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8"/>
      <c r="Z2618" t="s">
        <v>10</v>
      </c>
      <c r="AA2618" t="s">
        <v>243</v>
      </c>
      <c r="AB2618" t="s">
        <v>8</v>
      </c>
      <c r="AC2618" s="21">
        <v>35624.86</v>
      </c>
      <c r="AD2618" s="21" t="s">
        <v>368</v>
      </c>
      <c r="AE2618" t="str">
        <f>VLOOKUP(Table_Query_from_Actuarial___Production3[[#This Row],[Kor1]],$AI$3:$AK$105,3,FALSE)</f>
        <v>Commissions</v>
      </c>
      <c r="AF2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19" spans="18:32" x14ac:dyDescent="0.2">
      <c r="R2619" t="s">
        <v>10</v>
      </c>
      <c r="S2619" t="s">
        <v>253</v>
      </c>
      <c r="T2619" t="s">
        <v>441</v>
      </c>
      <c r="U2619" s="21">
        <v>2550.0500000000002</v>
      </c>
      <c r="V2619" s="21" t="s">
        <v>368</v>
      </c>
      <c r="W2619" t="str">
        <f>VLOOKUP(Table_Query_from_Actuarial___Production[[#This Row],[Kor1]],$AI$3:$AK$105,3,FALSE)</f>
        <v>Commissions</v>
      </c>
      <c r="X2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19"/>
      <c r="Z2619" t="s">
        <v>12</v>
      </c>
      <c r="AA2619" t="s">
        <v>230</v>
      </c>
      <c r="AB2619" t="s">
        <v>9</v>
      </c>
      <c r="AC2619" s="21">
        <v>598934.22</v>
      </c>
      <c r="AD2619" s="21" t="s">
        <v>368</v>
      </c>
      <c r="AE2619" t="str">
        <f>VLOOKUP(Table_Query_from_Actuarial___Production3[[#This Row],[Kor1]],$AI$3:$AK$105,3,FALSE)</f>
        <v>Premium Tax</v>
      </c>
      <c r="AF2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0" spans="18:32" x14ac:dyDescent="0.2">
      <c r="R2620" t="s">
        <v>12</v>
      </c>
      <c r="S2620" t="s">
        <v>264</v>
      </c>
      <c r="T2620" t="s">
        <v>356</v>
      </c>
      <c r="U2620" s="21">
        <v>27780.13</v>
      </c>
      <c r="V2620" s="21" t="s">
        <v>368</v>
      </c>
      <c r="W2620" t="str">
        <f>VLOOKUP(Table_Query_from_Actuarial___Production[[#This Row],[Kor1]],$AI$3:$AK$105,3,FALSE)</f>
        <v>Premium Tax</v>
      </c>
      <c r="X2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0"/>
      <c r="Z2620" t="s">
        <v>39</v>
      </c>
      <c r="AA2620" t="s">
        <v>266</v>
      </c>
      <c r="AB2620" t="s">
        <v>5</v>
      </c>
      <c r="AC2620" s="21">
        <v>5261.84</v>
      </c>
      <c r="AD2620" s="21" t="s">
        <v>368</v>
      </c>
      <c r="AE2620" t="str">
        <f>VLOOKUP(Table_Query_from_Actuarial___Production3[[#This Row],[Kor1]],$AI$3:$AK$105,3,FALSE)</f>
        <v>Misc. Income for Insolvent Companies</v>
      </c>
      <c r="AF2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1" spans="18:32" x14ac:dyDescent="0.2">
      <c r="R2621" t="s">
        <v>13</v>
      </c>
      <c r="S2621" t="s">
        <v>234</v>
      </c>
      <c r="T2621" t="s">
        <v>445</v>
      </c>
      <c r="U2621" s="21">
        <v>68109.48</v>
      </c>
      <c r="V2621" s="21" t="s">
        <v>368</v>
      </c>
      <c r="W2621" t="str">
        <f>VLOOKUP(Table_Query_from_Actuarial___Production[[#This Row],[Kor1]],$AI$3:$AK$105,3,FALSE)</f>
        <v>Operating Service Fees</v>
      </c>
      <c r="X2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1"/>
      <c r="Z2621" t="s">
        <v>43</v>
      </c>
      <c r="AA2621" t="s">
        <v>251</v>
      </c>
      <c r="AB2621" t="s">
        <v>433</v>
      </c>
      <c r="AC2621" s="21">
        <v>225.91</v>
      </c>
      <c r="AD2621" s="21" t="s">
        <v>368</v>
      </c>
      <c r="AE2621" t="str">
        <f>VLOOKUP(Table_Query_from_Actuarial___Production3[[#This Row],[Kor1]],$AI$3:$AK$105,3,FALSE)</f>
        <v>Charge-offs</v>
      </c>
      <c r="AF2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2" spans="18:32" x14ac:dyDescent="0.2">
      <c r="R2622" t="s">
        <v>15</v>
      </c>
      <c r="S2622" t="s">
        <v>264</v>
      </c>
      <c r="T2622" t="s">
        <v>445</v>
      </c>
      <c r="U2622" s="21">
        <v>1549327.24</v>
      </c>
      <c r="V2622" s="21" t="s">
        <v>368</v>
      </c>
      <c r="W2622" t="str">
        <f>VLOOKUP(Table_Query_from_Actuarial___Production[[#This Row],[Kor1]],$AI$3:$AK$105,3,FALSE)</f>
        <v>Unearned Premiums</v>
      </c>
      <c r="X2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2"/>
      <c r="Z2622" t="s">
        <v>17</v>
      </c>
      <c r="AA2622" t="s">
        <v>352</v>
      </c>
      <c r="AB2622" t="s">
        <v>442</v>
      </c>
      <c r="AC2622" s="21">
        <v>1169.31</v>
      </c>
      <c r="AD2622" s="21" t="s">
        <v>369</v>
      </c>
      <c r="AE2622" t="str">
        <f>VLOOKUP(Table_Query_from_Actuarial___Production3[[#This Row],[Kor1]],$AI$3:$AK$105,3,FALSE)</f>
        <v>IBNR</v>
      </c>
      <c r="AF2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623" spans="18:32" x14ac:dyDescent="0.2">
      <c r="R2623" t="s">
        <v>17</v>
      </c>
      <c r="S2623" t="s">
        <v>225</v>
      </c>
      <c r="T2623" t="s">
        <v>445</v>
      </c>
      <c r="U2623" s="21">
        <v>173199.1</v>
      </c>
      <c r="V2623" s="21" t="s">
        <v>369</v>
      </c>
      <c r="W2623" t="str">
        <f>VLOOKUP(Table_Query_from_Actuarial___Production[[#This Row],[Kor1]],$AI$3:$AK$105,3,FALSE)</f>
        <v>IBNR</v>
      </c>
      <c r="X2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623"/>
      <c r="Z2623" t="s">
        <v>20</v>
      </c>
      <c r="AA2623" t="s">
        <v>263</v>
      </c>
      <c r="AB2623" t="s">
        <v>9</v>
      </c>
      <c r="AC2623" s="21">
        <v>216.51</v>
      </c>
      <c r="AD2623" s="21" t="s">
        <v>368</v>
      </c>
      <c r="AE2623" t="str">
        <f>VLOOKUP(Table_Query_from_Actuarial___Production3[[#This Row],[Kor1]],$AI$3:$AK$105,3,FALSE)</f>
        <v>Misc. Expense</v>
      </c>
      <c r="AF2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4" spans="18:32" x14ac:dyDescent="0.2">
      <c r="R2624" t="s">
        <v>12</v>
      </c>
      <c r="S2624" t="s">
        <v>231</v>
      </c>
      <c r="T2624" t="s">
        <v>9</v>
      </c>
      <c r="U2624" s="21">
        <v>6517.5</v>
      </c>
      <c r="V2624" s="21" t="s">
        <v>368</v>
      </c>
      <c r="W2624" t="str">
        <f>VLOOKUP(Table_Query_from_Actuarial___Production[[#This Row],[Kor1]],$AI$3:$AK$105,3,FALSE)</f>
        <v>Premium Tax</v>
      </c>
      <c r="X2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4"/>
      <c r="Z2624" t="s">
        <v>47</v>
      </c>
      <c r="AA2624" t="s">
        <v>227</v>
      </c>
      <c r="AB2624" t="s">
        <v>433</v>
      </c>
      <c r="AC2624" s="21">
        <v>300.29000000000002</v>
      </c>
      <c r="AD2624" s="21" t="s">
        <v>368</v>
      </c>
      <c r="AE2624" t="str">
        <f>VLOOKUP(Table_Query_from_Actuarial___Production3[[#This Row],[Kor1]],$AI$3:$AK$105,3,FALSE)</f>
        <v>Investment Income</v>
      </c>
      <c r="AF2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5" spans="18:32" x14ac:dyDescent="0.2">
      <c r="R2625" t="s">
        <v>31</v>
      </c>
      <c r="S2625" t="s">
        <v>265</v>
      </c>
      <c r="T2625" t="s">
        <v>6</v>
      </c>
      <c r="U2625" s="21">
        <v>26</v>
      </c>
      <c r="V2625" s="21" t="s">
        <v>368</v>
      </c>
      <c r="W2625" t="str">
        <f>VLOOKUP(Table_Query_from_Actuarial___Production[[#This Row],[Kor1]],$AI$3:$AK$105,3,FALSE)</f>
        <v>Misc. Expense</v>
      </c>
      <c r="X2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5"/>
      <c r="Z2625" t="s">
        <v>34</v>
      </c>
      <c r="AA2625" t="s">
        <v>261</v>
      </c>
      <c r="AB2625" t="s">
        <v>5</v>
      </c>
      <c r="AC2625" s="21">
        <v>21.35</v>
      </c>
      <c r="AD2625" s="21" t="s">
        <v>368</v>
      </c>
      <c r="AE2625" t="str">
        <f>VLOOKUP(Table_Query_from_Actuarial___Production3[[#This Row],[Kor1]],$AI$3:$AK$105,3,FALSE)</f>
        <v>Misc. Expense</v>
      </c>
      <c r="AF2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6" spans="18:32" x14ac:dyDescent="0.2">
      <c r="R2626" t="s">
        <v>13</v>
      </c>
      <c r="S2626" t="s">
        <v>244</v>
      </c>
      <c r="T2626" t="s">
        <v>6</v>
      </c>
      <c r="U2626" s="21">
        <v>211607.79</v>
      </c>
      <c r="V2626" s="21" t="s">
        <v>368</v>
      </c>
      <c r="W2626" t="str">
        <f>VLOOKUP(Table_Query_from_Actuarial___Production[[#This Row],[Kor1]],$AI$3:$AK$105,3,FALSE)</f>
        <v>Operating Service Fees</v>
      </c>
      <c r="X2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6"/>
      <c r="Z2626" t="s">
        <v>21</v>
      </c>
      <c r="AA2626" t="s">
        <v>231</v>
      </c>
      <c r="AB2626" t="s">
        <v>6</v>
      </c>
      <c r="AC2626" s="21">
        <v>671.65</v>
      </c>
      <c r="AD2626" s="21" t="s">
        <v>368</v>
      </c>
      <c r="AE2626" t="str">
        <f>VLOOKUP(Table_Query_from_Actuarial___Production3[[#This Row],[Kor1]],$AI$3:$AK$105,3,FALSE)</f>
        <v>Misc. Expense</v>
      </c>
      <c r="AF2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7" spans="18:32" x14ac:dyDescent="0.2">
      <c r="R2627" t="s">
        <v>37</v>
      </c>
      <c r="S2627" t="s">
        <v>244</v>
      </c>
      <c r="T2627" t="s">
        <v>7</v>
      </c>
      <c r="U2627" s="21">
        <v>2085.8200000000002</v>
      </c>
      <c r="V2627" s="21" t="s">
        <v>368</v>
      </c>
      <c r="W2627" t="str">
        <f>VLOOKUP(Table_Query_from_Actuarial___Production[[#This Row],[Kor1]],$AI$3:$AK$105,3,FALSE)</f>
        <v>Misc. Expense</v>
      </c>
      <c r="X2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7"/>
      <c r="Z2627" t="s">
        <v>43</v>
      </c>
      <c r="AA2627" t="s">
        <v>232</v>
      </c>
      <c r="AB2627" t="s">
        <v>433</v>
      </c>
      <c r="AC2627" s="21">
        <v>-5.15</v>
      </c>
      <c r="AD2627" s="21" t="s">
        <v>368</v>
      </c>
      <c r="AE2627" t="str">
        <f>VLOOKUP(Table_Query_from_Actuarial___Production3[[#This Row],[Kor1]],$AI$3:$AK$105,3,FALSE)</f>
        <v>Charge-offs</v>
      </c>
      <c r="AF2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8" spans="18:32" x14ac:dyDescent="0.2">
      <c r="R2628" t="s">
        <v>41</v>
      </c>
      <c r="S2628" t="s">
        <v>254</v>
      </c>
      <c r="T2628" t="s">
        <v>427</v>
      </c>
      <c r="U2628" s="21">
        <v>49.94</v>
      </c>
      <c r="V2628" s="21" t="s">
        <v>368</v>
      </c>
      <c r="W2628" t="str">
        <f>VLOOKUP(Table_Query_from_Actuarial___Production[[#This Row],[Kor1]],$AI$3:$AK$105,3,FALSE)</f>
        <v>Misc. Income</v>
      </c>
      <c r="X2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8"/>
      <c r="Z2628" t="s">
        <v>439</v>
      </c>
      <c r="AA2628" t="s">
        <v>248</v>
      </c>
      <c r="AB2628" t="s">
        <v>443</v>
      </c>
      <c r="AC2628" s="21">
        <v>-12144.66</v>
      </c>
      <c r="AD2628" s="21" t="s">
        <v>368</v>
      </c>
      <c r="AE2628" t="str">
        <f>VLOOKUP(Table_Query_from_Actuarial___Production3[[#This Row],[Kor1]],$AI$3:$AK$105,3,FALSE)</f>
        <v>Operating Service Fees</v>
      </c>
      <c r="AF2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29" spans="18:32" x14ac:dyDescent="0.2">
      <c r="R2629" t="s">
        <v>19</v>
      </c>
      <c r="S2629" t="s">
        <v>230</v>
      </c>
      <c r="T2629" t="s">
        <v>6</v>
      </c>
      <c r="U2629" s="21">
        <v>2168.87</v>
      </c>
      <c r="V2629" s="21" t="s">
        <v>368</v>
      </c>
      <c r="W2629" t="str">
        <f>VLOOKUP(Table_Query_from_Actuarial___Production[[#This Row],[Kor1]],$AI$3:$AK$105,3,FALSE)</f>
        <v>Misc. Expense for Insolvent Companies</v>
      </c>
      <c r="X2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29"/>
      <c r="Z2629" t="s">
        <v>31</v>
      </c>
      <c r="AA2629" t="s">
        <v>239</v>
      </c>
      <c r="AB2629" t="s">
        <v>351</v>
      </c>
      <c r="AC2629" s="21">
        <v>431.95</v>
      </c>
      <c r="AD2629" s="21" t="s">
        <v>368</v>
      </c>
      <c r="AE2629" t="str">
        <f>VLOOKUP(Table_Query_from_Actuarial___Production3[[#This Row],[Kor1]],$AI$3:$AK$105,3,FALSE)</f>
        <v>Misc. Expense</v>
      </c>
      <c r="AF2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0" spans="18:32" x14ac:dyDescent="0.2">
      <c r="R2630" t="s">
        <v>37</v>
      </c>
      <c r="S2630" t="s">
        <v>230</v>
      </c>
      <c r="T2630" t="s">
        <v>445</v>
      </c>
      <c r="U2630" s="21">
        <v>5931.62</v>
      </c>
      <c r="V2630" s="21" t="s">
        <v>368</v>
      </c>
      <c r="W2630" t="str">
        <f>VLOOKUP(Table_Query_from_Actuarial___Production[[#This Row],[Kor1]],$AI$3:$AK$105,3,FALSE)</f>
        <v>Misc. Expense</v>
      </c>
      <c r="X2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0"/>
      <c r="Z2630" t="s">
        <v>33</v>
      </c>
      <c r="AA2630" t="s">
        <v>260</v>
      </c>
      <c r="AB2630" t="s">
        <v>441</v>
      </c>
      <c r="AC2630" s="21">
        <v>10885.62</v>
      </c>
      <c r="AD2630" s="21" t="s">
        <v>368</v>
      </c>
      <c r="AE2630" t="str">
        <f>VLOOKUP(Table_Query_from_Actuarial___Production3[[#This Row],[Kor1]],$AI$3:$AK$105,3,FALSE)</f>
        <v>Misc. Expense</v>
      </c>
      <c r="AF2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1" spans="18:32" x14ac:dyDescent="0.2">
      <c r="R2631" t="s">
        <v>39</v>
      </c>
      <c r="S2631" t="s">
        <v>229</v>
      </c>
      <c r="T2631" t="s">
        <v>351</v>
      </c>
      <c r="U2631" s="21">
        <v>196</v>
      </c>
      <c r="V2631" s="21" t="s">
        <v>368</v>
      </c>
      <c r="W2631" t="str">
        <f>VLOOKUP(Table_Query_from_Actuarial___Production[[#This Row],[Kor1]],$AI$3:$AK$105,3,FALSE)</f>
        <v>Misc. Income for Insolvent Companies</v>
      </c>
      <c r="X2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1"/>
      <c r="Z2631" t="s">
        <v>37</v>
      </c>
      <c r="AA2631" t="s">
        <v>258</v>
      </c>
      <c r="AB2631" t="s">
        <v>441</v>
      </c>
      <c r="AC2631" s="21">
        <v>3482.8</v>
      </c>
      <c r="AD2631" s="21" t="s">
        <v>368</v>
      </c>
      <c r="AE2631" t="str">
        <f>VLOOKUP(Table_Query_from_Actuarial___Production3[[#This Row],[Kor1]],$AI$3:$AK$105,3,FALSE)</f>
        <v>Misc. Expense</v>
      </c>
      <c r="AF2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2" spans="18:32" x14ac:dyDescent="0.2">
      <c r="R2632" t="s">
        <v>37</v>
      </c>
      <c r="S2632" t="s">
        <v>232</v>
      </c>
      <c r="T2632" t="s">
        <v>8</v>
      </c>
      <c r="U2632" s="21">
        <v>1920.13</v>
      </c>
      <c r="V2632" s="21" t="s">
        <v>368</v>
      </c>
      <c r="W2632" t="str">
        <f>VLOOKUP(Table_Query_from_Actuarial___Production[[#This Row],[Kor1]],$AI$3:$AK$105,3,FALSE)</f>
        <v>Misc. Expense</v>
      </c>
      <c r="X2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2"/>
      <c r="Z2632" t="s">
        <v>14</v>
      </c>
      <c r="AA2632" t="s">
        <v>243</v>
      </c>
      <c r="AB2632" t="s">
        <v>356</v>
      </c>
      <c r="AC2632" s="21">
        <v>47645.73</v>
      </c>
      <c r="AD2632" s="21" t="s">
        <v>368</v>
      </c>
      <c r="AE2632" t="str">
        <f>VLOOKUP(Table_Query_from_Actuarial___Production3[[#This Row],[Kor1]],$AI$3:$AK$105,3,FALSE)</f>
        <v>Claims Expense</v>
      </c>
      <c r="AF2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3" spans="18:32" x14ac:dyDescent="0.2">
      <c r="R2633" t="s">
        <v>41</v>
      </c>
      <c r="S2633" t="s">
        <v>265</v>
      </c>
      <c r="T2633" t="s">
        <v>8</v>
      </c>
      <c r="U2633" s="21">
        <v>1250</v>
      </c>
      <c r="V2633" s="21" t="s">
        <v>368</v>
      </c>
      <c r="W2633" t="str">
        <f>VLOOKUP(Table_Query_from_Actuarial___Production[[#This Row],[Kor1]],$AI$3:$AK$105,3,FALSE)</f>
        <v>Misc. Income</v>
      </c>
      <c r="X2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3"/>
      <c r="Z2633" t="s">
        <v>11</v>
      </c>
      <c r="AA2633" t="s">
        <v>255</v>
      </c>
      <c r="AB2633" t="s">
        <v>442</v>
      </c>
      <c r="AC2633" s="21">
        <v>16019.98</v>
      </c>
      <c r="AD2633" s="21" t="s">
        <v>368</v>
      </c>
      <c r="AE2633" t="str">
        <f>VLOOKUP(Table_Query_from_Actuarial___Production3[[#This Row],[Kor1]],$AI$3:$AK$105,3,FALSE)</f>
        <v>Losses Paid</v>
      </c>
      <c r="AF2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4" spans="18:32" x14ac:dyDescent="0.2">
      <c r="R2634" t="s">
        <v>16</v>
      </c>
      <c r="S2634" t="s">
        <v>246</v>
      </c>
      <c r="T2634" t="s">
        <v>433</v>
      </c>
      <c r="U2634" s="21">
        <v>740923.69</v>
      </c>
      <c r="V2634" s="21" t="s">
        <v>368</v>
      </c>
      <c r="W2634" t="str">
        <f>VLOOKUP(Table_Query_from_Actuarial___Production[[#This Row],[Kor1]],$AI$3:$AK$105,3,FALSE)</f>
        <v>Losses Outstanding</v>
      </c>
      <c r="X2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4"/>
      <c r="Z2634" t="s">
        <v>14</v>
      </c>
      <c r="AA2634" t="s">
        <v>234</v>
      </c>
      <c r="AB2634" t="s">
        <v>7</v>
      </c>
      <c r="AC2634" s="21">
        <v>40603.01</v>
      </c>
      <c r="AD2634" s="21" t="s">
        <v>368</v>
      </c>
      <c r="AE2634" t="str">
        <f>VLOOKUP(Table_Query_from_Actuarial___Production3[[#This Row],[Kor1]],$AI$3:$AK$105,3,FALSE)</f>
        <v>Claims Expense</v>
      </c>
      <c r="AF2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5" spans="18:32" x14ac:dyDescent="0.2">
      <c r="R2635" t="s">
        <v>37</v>
      </c>
      <c r="S2635" t="s">
        <v>4</v>
      </c>
      <c r="T2635" t="s">
        <v>427</v>
      </c>
      <c r="U2635" s="21">
        <v>115611.9</v>
      </c>
      <c r="V2635" s="21" t="s">
        <v>368</v>
      </c>
      <c r="W2635" t="str">
        <f>VLOOKUP(Table_Query_from_Actuarial___Production[[#This Row],[Kor1]],$AI$3:$AK$105,3,FALSE)</f>
        <v>Misc. Expense</v>
      </c>
      <c r="X2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5"/>
      <c r="Z2635" t="s">
        <v>41</v>
      </c>
      <c r="AA2635" t="s">
        <v>229</v>
      </c>
      <c r="AB2635" t="s">
        <v>433</v>
      </c>
      <c r="AC2635" s="21">
        <v>400</v>
      </c>
      <c r="AD2635" s="21" t="s">
        <v>368</v>
      </c>
      <c r="AE2635" t="str">
        <f>VLOOKUP(Table_Query_from_Actuarial___Production3[[#This Row],[Kor1]],$AI$3:$AK$105,3,FALSE)</f>
        <v>Misc. Income</v>
      </c>
      <c r="AF2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6" spans="18:32" x14ac:dyDescent="0.2">
      <c r="R2636" t="s">
        <v>13</v>
      </c>
      <c r="S2636" t="s">
        <v>230</v>
      </c>
      <c r="T2636" t="s">
        <v>9</v>
      </c>
      <c r="U2636" s="21">
        <v>5189494.46</v>
      </c>
      <c r="V2636" s="21" t="s">
        <v>368</v>
      </c>
      <c r="W2636" t="str">
        <f>VLOOKUP(Table_Query_from_Actuarial___Production[[#This Row],[Kor1]],$AI$3:$AK$105,3,FALSE)</f>
        <v>Operating Service Fees</v>
      </c>
      <c r="X2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6"/>
      <c r="Z2636" t="s">
        <v>44</v>
      </c>
      <c r="AA2636" t="s">
        <v>258</v>
      </c>
      <c r="AB2636" t="s">
        <v>351</v>
      </c>
      <c r="AC2636" s="21">
        <v>32778.019999999997</v>
      </c>
      <c r="AD2636" s="21" t="s">
        <v>368</v>
      </c>
      <c r="AE2636" t="str">
        <f>VLOOKUP(Table_Query_from_Actuarial___Production3[[#This Row],[Kor1]],$AI$3:$AK$105,3,FALSE)</f>
        <v>Charge-offs</v>
      </c>
      <c r="AF2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7" spans="18:32" x14ac:dyDescent="0.2">
      <c r="R2637" t="s">
        <v>34</v>
      </c>
      <c r="S2637" t="s">
        <v>241</v>
      </c>
      <c r="T2637" t="s">
        <v>8</v>
      </c>
      <c r="U2637" s="21">
        <v>21.83</v>
      </c>
      <c r="V2637" s="21" t="s">
        <v>368</v>
      </c>
      <c r="W2637" t="str">
        <f>VLOOKUP(Table_Query_from_Actuarial___Production[[#This Row],[Kor1]],$AI$3:$AK$105,3,FALSE)</f>
        <v>Misc. Expense</v>
      </c>
      <c r="X2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7"/>
      <c r="Z2637" t="s">
        <v>33</v>
      </c>
      <c r="AA2637" t="s">
        <v>261</v>
      </c>
      <c r="AB2637" t="s">
        <v>427</v>
      </c>
      <c r="AC2637" s="21">
        <v>12952.51</v>
      </c>
      <c r="AD2637" s="21" t="s">
        <v>368</v>
      </c>
      <c r="AE2637" t="str">
        <f>VLOOKUP(Table_Query_from_Actuarial___Production3[[#This Row],[Kor1]],$AI$3:$AK$105,3,FALSE)</f>
        <v>Misc. Expense</v>
      </c>
      <c r="AF2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38" spans="18:32" x14ac:dyDescent="0.2">
      <c r="R2638" t="s">
        <v>43</v>
      </c>
      <c r="S2638" t="s">
        <v>224</v>
      </c>
      <c r="T2638" t="s">
        <v>356</v>
      </c>
      <c r="U2638" s="21">
        <v>94.58</v>
      </c>
      <c r="V2638" s="21" t="s">
        <v>368</v>
      </c>
      <c r="W2638" t="str">
        <f>VLOOKUP(Table_Query_from_Actuarial___Production[[#This Row],[Kor1]],$AI$3:$AK$105,3,FALSE)</f>
        <v>Charge-offs</v>
      </c>
      <c r="X2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638"/>
      <c r="Z2638" t="s">
        <v>46</v>
      </c>
      <c r="AA2638" t="s">
        <v>352</v>
      </c>
      <c r="AB2638" t="s">
        <v>442</v>
      </c>
      <c r="AC2638" s="21">
        <v>3857.1</v>
      </c>
      <c r="AD2638" s="21" t="s">
        <v>369</v>
      </c>
      <c r="AE2638" t="str">
        <f>VLOOKUP(Table_Query_from_Actuarial___Production3[[#This Row],[Kor1]],$AI$3:$AK$105,3,FALSE)</f>
        <v>Investment Income</v>
      </c>
      <c r="AF2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639" spans="18:32" x14ac:dyDescent="0.2">
      <c r="R2639" t="s">
        <v>37</v>
      </c>
      <c r="S2639" t="s">
        <v>251</v>
      </c>
      <c r="T2639" t="s">
        <v>427</v>
      </c>
      <c r="U2639" s="21">
        <v>188.25</v>
      </c>
      <c r="V2639" s="21" t="s">
        <v>368</v>
      </c>
      <c r="W2639" t="str">
        <f>VLOOKUP(Table_Query_from_Actuarial___Production[[#This Row],[Kor1]],$AI$3:$AK$105,3,FALSE)</f>
        <v>Misc. Expense</v>
      </c>
      <c r="X2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39"/>
      <c r="Z2639" t="s">
        <v>17</v>
      </c>
      <c r="AA2639" t="s">
        <v>229</v>
      </c>
      <c r="AB2639" t="s">
        <v>433</v>
      </c>
      <c r="AC2639" s="21">
        <v>10019.48</v>
      </c>
      <c r="AD2639" s="21" t="s">
        <v>368</v>
      </c>
      <c r="AE2639" t="str">
        <f>VLOOKUP(Table_Query_from_Actuarial___Production3[[#This Row],[Kor1]],$AI$3:$AK$105,3,FALSE)</f>
        <v>IBNR</v>
      </c>
      <c r="AF2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0" spans="18:32" x14ac:dyDescent="0.2">
      <c r="R2640" t="s">
        <v>31</v>
      </c>
      <c r="S2640" t="s">
        <v>239</v>
      </c>
      <c r="T2640" t="s">
        <v>433</v>
      </c>
      <c r="U2640" s="21">
        <v>965.11</v>
      </c>
      <c r="V2640" s="21" t="s">
        <v>368</v>
      </c>
      <c r="W2640" t="str">
        <f>VLOOKUP(Table_Query_from_Actuarial___Production[[#This Row],[Kor1]],$AI$3:$AK$105,3,FALSE)</f>
        <v>Misc. Expense</v>
      </c>
      <c r="X2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0"/>
      <c r="Z2640" t="s">
        <v>49</v>
      </c>
      <c r="AA2640" t="s">
        <v>257</v>
      </c>
      <c r="AB2640" t="s">
        <v>351</v>
      </c>
      <c r="AC2640" s="21">
        <v>24134.33</v>
      </c>
      <c r="AD2640" s="21" t="s">
        <v>368</v>
      </c>
      <c r="AE2640" t="str">
        <f>VLOOKUP(Table_Query_from_Actuarial___Production3[[#This Row],[Kor1]],$AI$3:$AK$105,3,FALSE)</f>
        <v>ALAE Paid</v>
      </c>
      <c r="AF2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1" spans="18:32" x14ac:dyDescent="0.2">
      <c r="R2641" t="s">
        <v>31</v>
      </c>
      <c r="S2641" t="s">
        <v>264</v>
      </c>
      <c r="T2641" t="s">
        <v>9</v>
      </c>
      <c r="U2641" s="21">
        <v>318.52</v>
      </c>
      <c r="V2641" s="21" t="s">
        <v>368</v>
      </c>
      <c r="W2641" t="str">
        <f>VLOOKUP(Table_Query_from_Actuarial___Production[[#This Row],[Kor1]],$AI$3:$AK$105,3,FALSE)</f>
        <v>Misc. Expense</v>
      </c>
      <c r="X2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1"/>
      <c r="Z2641" t="s">
        <v>3</v>
      </c>
      <c r="AA2641" t="s">
        <v>249</v>
      </c>
      <c r="AB2641" t="s">
        <v>442</v>
      </c>
      <c r="AC2641" s="21">
        <v>824007</v>
      </c>
      <c r="AD2641" s="21" t="s">
        <v>368</v>
      </c>
      <c r="AE2641" t="str">
        <f>VLOOKUP(Table_Query_from_Actuarial___Production3[[#This Row],[Kor1]],$AI$3:$AK$105,3,FALSE)</f>
        <v>Premiums Written</v>
      </c>
      <c r="AF2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2" spans="18:32" x14ac:dyDescent="0.2">
      <c r="R2642" t="s">
        <v>43</v>
      </c>
      <c r="S2642" t="s">
        <v>248</v>
      </c>
      <c r="T2642" t="s">
        <v>427</v>
      </c>
      <c r="U2642" s="21">
        <v>3.81</v>
      </c>
      <c r="V2642" s="21" t="s">
        <v>368</v>
      </c>
      <c r="W2642" t="str">
        <f>VLOOKUP(Table_Query_from_Actuarial___Production[[#This Row],[Kor1]],$AI$3:$AK$105,3,FALSE)</f>
        <v>Charge-offs</v>
      </c>
      <c r="X2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2"/>
      <c r="Z2642" t="s">
        <v>14</v>
      </c>
      <c r="AA2642" t="s">
        <v>234</v>
      </c>
      <c r="AB2642" t="s">
        <v>443</v>
      </c>
      <c r="AC2642" s="21">
        <v>2773.68</v>
      </c>
      <c r="AD2642" s="21" t="s">
        <v>368</v>
      </c>
      <c r="AE2642" t="str">
        <f>VLOOKUP(Table_Query_from_Actuarial___Production3[[#This Row],[Kor1]],$AI$3:$AK$105,3,FALSE)</f>
        <v>Claims Expense</v>
      </c>
      <c r="AF2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3" spans="18:32" x14ac:dyDescent="0.2">
      <c r="R2643" t="s">
        <v>24</v>
      </c>
      <c r="S2643" t="s">
        <v>259</v>
      </c>
      <c r="T2643" t="s">
        <v>441</v>
      </c>
      <c r="U2643" s="21">
        <v>92.68</v>
      </c>
      <c r="V2643" s="21" t="s">
        <v>368</v>
      </c>
      <c r="W2643" t="str">
        <f>VLOOKUP(Table_Query_from_Actuarial___Production[[#This Row],[Kor1]],$AI$3:$AK$105,3,FALSE)</f>
        <v>Misc. Expense</v>
      </c>
      <c r="X2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3"/>
      <c r="Z2643" t="s">
        <v>34</v>
      </c>
      <c r="AA2643" t="s">
        <v>242</v>
      </c>
      <c r="AB2643" t="s">
        <v>6</v>
      </c>
      <c r="AC2643" s="21">
        <v>76.5</v>
      </c>
      <c r="AD2643" s="21" t="s">
        <v>368</v>
      </c>
      <c r="AE2643" t="str">
        <f>VLOOKUP(Table_Query_from_Actuarial___Production3[[#This Row],[Kor1]],$AI$3:$AK$105,3,FALSE)</f>
        <v>Misc. Expense</v>
      </c>
      <c r="AF2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4" spans="18:32" x14ac:dyDescent="0.2">
      <c r="R2644" t="s">
        <v>33</v>
      </c>
      <c r="S2644" t="s">
        <v>250</v>
      </c>
      <c r="T2644" t="s">
        <v>351</v>
      </c>
      <c r="U2644" s="21">
        <v>34351.089999999997</v>
      </c>
      <c r="V2644" s="21" t="s">
        <v>368</v>
      </c>
      <c r="W2644" t="str">
        <f>VLOOKUP(Table_Query_from_Actuarial___Production[[#This Row],[Kor1]],$AI$3:$AK$105,3,FALSE)</f>
        <v>Misc. Expense</v>
      </c>
      <c r="X2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4"/>
      <c r="Z2644" t="s">
        <v>39</v>
      </c>
      <c r="AA2644" t="s">
        <v>239</v>
      </c>
      <c r="AB2644" t="s">
        <v>6</v>
      </c>
      <c r="AC2644" s="21">
        <v>331.49</v>
      </c>
      <c r="AD2644" s="21" t="s">
        <v>368</v>
      </c>
      <c r="AE2644" t="str">
        <f>VLOOKUP(Table_Query_from_Actuarial___Production3[[#This Row],[Kor1]],$AI$3:$AK$105,3,FALSE)</f>
        <v>Misc. Income for Insolvent Companies</v>
      </c>
      <c r="AF2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5" spans="18:32" x14ac:dyDescent="0.2">
      <c r="R2645" t="s">
        <v>10</v>
      </c>
      <c r="S2645" t="s">
        <v>225</v>
      </c>
      <c r="T2645" t="s">
        <v>442</v>
      </c>
      <c r="U2645" s="21">
        <v>26376.01</v>
      </c>
      <c r="V2645" s="21" t="s">
        <v>369</v>
      </c>
      <c r="W2645" t="str">
        <f>VLOOKUP(Table_Query_from_Actuarial___Production[[#This Row],[Kor1]],$AI$3:$AK$105,3,FALSE)</f>
        <v>Commissions</v>
      </c>
      <c r="X2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645"/>
      <c r="Z2645" t="s">
        <v>21</v>
      </c>
      <c r="AA2645" t="s">
        <v>228</v>
      </c>
      <c r="AB2645" t="s">
        <v>433</v>
      </c>
      <c r="AC2645" s="21">
        <v>42</v>
      </c>
      <c r="AD2645" s="21" t="s">
        <v>368</v>
      </c>
      <c r="AE2645" t="str">
        <f>VLOOKUP(Table_Query_from_Actuarial___Production3[[#This Row],[Kor1]],$AI$3:$AK$105,3,FALSE)</f>
        <v>Misc. Expense</v>
      </c>
      <c r="AF2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6" spans="18:32" x14ac:dyDescent="0.2">
      <c r="R2646" t="s">
        <v>39</v>
      </c>
      <c r="S2646" t="s">
        <v>236</v>
      </c>
      <c r="T2646" t="s">
        <v>443</v>
      </c>
      <c r="U2646" s="21">
        <v>356.62</v>
      </c>
      <c r="V2646" s="21" t="s">
        <v>368</v>
      </c>
      <c r="W2646" t="str">
        <f>VLOOKUP(Table_Query_from_Actuarial___Production[[#This Row],[Kor1]],$AI$3:$AK$105,3,FALSE)</f>
        <v>Misc. Income for Insolvent Companies</v>
      </c>
      <c r="X2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6"/>
      <c r="Z2646" t="s">
        <v>46</v>
      </c>
      <c r="AA2646" t="s">
        <v>224</v>
      </c>
      <c r="AB2646" t="s">
        <v>441</v>
      </c>
      <c r="AC2646" s="21">
        <v>10.57</v>
      </c>
      <c r="AD2646" s="21" t="s">
        <v>369</v>
      </c>
      <c r="AE2646" t="str">
        <f>VLOOKUP(Table_Query_from_Actuarial___Production3[[#This Row],[Kor1]],$AI$3:$AK$105,3,FALSE)</f>
        <v>Investment Income</v>
      </c>
      <c r="AF2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647" spans="18:32" x14ac:dyDescent="0.2">
      <c r="R2647" t="s">
        <v>41</v>
      </c>
      <c r="S2647" t="s">
        <v>250</v>
      </c>
      <c r="T2647" t="s">
        <v>8</v>
      </c>
      <c r="U2647" s="21">
        <v>909.17</v>
      </c>
      <c r="V2647" s="21" t="s">
        <v>368</v>
      </c>
      <c r="W2647" t="str">
        <f>VLOOKUP(Table_Query_from_Actuarial___Production[[#This Row],[Kor1]],$AI$3:$AK$105,3,FALSE)</f>
        <v>Misc. Income</v>
      </c>
      <c r="X2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7"/>
      <c r="Z2647" t="s">
        <v>33</v>
      </c>
      <c r="AA2647" t="s">
        <v>262</v>
      </c>
      <c r="AB2647" t="s">
        <v>8</v>
      </c>
      <c r="AC2647" s="21">
        <v>8262.86</v>
      </c>
      <c r="AD2647" s="21" t="s">
        <v>368</v>
      </c>
      <c r="AE2647" t="str">
        <f>VLOOKUP(Table_Query_from_Actuarial___Production3[[#This Row],[Kor1]],$AI$3:$AK$105,3,FALSE)</f>
        <v>Misc. Expense</v>
      </c>
      <c r="AF2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8" spans="18:32" x14ac:dyDescent="0.2">
      <c r="R2648" t="s">
        <v>10</v>
      </c>
      <c r="S2648" t="s">
        <v>253</v>
      </c>
      <c r="T2648" t="s">
        <v>433</v>
      </c>
      <c r="U2648" s="21">
        <v>3162.65</v>
      </c>
      <c r="V2648" s="21" t="s">
        <v>368</v>
      </c>
      <c r="W2648" t="str">
        <f>VLOOKUP(Table_Query_from_Actuarial___Production[[#This Row],[Kor1]],$AI$3:$AK$105,3,FALSE)</f>
        <v>Commissions</v>
      </c>
      <c r="X2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8"/>
      <c r="Z2648" t="s">
        <v>39</v>
      </c>
      <c r="AA2648" t="s">
        <v>257</v>
      </c>
      <c r="AB2648" t="s">
        <v>5</v>
      </c>
      <c r="AC2648" s="21">
        <v>67128</v>
      </c>
      <c r="AD2648" s="21" t="s">
        <v>368</v>
      </c>
      <c r="AE2648" t="str">
        <f>VLOOKUP(Table_Query_from_Actuarial___Production3[[#This Row],[Kor1]],$AI$3:$AK$105,3,FALSE)</f>
        <v>Misc. Income for Insolvent Companies</v>
      </c>
      <c r="AF2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49" spans="18:32" x14ac:dyDescent="0.2">
      <c r="R2649" t="s">
        <v>12</v>
      </c>
      <c r="S2649" t="s">
        <v>238</v>
      </c>
      <c r="T2649" t="s">
        <v>8</v>
      </c>
      <c r="U2649" s="21">
        <v>4822.5200000000004</v>
      </c>
      <c r="V2649" s="21" t="s">
        <v>368</v>
      </c>
      <c r="W2649" t="str">
        <f>VLOOKUP(Table_Query_from_Actuarial___Production[[#This Row],[Kor1]],$AI$3:$AK$105,3,FALSE)</f>
        <v>Premium Tax</v>
      </c>
      <c r="X2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49"/>
      <c r="Z2649" t="s">
        <v>33</v>
      </c>
      <c r="AA2649" t="s">
        <v>231</v>
      </c>
      <c r="AB2649" t="s">
        <v>356</v>
      </c>
      <c r="AC2649" s="21">
        <v>15460.63</v>
      </c>
      <c r="AD2649" s="21" t="s">
        <v>368</v>
      </c>
      <c r="AE2649" t="str">
        <f>VLOOKUP(Table_Query_from_Actuarial___Production3[[#This Row],[Kor1]],$AI$3:$AK$105,3,FALSE)</f>
        <v>Misc. Expense</v>
      </c>
      <c r="AF2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0" spans="18:32" x14ac:dyDescent="0.2">
      <c r="R2650" t="s">
        <v>31</v>
      </c>
      <c r="S2650" t="s">
        <v>251</v>
      </c>
      <c r="T2650" t="s">
        <v>441</v>
      </c>
      <c r="U2650" s="21">
        <v>887.61</v>
      </c>
      <c r="V2650" s="21" t="s">
        <v>368</v>
      </c>
      <c r="W2650" t="str">
        <f>VLOOKUP(Table_Query_from_Actuarial___Production[[#This Row],[Kor1]],$AI$3:$AK$105,3,FALSE)</f>
        <v>Misc. Expense</v>
      </c>
      <c r="X2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0"/>
      <c r="Z2650" t="s">
        <v>37</v>
      </c>
      <c r="AA2650" t="s">
        <v>254</v>
      </c>
      <c r="AB2650" t="s">
        <v>441</v>
      </c>
      <c r="AC2650" s="21">
        <v>36382.06</v>
      </c>
      <c r="AD2650" s="21" t="s">
        <v>368</v>
      </c>
      <c r="AE2650" t="str">
        <f>VLOOKUP(Table_Query_from_Actuarial___Production3[[#This Row],[Kor1]],$AI$3:$AK$105,3,FALSE)</f>
        <v>Misc. Expense</v>
      </c>
      <c r="AF2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1" spans="18:32" x14ac:dyDescent="0.2">
      <c r="R2651" t="s">
        <v>10</v>
      </c>
      <c r="S2651" t="s">
        <v>257</v>
      </c>
      <c r="T2651" t="s">
        <v>445</v>
      </c>
      <c r="U2651" s="21">
        <v>71616.600000000006</v>
      </c>
      <c r="V2651" s="21" t="s">
        <v>368</v>
      </c>
      <c r="W2651" t="str">
        <f>VLOOKUP(Table_Query_from_Actuarial___Production[[#This Row],[Kor1]],$AI$3:$AK$105,3,FALSE)</f>
        <v>Commissions</v>
      </c>
      <c r="X2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1"/>
      <c r="Z2651" t="s">
        <v>43</v>
      </c>
      <c r="AA2651" t="s">
        <v>231</v>
      </c>
      <c r="AB2651" t="s">
        <v>356</v>
      </c>
      <c r="AC2651" s="21">
        <v>813.9</v>
      </c>
      <c r="AD2651" s="21" t="s">
        <v>368</v>
      </c>
      <c r="AE2651" t="str">
        <f>VLOOKUP(Table_Query_from_Actuarial___Production3[[#This Row],[Kor1]],$AI$3:$AK$105,3,FALSE)</f>
        <v>Charge-offs</v>
      </c>
      <c r="AF2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2" spans="18:32" x14ac:dyDescent="0.2">
      <c r="R2652" t="s">
        <v>11</v>
      </c>
      <c r="S2652" t="s">
        <v>265</v>
      </c>
      <c r="T2652" t="s">
        <v>356</v>
      </c>
      <c r="U2652" s="21">
        <v>476922.88</v>
      </c>
      <c r="V2652" s="21" t="s">
        <v>368</v>
      </c>
      <c r="W2652" t="str">
        <f>VLOOKUP(Table_Query_from_Actuarial___Production[[#This Row],[Kor1]],$AI$3:$AK$105,3,FALSE)</f>
        <v>Losses Paid</v>
      </c>
      <c r="X2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2"/>
      <c r="Z2652" t="s">
        <v>12</v>
      </c>
      <c r="AA2652" t="s">
        <v>4</v>
      </c>
      <c r="AB2652" t="s">
        <v>6</v>
      </c>
      <c r="AC2652" s="21">
        <v>56335.6</v>
      </c>
      <c r="AD2652" s="21" t="s">
        <v>368</v>
      </c>
      <c r="AE2652" t="str">
        <f>VLOOKUP(Table_Query_from_Actuarial___Production3[[#This Row],[Kor1]],$AI$3:$AK$105,3,FALSE)</f>
        <v>Premium Tax</v>
      </c>
      <c r="AF2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3" spans="18:32" x14ac:dyDescent="0.2">
      <c r="R2653" t="s">
        <v>19</v>
      </c>
      <c r="S2653" t="s">
        <v>245</v>
      </c>
      <c r="T2653" t="s">
        <v>433</v>
      </c>
      <c r="U2653" s="21">
        <v>4</v>
      </c>
      <c r="V2653" s="21" t="s">
        <v>368</v>
      </c>
      <c r="W2653" t="str">
        <f>VLOOKUP(Table_Query_from_Actuarial___Production[[#This Row],[Kor1]],$AI$3:$AK$105,3,FALSE)</f>
        <v>Misc. Expense for Insolvent Companies</v>
      </c>
      <c r="X2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3"/>
      <c r="Z2653" t="s">
        <v>10</v>
      </c>
      <c r="AA2653" t="s">
        <v>238</v>
      </c>
      <c r="AB2653" t="s">
        <v>356</v>
      </c>
      <c r="AC2653" s="21">
        <v>91851.87</v>
      </c>
      <c r="AD2653" s="21" t="s">
        <v>368</v>
      </c>
      <c r="AE2653" t="str">
        <f>VLOOKUP(Table_Query_from_Actuarial___Production3[[#This Row],[Kor1]],$AI$3:$AK$105,3,FALSE)</f>
        <v>Commissions</v>
      </c>
      <c r="AF2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4" spans="18:32" x14ac:dyDescent="0.2">
      <c r="R2654" t="s">
        <v>33</v>
      </c>
      <c r="S2654" t="s">
        <v>263</v>
      </c>
      <c r="T2654" t="s">
        <v>433</v>
      </c>
      <c r="U2654" s="21">
        <v>14765.26</v>
      </c>
      <c r="V2654" s="21" t="s">
        <v>368</v>
      </c>
      <c r="W2654" t="str">
        <f>VLOOKUP(Table_Query_from_Actuarial___Production[[#This Row],[Kor1]],$AI$3:$AK$105,3,FALSE)</f>
        <v>Misc. Expense</v>
      </c>
      <c r="X2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4"/>
      <c r="Z2654" t="s">
        <v>31</v>
      </c>
      <c r="AA2654" t="s">
        <v>246</v>
      </c>
      <c r="AB2654" t="s">
        <v>9</v>
      </c>
      <c r="AC2654" s="21">
        <v>498.3</v>
      </c>
      <c r="AD2654" s="21" t="s">
        <v>368</v>
      </c>
      <c r="AE2654" t="str">
        <f>VLOOKUP(Table_Query_from_Actuarial___Production3[[#This Row],[Kor1]],$AI$3:$AK$105,3,FALSE)</f>
        <v>Misc. Expense</v>
      </c>
      <c r="AF2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5" spans="18:32" x14ac:dyDescent="0.2">
      <c r="R2655" t="s">
        <v>20</v>
      </c>
      <c r="S2655" t="s">
        <v>235</v>
      </c>
      <c r="T2655" t="s">
        <v>441</v>
      </c>
      <c r="U2655" s="21">
        <v>447.02</v>
      </c>
      <c r="V2655" s="21" t="s">
        <v>368</v>
      </c>
      <c r="W2655" t="str">
        <f>VLOOKUP(Table_Query_from_Actuarial___Production[[#This Row],[Kor1]],$AI$3:$AK$105,3,FALSE)</f>
        <v>Misc. Expense</v>
      </c>
      <c r="X2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5"/>
      <c r="Z2655" t="s">
        <v>34</v>
      </c>
      <c r="AA2655" t="s">
        <v>262</v>
      </c>
      <c r="AB2655" t="s">
        <v>442</v>
      </c>
      <c r="AC2655" s="21">
        <v>879.28</v>
      </c>
      <c r="AD2655" s="21" t="s">
        <v>368</v>
      </c>
      <c r="AE2655" t="str">
        <f>VLOOKUP(Table_Query_from_Actuarial___Production3[[#This Row],[Kor1]],$AI$3:$AK$105,3,FALSE)</f>
        <v>Misc. Expense</v>
      </c>
      <c r="AF2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6" spans="18:32" x14ac:dyDescent="0.2">
      <c r="R2656" t="s">
        <v>38</v>
      </c>
      <c r="S2656" t="s">
        <v>352</v>
      </c>
      <c r="T2656" t="s">
        <v>351</v>
      </c>
      <c r="U2656" s="21">
        <v>558.83000000000004</v>
      </c>
      <c r="V2656" s="21" t="s">
        <v>368</v>
      </c>
      <c r="W2656" t="str">
        <f>VLOOKUP(Table_Query_from_Actuarial___Production[[#This Row],[Kor1]],$AI$3:$AK$105,3,FALSE)</f>
        <v>Misc. Income</v>
      </c>
      <c r="X2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2656"/>
      <c r="Z2656" t="s">
        <v>31</v>
      </c>
      <c r="AA2656" t="s">
        <v>227</v>
      </c>
      <c r="AB2656" t="s">
        <v>441</v>
      </c>
      <c r="AC2656" s="21">
        <v>1339.06</v>
      </c>
      <c r="AD2656" s="21" t="s">
        <v>368</v>
      </c>
      <c r="AE2656" t="str">
        <f>VLOOKUP(Table_Query_from_Actuarial___Production3[[#This Row],[Kor1]],$AI$3:$AK$105,3,FALSE)</f>
        <v>Misc. Expense</v>
      </c>
      <c r="AF2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7" spans="18:32" x14ac:dyDescent="0.2">
      <c r="R2657" t="s">
        <v>33</v>
      </c>
      <c r="S2657" t="s">
        <v>236</v>
      </c>
      <c r="T2657" t="s">
        <v>427</v>
      </c>
      <c r="U2657" s="21">
        <v>15974.43</v>
      </c>
      <c r="V2657" s="21" t="s">
        <v>368</v>
      </c>
      <c r="W2657" t="str">
        <f>VLOOKUP(Table_Query_from_Actuarial___Production[[#This Row],[Kor1]],$AI$3:$AK$105,3,FALSE)</f>
        <v>Misc. Expense</v>
      </c>
      <c r="X2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7"/>
      <c r="Z2657" t="s">
        <v>33</v>
      </c>
      <c r="AA2657" t="s">
        <v>250</v>
      </c>
      <c r="AB2657" t="s">
        <v>441</v>
      </c>
      <c r="AC2657" s="21">
        <v>33278.82</v>
      </c>
      <c r="AD2657" s="21" t="s">
        <v>368</v>
      </c>
      <c r="AE2657" t="str">
        <f>VLOOKUP(Table_Query_from_Actuarial___Production3[[#This Row],[Kor1]],$AI$3:$AK$105,3,FALSE)</f>
        <v>Misc. Expense</v>
      </c>
      <c r="AF2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8" spans="18:32" x14ac:dyDescent="0.2">
      <c r="R2658" t="s">
        <v>12</v>
      </c>
      <c r="S2658" t="s">
        <v>228</v>
      </c>
      <c r="T2658" t="s">
        <v>443</v>
      </c>
      <c r="U2658" s="21">
        <v>10393.36</v>
      </c>
      <c r="V2658" s="21" t="s">
        <v>368</v>
      </c>
      <c r="W2658" t="str">
        <f>VLOOKUP(Table_Query_from_Actuarial___Production[[#This Row],[Kor1]],$AI$3:$AK$105,3,FALSE)</f>
        <v>Premium Tax</v>
      </c>
      <c r="X2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8"/>
      <c r="Z2658" t="s">
        <v>44</v>
      </c>
      <c r="AA2658" t="s">
        <v>251</v>
      </c>
      <c r="AB2658" t="s">
        <v>8</v>
      </c>
      <c r="AC2658" s="21">
        <v>-4</v>
      </c>
      <c r="AD2658" s="21" t="s">
        <v>368</v>
      </c>
      <c r="AE2658" t="str">
        <f>VLOOKUP(Table_Query_from_Actuarial___Production3[[#This Row],[Kor1]],$AI$3:$AK$105,3,FALSE)</f>
        <v>Charge-offs</v>
      </c>
      <c r="AF2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59" spans="18:32" x14ac:dyDescent="0.2">
      <c r="R2659" t="s">
        <v>29</v>
      </c>
      <c r="S2659" t="s">
        <v>238</v>
      </c>
      <c r="T2659" t="s">
        <v>441</v>
      </c>
      <c r="U2659" s="21">
        <v>382913.42</v>
      </c>
      <c r="V2659" s="21" t="s">
        <v>368</v>
      </c>
      <c r="W2659" t="str">
        <f>VLOOKUP(Table_Query_from_Actuarial___Production[[#This Row],[Kor1]],$AI$3:$AK$105,3,FALSE)</f>
        <v>Misc. Expense</v>
      </c>
      <c r="X2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59"/>
      <c r="Z2659" t="s">
        <v>44</v>
      </c>
      <c r="AA2659" t="s">
        <v>258</v>
      </c>
      <c r="AB2659" t="s">
        <v>441</v>
      </c>
      <c r="AC2659" s="21">
        <v>34751.89</v>
      </c>
      <c r="AD2659" s="21" t="s">
        <v>368</v>
      </c>
      <c r="AE2659" t="str">
        <f>VLOOKUP(Table_Query_from_Actuarial___Production3[[#This Row],[Kor1]],$AI$3:$AK$105,3,FALSE)</f>
        <v>Charge-offs</v>
      </c>
      <c r="AF2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0" spans="18:32" x14ac:dyDescent="0.2">
      <c r="R2660" t="s">
        <v>19</v>
      </c>
      <c r="S2660" t="s">
        <v>241</v>
      </c>
      <c r="T2660" t="s">
        <v>441</v>
      </c>
      <c r="U2660" s="21">
        <v>10</v>
      </c>
      <c r="V2660" s="21" t="s">
        <v>368</v>
      </c>
      <c r="W2660" t="str">
        <f>VLOOKUP(Table_Query_from_Actuarial___Production[[#This Row],[Kor1]],$AI$3:$AK$105,3,FALSE)</f>
        <v>Misc. Expense for Insolvent Companies</v>
      </c>
      <c r="X2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0"/>
      <c r="Z2660" t="s">
        <v>20</v>
      </c>
      <c r="AA2660" t="s">
        <v>240</v>
      </c>
      <c r="AB2660" t="s">
        <v>7</v>
      </c>
      <c r="AC2660" s="21">
        <v>586.57000000000005</v>
      </c>
      <c r="AD2660" s="21" t="s">
        <v>368</v>
      </c>
      <c r="AE2660" t="str">
        <f>VLOOKUP(Table_Query_from_Actuarial___Production3[[#This Row],[Kor1]],$AI$3:$AK$105,3,FALSE)</f>
        <v>Misc. Expense</v>
      </c>
      <c r="AF2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1" spans="18:32" x14ac:dyDescent="0.2">
      <c r="R2661" t="s">
        <v>19</v>
      </c>
      <c r="S2661" t="s">
        <v>244</v>
      </c>
      <c r="T2661" t="s">
        <v>351</v>
      </c>
      <c r="U2661" s="21">
        <v>36.01</v>
      </c>
      <c r="V2661" s="21" t="s">
        <v>368</v>
      </c>
      <c r="W2661" t="str">
        <f>VLOOKUP(Table_Query_from_Actuarial___Production[[#This Row],[Kor1]],$AI$3:$AK$105,3,FALSE)</f>
        <v>Misc. Expense for Insolvent Companies</v>
      </c>
      <c r="X2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1"/>
      <c r="Z2661" t="s">
        <v>11</v>
      </c>
      <c r="AA2661" t="s">
        <v>233</v>
      </c>
      <c r="AB2661" t="s">
        <v>5</v>
      </c>
      <c r="AC2661" s="21">
        <v>15873</v>
      </c>
      <c r="AD2661" s="21" t="s">
        <v>368</v>
      </c>
      <c r="AE2661" t="str">
        <f>VLOOKUP(Table_Query_from_Actuarial___Production3[[#This Row],[Kor1]],$AI$3:$AK$105,3,FALSE)</f>
        <v>Losses Paid</v>
      </c>
      <c r="AF2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2" spans="18:32" x14ac:dyDescent="0.2">
      <c r="R2662" t="s">
        <v>32</v>
      </c>
      <c r="S2662" t="s">
        <v>4</v>
      </c>
      <c r="T2662" t="s">
        <v>7</v>
      </c>
      <c r="U2662" s="21">
        <v>-8523.7000000000007</v>
      </c>
      <c r="V2662" s="21" t="s">
        <v>368</v>
      </c>
      <c r="W2662" t="str">
        <f>VLOOKUP(Table_Query_from_Actuarial___Production[[#This Row],[Kor1]],$AI$3:$AK$105,3,FALSE)</f>
        <v>Misc. Expense</v>
      </c>
      <c r="X2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2"/>
      <c r="Z2662" t="s">
        <v>14</v>
      </c>
      <c r="AA2662" t="s">
        <v>225</v>
      </c>
      <c r="AB2662" t="s">
        <v>351</v>
      </c>
      <c r="AC2662" s="21">
        <v>96025</v>
      </c>
      <c r="AD2662" s="21" t="s">
        <v>369</v>
      </c>
      <c r="AE2662" t="str">
        <f>VLOOKUP(Table_Query_from_Actuarial___Production3[[#This Row],[Kor1]],$AI$3:$AK$105,3,FALSE)</f>
        <v>Claims Expense</v>
      </c>
      <c r="AF2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663" spans="18:32" x14ac:dyDescent="0.2">
      <c r="R2663" t="s">
        <v>34</v>
      </c>
      <c r="S2663" t="s">
        <v>261</v>
      </c>
      <c r="T2663" t="s">
        <v>441</v>
      </c>
      <c r="U2663" s="21">
        <v>27.84</v>
      </c>
      <c r="V2663" s="21" t="s">
        <v>368</v>
      </c>
      <c r="W2663" t="str">
        <f>VLOOKUP(Table_Query_from_Actuarial___Production[[#This Row],[Kor1]],$AI$3:$AK$105,3,FALSE)</f>
        <v>Misc. Expense</v>
      </c>
      <c r="X2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3"/>
      <c r="Z2663" t="s">
        <v>37</v>
      </c>
      <c r="AA2663" t="s">
        <v>266</v>
      </c>
      <c r="AB2663" t="s">
        <v>9</v>
      </c>
      <c r="AC2663" s="21">
        <v>1948.36</v>
      </c>
      <c r="AD2663" s="21" t="s">
        <v>368</v>
      </c>
      <c r="AE2663" t="str">
        <f>VLOOKUP(Table_Query_from_Actuarial___Production3[[#This Row],[Kor1]],$AI$3:$AK$105,3,FALSE)</f>
        <v>Misc. Expense</v>
      </c>
      <c r="AF2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4" spans="18:32" x14ac:dyDescent="0.2">
      <c r="R2664" t="s">
        <v>3</v>
      </c>
      <c r="S2664" t="s">
        <v>236</v>
      </c>
      <c r="T2664" t="s">
        <v>427</v>
      </c>
      <c r="U2664" s="21">
        <v>46848</v>
      </c>
      <c r="V2664" s="21" t="s">
        <v>368</v>
      </c>
      <c r="W2664" t="str">
        <f>VLOOKUP(Table_Query_from_Actuarial___Production[[#This Row],[Kor1]],$AI$3:$AK$105,3,FALSE)</f>
        <v>Premiums Written</v>
      </c>
      <c r="X2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4"/>
      <c r="Z2664" t="s">
        <v>3</v>
      </c>
      <c r="AA2664" t="s">
        <v>236</v>
      </c>
      <c r="AB2664" t="s">
        <v>7</v>
      </c>
      <c r="AC2664" s="21">
        <v>23648</v>
      </c>
      <c r="AD2664" s="21" t="s">
        <v>368</v>
      </c>
      <c r="AE2664" t="str">
        <f>VLOOKUP(Table_Query_from_Actuarial___Production3[[#This Row],[Kor1]],$AI$3:$AK$105,3,FALSE)</f>
        <v>Premiums Written</v>
      </c>
      <c r="AF2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5" spans="18:32" x14ac:dyDescent="0.2">
      <c r="R2665" t="s">
        <v>37</v>
      </c>
      <c r="S2665" t="s">
        <v>254</v>
      </c>
      <c r="T2665" t="s">
        <v>351</v>
      </c>
      <c r="U2665" s="21">
        <v>1141.32</v>
      </c>
      <c r="V2665" s="21" t="s">
        <v>368</v>
      </c>
      <c r="W2665" t="str">
        <f>VLOOKUP(Table_Query_from_Actuarial___Production[[#This Row],[Kor1]],$AI$3:$AK$105,3,FALSE)</f>
        <v>Misc. Expense</v>
      </c>
      <c r="X2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5"/>
      <c r="Z2665" t="s">
        <v>31</v>
      </c>
      <c r="AA2665" t="s">
        <v>251</v>
      </c>
      <c r="AB2665" t="s">
        <v>5</v>
      </c>
      <c r="AC2665" s="21">
        <v>509</v>
      </c>
      <c r="AD2665" s="21" t="s">
        <v>368</v>
      </c>
      <c r="AE2665" t="str">
        <f>VLOOKUP(Table_Query_from_Actuarial___Production3[[#This Row],[Kor1]],$AI$3:$AK$105,3,FALSE)</f>
        <v>Misc. Expense</v>
      </c>
      <c r="AF2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6" spans="18:32" x14ac:dyDescent="0.2">
      <c r="R2666" t="s">
        <v>49</v>
      </c>
      <c r="S2666" t="s">
        <v>231</v>
      </c>
      <c r="T2666" t="s">
        <v>433</v>
      </c>
      <c r="U2666" s="21">
        <v>192226.23</v>
      </c>
      <c r="V2666" s="21" t="s">
        <v>368</v>
      </c>
      <c r="W2666" t="str">
        <f>VLOOKUP(Table_Query_from_Actuarial___Production[[#This Row],[Kor1]],$AI$3:$AK$105,3,FALSE)</f>
        <v>ALAE Paid</v>
      </c>
      <c r="X2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6"/>
      <c r="Z2666" t="s">
        <v>32</v>
      </c>
      <c r="AA2666" t="s">
        <v>4</v>
      </c>
      <c r="AB2666" t="s">
        <v>427</v>
      </c>
      <c r="AC2666" s="21">
        <v>75088.78</v>
      </c>
      <c r="AD2666" s="21" t="s">
        <v>368</v>
      </c>
      <c r="AE2666" t="str">
        <f>VLOOKUP(Table_Query_from_Actuarial___Production3[[#This Row],[Kor1]],$AI$3:$AK$105,3,FALSE)</f>
        <v>Misc. Expense</v>
      </c>
      <c r="AF2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7" spans="18:32" x14ac:dyDescent="0.2">
      <c r="R2667" t="s">
        <v>13</v>
      </c>
      <c r="S2667" t="s">
        <v>256</v>
      </c>
      <c r="T2667" t="s">
        <v>9</v>
      </c>
      <c r="U2667" s="21">
        <v>33397.870000000003</v>
      </c>
      <c r="V2667" s="21" t="s">
        <v>368</v>
      </c>
      <c r="W2667" t="str">
        <f>VLOOKUP(Table_Query_from_Actuarial___Production[[#This Row],[Kor1]],$AI$3:$AK$105,3,FALSE)</f>
        <v>Operating Service Fees</v>
      </c>
      <c r="X2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7"/>
      <c r="Z2667" t="s">
        <v>11</v>
      </c>
      <c r="AA2667" t="s">
        <v>261</v>
      </c>
      <c r="AB2667" t="s">
        <v>427</v>
      </c>
      <c r="AC2667" s="21">
        <v>26680.51</v>
      </c>
      <c r="AD2667" s="21" t="s">
        <v>368</v>
      </c>
      <c r="AE2667" t="str">
        <f>VLOOKUP(Table_Query_from_Actuarial___Production3[[#This Row],[Kor1]],$AI$3:$AK$105,3,FALSE)</f>
        <v>Losses Paid</v>
      </c>
      <c r="AF2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8" spans="18:32" x14ac:dyDescent="0.2">
      <c r="R2668" t="s">
        <v>33</v>
      </c>
      <c r="S2668" t="s">
        <v>242</v>
      </c>
      <c r="T2668" t="s">
        <v>8</v>
      </c>
      <c r="U2668" s="21">
        <v>16310.85</v>
      </c>
      <c r="V2668" s="21" t="s">
        <v>368</v>
      </c>
      <c r="W2668" t="str">
        <f>VLOOKUP(Table_Query_from_Actuarial___Production[[#This Row],[Kor1]],$AI$3:$AK$105,3,FALSE)</f>
        <v>Misc. Expense</v>
      </c>
      <c r="X2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8"/>
      <c r="Z2668" t="s">
        <v>10</v>
      </c>
      <c r="AA2668" t="s">
        <v>253</v>
      </c>
      <c r="AB2668" t="s">
        <v>441</v>
      </c>
      <c r="AC2668" s="21">
        <v>2550.0500000000002</v>
      </c>
      <c r="AD2668" s="21" t="s">
        <v>368</v>
      </c>
      <c r="AE2668" t="str">
        <f>VLOOKUP(Table_Query_from_Actuarial___Production3[[#This Row],[Kor1]],$AI$3:$AK$105,3,FALSE)</f>
        <v>Commissions</v>
      </c>
      <c r="AF2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69" spans="18:32" x14ac:dyDescent="0.2">
      <c r="R2669" t="s">
        <v>12</v>
      </c>
      <c r="S2669" t="s">
        <v>250</v>
      </c>
      <c r="T2669" t="s">
        <v>442</v>
      </c>
      <c r="U2669" s="21">
        <v>24229.67</v>
      </c>
      <c r="V2669" s="21" t="s">
        <v>368</v>
      </c>
      <c r="W2669" t="str">
        <f>VLOOKUP(Table_Query_from_Actuarial___Production[[#This Row],[Kor1]],$AI$3:$AK$105,3,FALSE)</f>
        <v>Premium Tax</v>
      </c>
      <c r="X2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69"/>
      <c r="Z2669" t="s">
        <v>12</v>
      </c>
      <c r="AA2669" t="s">
        <v>264</v>
      </c>
      <c r="AB2669" t="s">
        <v>356</v>
      </c>
      <c r="AC2669" s="21">
        <v>27780.13</v>
      </c>
      <c r="AD2669" s="21" t="s">
        <v>368</v>
      </c>
      <c r="AE2669" t="str">
        <f>VLOOKUP(Table_Query_from_Actuarial___Production3[[#This Row],[Kor1]],$AI$3:$AK$105,3,FALSE)</f>
        <v>Premium Tax</v>
      </c>
      <c r="AF2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0" spans="18:32" x14ac:dyDescent="0.2">
      <c r="R2670" t="s">
        <v>44</v>
      </c>
      <c r="S2670" t="s">
        <v>266</v>
      </c>
      <c r="T2670" t="s">
        <v>7</v>
      </c>
      <c r="U2670" s="21">
        <v>127.19</v>
      </c>
      <c r="V2670" s="21" t="s">
        <v>368</v>
      </c>
      <c r="W2670" t="str">
        <f>VLOOKUP(Table_Query_from_Actuarial___Production[[#This Row],[Kor1]],$AI$3:$AK$105,3,FALSE)</f>
        <v>Charge-offs</v>
      </c>
      <c r="X2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0"/>
      <c r="Z2670" t="s">
        <v>12</v>
      </c>
      <c r="AA2670" t="s">
        <v>231</v>
      </c>
      <c r="AB2670" t="s">
        <v>9</v>
      </c>
      <c r="AC2670" s="21">
        <v>6517.5</v>
      </c>
      <c r="AD2670" s="21" t="s">
        <v>368</v>
      </c>
      <c r="AE2670" t="str">
        <f>VLOOKUP(Table_Query_from_Actuarial___Production3[[#This Row],[Kor1]],$AI$3:$AK$105,3,FALSE)</f>
        <v>Premium Tax</v>
      </c>
      <c r="AF2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1" spans="18:32" x14ac:dyDescent="0.2">
      <c r="R2671" t="s">
        <v>34</v>
      </c>
      <c r="S2671" t="s">
        <v>257</v>
      </c>
      <c r="T2671" t="s">
        <v>7</v>
      </c>
      <c r="U2671" s="21">
        <v>11.68</v>
      </c>
      <c r="V2671" s="21" t="s">
        <v>368</v>
      </c>
      <c r="W2671" t="str">
        <f>VLOOKUP(Table_Query_from_Actuarial___Production[[#This Row],[Kor1]],$AI$3:$AK$105,3,FALSE)</f>
        <v>Misc. Expense</v>
      </c>
      <c r="X2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1"/>
      <c r="Z2671" t="s">
        <v>31</v>
      </c>
      <c r="AA2671" t="s">
        <v>265</v>
      </c>
      <c r="AB2671" t="s">
        <v>6</v>
      </c>
      <c r="AC2671" s="21">
        <v>26</v>
      </c>
      <c r="AD2671" s="21" t="s">
        <v>368</v>
      </c>
      <c r="AE2671" t="str">
        <f>VLOOKUP(Table_Query_from_Actuarial___Production3[[#This Row],[Kor1]],$AI$3:$AK$105,3,FALSE)</f>
        <v>Misc. Expense</v>
      </c>
      <c r="AF2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2" spans="18:32" x14ac:dyDescent="0.2">
      <c r="R2672" t="s">
        <v>43</v>
      </c>
      <c r="S2672" t="s">
        <v>243</v>
      </c>
      <c r="T2672" t="s">
        <v>7</v>
      </c>
      <c r="U2672" s="21">
        <v>2.31</v>
      </c>
      <c r="V2672" s="21" t="s">
        <v>368</v>
      </c>
      <c r="W2672" t="str">
        <f>VLOOKUP(Table_Query_from_Actuarial___Production[[#This Row],[Kor1]],$AI$3:$AK$105,3,FALSE)</f>
        <v>Charge-offs</v>
      </c>
      <c r="X2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2"/>
      <c r="Z2672" t="s">
        <v>13</v>
      </c>
      <c r="AA2672" t="s">
        <v>244</v>
      </c>
      <c r="AB2672" t="s">
        <v>6</v>
      </c>
      <c r="AC2672" s="21">
        <v>211607.79</v>
      </c>
      <c r="AD2672" s="21" t="s">
        <v>368</v>
      </c>
      <c r="AE2672" t="str">
        <f>VLOOKUP(Table_Query_from_Actuarial___Production3[[#This Row],[Kor1]],$AI$3:$AK$105,3,FALSE)</f>
        <v>Operating Service Fees</v>
      </c>
      <c r="AF2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3" spans="18:32" x14ac:dyDescent="0.2">
      <c r="R2673" t="s">
        <v>43</v>
      </c>
      <c r="S2673" t="s">
        <v>252</v>
      </c>
      <c r="T2673" t="s">
        <v>356</v>
      </c>
      <c r="U2673" s="21">
        <v>8377.76</v>
      </c>
      <c r="V2673" s="21" t="s">
        <v>368</v>
      </c>
      <c r="W2673" t="str">
        <f>VLOOKUP(Table_Query_from_Actuarial___Production[[#This Row],[Kor1]],$AI$3:$AK$105,3,FALSE)</f>
        <v>Charge-offs</v>
      </c>
      <c r="X2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3"/>
      <c r="Z2673" t="s">
        <v>37</v>
      </c>
      <c r="AA2673" t="s">
        <v>244</v>
      </c>
      <c r="AB2673" t="s">
        <v>7</v>
      </c>
      <c r="AC2673" s="21">
        <v>2085.8200000000002</v>
      </c>
      <c r="AD2673" s="21" t="s">
        <v>368</v>
      </c>
      <c r="AE2673" t="str">
        <f>VLOOKUP(Table_Query_from_Actuarial___Production3[[#This Row],[Kor1]],$AI$3:$AK$105,3,FALSE)</f>
        <v>Misc. Expense</v>
      </c>
      <c r="AF2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4" spans="18:32" x14ac:dyDescent="0.2">
      <c r="R2674" t="s">
        <v>49</v>
      </c>
      <c r="S2674" t="s">
        <v>232</v>
      </c>
      <c r="T2674" t="s">
        <v>9</v>
      </c>
      <c r="U2674" s="21">
        <v>68061.08</v>
      </c>
      <c r="V2674" s="21" t="s">
        <v>368</v>
      </c>
      <c r="W2674" t="str">
        <f>VLOOKUP(Table_Query_from_Actuarial___Production[[#This Row],[Kor1]],$AI$3:$AK$105,3,FALSE)</f>
        <v>ALAE Paid</v>
      </c>
      <c r="X2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4"/>
      <c r="Z2674" t="s">
        <v>41</v>
      </c>
      <c r="AA2674" t="s">
        <v>254</v>
      </c>
      <c r="AB2674" t="s">
        <v>427</v>
      </c>
      <c r="AC2674" s="21">
        <v>49.94</v>
      </c>
      <c r="AD2674" s="21" t="s">
        <v>368</v>
      </c>
      <c r="AE2674" t="str">
        <f>VLOOKUP(Table_Query_from_Actuarial___Production3[[#This Row],[Kor1]],$AI$3:$AK$105,3,FALSE)</f>
        <v>Misc. Income</v>
      </c>
      <c r="AF2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5" spans="18:32" x14ac:dyDescent="0.2">
      <c r="R2675" t="s">
        <v>19</v>
      </c>
      <c r="S2675" t="s">
        <v>233</v>
      </c>
      <c r="T2675" t="s">
        <v>356</v>
      </c>
      <c r="U2675" s="21">
        <v>157</v>
      </c>
      <c r="V2675" s="21" t="s">
        <v>368</v>
      </c>
      <c r="W2675" t="str">
        <f>VLOOKUP(Table_Query_from_Actuarial___Production[[#This Row],[Kor1]],$AI$3:$AK$105,3,FALSE)</f>
        <v>Misc. Expense for Insolvent Companies</v>
      </c>
      <c r="X2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5"/>
      <c r="Z2675" t="s">
        <v>19</v>
      </c>
      <c r="AA2675" t="s">
        <v>230</v>
      </c>
      <c r="AB2675" t="s">
        <v>6</v>
      </c>
      <c r="AC2675" s="21">
        <v>2168.87</v>
      </c>
      <c r="AD2675" s="21" t="s">
        <v>368</v>
      </c>
      <c r="AE2675" t="str">
        <f>VLOOKUP(Table_Query_from_Actuarial___Production3[[#This Row],[Kor1]],$AI$3:$AK$105,3,FALSE)</f>
        <v>Misc. Expense for Insolvent Companies</v>
      </c>
      <c r="AF2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6" spans="18:32" x14ac:dyDescent="0.2">
      <c r="R2676" t="s">
        <v>19</v>
      </c>
      <c r="S2676" t="s">
        <v>241</v>
      </c>
      <c r="T2676" t="s">
        <v>351</v>
      </c>
      <c r="U2676" s="21">
        <v>2174.0300000000002</v>
      </c>
      <c r="V2676" s="21" t="s">
        <v>368</v>
      </c>
      <c r="W2676" t="str">
        <f>VLOOKUP(Table_Query_from_Actuarial___Production[[#This Row],[Kor1]],$AI$3:$AK$105,3,FALSE)</f>
        <v>Misc. Expense for Insolvent Companies</v>
      </c>
      <c r="X2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6"/>
      <c r="Z2676" t="s">
        <v>39</v>
      </c>
      <c r="AA2676" t="s">
        <v>229</v>
      </c>
      <c r="AB2676" t="s">
        <v>351</v>
      </c>
      <c r="AC2676" s="21">
        <v>196</v>
      </c>
      <c r="AD2676" s="21" t="s">
        <v>368</v>
      </c>
      <c r="AE2676" t="str">
        <f>VLOOKUP(Table_Query_from_Actuarial___Production3[[#This Row],[Kor1]],$AI$3:$AK$105,3,FALSE)</f>
        <v>Misc. Income for Insolvent Companies</v>
      </c>
      <c r="AF2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7" spans="18:32" x14ac:dyDescent="0.2">
      <c r="R2677" t="s">
        <v>37</v>
      </c>
      <c r="S2677" t="s">
        <v>244</v>
      </c>
      <c r="T2677" t="s">
        <v>427</v>
      </c>
      <c r="U2677" s="21">
        <v>25170.400000000001</v>
      </c>
      <c r="V2677" s="21" t="s">
        <v>368</v>
      </c>
      <c r="W2677" t="str">
        <f>VLOOKUP(Table_Query_from_Actuarial___Production[[#This Row],[Kor1]],$AI$3:$AK$105,3,FALSE)</f>
        <v>Misc. Expense</v>
      </c>
      <c r="X2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7"/>
      <c r="Z2677" t="s">
        <v>37</v>
      </c>
      <c r="AA2677" t="s">
        <v>232</v>
      </c>
      <c r="AB2677" t="s">
        <v>8</v>
      </c>
      <c r="AC2677" s="21">
        <v>1920.13</v>
      </c>
      <c r="AD2677" s="21" t="s">
        <v>368</v>
      </c>
      <c r="AE2677" t="str">
        <f>VLOOKUP(Table_Query_from_Actuarial___Production3[[#This Row],[Kor1]],$AI$3:$AK$105,3,FALSE)</f>
        <v>Misc. Expense</v>
      </c>
      <c r="AF2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8" spans="18:32" x14ac:dyDescent="0.2">
      <c r="R2678" t="s">
        <v>21</v>
      </c>
      <c r="S2678" t="s">
        <v>232</v>
      </c>
      <c r="T2678" t="s">
        <v>9</v>
      </c>
      <c r="U2678" s="21">
        <v>1778.98</v>
      </c>
      <c r="V2678" s="21" t="s">
        <v>368</v>
      </c>
      <c r="W2678" t="str">
        <f>VLOOKUP(Table_Query_from_Actuarial___Production[[#This Row],[Kor1]],$AI$3:$AK$105,3,FALSE)</f>
        <v>Misc. Expense</v>
      </c>
      <c r="X2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8"/>
      <c r="Z2678" t="s">
        <v>11</v>
      </c>
      <c r="AA2678" t="s">
        <v>237</v>
      </c>
      <c r="AB2678" t="s">
        <v>5</v>
      </c>
      <c r="AC2678" s="21">
        <v>379914.89</v>
      </c>
      <c r="AD2678" s="21" t="s">
        <v>368</v>
      </c>
      <c r="AE2678" t="str">
        <f>VLOOKUP(Table_Query_from_Actuarial___Production3[[#This Row],[Kor1]],$AI$3:$AK$105,3,FALSE)</f>
        <v>Losses Paid</v>
      </c>
      <c r="AF2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79" spans="18:32" x14ac:dyDescent="0.2">
      <c r="R2679" t="s">
        <v>77</v>
      </c>
      <c r="S2679" t="s">
        <v>239</v>
      </c>
      <c r="T2679" t="s">
        <v>445</v>
      </c>
      <c r="U2679" s="21">
        <v>1034960</v>
      </c>
      <c r="V2679" s="21" t="s">
        <v>368</v>
      </c>
      <c r="W2679" t="str">
        <f>VLOOKUP(Table_Query_from_Actuarial___Production[[#This Row],[Kor1]],$AI$3:$AK$105,3,FALSE)</f>
        <v>PDR</v>
      </c>
      <c r="X2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79"/>
      <c r="Z2679" t="s">
        <v>41</v>
      </c>
      <c r="AA2679" t="s">
        <v>265</v>
      </c>
      <c r="AB2679" t="s">
        <v>8</v>
      </c>
      <c r="AC2679" s="21">
        <v>1250</v>
      </c>
      <c r="AD2679" s="21" t="s">
        <v>368</v>
      </c>
      <c r="AE2679" t="str">
        <f>VLOOKUP(Table_Query_from_Actuarial___Production3[[#This Row],[Kor1]],$AI$3:$AK$105,3,FALSE)</f>
        <v>Misc. Income</v>
      </c>
      <c r="AF2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0" spans="18:32" x14ac:dyDescent="0.2">
      <c r="R2680" t="s">
        <v>43</v>
      </c>
      <c r="S2680" t="s">
        <v>224</v>
      </c>
      <c r="T2680" t="s">
        <v>433</v>
      </c>
      <c r="U2680" s="21">
        <v>9.77</v>
      </c>
      <c r="V2680" s="21" t="s">
        <v>369</v>
      </c>
      <c r="W2680" t="str">
        <f>VLOOKUP(Table_Query_from_Actuarial___Production[[#This Row],[Kor1]],$AI$3:$AK$105,3,FALSE)</f>
        <v>Charge-offs</v>
      </c>
      <c r="X2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680"/>
      <c r="Z2680" t="s">
        <v>16</v>
      </c>
      <c r="AA2680" t="s">
        <v>246</v>
      </c>
      <c r="AB2680" t="s">
        <v>433</v>
      </c>
      <c r="AC2680" s="21">
        <v>866959.95</v>
      </c>
      <c r="AD2680" s="21" t="s">
        <v>368</v>
      </c>
      <c r="AE2680" t="str">
        <f>VLOOKUP(Table_Query_from_Actuarial___Production3[[#This Row],[Kor1]],$AI$3:$AK$105,3,FALSE)</f>
        <v>Losses Outstanding</v>
      </c>
      <c r="AF2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1" spans="18:32" x14ac:dyDescent="0.2">
      <c r="R2681" t="s">
        <v>43</v>
      </c>
      <c r="S2681" t="s">
        <v>224</v>
      </c>
      <c r="T2681" t="s">
        <v>442</v>
      </c>
      <c r="U2681" s="21">
        <v>24.81</v>
      </c>
      <c r="V2681" s="21" t="s">
        <v>370</v>
      </c>
      <c r="W2681" t="str">
        <f>VLOOKUP(Table_Query_from_Actuarial___Production[[#This Row],[Kor1]],$AI$3:$AK$105,3,FALSE)</f>
        <v>Charge-offs</v>
      </c>
      <c r="X2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681"/>
      <c r="Z2681" t="s">
        <v>37</v>
      </c>
      <c r="AA2681" t="s">
        <v>4</v>
      </c>
      <c r="AB2681" t="s">
        <v>427</v>
      </c>
      <c r="AC2681" s="21">
        <v>115611.9</v>
      </c>
      <c r="AD2681" s="21" t="s">
        <v>368</v>
      </c>
      <c r="AE2681" t="str">
        <f>VLOOKUP(Table_Query_from_Actuarial___Production3[[#This Row],[Kor1]],$AI$3:$AK$105,3,FALSE)</f>
        <v>Misc. Expense</v>
      </c>
      <c r="AF2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2" spans="18:32" x14ac:dyDescent="0.2">
      <c r="R2682" t="s">
        <v>43</v>
      </c>
      <c r="S2682" t="s">
        <v>232</v>
      </c>
      <c r="T2682" t="s">
        <v>6</v>
      </c>
      <c r="U2682" s="21">
        <v>101.13</v>
      </c>
      <c r="V2682" s="21" t="s">
        <v>368</v>
      </c>
      <c r="W2682" t="str">
        <f>VLOOKUP(Table_Query_from_Actuarial___Production[[#This Row],[Kor1]],$AI$3:$AK$105,3,FALSE)</f>
        <v>Charge-offs</v>
      </c>
      <c r="X2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2"/>
      <c r="Z2682" t="s">
        <v>13</v>
      </c>
      <c r="AA2682" t="s">
        <v>230</v>
      </c>
      <c r="AB2682" t="s">
        <v>9</v>
      </c>
      <c r="AC2682" s="21">
        <v>5189494.46</v>
      </c>
      <c r="AD2682" s="21" t="s">
        <v>368</v>
      </c>
      <c r="AE2682" t="str">
        <f>VLOOKUP(Table_Query_from_Actuarial___Production3[[#This Row],[Kor1]],$AI$3:$AK$105,3,FALSE)</f>
        <v>Operating Service Fees</v>
      </c>
      <c r="AF2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3" spans="18:32" x14ac:dyDescent="0.2">
      <c r="R2683" t="s">
        <v>11</v>
      </c>
      <c r="S2683" t="s">
        <v>354</v>
      </c>
      <c r="T2683" t="s">
        <v>356</v>
      </c>
      <c r="U2683" s="21">
        <v>898203765.03999996</v>
      </c>
      <c r="V2683" s="21" t="s">
        <v>369</v>
      </c>
      <c r="W2683" t="str">
        <f>VLOOKUP(Table_Query_from_Actuarial___Production[[#This Row],[Kor1]],$AI$3:$AK$105,3,FALSE)</f>
        <v>Losses Paid</v>
      </c>
      <c r="X2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683"/>
      <c r="Z2683" t="s">
        <v>34</v>
      </c>
      <c r="AA2683" t="s">
        <v>241</v>
      </c>
      <c r="AB2683" t="s">
        <v>8</v>
      </c>
      <c r="AC2683" s="21">
        <v>21.83</v>
      </c>
      <c r="AD2683" s="21" t="s">
        <v>368</v>
      </c>
      <c r="AE2683" t="str">
        <f>VLOOKUP(Table_Query_from_Actuarial___Production3[[#This Row],[Kor1]],$AI$3:$AK$105,3,FALSE)</f>
        <v>Misc. Expense</v>
      </c>
      <c r="AF2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4" spans="18:32" x14ac:dyDescent="0.2">
      <c r="R2684" t="s">
        <v>20</v>
      </c>
      <c r="S2684" t="s">
        <v>229</v>
      </c>
      <c r="T2684" t="s">
        <v>445</v>
      </c>
      <c r="U2684" s="21">
        <v>28.48</v>
      </c>
      <c r="V2684" s="21" t="s">
        <v>368</v>
      </c>
      <c r="W2684" t="str">
        <f>VLOOKUP(Table_Query_from_Actuarial___Production[[#This Row],[Kor1]],$AI$3:$AK$105,3,FALSE)</f>
        <v>Misc. Expense</v>
      </c>
      <c r="X2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4"/>
      <c r="Z2684" t="s">
        <v>43</v>
      </c>
      <c r="AA2684" t="s">
        <v>224</v>
      </c>
      <c r="AB2684" t="s">
        <v>356</v>
      </c>
      <c r="AC2684" s="21">
        <v>94.58</v>
      </c>
      <c r="AD2684" s="21" t="s">
        <v>368</v>
      </c>
      <c r="AE2684" t="str">
        <f>VLOOKUP(Table_Query_from_Actuarial___Production3[[#This Row],[Kor1]],$AI$3:$AK$105,3,FALSE)</f>
        <v>Charge-offs</v>
      </c>
      <c r="AF2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685" spans="18:32" x14ac:dyDescent="0.2">
      <c r="R2685" t="s">
        <v>44</v>
      </c>
      <c r="S2685" t="s">
        <v>226</v>
      </c>
      <c r="T2685" t="s">
        <v>427</v>
      </c>
      <c r="U2685" s="21">
        <v>30536</v>
      </c>
      <c r="V2685" s="21" t="s">
        <v>368</v>
      </c>
      <c r="W2685" t="str">
        <f>VLOOKUP(Table_Query_from_Actuarial___Production[[#This Row],[Kor1]],$AI$3:$AK$105,3,FALSE)</f>
        <v>Charge-offs</v>
      </c>
      <c r="X2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685"/>
      <c r="Z2685" t="s">
        <v>37</v>
      </c>
      <c r="AA2685" t="s">
        <v>251</v>
      </c>
      <c r="AB2685" t="s">
        <v>427</v>
      </c>
      <c r="AC2685" s="21">
        <v>188.25</v>
      </c>
      <c r="AD2685" s="21" t="s">
        <v>368</v>
      </c>
      <c r="AE2685" t="str">
        <f>VLOOKUP(Table_Query_from_Actuarial___Production3[[#This Row],[Kor1]],$AI$3:$AK$105,3,FALSE)</f>
        <v>Misc. Expense</v>
      </c>
      <c r="AF2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6" spans="18:32" x14ac:dyDescent="0.2">
      <c r="R2686" t="s">
        <v>11</v>
      </c>
      <c r="S2686" t="s">
        <v>264</v>
      </c>
      <c r="T2686" t="s">
        <v>443</v>
      </c>
      <c r="U2686" s="21">
        <v>142949.53</v>
      </c>
      <c r="V2686" s="21" t="s">
        <v>368</v>
      </c>
      <c r="W2686" t="str">
        <f>VLOOKUP(Table_Query_from_Actuarial___Production[[#This Row],[Kor1]],$AI$3:$AK$105,3,FALSE)</f>
        <v>Losses Paid</v>
      </c>
      <c r="X2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6"/>
      <c r="Z2686" t="s">
        <v>31</v>
      </c>
      <c r="AA2686" t="s">
        <v>239</v>
      </c>
      <c r="AB2686" t="s">
        <v>433</v>
      </c>
      <c r="AC2686" s="21">
        <v>965.11</v>
      </c>
      <c r="AD2686" s="21" t="s">
        <v>368</v>
      </c>
      <c r="AE2686" t="str">
        <f>VLOOKUP(Table_Query_from_Actuarial___Production3[[#This Row],[Kor1]],$AI$3:$AK$105,3,FALSE)</f>
        <v>Misc. Expense</v>
      </c>
      <c r="AF2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7" spans="18:32" x14ac:dyDescent="0.2">
      <c r="R2687" t="s">
        <v>31</v>
      </c>
      <c r="S2687" t="s">
        <v>251</v>
      </c>
      <c r="T2687" t="s">
        <v>351</v>
      </c>
      <c r="U2687" s="21">
        <v>750.39</v>
      </c>
      <c r="V2687" s="21" t="s">
        <v>368</v>
      </c>
      <c r="W2687" t="str">
        <f>VLOOKUP(Table_Query_from_Actuarial___Production[[#This Row],[Kor1]],$AI$3:$AK$105,3,FALSE)</f>
        <v>Misc. Expense</v>
      </c>
      <c r="X2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7"/>
      <c r="Z2687" t="s">
        <v>31</v>
      </c>
      <c r="AA2687" t="s">
        <v>264</v>
      </c>
      <c r="AB2687" t="s">
        <v>9</v>
      </c>
      <c r="AC2687" s="21">
        <v>318.52</v>
      </c>
      <c r="AD2687" s="21" t="s">
        <v>368</v>
      </c>
      <c r="AE2687" t="str">
        <f>VLOOKUP(Table_Query_from_Actuarial___Production3[[#This Row],[Kor1]],$AI$3:$AK$105,3,FALSE)</f>
        <v>Misc. Expense</v>
      </c>
      <c r="AF2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8" spans="18:32" x14ac:dyDescent="0.2">
      <c r="R2688" t="s">
        <v>48</v>
      </c>
      <c r="S2688" t="s">
        <v>233</v>
      </c>
      <c r="T2688" t="s">
        <v>433</v>
      </c>
      <c r="U2688" s="21">
        <v>1486.25</v>
      </c>
      <c r="V2688" s="21" t="s">
        <v>368</v>
      </c>
      <c r="W2688" t="str">
        <f>VLOOKUP(Table_Query_from_Actuarial___Production[[#This Row],[Kor1]],$AI$3:$AK$105,3,FALSE)</f>
        <v>Anticipated Salvage</v>
      </c>
      <c r="X2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88"/>
      <c r="Z2688" t="s">
        <v>43</v>
      </c>
      <c r="AA2688" t="s">
        <v>248</v>
      </c>
      <c r="AB2688" t="s">
        <v>427</v>
      </c>
      <c r="AC2688" s="21">
        <v>3.81</v>
      </c>
      <c r="AD2688" s="21" t="s">
        <v>368</v>
      </c>
      <c r="AE2688" t="str">
        <f>VLOOKUP(Table_Query_from_Actuarial___Production3[[#This Row],[Kor1]],$AI$3:$AK$105,3,FALSE)</f>
        <v>Charge-offs</v>
      </c>
      <c r="AF2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89" spans="18:32" x14ac:dyDescent="0.2">
      <c r="R2689" t="s">
        <v>10</v>
      </c>
      <c r="S2689" t="s">
        <v>224</v>
      </c>
      <c r="T2689" t="s">
        <v>9</v>
      </c>
      <c r="U2689" s="21">
        <v>162709.59</v>
      </c>
      <c r="V2689" s="21" t="s">
        <v>368</v>
      </c>
      <c r="W2689" t="str">
        <f>VLOOKUP(Table_Query_from_Actuarial___Production[[#This Row],[Kor1]],$AI$3:$AK$105,3,FALSE)</f>
        <v>Commissions</v>
      </c>
      <c r="X2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689"/>
      <c r="Z2689" t="s">
        <v>24</v>
      </c>
      <c r="AA2689" t="s">
        <v>259</v>
      </c>
      <c r="AB2689" t="s">
        <v>441</v>
      </c>
      <c r="AC2689" s="21">
        <v>92.68</v>
      </c>
      <c r="AD2689" s="21" t="s">
        <v>368</v>
      </c>
      <c r="AE2689" t="str">
        <f>VLOOKUP(Table_Query_from_Actuarial___Production3[[#This Row],[Kor1]],$AI$3:$AK$105,3,FALSE)</f>
        <v>Misc. Expense</v>
      </c>
      <c r="AF2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0" spans="18:32" x14ac:dyDescent="0.2">
      <c r="R2690" t="s">
        <v>31</v>
      </c>
      <c r="S2690" t="s">
        <v>237</v>
      </c>
      <c r="T2690" t="s">
        <v>7</v>
      </c>
      <c r="U2690" s="21">
        <v>1002.62</v>
      </c>
      <c r="V2690" s="21" t="s">
        <v>368</v>
      </c>
      <c r="W2690" t="str">
        <f>VLOOKUP(Table_Query_from_Actuarial___Production[[#This Row],[Kor1]],$AI$3:$AK$105,3,FALSE)</f>
        <v>Misc. Expense</v>
      </c>
      <c r="X2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0"/>
      <c r="Z2690" t="s">
        <v>33</v>
      </c>
      <c r="AA2690" t="s">
        <v>250</v>
      </c>
      <c r="AB2690" t="s">
        <v>351</v>
      </c>
      <c r="AC2690" s="21">
        <v>34351.089999999997</v>
      </c>
      <c r="AD2690" s="21" t="s">
        <v>368</v>
      </c>
      <c r="AE2690" t="str">
        <f>VLOOKUP(Table_Query_from_Actuarial___Production3[[#This Row],[Kor1]],$AI$3:$AK$105,3,FALSE)</f>
        <v>Misc. Expense</v>
      </c>
      <c r="AF2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1" spans="18:32" x14ac:dyDescent="0.2">
      <c r="R2691" t="s">
        <v>37</v>
      </c>
      <c r="S2691" t="s">
        <v>231</v>
      </c>
      <c r="T2691" t="s">
        <v>9</v>
      </c>
      <c r="U2691" s="21">
        <v>6315.09</v>
      </c>
      <c r="V2691" s="21" t="s">
        <v>368</v>
      </c>
      <c r="W2691" t="str">
        <f>VLOOKUP(Table_Query_from_Actuarial___Production[[#This Row],[Kor1]],$AI$3:$AK$105,3,FALSE)</f>
        <v>Misc. Expense</v>
      </c>
      <c r="X2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1"/>
      <c r="Z2691" t="s">
        <v>50</v>
      </c>
      <c r="AA2691" t="s">
        <v>244</v>
      </c>
      <c r="AB2691" t="s">
        <v>427</v>
      </c>
      <c r="AC2691" s="21">
        <v>13405.05</v>
      </c>
      <c r="AD2691" s="21" t="s">
        <v>368</v>
      </c>
      <c r="AE2691" t="str">
        <f>VLOOKUP(Table_Query_from_Actuarial___Production3[[#This Row],[Kor1]],$AI$3:$AK$105,3,FALSE)</f>
        <v>ALAE Reserve</v>
      </c>
      <c r="AF2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2" spans="18:32" x14ac:dyDescent="0.2">
      <c r="R2692" t="s">
        <v>3</v>
      </c>
      <c r="S2692" t="s">
        <v>238</v>
      </c>
      <c r="T2692" t="s">
        <v>356</v>
      </c>
      <c r="U2692" s="21">
        <v>1912804</v>
      </c>
      <c r="V2692" s="21" t="s">
        <v>368</v>
      </c>
      <c r="W2692" t="str">
        <f>VLOOKUP(Table_Query_from_Actuarial___Production[[#This Row],[Kor1]],$AI$3:$AK$105,3,FALSE)</f>
        <v>Premiums Written</v>
      </c>
      <c r="X2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2"/>
      <c r="Z2692" t="s">
        <v>10</v>
      </c>
      <c r="AA2692" t="s">
        <v>225</v>
      </c>
      <c r="AB2692" t="s">
        <v>442</v>
      </c>
      <c r="AC2692" s="21">
        <v>26669.599999999999</v>
      </c>
      <c r="AD2692" s="21" t="s">
        <v>369</v>
      </c>
      <c r="AE2692" t="str">
        <f>VLOOKUP(Table_Query_from_Actuarial___Production3[[#This Row],[Kor1]],$AI$3:$AK$105,3,FALSE)</f>
        <v>Commissions</v>
      </c>
      <c r="AF2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693" spans="18:32" x14ac:dyDescent="0.2">
      <c r="R2693" t="s">
        <v>10</v>
      </c>
      <c r="S2693" t="s">
        <v>352</v>
      </c>
      <c r="T2693" t="s">
        <v>9</v>
      </c>
      <c r="U2693" s="21">
        <v>872.53</v>
      </c>
      <c r="V2693" s="21" t="s">
        <v>368</v>
      </c>
      <c r="W2693" t="str">
        <f>VLOOKUP(Table_Query_from_Actuarial___Production[[#This Row],[Kor1]],$AI$3:$AK$105,3,FALSE)</f>
        <v>Commissions</v>
      </c>
      <c r="X2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2693"/>
      <c r="Z2693" t="s">
        <v>33</v>
      </c>
      <c r="AA2693" t="s">
        <v>260</v>
      </c>
      <c r="AB2693" t="s">
        <v>5</v>
      </c>
      <c r="AC2693" s="21">
        <v>12002.92</v>
      </c>
      <c r="AD2693" s="21" t="s">
        <v>368</v>
      </c>
      <c r="AE2693" t="str">
        <f>VLOOKUP(Table_Query_from_Actuarial___Production3[[#This Row],[Kor1]],$AI$3:$AK$105,3,FALSE)</f>
        <v>Misc. Expense</v>
      </c>
      <c r="AF2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4" spans="18:32" x14ac:dyDescent="0.2">
      <c r="R2694" t="s">
        <v>15</v>
      </c>
      <c r="S2694" t="s">
        <v>230</v>
      </c>
      <c r="T2694" t="s">
        <v>445</v>
      </c>
      <c r="U2694" s="21">
        <v>4140327.16</v>
      </c>
      <c r="V2694" s="21" t="s">
        <v>368</v>
      </c>
      <c r="W2694" t="str">
        <f>VLOOKUP(Table_Query_from_Actuarial___Production[[#This Row],[Kor1]],$AI$3:$AK$105,3,FALSE)</f>
        <v>Unearned Premiums</v>
      </c>
      <c r="X2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4"/>
      <c r="Z2694" t="s">
        <v>16</v>
      </c>
      <c r="AA2694" t="s">
        <v>257</v>
      </c>
      <c r="AB2694" t="s">
        <v>356</v>
      </c>
      <c r="AC2694" s="21">
        <v>-282</v>
      </c>
      <c r="AD2694" s="21" t="s">
        <v>368</v>
      </c>
      <c r="AE2694" t="str">
        <f>VLOOKUP(Table_Query_from_Actuarial___Production3[[#This Row],[Kor1]],$AI$3:$AK$105,3,FALSE)</f>
        <v>Losses Outstanding</v>
      </c>
      <c r="AF2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5" spans="18:32" x14ac:dyDescent="0.2">
      <c r="R2695" t="s">
        <v>29</v>
      </c>
      <c r="S2695" t="s">
        <v>259</v>
      </c>
      <c r="T2695" t="s">
        <v>445</v>
      </c>
      <c r="U2695" s="21">
        <v>560</v>
      </c>
      <c r="V2695" s="21" t="s">
        <v>368</v>
      </c>
      <c r="W2695" t="str">
        <f>VLOOKUP(Table_Query_from_Actuarial___Production[[#This Row],[Kor1]],$AI$3:$AK$105,3,FALSE)</f>
        <v>Misc. Expense</v>
      </c>
      <c r="X2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5"/>
      <c r="Z2695" t="s">
        <v>39</v>
      </c>
      <c r="AA2695" t="s">
        <v>236</v>
      </c>
      <c r="AB2695" t="s">
        <v>443</v>
      </c>
      <c r="AC2695" s="21">
        <v>3</v>
      </c>
      <c r="AD2695" s="21" t="s">
        <v>368</v>
      </c>
      <c r="AE2695" t="str">
        <f>VLOOKUP(Table_Query_from_Actuarial___Production3[[#This Row],[Kor1]],$AI$3:$AK$105,3,FALSE)</f>
        <v>Misc. Income for Insolvent Companies</v>
      </c>
      <c r="AF2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6" spans="18:32" x14ac:dyDescent="0.2">
      <c r="R2696" t="s">
        <v>39</v>
      </c>
      <c r="S2696" t="s">
        <v>257</v>
      </c>
      <c r="T2696" t="s">
        <v>441</v>
      </c>
      <c r="U2696" s="21">
        <v>1013.99</v>
      </c>
      <c r="V2696" s="21" t="s">
        <v>368</v>
      </c>
      <c r="W2696" t="str">
        <f>VLOOKUP(Table_Query_from_Actuarial___Production[[#This Row],[Kor1]],$AI$3:$AK$105,3,FALSE)</f>
        <v>Misc. Income for Insolvent Companies</v>
      </c>
      <c r="X2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6"/>
      <c r="Z2696" t="s">
        <v>41</v>
      </c>
      <c r="AA2696" t="s">
        <v>250</v>
      </c>
      <c r="AB2696" t="s">
        <v>8</v>
      </c>
      <c r="AC2696" s="21">
        <v>909.17</v>
      </c>
      <c r="AD2696" s="21" t="s">
        <v>368</v>
      </c>
      <c r="AE2696" t="str">
        <f>VLOOKUP(Table_Query_from_Actuarial___Production3[[#This Row],[Kor1]],$AI$3:$AK$105,3,FALSE)</f>
        <v>Misc. Income</v>
      </c>
      <c r="AF2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7" spans="18:32" x14ac:dyDescent="0.2">
      <c r="R2697" t="s">
        <v>13</v>
      </c>
      <c r="S2697" t="s">
        <v>243</v>
      </c>
      <c r="T2697" t="s">
        <v>351</v>
      </c>
      <c r="U2697" s="21">
        <v>70683.33</v>
      </c>
      <c r="V2697" s="21" t="s">
        <v>368</v>
      </c>
      <c r="W2697" t="str">
        <f>VLOOKUP(Table_Query_from_Actuarial___Production[[#This Row],[Kor1]],$AI$3:$AK$105,3,FALSE)</f>
        <v>Operating Service Fees</v>
      </c>
      <c r="X2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7"/>
      <c r="Z2697" t="s">
        <v>10</v>
      </c>
      <c r="AA2697" t="s">
        <v>253</v>
      </c>
      <c r="AB2697" t="s">
        <v>433</v>
      </c>
      <c r="AC2697" s="21">
        <v>3162.65</v>
      </c>
      <c r="AD2697" s="21" t="s">
        <v>368</v>
      </c>
      <c r="AE2697" t="str">
        <f>VLOOKUP(Table_Query_from_Actuarial___Production3[[#This Row],[Kor1]],$AI$3:$AK$105,3,FALSE)</f>
        <v>Commissions</v>
      </c>
      <c r="AF2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8" spans="18:32" x14ac:dyDescent="0.2">
      <c r="R2698" t="s">
        <v>13</v>
      </c>
      <c r="S2698" t="s">
        <v>254</v>
      </c>
      <c r="T2698" t="s">
        <v>7</v>
      </c>
      <c r="U2698" s="21">
        <v>68894.64</v>
      </c>
      <c r="V2698" s="21" t="s">
        <v>368</v>
      </c>
      <c r="W2698" t="str">
        <f>VLOOKUP(Table_Query_from_Actuarial___Production[[#This Row],[Kor1]],$AI$3:$AK$105,3,FALSE)</f>
        <v>Operating Service Fees</v>
      </c>
      <c r="X2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8"/>
      <c r="Z2698" t="s">
        <v>12</v>
      </c>
      <c r="AA2698" t="s">
        <v>238</v>
      </c>
      <c r="AB2698" t="s">
        <v>8</v>
      </c>
      <c r="AC2698" s="21">
        <v>4822.5200000000004</v>
      </c>
      <c r="AD2698" s="21" t="s">
        <v>368</v>
      </c>
      <c r="AE2698" t="str">
        <f>VLOOKUP(Table_Query_from_Actuarial___Production3[[#This Row],[Kor1]],$AI$3:$AK$105,3,FALSE)</f>
        <v>Premium Tax</v>
      </c>
      <c r="AF2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699" spans="18:32" x14ac:dyDescent="0.2">
      <c r="R2699" t="s">
        <v>19</v>
      </c>
      <c r="S2699" t="s">
        <v>237</v>
      </c>
      <c r="T2699" t="s">
        <v>351</v>
      </c>
      <c r="U2699" s="21">
        <v>43023.23</v>
      </c>
      <c r="V2699" s="21" t="s">
        <v>368</v>
      </c>
      <c r="W2699" t="str">
        <f>VLOOKUP(Table_Query_from_Actuarial___Production[[#This Row],[Kor1]],$AI$3:$AK$105,3,FALSE)</f>
        <v>Misc. Expense for Insolvent Companies</v>
      </c>
      <c r="X2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699"/>
      <c r="Z2699" t="s">
        <v>31</v>
      </c>
      <c r="AA2699" t="s">
        <v>251</v>
      </c>
      <c r="AB2699" t="s">
        <v>441</v>
      </c>
      <c r="AC2699" s="21">
        <v>887.61</v>
      </c>
      <c r="AD2699" s="21" t="s">
        <v>368</v>
      </c>
      <c r="AE2699" t="str">
        <f>VLOOKUP(Table_Query_from_Actuarial___Production3[[#This Row],[Kor1]],$AI$3:$AK$105,3,FALSE)</f>
        <v>Misc. Expense</v>
      </c>
      <c r="AF2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0" spans="18:32" x14ac:dyDescent="0.2">
      <c r="R2700" t="s">
        <v>48</v>
      </c>
      <c r="S2700" t="s">
        <v>241</v>
      </c>
      <c r="T2700" t="s">
        <v>433</v>
      </c>
      <c r="U2700" s="21">
        <v>772.79</v>
      </c>
      <c r="V2700" s="21" t="s">
        <v>368</v>
      </c>
      <c r="W2700" t="str">
        <f>VLOOKUP(Table_Query_from_Actuarial___Production[[#This Row],[Kor1]],$AI$3:$AK$105,3,FALSE)</f>
        <v>Anticipated Salvage</v>
      </c>
      <c r="X2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0"/>
      <c r="Z2700" t="s">
        <v>37</v>
      </c>
      <c r="AA2700" t="s">
        <v>258</v>
      </c>
      <c r="AB2700" t="s">
        <v>5</v>
      </c>
      <c r="AC2700" s="21">
        <v>272.67</v>
      </c>
      <c r="AD2700" s="21" t="s">
        <v>368</v>
      </c>
      <c r="AE2700" t="str">
        <f>VLOOKUP(Table_Query_from_Actuarial___Production3[[#This Row],[Kor1]],$AI$3:$AK$105,3,FALSE)</f>
        <v>Misc. Expense</v>
      </c>
      <c r="AF2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1" spans="18:32" x14ac:dyDescent="0.2">
      <c r="R2701" t="s">
        <v>11</v>
      </c>
      <c r="S2701" t="s">
        <v>262</v>
      </c>
      <c r="T2701" t="s">
        <v>8</v>
      </c>
      <c r="U2701" s="21">
        <v>3255.72</v>
      </c>
      <c r="V2701" s="21" t="s">
        <v>368</v>
      </c>
      <c r="W2701" t="str">
        <f>VLOOKUP(Table_Query_from_Actuarial___Production[[#This Row],[Kor1]],$AI$3:$AK$105,3,FALSE)</f>
        <v>Losses Paid</v>
      </c>
      <c r="X2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1"/>
      <c r="Z2701" t="s">
        <v>11</v>
      </c>
      <c r="AA2701" t="s">
        <v>265</v>
      </c>
      <c r="AB2701" t="s">
        <v>356</v>
      </c>
      <c r="AC2701" s="21">
        <v>476922.88</v>
      </c>
      <c r="AD2701" s="21" t="s">
        <v>368</v>
      </c>
      <c r="AE2701" t="str">
        <f>VLOOKUP(Table_Query_from_Actuarial___Production3[[#This Row],[Kor1]],$AI$3:$AK$105,3,FALSE)</f>
        <v>Losses Paid</v>
      </c>
      <c r="AF2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2" spans="18:32" x14ac:dyDescent="0.2">
      <c r="R2702" t="s">
        <v>11</v>
      </c>
      <c r="S2702" t="s">
        <v>263</v>
      </c>
      <c r="T2702" t="s">
        <v>443</v>
      </c>
      <c r="U2702" s="21">
        <v>51742.43</v>
      </c>
      <c r="V2702" s="21" t="s">
        <v>368</v>
      </c>
      <c r="W2702" t="str">
        <f>VLOOKUP(Table_Query_from_Actuarial___Production[[#This Row],[Kor1]],$AI$3:$AK$105,3,FALSE)</f>
        <v>Losses Paid</v>
      </c>
      <c r="X2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2"/>
      <c r="Z2702" t="s">
        <v>19</v>
      </c>
      <c r="AA2702" t="s">
        <v>245</v>
      </c>
      <c r="AB2702" t="s">
        <v>433</v>
      </c>
      <c r="AC2702" s="21">
        <v>4</v>
      </c>
      <c r="AD2702" s="21" t="s">
        <v>368</v>
      </c>
      <c r="AE2702" t="str">
        <f>VLOOKUP(Table_Query_from_Actuarial___Production3[[#This Row],[Kor1]],$AI$3:$AK$105,3,FALSE)</f>
        <v>Misc. Expense for Insolvent Companies</v>
      </c>
      <c r="AF2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3" spans="18:32" x14ac:dyDescent="0.2">
      <c r="R2703" t="s">
        <v>20</v>
      </c>
      <c r="S2703" t="s">
        <v>250</v>
      </c>
      <c r="T2703" t="s">
        <v>441</v>
      </c>
      <c r="U2703" s="21">
        <v>535.17999999999995</v>
      </c>
      <c r="V2703" s="21" t="s">
        <v>368</v>
      </c>
      <c r="W2703" t="str">
        <f>VLOOKUP(Table_Query_from_Actuarial___Production[[#This Row],[Kor1]],$AI$3:$AK$105,3,FALSE)</f>
        <v>Misc. Expense</v>
      </c>
      <c r="X2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3"/>
      <c r="Z2703" t="s">
        <v>33</v>
      </c>
      <c r="AA2703" t="s">
        <v>263</v>
      </c>
      <c r="AB2703" t="s">
        <v>433</v>
      </c>
      <c r="AC2703" s="21">
        <v>14765.26</v>
      </c>
      <c r="AD2703" s="21" t="s">
        <v>368</v>
      </c>
      <c r="AE2703" t="str">
        <f>VLOOKUP(Table_Query_from_Actuarial___Production3[[#This Row],[Kor1]],$AI$3:$AK$105,3,FALSE)</f>
        <v>Misc. Expense</v>
      </c>
      <c r="AF2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4" spans="18:32" x14ac:dyDescent="0.2">
      <c r="R2704" t="s">
        <v>31</v>
      </c>
      <c r="S2704" t="s">
        <v>227</v>
      </c>
      <c r="T2704" t="s">
        <v>351</v>
      </c>
      <c r="U2704" s="21">
        <v>243.64</v>
      </c>
      <c r="V2704" s="21" t="s">
        <v>368</v>
      </c>
      <c r="W2704" t="str">
        <f>VLOOKUP(Table_Query_from_Actuarial___Production[[#This Row],[Kor1]],$AI$3:$AK$105,3,FALSE)</f>
        <v>Misc. Expense</v>
      </c>
      <c r="X2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4"/>
      <c r="Z2704" t="s">
        <v>20</v>
      </c>
      <c r="AA2704" t="s">
        <v>235</v>
      </c>
      <c r="AB2704" t="s">
        <v>441</v>
      </c>
      <c r="AC2704" s="21">
        <v>447.02</v>
      </c>
      <c r="AD2704" s="21" t="s">
        <v>368</v>
      </c>
      <c r="AE2704" t="str">
        <f>VLOOKUP(Table_Query_from_Actuarial___Production3[[#This Row],[Kor1]],$AI$3:$AK$105,3,FALSE)</f>
        <v>Misc. Expense</v>
      </c>
      <c r="AF2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5" spans="18:32" x14ac:dyDescent="0.2">
      <c r="R2705" t="s">
        <v>41</v>
      </c>
      <c r="S2705" t="s">
        <v>4</v>
      </c>
      <c r="T2705" t="s">
        <v>8</v>
      </c>
      <c r="U2705" s="21">
        <v>620.11</v>
      </c>
      <c r="V2705" s="21" t="s">
        <v>368</v>
      </c>
      <c r="W2705" t="str">
        <f>VLOOKUP(Table_Query_from_Actuarial___Production[[#This Row],[Kor1]],$AI$3:$AK$105,3,FALSE)</f>
        <v>Misc. Income</v>
      </c>
      <c r="X2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5"/>
      <c r="Z2705" t="s">
        <v>38</v>
      </c>
      <c r="AA2705" t="s">
        <v>352</v>
      </c>
      <c r="AB2705" t="s">
        <v>351</v>
      </c>
      <c r="AC2705" s="21">
        <v>558.83000000000004</v>
      </c>
      <c r="AD2705" s="21" t="s">
        <v>368</v>
      </c>
      <c r="AE2705" t="str">
        <f>VLOOKUP(Table_Query_from_Actuarial___Production3[[#This Row],[Kor1]],$AI$3:$AK$105,3,FALSE)</f>
        <v>Misc. Income</v>
      </c>
      <c r="AF2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2706" spans="18:32" x14ac:dyDescent="0.2">
      <c r="R2706" t="s">
        <v>48</v>
      </c>
      <c r="S2706" t="s">
        <v>261</v>
      </c>
      <c r="T2706" t="s">
        <v>441</v>
      </c>
      <c r="U2706" s="21">
        <v>1287.6400000000001</v>
      </c>
      <c r="V2706" s="21" t="s">
        <v>368</v>
      </c>
      <c r="W2706" t="str">
        <f>VLOOKUP(Table_Query_from_Actuarial___Production[[#This Row],[Kor1]],$AI$3:$AK$105,3,FALSE)</f>
        <v>Anticipated Salvage</v>
      </c>
      <c r="X2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6"/>
      <c r="Z2706" t="s">
        <v>33</v>
      </c>
      <c r="AA2706" t="s">
        <v>236</v>
      </c>
      <c r="AB2706" t="s">
        <v>427</v>
      </c>
      <c r="AC2706" s="21">
        <v>15974.43</v>
      </c>
      <c r="AD2706" s="21" t="s">
        <v>368</v>
      </c>
      <c r="AE2706" t="str">
        <f>VLOOKUP(Table_Query_from_Actuarial___Production3[[#This Row],[Kor1]],$AI$3:$AK$105,3,FALSE)</f>
        <v>Misc. Expense</v>
      </c>
      <c r="AF2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7" spans="18:32" x14ac:dyDescent="0.2">
      <c r="R2707" t="s">
        <v>20</v>
      </c>
      <c r="S2707" t="s">
        <v>255</v>
      </c>
      <c r="T2707" t="s">
        <v>6</v>
      </c>
      <c r="U2707" s="21">
        <v>386.28</v>
      </c>
      <c r="V2707" s="21" t="s">
        <v>368</v>
      </c>
      <c r="W2707" t="str">
        <f>VLOOKUP(Table_Query_from_Actuarial___Production[[#This Row],[Kor1]],$AI$3:$AK$105,3,FALSE)</f>
        <v>Misc. Expense</v>
      </c>
      <c r="X2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7"/>
      <c r="Z2707" t="s">
        <v>12</v>
      </c>
      <c r="AA2707" t="s">
        <v>228</v>
      </c>
      <c r="AB2707" t="s">
        <v>443</v>
      </c>
      <c r="AC2707" s="21">
        <v>16364.63</v>
      </c>
      <c r="AD2707" s="21" t="s">
        <v>368</v>
      </c>
      <c r="AE2707" t="str">
        <f>VLOOKUP(Table_Query_from_Actuarial___Production3[[#This Row],[Kor1]],$AI$3:$AK$105,3,FALSE)</f>
        <v>Premium Tax</v>
      </c>
      <c r="AF2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8" spans="18:32" x14ac:dyDescent="0.2">
      <c r="R2708" t="s">
        <v>31</v>
      </c>
      <c r="S2708" t="s">
        <v>265</v>
      </c>
      <c r="T2708" t="s">
        <v>433</v>
      </c>
      <c r="U2708" s="21">
        <v>915.7</v>
      </c>
      <c r="V2708" s="21" t="s">
        <v>368</v>
      </c>
      <c r="W2708" t="str">
        <f>VLOOKUP(Table_Query_from_Actuarial___Production[[#This Row],[Kor1]],$AI$3:$AK$105,3,FALSE)</f>
        <v>Misc. Expense</v>
      </c>
      <c r="X2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8"/>
      <c r="Z2708" t="s">
        <v>29</v>
      </c>
      <c r="AA2708" t="s">
        <v>238</v>
      </c>
      <c r="AB2708" t="s">
        <v>441</v>
      </c>
      <c r="AC2708" s="21">
        <v>382913.42</v>
      </c>
      <c r="AD2708" s="21" t="s">
        <v>368</v>
      </c>
      <c r="AE2708" t="str">
        <f>VLOOKUP(Table_Query_from_Actuarial___Production3[[#This Row],[Kor1]],$AI$3:$AK$105,3,FALSE)</f>
        <v>Misc. Expense</v>
      </c>
      <c r="AF2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09" spans="18:32" x14ac:dyDescent="0.2">
      <c r="R2709" t="s">
        <v>40</v>
      </c>
      <c r="S2709" t="s">
        <v>231</v>
      </c>
      <c r="T2709" t="s">
        <v>351</v>
      </c>
      <c r="U2709" s="21">
        <v>14</v>
      </c>
      <c r="V2709" s="21" t="s">
        <v>368</v>
      </c>
      <c r="W2709" t="str">
        <f>VLOOKUP(Table_Query_from_Actuarial___Production[[#This Row],[Kor1]],$AI$3:$AK$105,3,FALSE)</f>
        <v>Misc. Income</v>
      </c>
      <c r="X2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09"/>
      <c r="Z2709" t="s">
        <v>19</v>
      </c>
      <c r="AA2709" t="s">
        <v>241</v>
      </c>
      <c r="AB2709" t="s">
        <v>441</v>
      </c>
      <c r="AC2709" s="21">
        <v>10</v>
      </c>
      <c r="AD2709" s="21" t="s">
        <v>368</v>
      </c>
      <c r="AE2709" t="str">
        <f>VLOOKUP(Table_Query_from_Actuarial___Production3[[#This Row],[Kor1]],$AI$3:$AK$105,3,FALSE)</f>
        <v>Misc. Expense for Insolvent Companies</v>
      </c>
      <c r="AF2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0" spans="18:32" x14ac:dyDescent="0.2">
      <c r="R2710" t="s">
        <v>20</v>
      </c>
      <c r="S2710" t="s">
        <v>265</v>
      </c>
      <c r="T2710" t="s">
        <v>7</v>
      </c>
      <c r="U2710" s="21">
        <v>453.49</v>
      </c>
      <c r="V2710" s="21" t="s">
        <v>368</v>
      </c>
      <c r="W2710" t="str">
        <f>VLOOKUP(Table_Query_from_Actuarial___Production[[#This Row],[Kor1]],$AI$3:$AK$105,3,FALSE)</f>
        <v>Misc. Expense</v>
      </c>
      <c r="X2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0"/>
      <c r="Z2710" t="s">
        <v>19</v>
      </c>
      <c r="AA2710" t="s">
        <v>244</v>
      </c>
      <c r="AB2710" t="s">
        <v>351</v>
      </c>
      <c r="AC2710" s="21">
        <v>36.01</v>
      </c>
      <c r="AD2710" s="21" t="s">
        <v>368</v>
      </c>
      <c r="AE2710" t="str">
        <f>VLOOKUP(Table_Query_from_Actuarial___Production3[[#This Row],[Kor1]],$AI$3:$AK$105,3,FALSE)</f>
        <v>Misc. Expense for Insolvent Companies</v>
      </c>
      <c r="AF2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1" spans="18:32" x14ac:dyDescent="0.2">
      <c r="R2711" t="s">
        <v>43</v>
      </c>
      <c r="S2711" t="s">
        <v>267</v>
      </c>
      <c r="T2711" t="s">
        <v>427</v>
      </c>
      <c r="U2711" s="21">
        <v>115.7</v>
      </c>
      <c r="V2711" s="21" t="s">
        <v>368</v>
      </c>
      <c r="W2711" t="str">
        <f>VLOOKUP(Table_Query_from_Actuarial___Production[[#This Row],[Kor1]],$AI$3:$AK$105,3,FALSE)</f>
        <v>Charge-offs</v>
      </c>
      <c r="X2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1"/>
      <c r="Z2711" t="s">
        <v>32</v>
      </c>
      <c r="AA2711" t="s">
        <v>4</v>
      </c>
      <c r="AB2711" t="s">
        <v>7</v>
      </c>
      <c r="AC2711" s="21">
        <v>-8523.7000000000007</v>
      </c>
      <c r="AD2711" s="21" t="s">
        <v>368</v>
      </c>
      <c r="AE2711" t="str">
        <f>VLOOKUP(Table_Query_from_Actuarial___Production3[[#This Row],[Kor1]],$AI$3:$AK$105,3,FALSE)</f>
        <v>Misc. Expense</v>
      </c>
      <c r="AF2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2" spans="18:32" x14ac:dyDescent="0.2">
      <c r="R2712" t="s">
        <v>32</v>
      </c>
      <c r="S2712" t="s">
        <v>230</v>
      </c>
      <c r="T2712" t="s">
        <v>6</v>
      </c>
      <c r="U2712" s="21">
        <v>6960079.8799999999</v>
      </c>
      <c r="V2712" s="21" t="s">
        <v>368</v>
      </c>
      <c r="W2712" t="str">
        <f>VLOOKUP(Table_Query_from_Actuarial___Production[[#This Row],[Kor1]],$AI$3:$AK$105,3,FALSE)</f>
        <v>Misc. Expense</v>
      </c>
      <c r="X2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2"/>
      <c r="Z2712" t="s">
        <v>34</v>
      </c>
      <c r="AA2712" t="s">
        <v>261</v>
      </c>
      <c r="AB2712" t="s">
        <v>441</v>
      </c>
      <c r="AC2712" s="21">
        <v>27.84</v>
      </c>
      <c r="AD2712" s="21" t="s">
        <v>368</v>
      </c>
      <c r="AE2712" t="str">
        <f>VLOOKUP(Table_Query_from_Actuarial___Production3[[#This Row],[Kor1]],$AI$3:$AK$105,3,FALSE)</f>
        <v>Misc. Expense</v>
      </c>
      <c r="AF2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3" spans="18:32" x14ac:dyDescent="0.2">
      <c r="R2713" t="s">
        <v>33</v>
      </c>
      <c r="S2713" t="s">
        <v>236</v>
      </c>
      <c r="T2713" t="s">
        <v>443</v>
      </c>
      <c r="U2713" s="21">
        <v>16955.240000000002</v>
      </c>
      <c r="V2713" s="21" t="s">
        <v>368</v>
      </c>
      <c r="W2713" t="str">
        <f>VLOOKUP(Table_Query_from_Actuarial___Production[[#This Row],[Kor1]],$AI$3:$AK$105,3,FALSE)</f>
        <v>Misc. Expense</v>
      </c>
      <c r="X2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3"/>
      <c r="Z2713" t="s">
        <v>3</v>
      </c>
      <c r="AA2713" t="s">
        <v>236</v>
      </c>
      <c r="AB2713" t="s">
        <v>427</v>
      </c>
      <c r="AC2713" s="21">
        <v>46848</v>
      </c>
      <c r="AD2713" s="21" t="s">
        <v>368</v>
      </c>
      <c r="AE2713" t="str">
        <f>VLOOKUP(Table_Query_from_Actuarial___Production3[[#This Row],[Kor1]],$AI$3:$AK$105,3,FALSE)</f>
        <v>Premiums Written</v>
      </c>
      <c r="AF2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4" spans="18:32" x14ac:dyDescent="0.2">
      <c r="R2714" t="s">
        <v>12</v>
      </c>
      <c r="S2714" t="s">
        <v>228</v>
      </c>
      <c r="T2714" t="s">
        <v>427</v>
      </c>
      <c r="U2714" s="21">
        <v>217356.97</v>
      </c>
      <c r="V2714" s="21" t="s">
        <v>368</v>
      </c>
      <c r="W2714" t="str">
        <f>VLOOKUP(Table_Query_from_Actuarial___Production[[#This Row],[Kor1]],$AI$3:$AK$105,3,FALSE)</f>
        <v>Premium Tax</v>
      </c>
      <c r="X2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4"/>
      <c r="Z2714" t="s">
        <v>37</v>
      </c>
      <c r="AA2714" t="s">
        <v>254</v>
      </c>
      <c r="AB2714" t="s">
        <v>351</v>
      </c>
      <c r="AC2714" s="21">
        <v>1141.32</v>
      </c>
      <c r="AD2714" s="21" t="s">
        <v>368</v>
      </c>
      <c r="AE2714" t="str">
        <f>VLOOKUP(Table_Query_from_Actuarial___Production3[[#This Row],[Kor1]],$AI$3:$AK$105,3,FALSE)</f>
        <v>Misc. Expense</v>
      </c>
      <c r="AF2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5" spans="18:32" x14ac:dyDescent="0.2">
      <c r="R2715" t="s">
        <v>11</v>
      </c>
      <c r="S2715" t="s">
        <v>240</v>
      </c>
      <c r="T2715" t="s">
        <v>7</v>
      </c>
      <c r="U2715" s="21">
        <v>1150222.56</v>
      </c>
      <c r="V2715" s="21" t="s">
        <v>368</v>
      </c>
      <c r="W2715" t="str">
        <f>VLOOKUP(Table_Query_from_Actuarial___Production[[#This Row],[Kor1]],$AI$3:$AK$105,3,FALSE)</f>
        <v>Losses Paid</v>
      </c>
      <c r="X2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5"/>
      <c r="Z2715" t="s">
        <v>49</v>
      </c>
      <c r="AA2715" t="s">
        <v>231</v>
      </c>
      <c r="AB2715" t="s">
        <v>433</v>
      </c>
      <c r="AC2715" s="21">
        <v>155642.06</v>
      </c>
      <c r="AD2715" s="21" t="s">
        <v>368</v>
      </c>
      <c r="AE2715" t="str">
        <f>VLOOKUP(Table_Query_from_Actuarial___Production3[[#This Row],[Kor1]],$AI$3:$AK$105,3,FALSE)</f>
        <v>ALAE Paid</v>
      </c>
      <c r="AF2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6" spans="18:32" x14ac:dyDescent="0.2">
      <c r="R2716" t="s">
        <v>21</v>
      </c>
      <c r="S2716" t="s">
        <v>251</v>
      </c>
      <c r="T2716" t="s">
        <v>427</v>
      </c>
      <c r="U2716" s="21">
        <v>5433.47</v>
      </c>
      <c r="V2716" s="21" t="s">
        <v>368</v>
      </c>
      <c r="W2716" t="str">
        <f>VLOOKUP(Table_Query_from_Actuarial___Production[[#This Row],[Kor1]],$AI$3:$AK$105,3,FALSE)</f>
        <v>Misc. Expense</v>
      </c>
      <c r="X2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6"/>
      <c r="Z2716" t="s">
        <v>3</v>
      </c>
      <c r="AA2716" t="s">
        <v>225</v>
      </c>
      <c r="AB2716" t="s">
        <v>5</v>
      </c>
      <c r="AC2716" s="21">
        <v>1103830.32</v>
      </c>
      <c r="AD2716" s="21" t="s">
        <v>368</v>
      </c>
      <c r="AE2716" t="str">
        <f>VLOOKUP(Table_Query_from_Actuarial___Production3[[#This Row],[Kor1]],$AI$3:$AK$105,3,FALSE)</f>
        <v>Premiums Written</v>
      </c>
      <c r="AF2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717" spans="18:32" x14ac:dyDescent="0.2">
      <c r="R2717" t="s">
        <v>14</v>
      </c>
      <c r="S2717" t="s">
        <v>256</v>
      </c>
      <c r="T2717" t="s">
        <v>6</v>
      </c>
      <c r="U2717" s="21">
        <v>2797.76</v>
      </c>
      <c r="V2717" s="21" t="s">
        <v>368</v>
      </c>
      <c r="W2717" t="str">
        <f>VLOOKUP(Table_Query_from_Actuarial___Production[[#This Row],[Kor1]],$AI$3:$AK$105,3,FALSE)</f>
        <v>Claims Expense</v>
      </c>
      <c r="X2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7"/>
      <c r="Z2717" t="s">
        <v>13</v>
      </c>
      <c r="AA2717" t="s">
        <v>256</v>
      </c>
      <c r="AB2717" t="s">
        <v>9</v>
      </c>
      <c r="AC2717" s="21">
        <v>33397.870000000003</v>
      </c>
      <c r="AD2717" s="21" t="s">
        <v>368</v>
      </c>
      <c r="AE2717" t="str">
        <f>VLOOKUP(Table_Query_from_Actuarial___Production3[[#This Row],[Kor1]],$AI$3:$AK$105,3,FALSE)</f>
        <v>Operating Service Fees</v>
      </c>
      <c r="AF2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8" spans="18:32" x14ac:dyDescent="0.2">
      <c r="R2718" t="s">
        <v>3</v>
      </c>
      <c r="S2718" t="s">
        <v>236</v>
      </c>
      <c r="T2718" t="s">
        <v>443</v>
      </c>
      <c r="U2718" s="21">
        <v>30483</v>
      </c>
      <c r="V2718" s="21" t="s">
        <v>368</v>
      </c>
      <c r="W2718" t="str">
        <f>VLOOKUP(Table_Query_from_Actuarial___Production[[#This Row],[Kor1]],$AI$3:$AK$105,3,FALSE)</f>
        <v>Premiums Written</v>
      </c>
      <c r="X2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8"/>
      <c r="Z2718" t="s">
        <v>33</v>
      </c>
      <c r="AA2718" t="s">
        <v>242</v>
      </c>
      <c r="AB2718" t="s">
        <v>8</v>
      </c>
      <c r="AC2718" s="21">
        <v>16310.85</v>
      </c>
      <c r="AD2718" s="21" t="s">
        <v>368</v>
      </c>
      <c r="AE2718" t="str">
        <f>VLOOKUP(Table_Query_from_Actuarial___Production3[[#This Row],[Kor1]],$AI$3:$AK$105,3,FALSE)</f>
        <v>Misc. Expense</v>
      </c>
      <c r="AF2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19" spans="18:32" x14ac:dyDescent="0.2">
      <c r="R2719" t="s">
        <v>11</v>
      </c>
      <c r="S2719" t="s">
        <v>248</v>
      </c>
      <c r="T2719" t="s">
        <v>9</v>
      </c>
      <c r="U2719" s="21">
        <v>26346.28</v>
      </c>
      <c r="V2719" s="21" t="s">
        <v>368</v>
      </c>
      <c r="W2719" t="str">
        <f>VLOOKUP(Table_Query_from_Actuarial___Production[[#This Row],[Kor1]],$AI$3:$AK$105,3,FALSE)</f>
        <v>Losses Paid</v>
      </c>
      <c r="X2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19"/>
      <c r="Z2719" t="s">
        <v>12</v>
      </c>
      <c r="AA2719" t="s">
        <v>250</v>
      </c>
      <c r="AB2719" t="s">
        <v>442</v>
      </c>
      <c r="AC2719" s="21">
        <v>24230.98</v>
      </c>
      <c r="AD2719" s="21" t="s">
        <v>368</v>
      </c>
      <c r="AE2719" t="str">
        <f>VLOOKUP(Table_Query_from_Actuarial___Production3[[#This Row],[Kor1]],$AI$3:$AK$105,3,FALSE)</f>
        <v>Premium Tax</v>
      </c>
      <c r="AF2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0" spans="18:32" x14ac:dyDescent="0.2">
      <c r="R2720" t="s">
        <v>12</v>
      </c>
      <c r="S2720" t="s">
        <v>244</v>
      </c>
      <c r="T2720" t="s">
        <v>6</v>
      </c>
      <c r="U2720" s="21">
        <v>20482.400000000001</v>
      </c>
      <c r="V2720" s="21" t="s">
        <v>368</v>
      </c>
      <c r="W2720" t="str">
        <f>VLOOKUP(Table_Query_from_Actuarial___Production[[#This Row],[Kor1]],$AI$3:$AK$105,3,FALSE)</f>
        <v>Premium Tax</v>
      </c>
      <c r="X2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0"/>
      <c r="Z2720" t="s">
        <v>44</v>
      </c>
      <c r="AA2720" t="s">
        <v>266</v>
      </c>
      <c r="AB2720" t="s">
        <v>7</v>
      </c>
      <c r="AC2720" s="21">
        <v>127.19</v>
      </c>
      <c r="AD2720" s="21" t="s">
        <v>368</v>
      </c>
      <c r="AE2720" t="str">
        <f>VLOOKUP(Table_Query_from_Actuarial___Production3[[#This Row],[Kor1]],$AI$3:$AK$105,3,FALSE)</f>
        <v>Charge-offs</v>
      </c>
      <c r="AF2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1" spans="18:32" x14ac:dyDescent="0.2">
      <c r="R2721" t="s">
        <v>14</v>
      </c>
      <c r="S2721" t="s">
        <v>234</v>
      </c>
      <c r="T2721" t="s">
        <v>427</v>
      </c>
      <c r="U2721" s="21">
        <v>59808.32</v>
      </c>
      <c r="V2721" s="21" t="s">
        <v>368</v>
      </c>
      <c r="W2721" t="str">
        <f>VLOOKUP(Table_Query_from_Actuarial___Production[[#This Row],[Kor1]],$AI$3:$AK$105,3,FALSE)</f>
        <v>Claims Expense</v>
      </c>
      <c r="X2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1"/>
      <c r="Z2721" t="s">
        <v>34</v>
      </c>
      <c r="AA2721" t="s">
        <v>257</v>
      </c>
      <c r="AB2721" t="s">
        <v>7</v>
      </c>
      <c r="AC2721" s="21">
        <v>11.68</v>
      </c>
      <c r="AD2721" s="21" t="s">
        <v>368</v>
      </c>
      <c r="AE2721" t="str">
        <f>VLOOKUP(Table_Query_from_Actuarial___Production3[[#This Row],[Kor1]],$AI$3:$AK$105,3,FALSE)</f>
        <v>Misc. Expense</v>
      </c>
      <c r="AF2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2" spans="18:32" x14ac:dyDescent="0.2">
      <c r="R2722" t="s">
        <v>15</v>
      </c>
      <c r="S2722" t="s">
        <v>4</v>
      </c>
      <c r="T2722" t="s">
        <v>445</v>
      </c>
      <c r="U2722" s="21">
        <v>10470016.880000001</v>
      </c>
      <c r="V2722" s="21" t="s">
        <v>368</v>
      </c>
      <c r="W2722" t="str">
        <f>VLOOKUP(Table_Query_from_Actuarial___Production[[#This Row],[Kor1]],$AI$3:$AK$105,3,FALSE)</f>
        <v>Unearned Premiums</v>
      </c>
      <c r="X2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2"/>
      <c r="Z2722" t="s">
        <v>43</v>
      </c>
      <c r="AA2722" t="s">
        <v>243</v>
      </c>
      <c r="AB2722" t="s">
        <v>7</v>
      </c>
      <c r="AC2722" s="21">
        <v>2.31</v>
      </c>
      <c r="AD2722" s="21" t="s">
        <v>368</v>
      </c>
      <c r="AE2722" t="str">
        <f>VLOOKUP(Table_Query_from_Actuarial___Production3[[#This Row],[Kor1]],$AI$3:$AK$105,3,FALSE)</f>
        <v>Charge-offs</v>
      </c>
      <c r="AF2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3" spans="18:32" x14ac:dyDescent="0.2">
      <c r="R2723" t="s">
        <v>47</v>
      </c>
      <c r="S2723" t="s">
        <v>251</v>
      </c>
      <c r="T2723" t="s">
        <v>356</v>
      </c>
      <c r="U2723" s="21">
        <v>630.39</v>
      </c>
      <c r="V2723" s="21" t="s">
        <v>368</v>
      </c>
      <c r="W2723" t="str">
        <f>VLOOKUP(Table_Query_from_Actuarial___Production[[#This Row],[Kor1]],$AI$3:$AK$105,3,FALSE)</f>
        <v>Investment Income</v>
      </c>
      <c r="X2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3"/>
      <c r="Z2723" t="s">
        <v>43</v>
      </c>
      <c r="AA2723" t="s">
        <v>252</v>
      </c>
      <c r="AB2723" t="s">
        <v>356</v>
      </c>
      <c r="AC2723" s="21">
        <v>8377.76</v>
      </c>
      <c r="AD2723" s="21" t="s">
        <v>368</v>
      </c>
      <c r="AE2723" t="str">
        <f>VLOOKUP(Table_Query_from_Actuarial___Production3[[#This Row],[Kor1]],$AI$3:$AK$105,3,FALSE)</f>
        <v>Charge-offs</v>
      </c>
      <c r="AF2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4" spans="18:32" x14ac:dyDescent="0.2">
      <c r="R2724" t="s">
        <v>13</v>
      </c>
      <c r="S2724" t="s">
        <v>239</v>
      </c>
      <c r="T2724" t="s">
        <v>356</v>
      </c>
      <c r="U2724" s="21">
        <v>96786.240000000005</v>
      </c>
      <c r="V2724" s="21" t="s">
        <v>368</v>
      </c>
      <c r="W2724" t="str">
        <f>VLOOKUP(Table_Query_from_Actuarial___Production[[#This Row],[Kor1]],$AI$3:$AK$105,3,FALSE)</f>
        <v>Operating Service Fees</v>
      </c>
      <c r="X2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4"/>
      <c r="Z2724" t="s">
        <v>49</v>
      </c>
      <c r="AA2724" t="s">
        <v>232</v>
      </c>
      <c r="AB2724" t="s">
        <v>9</v>
      </c>
      <c r="AC2724" s="21">
        <v>58448.17</v>
      </c>
      <c r="AD2724" s="21" t="s">
        <v>368</v>
      </c>
      <c r="AE2724" t="str">
        <f>VLOOKUP(Table_Query_from_Actuarial___Production3[[#This Row],[Kor1]],$AI$3:$AK$105,3,FALSE)</f>
        <v>ALAE Paid</v>
      </c>
      <c r="AF2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5" spans="18:32" x14ac:dyDescent="0.2">
      <c r="R2725" t="s">
        <v>36</v>
      </c>
      <c r="S2725" t="s">
        <v>257</v>
      </c>
      <c r="T2725" t="s">
        <v>445</v>
      </c>
      <c r="U2725" s="21">
        <v>260.01</v>
      </c>
      <c r="V2725" s="21" t="s">
        <v>368</v>
      </c>
      <c r="W2725" t="str">
        <f>VLOOKUP(Table_Query_from_Actuarial___Production[[#This Row],[Kor1]],$AI$3:$AK$105,3,FALSE)</f>
        <v>Misc. Expense</v>
      </c>
      <c r="X2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5"/>
      <c r="Z2725" t="s">
        <v>19</v>
      </c>
      <c r="AA2725" t="s">
        <v>233</v>
      </c>
      <c r="AB2725" t="s">
        <v>356</v>
      </c>
      <c r="AC2725" s="21">
        <v>157</v>
      </c>
      <c r="AD2725" s="21" t="s">
        <v>368</v>
      </c>
      <c r="AE2725" t="str">
        <f>VLOOKUP(Table_Query_from_Actuarial___Production3[[#This Row],[Kor1]],$AI$3:$AK$105,3,FALSE)</f>
        <v>Misc. Expense for Insolvent Companies</v>
      </c>
      <c r="AF2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6" spans="18:32" x14ac:dyDescent="0.2">
      <c r="R2726" t="s">
        <v>21</v>
      </c>
      <c r="S2726" t="s">
        <v>241</v>
      </c>
      <c r="T2726" t="s">
        <v>8</v>
      </c>
      <c r="U2726" s="21">
        <v>2208.02</v>
      </c>
      <c r="V2726" s="21" t="s">
        <v>368</v>
      </c>
      <c r="W2726" t="str">
        <f>VLOOKUP(Table_Query_from_Actuarial___Production[[#This Row],[Kor1]],$AI$3:$AK$105,3,FALSE)</f>
        <v>Misc. Expense</v>
      </c>
      <c r="X2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6"/>
      <c r="Z2726" t="s">
        <v>19</v>
      </c>
      <c r="AA2726" t="s">
        <v>241</v>
      </c>
      <c r="AB2726" t="s">
        <v>351</v>
      </c>
      <c r="AC2726" s="21">
        <v>2174.0300000000002</v>
      </c>
      <c r="AD2726" s="21" t="s">
        <v>368</v>
      </c>
      <c r="AE2726" t="str">
        <f>VLOOKUP(Table_Query_from_Actuarial___Production3[[#This Row],[Kor1]],$AI$3:$AK$105,3,FALSE)</f>
        <v>Misc. Expense for Insolvent Companies</v>
      </c>
      <c r="AF2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7" spans="18:32" x14ac:dyDescent="0.2">
      <c r="R2727" t="s">
        <v>43</v>
      </c>
      <c r="S2727" t="s">
        <v>224</v>
      </c>
      <c r="T2727" t="s">
        <v>6</v>
      </c>
      <c r="U2727" s="21">
        <v>121.02</v>
      </c>
      <c r="V2727" s="21" t="s">
        <v>425</v>
      </c>
      <c r="W2727" t="str">
        <f>VLOOKUP(Table_Query_from_Actuarial___Production[[#This Row],[Kor1]],$AI$3:$AK$105,3,FALSE)</f>
        <v>Charge-offs</v>
      </c>
      <c r="X2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27"/>
      <c r="Z2727" t="s">
        <v>37</v>
      </c>
      <c r="AA2727" t="s">
        <v>244</v>
      </c>
      <c r="AB2727" t="s">
        <v>427</v>
      </c>
      <c r="AC2727" s="21">
        <v>25170.400000000001</v>
      </c>
      <c r="AD2727" s="21" t="s">
        <v>368</v>
      </c>
      <c r="AE2727" t="str">
        <f>VLOOKUP(Table_Query_from_Actuarial___Production3[[#This Row],[Kor1]],$AI$3:$AK$105,3,FALSE)</f>
        <v>Misc. Expense</v>
      </c>
      <c r="AF2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8" spans="18:32" x14ac:dyDescent="0.2">
      <c r="R2728" t="s">
        <v>31</v>
      </c>
      <c r="S2728" t="s">
        <v>262</v>
      </c>
      <c r="T2728" t="s">
        <v>442</v>
      </c>
      <c r="U2728" s="21">
        <v>1067.45</v>
      </c>
      <c r="V2728" s="21" t="s">
        <v>368</v>
      </c>
      <c r="W2728" t="str">
        <f>VLOOKUP(Table_Query_from_Actuarial___Production[[#This Row],[Kor1]],$AI$3:$AK$105,3,FALSE)</f>
        <v>Misc. Expense</v>
      </c>
      <c r="X2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8"/>
      <c r="Z2728" t="s">
        <v>21</v>
      </c>
      <c r="AA2728" t="s">
        <v>232</v>
      </c>
      <c r="AB2728" t="s">
        <v>9</v>
      </c>
      <c r="AC2728" s="21">
        <v>1778.98</v>
      </c>
      <c r="AD2728" s="21" t="s">
        <v>368</v>
      </c>
      <c r="AE2728" t="str">
        <f>VLOOKUP(Table_Query_from_Actuarial___Production3[[#This Row],[Kor1]],$AI$3:$AK$105,3,FALSE)</f>
        <v>Misc. Expense</v>
      </c>
      <c r="AF2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29" spans="18:32" x14ac:dyDescent="0.2">
      <c r="R2729" t="s">
        <v>49</v>
      </c>
      <c r="S2729" t="s">
        <v>256</v>
      </c>
      <c r="T2729" t="s">
        <v>351</v>
      </c>
      <c r="U2729" s="21">
        <v>48035.13</v>
      </c>
      <c r="V2729" s="21" t="s">
        <v>368</v>
      </c>
      <c r="W2729" t="str">
        <f>VLOOKUP(Table_Query_from_Actuarial___Production[[#This Row],[Kor1]],$AI$3:$AK$105,3,FALSE)</f>
        <v>ALAE Paid</v>
      </c>
      <c r="X2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29"/>
      <c r="Z2729" t="s">
        <v>43</v>
      </c>
      <c r="AA2729" t="s">
        <v>224</v>
      </c>
      <c r="AB2729" t="s">
        <v>433</v>
      </c>
      <c r="AC2729" s="21">
        <v>9.77</v>
      </c>
      <c r="AD2729" s="21" t="s">
        <v>369</v>
      </c>
      <c r="AE2729" t="str">
        <f>VLOOKUP(Table_Query_from_Actuarial___Production3[[#This Row],[Kor1]],$AI$3:$AK$105,3,FALSE)</f>
        <v>Charge-offs</v>
      </c>
      <c r="AF2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730" spans="18:32" x14ac:dyDescent="0.2">
      <c r="R2730" t="s">
        <v>13</v>
      </c>
      <c r="S2730" t="s">
        <v>262</v>
      </c>
      <c r="T2730" t="s">
        <v>351</v>
      </c>
      <c r="U2730" s="21">
        <v>167089.32</v>
      </c>
      <c r="V2730" s="21" t="s">
        <v>368</v>
      </c>
      <c r="W2730" t="str">
        <f>VLOOKUP(Table_Query_from_Actuarial___Production[[#This Row],[Kor1]],$AI$3:$AK$105,3,FALSE)</f>
        <v>Operating Service Fees</v>
      </c>
      <c r="X2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0"/>
      <c r="Z2730" t="s">
        <v>43</v>
      </c>
      <c r="AA2730" t="s">
        <v>224</v>
      </c>
      <c r="AB2730" t="s">
        <v>442</v>
      </c>
      <c r="AC2730" s="21">
        <v>24.81</v>
      </c>
      <c r="AD2730" s="21" t="s">
        <v>370</v>
      </c>
      <c r="AE2730" t="str">
        <f>VLOOKUP(Table_Query_from_Actuarial___Production3[[#This Row],[Kor1]],$AI$3:$AK$105,3,FALSE)</f>
        <v>Charge-offs</v>
      </c>
      <c r="AF2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731" spans="18:32" x14ac:dyDescent="0.2">
      <c r="R2731" t="s">
        <v>19</v>
      </c>
      <c r="S2731" t="s">
        <v>255</v>
      </c>
      <c r="T2731" t="s">
        <v>351</v>
      </c>
      <c r="U2731" s="21">
        <v>344</v>
      </c>
      <c r="V2731" s="21" t="s">
        <v>368</v>
      </c>
      <c r="W2731" t="str">
        <f>VLOOKUP(Table_Query_from_Actuarial___Production[[#This Row],[Kor1]],$AI$3:$AK$105,3,FALSE)</f>
        <v>Misc. Expense for Insolvent Companies</v>
      </c>
      <c r="X2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1"/>
      <c r="Z2731" t="s">
        <v>43</v>
      </c>
      <c r="AA2731" t="s">
        <v>232</v>
      </c>
      <c r="AB2731" t="s">
        <v>6</v>
      </c>
      <c r="AC2731" s="21">
        <v>101.13</v>
      </c>
      <c r="AD2731" s="21" t="s">
        <v>368</v>
      </c>
      <c r="AE2731" t="str">
        <f>VLOOKUP(Table_Query_from_Actuarial___Production3[[#This Row],[Kor1]],$AI$3:$AK$105,3,FALSE)</f>
        <v>Charge-offs</v>
      </c>
      <c r="AF2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2" spans="18:32" x14ac:dyDescent="0.2">
      <c r="R2732" t="s">
        <v>20</v>
      </c>
      <c r="S2732" t="s">
        <v>248</v>
      </c>
      <c r="T2732" t="s">
        <v>427</v>
      </c>
      <c r="U2732" s="21">
        <v>170.21</v>
      </c>
      <c r="V2732" s="21" t="s">
        <v>368</v>
      </c>
      <c r="W2732" t="str">
        <f>VLOOKUP(Table_Query_from_Actuarial___Production[[#This Row],[Kor1]],$AI$3:$AK$105,3,FALSE)</f>
        <v>Misc. Expense</v>
      </c>
      <c r="X2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2"/>
      <c r="Z2732" t="s">
        <v>11</v>
      </c>
      <c r="AA2732" t="s">
        <v>354</v>
      </c>
      <c r="AB2732" t="s">
        <v>356</v>
      </c>
      <c r="AC2732" s="21">
        <v>895166082.05999994</v>
      </c>
      <c r="AD2732" s="21" t="s">
        <v>369</v>
      </c>
      <c r="AE2732" t="str">
        <f>VLOOKUP(Table_Query_from_Actuarial___Production3[[#This Row],[Kor1]],$AI$3:$AK$105,3,FALSE)</f>
        <v>Losses Paid</v>
      </c>
      <c r="AF2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733" spans="18:32" x14ac:dyDescent="0.2">
      <c r="R2733" t="s">
        <v>3</v>
      </c>
      <c r="S2733" t="s">
        <v>238</v>
      </c>
      <c r="T2733" t="s">
        <v>351</v>
      </c>
      <c r="U2733" s="21">
        <v>754261</v>
      </c>
      <c r="V2733" s="21" t="s">
        <v>368</v>
      </c>
      <c r="W2733" t="str">
        <f>VLOOKUP(Table_Query_from_Actuarial___Production[[#This Row],[Kor1]],$AI$3:$AK$105,3,FALSE)</f>
        <v>Premiums Written</v>
      </c>
      <c r="X2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3"/>
      <c r="Z2733" t="s">
        <v>44</v>
      </c>
      <c r="AA2733" t="s">
        <v>226</v>
      </c>
      <c r="AB2733" t="s">
        <v>427</v>
      </c>
      <c r="AC2733" s="21">
        <v>30536</v>
      </c>
      <c r="AD2733" s="21" t="s">
        <v>368</v>
      </c>
      <c r="AE2733" t="str">
        <f>VLOOKUP(Table_Query_from_Actuarial___Production3[[#This Row],[Kor1]],$AI$3:$AK$105,3,FALSE)</f>
        <v>Charge-offs</v>
      </c>
      <c r="AF2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734" spans="18:32" x14ac:dyDescent="0.2">
      <c r="R2734" t="s">
        <v>20</v>
      </c>
      <c r="S2734" t="s">
        <v>239</v>
      </c>
      <c r="T2734" t="s">
        <v>356</v>
      </c>
      <c r="U2734" s="21">
        <v>47.69</v>
      </c>
      <c r="V2734" s="21" t="s">
        <v>368</v>
      </c>
      <c r="W2734" t="str">
        <f>VLOOKUP(Table_Query_from_Actuarial___Production[[#This Row],[Kor1]],$AI$3:$AK$105,3,FALSE)</f>
        <v>Misc. Expense</v>
      </c>
      <c r="X2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4"/>
      <c r="Z2734" t="s">
        <v>31</v>
      </c>
      <c r="AA2734" t="s">
        <v>251</v>
      </c>
      <c r="AB2734" t="s">
        <v>351</v>
      </c>
      <c r="AC2734" s="21">
        <v>750.39</v>
      </c>
      <c r="AD2734" s="21" t="s">
        <v>368</v>
      </c>
      <c r="AE2734" t="str">
        <f>VLOOKUP(Table_Query_from_Actuarial___Production3[[#This Row],[Kor1]],$AI$3:$AK$105,3,FALSE)</f>
        <v>Misc. Expense</v>
      </c>
      <c r="AF2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5" spans="18:32" x14ac:dyDescent="0.2">
      <c r="R2735" t="s">
        <v>16</v>
      </c>
      <c r="S2735" t="s">
        <v>243</v>
      </c>
      <c r="T2735" t="s">
        <v>427</v>
      </c>
      <c r="U2735" s="21">
        <v>-635</v>
      </c>
      <c r="V2735" s="21" t="s">
        <v>368</v>
      </c>
      <c r="W2735" t="str">
        <f>VLOOKUP(Table_Query_from_Actuarial___Production[[#This Row],[Kor1]],$AI$3:$AK$105,3,FALSE)</f>
        <v>Losses Outstanding</v>
      </c>
      <c r="X2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5"/>
      <c r="Z2735" t="s">
        <v>48</v>
      </c>
      <c r="AA2735" t="s">
        <v>233</v>
      </c>
      <c r="AB2735" t="s">
        <v>433</v>
      </c>
      <c r="AC2735" s="21">
        <v>2482.3200000000002</v>
      </c>
      <c r="AD2735" s="21" t="s">
        <v>368</v>
      </c>
      <c r="AE2735" t="str">
        <f>VLOOKUP(Table_Query_from_Actuarial___Production3[[#This Row],[Kor1]],$AI$3:$AK$105,3,FALSE)</f>
        <v>Anticipated Salvage</v>
      </c>
      <c r="AF2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6" spans="18:32" x14ac:dyDescent="0.2">
      <c r="R2736" t="s">
        <v>17</v>
      </c>
      <c r="S2736" t="s">
        <v>225</v>
      </c>
      <c r="T2736" t="s">
        <v>7</v>
      </c>
      <c r="U2736" s="21">
        <v>7331</v>
      </c>
      <c r="V2736" s="21" t="s">
        <v>368</v>
      </c>
      <c r="W2736" t="str">
        <f>VLOOKUP(Table_Query_from_Actuarial___Production[[#This Row],[Kor1]],$AI$3:$AK$105,3,FALSE)</f>
        <v>IBNR</v>
      </c>
      <c r="X2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736"/>
      <c r="Z2736" t="s">
        <v>10</v>
      </c>
      <c r="AA2736" t="s">
        <v>224</v>
      </c>
      <c r="AB2736" t="s">
        <v>9</v>
      </c>
      <c r="AC2736" s="21">
        <v>162709.59</v>
      </c>
      <c r="AD2736" s="21" t="s">
        <v>368</v>
      </c>
      <c r="AE2736" t="str">
        <f>VLOOKUP(Table_Query_from_Actuarial___Production3[[#This Row],[Kor1]],$AI$3:$AK$105,3,FALSE)</f>
        <v>Commissions</v>
      </c>
      <c r="AF2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737" spans="18:32" x14ac:dyDescent="0.2">
      <c r="R2737" t="s">
        <v>41</v>
      </c>
      <c r="S2737" t="s">
        <v>227</v>
      </c>
      <c r="T2737" t="s">
        <v>6</v>
      </c>
      <c r="U2737" s="21">
        <v>50</v>
      </c>
      <c r="V2737" s="21" t="s">
        <v>368</v>
      </c>
      <c r="W2737" t="str">
        <f>VLOOKUP(Table_Query_from_Actuarial___Production[[#This Row],[Kor1]],$AI$3:$AK$105,3,FALSE)</f>
        <v>Misc. Income</v>
      </c>
      <c r="X2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7"/>
      <c r="Z2737" t="s">
        <v>31</v>
      </c>
      <c r="AA2737" t="s">
        <v>237</v>
      </c>
      <c r="AB2737" t="s">
        <v>7</v>
      </c>
      <c r="AC2737" s="21">
        <v>1002.62</v>
      </c>
      <c r="AD2737" s="21" t="s">
        <v>368</v>
      </c>
      <c r="AE2737" t="str">
        <f>VLOOKUP(Table_Query_from_Actuarial___Production3[[#This Row],[Kor1]],$AI$3:$AK$105,3,FALSE)</f>
        <v>Misc. Expense</v>
      </c>
      <c r="AF2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8" spans="18:32" x14ac:dyDescent="0.2">
      <c r="R2738" t="s">
        <v>38</v>
      </c>
      <c r="S2738" t="s">
        <v>224</v>
      </c>
      <c r="T2738" t="s">
        <v>351</v>
      </c>
      <c r="U2738" s="21">
        <v>14500.44</v>
      </c>
      <c r="V2738" s="21" t="s">
        <v>369</v>
      </c>
      <c r="W2738" t="str">
        <f>VLOOKUP(Table_Query_from_Actuarial___Production[[#This Row],[Kor1]],$AI$3:$AK$105,3,FALSE)</f>
        <v>Misc. Income</v>
      </c>
      <c r="X2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38"/>
      <c r="Z2738" t="s">
        <v>37</v>
      </c>
      <c r="AA2738" t="s">
        <v>231</v>
      </c>
      <c r="AB2738" t="s">
        <v>9</v>
      </c>
      <c r="AC2738" s="21">
        <v>6315.09</v>
      </c>
      <c r="AD2738" s="21" t="s">
        <v>368</v>
      </c>
      <c r="AE2738" t="str">
        <f>VLOOKUP(Table_Query_from_Actuarial___Production3[[#This Row],[Kor1]],$AI$3:$AK$105,3,FALSE)</f>
        <v>Misc. Expense</v>
      </c>
      <c r="AF2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39" spans="18:32" x14ac:dyDescent="0.2">
      <c r="R2739" t="s">
        <v>31</v>
      </c>
      <c r="S2739" t="s">
        <v>247</v>
      </c>
      <c r="T2739" t="s">
        <v>356</v>
      </c>
      <c r="U2739" s="21">
        <v>475.34</v>
      </c>
      <c r="V2739" s="21" t="s">
        <v>368</v>
      </c>
      <c r="W2739" t="str">
        <f>VLOOKUP(Table_Query_from_Actuarial___Production[[#This Row],[Kor1]],$AI$3:$AK$105,3,FALSE)</f>
        <v>Misc. Expense</v>
      </c>
      <c r="X2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39"/>
      <c r="Z2739" t="s">
        <v>3</v>
      </c>
      <c r="AA2739" t="s">
        <v>238</v>
      </c>
      <c r="AB2739" t="s">
        <v>356</v>
      </c>
      <c r="AC2739" s="21">
        <v>1912804</v>
      </c>
      <c r="AD2739" s="21" t="s">
        <v>368</v>
      </c>
      <c r="AE2739" t="str">
        <f>VLOOKUP(Table_Query_from_Actuarial___Production3[[#This Row],[Kor1]],$AI$3:$AK$105,3,FALSE)</f>
        <v>Premiums Written</v>
      </c>
      <c r="AF2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0" spans="18:32" x14ac:dyDescent="0.2">
      <c r="R2740" t="s">
        <v>33</v>
      </c>
      <c r="S2740" t="s">
        <v>262</v>
      </c>
      <c r="T2740" t="s">
        <v>356</v>
      </c>
      <c r="U2740" s="21">
        <v>14443.88</v>
      </c>
      <c r="V2740" s="21" t="s">
        <v>368</v>
      </c>
      <c r="W2740" t="str">
        <f>VLOOKUP(Table_Query_from_Actuarial___Production[[#This Row],[Kor1]],$AI$3:$AK$105,3,FALSE)</f>
        <v>Misc. Expense</v>
      </c>
      <c r="X2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0"/>
      <c r="Z2740" t="s">
        <v>10</v>
      </c>
      <c r="AA2740" t="s">
        <v>352</v>
      </c>
      <c r="AB2740" t="s">
        <v>9</v>
      </c>
      <c r="AC2740" s="21">
        <v>872.53</v>
      </c>
      <c r="AD2740" s="21" t="s">
        <v>368</v>
      </c>
      <c r="AE2740" t="str">
        <f>VLOOKUP(Table_Query_from_Actuarial___Production3[[#This Row],[Kor1]],$AI$3:$AK$105,3,FALSE)</f>
        <v>Commissions</v>
      </c>
      <c r="AF2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2741" spans="18:32" x14ac:dyDescent="0.2">
      <c r="R2741" t="s">
        <v>47</v>
      </c>
      <c r="S2741" t="s">
        <v>263</v>
      </c>
      <c r="T2741" t="s">
        <v>442</v>
      </c>
      <c r="U2741" s="21">
        <v>921.86</v>
      </c>
      <c r="V2741" s="21" t="s">
        <v>368</v>
      </c>
      <c r="W2741" t="str">
        <f>VLOOKUP(Table_Query_from_Actuarial___Production[[#This Row],[Kor1]],$AI$3:$AK$105,3,FALSE)</f>
        <v>Investment Income</v>
      </c>
      <c r="X2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1"/>
      <c r="Z2741" t="s">
        <v>39</v>
      </c>
      <c r="AA2741" t="s">
        <v>257</v>
      </c>
      <c r="AB2741" t="s">
        <v>441</v>
      </c>
      <c r="AC2741" s="21">
        <v>1013.99</v>
      </c>
      <c r="AD2741" s="21" t="s">
        <v>368</v>
      </c>
      <c r="AE2741" t="str">
        <f>VLOOKUP(Table_Query_from_Actuarial___Production3[[#This Row],[Kor1]],$AI$3:$AK$105,3,FALSE)</f>
        <v>Misc. Income for Insolvent Companies</v>
      </c>
      <c r="AF2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2" spans="18:32" x14ac:dyDescent="0.2">
      <c r="R2742" t="s">
        <v>11</v>
      </c>
      <c r="S2742" t="s">
        <v>225</v>
      </c>
      <c r="T2742" t="s">
        <v>427</v>
      </c>
      <c r="U2742" s="21">
        <v>280733.86</v>
      </c>
      <c r="V2742" s="21" t="s">
        <v>369</v>
      </c>
      <c r="W2742" t="str">
        <f>VLOOKUP(Table_Query_from_Actuarial___Production[[#This Row],[Kor1]],$AI$3:$AK$105,3,FALSE)</f>
        <v>Losses Paid</v>
      </c>
      <c r="X2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742"/>
      <c r="Z2742" t="s">
        <v>13</v>
      </c>
      <c r="AA2742" t="s">
        <v>243</v>
      </c>
      <c r="AB2742" t="s">
        <v>351</v>
      </c>
      <c r="AC2742" s="21">
        <v>70683.33</v>
      </c>
      <c r="AD2742" s="21" t="s">
        <v>368</v>
      </c>
      <c r="AE2742" t="str">
        <f>VLOOKUP(Table_Query_from_Actuarial___Production3[[#This Row],[Kor1]],$AI$3:$AK$105,3,FALSE)</f>
        <v>Operating Service Fees</v>
      </c>
      <c r="AF2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3" spans="18:32" x14ac:dyDescent="0.2">
      <c r="R2743" t="s">
        <v>16</v>
      </c>
      <c r="S2743" t="s">
        <v>224</v>
      </c>
      <c r="T2743" t="s">
        <v>433</v>
      </c>
      <c r="U2743" s="21">
        <v>-4992.18</v>
      </c>
      <c r="V2743" s="21" t="s">
        <v>368</v>
      </c>
      <c r="W2743" t="str">
        <f>VLOOKUP(Table_Query_from_Actuarial___Production[[#This Row],[Kor1]],$AI$3:$AK$105,3,FALSE)</f>
        <v>Losses Outstanding</v>
      </c>
      <c r="X2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743"/>
      <c r="Z2743" t="s">
        <v>13</v>
      </c>
      <c r="AA2743" t="s">
        <v>254</v>
      </c>
      <c r="AB2743" t="s">
        <v>7</v>
      </c>
      <c r="AC2743" s="21">
        <v>68894.64</v>
      </c>
      <c r="AD2743" s="21" t="s">
        <v>368</v>
      </c>
      <c r="AE2743" t="str">
        <f>VLOOKUP(Table_Query_from_Actuarial___Production3[[#This Row],[Kor1]],$AI$3:$AK$105,3,FALSE)</f>
        <v>Operating Service Fees</v>
      </c>
      <c r="AF2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4" spans="18:32" x14ac:dyDescent="0.2">
      <c r="R2744" t="s">
        <v>14</v>
      </c>
      <c r="S2744" t="s">
        <v>230</v>
      </c>
      <c r="T2744" t="s">
        <v>9</v>
      </c>
      <c r="U2744" s="21">
        <v>2459598.0699999998</v>
      </c>
      <c r="V2744" s="21" t="s">
        <v>368</v>
      </c>
      <c r="W2744" t="str">
        <f>VLOOKUP(Table_Query_from_Actuarial___Production[[#This Row],[Kor1]],$AI$3:$AK$105,3,FALSE)</f>
        <v>Claims Expense</v>
      </c>
      <c r="X2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4"/>
      <c r="Z2744" t="s">
        <v>16</v>
      </c>
      <c r="AA2744" t="s">
        <v>236</v>
      </c>
      <c r="AB2744" t="s">
        <v>351</v>
      </c>
      <c r="AC2744" s="21">
        <v>2519.73</v>
      </c>
      <c r="AD2744" s="21" t="s">
        <v>368</v>
      </c>
      <c r="AE2744" t="str">
        <f>VLOOKUP(Table_Query_from_Actuarial___Production3[[#This Row],[Kor1]],$AI$3:$AK$105,3,FALSE)</f>
        <v>Losses Outstanding</v>
      </c>
      <c r="AF2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5" spans="18:32" x14ac:dyDescent="0.2">
      <c r="R2745" t="s">
        <v>39</v>
      </c>
      <c r="S2745" t="s">
        <v>238</v>
      </c>
      <c r="T2745" t="s">
        <v>9</v>
      </c>
      <c r="U2745" s="21">
        <v>564</v>
      </c>
      <c r="V2745" s="21" t="s">
        <v>368</v>
      </c>
      <c r="W2745" t="str">
        <f>VLOOKUP(Table_Query_from_Actuarial___Production[[#This Row],[Kor1]],$AI$3:$AK$105,3,FALSE)</f>
        <v>Misc. Income for Insolvent Companies</v>
      </c>
      <c r="X2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5"/>
      <c r="Z2745" t="s">
        <v>19</v>
      </c>
      <c r="AA2745" t="s">
        <v>237</v>
      </c>
      <c r="AB2745" t="s">
        <v>351</v>
      </c>
      <c r="AC2745" s="21">
        <v>43023.23</v>
      </c>
      <c r="AD2745" s="21" t="s">
        <v>368</v>
      </c>
      <c r="AE2745" t="str">
        <f>VLOOKUP(Table_Query_from_Actuarial___Production3[[#This Row],[Kor1]],$AI$3:$AK$105,3,FALSE)</f>
        <v>Misc. Expense for Insolvent Companies</v>
      </c>
      <c r="AF2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6" spans="18:32" x14ac:dyDescent="0.2">
      <c r="R2746" t="s">
        <v>37</v>
      </c>
      <c r="S2746" t="s">
        <v>267</v>
      </c>
      <c r="T2746" t="s">
        <v>441</v>
      </c>
      <c r="U2746" s="21">
        <v>-131.6</v>
      </c>
      <c r="V2746" s="21" t="s">
        <v>368</v>
      </c>
      <c r="W2746" t="str">
        <f>VLOOKUP(Table_Query_from_Actuarial___Production[[#This Row],[Kor1]],$AI$3:$AK$105,3,FALSE)</f>
        <v>Misc. Expense</v>
      </c>
      <c r="X2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6"/>
      <c r="Z2746" t="s">
        <v>48</v>
      </c>
      <c r="AA2746" t="s">
        <v>241</v>
      </c>
      <c r="AB2746" t="s">
        <v>433</v>
      </c>
      <c r="AC2746" s="21">
        <v>706.66</v>
      </c>
      <c r="AD2746" s="21" t="s">
        <v>368</v>
      </c>
      <c r="AE2746" t="str">
        <f>VLOOKUP(Table_Query_from_Actuarial___Production3[[#This Row],[Kor1]],$AI$3:$AK$105,3,FALSE)</f>
        <v>Anticipated Salvage</v>
      </c>
      <c r="AF2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7" spans="18:32" x14ac:dyDescent="0.2">
      <c r="R2747" t="s">
        <v>39</v>
      </c>
      <c r="S2747" t="s">
        <v>248</v>
      </c>
      <c r="T2747" t="s">
        <v>356</v>
      </c>
      <c r="U2747" s="21">
        <v>2859</v>
      </c>
      <c r="V2747" s="21" t="s">
        <v>368</v>
      </c>
      <c r="W2747" t="str">
        <f>VLOOKUP(Table_Query_from_Actuarial___Production[[#This Row],[Kor1]],$AI$3:$AK$105,3,FALSE)</f>
        <v>Misc. Income for Insolvent Companies</v>
      </c>
      <c r="X2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7"/>
      <c r="Z2747" t="s">
        <v>11</v>
      </c>
      <c r="AA2747" t="s">
        <v>262</v>
      </c>
      <c r="AB2747" t="s">
        <v>8</v>
      </c>
      <c r="AC2747" s="21">
        <v>3255.72</v>
      </c>
      <c r="AD2747" s="21" t="s">
        <v>368</v>
      </c>
      <c r="AE2747" t="str">
        <f>VLOOKUP(Table_Query_from_Actuarial___Production3[[#This Row],[Kor1]],$AI$3:$AK$105,3,FALSE)</f>
        <v>Losses Paid</v>
      </c>
      <c r="AF2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8" spans="18:32" x14ac:dyDescent="0.2">
      <c r="R2748" t="s">
        <v>49</v>
      </c>
      <c r="S2748" t="s">
        <v>258</v>
      </c>
      <c r="T2748" t="s">
        <v>433</v>
      </c>
      <c r="U2748" s="21">
        <v>148717.19</v>
      </c>
      <c r="V2748" s="21" t="s">
        <v>368</v>
      </c>
      <c r="W2748" t="str">
        <f>VLOOKUP(Table_Query_from_Actuarial___Production[[#This Row],[Kor1]],$AI$3:$AK$105,3,FALSE)</f>
        <v>ALAE Paid</v>
      </c>
      <c r="X2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8"/>
      <c r="Z2748" t="s">
        <v>20</v>
      </c>
      <c r="AA2748" t="s">
        <v>250</v>
      </c>
      <c r="AB2748" t="s">
        <v>441</v>
      </c>
      <c r="AC2748" s="21">
        <v>535.17999999999995</v>
      </c>
      <c r="AD2748" s="21" t="s">
        <v>368</v>
      </c>
      <c r="AE2748" t="str">
        <f>VLOOKUP(Table_Query_from_Actuarial___Production3[[#This Row],[Kor1]],$AI$3:$AK$105,3,FALSE)</f>
        <v>Misc. Expense</v>
      </c>
      <c r="AF2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49" spans="18:32" x14ac:dyDescent="0.2">
      <c r="R2749" t="s">
        <v>12</v>
      </c>
      <c r="S2749" t="s">
        <v>243</v>
      </c>
      <c r="T2749" t="s">
        <v>433</v>
      </c>
      <c r="U2749" s="21">
        <v>10275.219999999999</v>
      </c>
      <c r="V2749" s="21" t="s">
        <v>368</v>
      </c>
      <c r="W2749" t="str">
        <f>VLOOKUP(Table_Query_from_Actuarial___Production[[#This Row],[Kor1]],$AI$3:$AK$105,3,FALSE)</f>
        <v>Premium Tax</v>
      </c>
      <c r="X2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49"/>
      <c r="Z2749" t="s">
        <v>31</v>
      </c>
      <c r="AA2749" t="s">
        <v>227</v>
      </c>
      <c r="AB2749" t="s">
        <v>351</v>
      </c>
      <c r="AC2749" s="21">
        <v>243.64</v>
      </c>
      <c r="AD2749" s="21" t="s">
        <v>368</v>
      </c>
      <c r="AE2749" t="str">
        <f>VLOOKUP(Table_Query_from_Actuarial___Production3[[#This Row],[Kor1]],$AI$3:$AK$105,3,FALSE)</f>
        <v>Misc. Expense</v>
      </c>
      <c r="AF2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0" spans="18:32" x14ac:dyDescent="0.2">
      <c r="R2750" t="s">
        <v>13</v>
      </c>
      <c r="S2750" t="s">
        <v>237</v>
      </c>
      <c r="T2750" t="s">
        <v>442</v>
      </c>
      <c r="U2750" s="21">
        <v>11024536.17</v>
      </c>
      <c r="V2750" s="21" t="s">
        <v>368</v>
      </c>
      <c r="W2750" t="str">
        <f>VLOOKUP(Table_Query_from_Actuarial___Production[[#This Row],[Kor1]],$AI$3:$AK$105,3,FALSE)</f>
        <v>Operating Service Fees</v>
      </c>
      <c r="X2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0"/>
      <c r="Z2750" t="s">
        <v>41</v>
      </c>
      <c r="AA2750" t="s">
        <v>4</v>
      </c>
      <c r="AB2750" t="s">
        <v>8</v>
      </c>
      <c r="AC2750" s="21">
        <v>620.11</v>
      </c>
      <c r="AD2750" s="21" t="s">
        <v>368</v>
      </c>
      <c r="AE2750" t="str">
        <f>VLOOKUP(Table_Query_from_Actuarial___Production3[[#This Row],[Kor1]],$AI$3:$AK$105,3,FALSE)</f>
        <v>Misc. Income</v>
      </c>
      <c r="AF2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1" spans="18:32" x14ac:dyDescent="0.2">
      <c r="R2751" t="s">
        <v>13</v>
      </c>
      <c r="S2751" t="s">
        <v>244</v>
      </c>
      <c r="T2751" t="s">
        <v>9</v>
      </c>
      <c r="U2751" s="21">
        <v>243895.08</v>
      </c>
      <c r="V2751" s="21" t="s">
        <v>368</v>
      </c>
      <c r="W2751" t="str">
        <f>VLOOKUP(Table_Query_from_Actuarial___Production[[#This Row],[Kor1]],$AI$3:$AK$105,3,FALSE)</f>
        <v>Operating Service Fees</v>
      </c>
      <c r="X2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1"/>
      <c r="Z2751" t="s">
        <v>48</v>
      </c>
      <c r="AA2751" t="s">
        <v>261</v>
      </c>
      <c r="AB2751" t="s">
        <v>441</v>
      </c>
      <c r="AC2751" s="21">
        <v>1226.74</v>
      </c>
      <c r="AD2751" s="21" t="s">
        <v>368</v>
      </c>
      <c r="AE2751" t="str">
        <f>VLOOKUP(Table_Query_from_Actuarial___Production3[[#This Row],[Kor1]],$AI$3:$AK$105,3,FALSE)</f>
        <v>Anticipated Salvage</v>
      </c>
      <c r="AF2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2" spans="18:32" x14ac:dyDescent="0.2">
      <c r="R2752" t="s">
        <v>11</v>
      </c>
      <c r="S2752" t="s">
        <v>262</v>
      </c>
      <c r="T2752" t="s">
        <v>427</v>
      </c>
      <c r="U2752" s="21">
        <v>35132.92</v>
      </c>
      <c r="V2752" s="21" t="s">
        <v>368</v>
      </c>
      <c r="W2752" t="str">
        <f>VLOOKUP(Table_Query_from_Actuarial___Production[[#This Row],[Kor1]],$AI$3:$AK$105,3,FALSE)</f>
        <v>Losses Paid</v>
      </c>
      <c r="X2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2"/>
      <c r="Z2752" t="s">
        <v>20</v>
      </c>
      <c r="AA2752" t="s">
        <v>255</v>
      </c>
      <c r="AB2752" t="s">
        <v>6</v>
      </c>
      <c r="AC2752" s="21">
        <v>386.28</v>
      </c>
      <c r="AD2752" s="21" t="s">
        <v>368</v>
      </c>
      <c r="AE2752" t="str">
        <f>VLOOKUP(Table_Query_from_Actuarial___Production3[[#This Row],[Kor1]],$AI$3:$AK$105,3,FALSE)</f>
        <v>Misc. Expense</v>
      </c>
      <c r="AF2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3" spans="18:32" x14ac:dyDescent="0.2">
      <c r="R2753" t="s">
        <v>34</v>
      </c>
      <c r="S2753" t="s">
        <v>239</v>
      </c>
      <c r="T2753" t="s">
        <v>356</v>
      </c>
      <c r="U2753" s="21">
        <v>1167.02</v>
      </c>
      <c r="V2753" s="21" t="s">
        <v>368</v>
      </c>
      <c r="W2753" t="str">
        <f>VLOOKUP(Table_Query_from_Actuarial___Production[[#This Row],[Kor1]],$AI$3:$AK$105,3,FALSE)</f>
        <v>Misc. Expense</v>
      </c>
      <c r="X2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3"/>
      <c r="Z2753" t="s">
        <v>31</v>
      </c>
      <c r="AA2753" t="s">
        <v>265</v>
      </c>
      <c r="AB2753" t="s">
        <v>433</v>
      </c>
      <c r="AC2753" s="21">
        <v>915.7</v>
      </c>
      <c r="AD2753" s="21" t="s">
        <v>368</v>
      </c>
      <c r="AE2753" t="str">
        <f>VLOOKUP(Table_Query_from_Actuarial___Production3[[#This Row],[Kor1]],$AI$3:$AK$105,3,FALSE)</f>
        <v>Misc. Expense</v>
      </c>
      <c r="AF2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4" spans="18:32" x14ac:dyDescent="0.2">
      <c r="R2754" t="s">
        <v>44</v>
      </c>
      <c r="S2754" t="s">
        <v>224</v>
      </c>
      <c r="T2754" t="s">
        <v>443</v>
      </c>
      <c r="U2754" s="21">
        <v>179</v>
      </c>
      <c r="V2754" s="21" t="s">
        <v>369</v>
      </c>
      <c r="W2754" t="str">
        <f>VLOOKUP(Table_Query_from_Actuarial___Production[[#This Row],[Kor1]],$AI$3:$AK$105,3,FALSE)</f>
        <v>Charge-offs</v>
      </c>
      <c r="X2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54"/>
      <c r="Z2754" t="s">
        <v>40</v>
      </c>
      <c r="AA2754" t="s">
        <v>231</v>
      </c>
      <c r="AB2754" t="s">
        <v>351</v>
      </c>
      <c r="AC2754" s="21">
        <v>14</v>
      </c>
      <c r="AD2754" s="21" t="s">
        <v>368</v>
      </c>
      <c r="AE2754" t="str">
        <f>VLOOKUP(Table_Query_from_Actuarial___Production3[[#This Row],[Kor1]],$AI$3:$AK$105,3,FALSE)</f>
        <v>Misc. Income</v>
      </c>
      <c r="AF2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5" spans="18:32" x14ac:dyDescent="0.2">
      <c r="R2755" t="s">
        <v>16</v>
      </c>
      <c r="S2755" t="s">
        <v>240</v>
      </c>
      <c r="T2755" t="s">
        <v>356</v>
      </c>
      <c r="U2755" s="21">
        <v>428157.92</v>
      </c>
      <c r="V2755" s="21" t="s">
        <v>368</v>
      </c>
      <c r="W2755" t="str">
        <f>VLOOKUP(Table_Query_from_Actuarial___Production[[#This Row],[Kor1]],$AI$3:$AK$105,3,FALSE)</f>
        <v>Losses Outstanding</v>
      </c>
      <c r="X2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5"/>
      <c r="Z2755" t="s">
        <v>20</v>
      </c>
      <c r="AA2755" t="s">
        <v>265</v>
      </c>
      <c r="AB2755" t="s">
        <v>7</v>
      </c>
      <c r="AC2755" s="21">
        <v>453.49</v>
      </c>
      <c r="AD2755" s="21" t="s">
        <v>368</v>
      </c>
      <c r="AE2755" t="str">
        <f>VLOOKUP(Table_Query_from_Actuarial___Production3[[#This Row],[Kor1]],$AI$3:$AK$105,3,FALSE)</f>
        <v>Misc. Expense</v>
      </c>
      <c r="AF2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6" spans="18:32" x14ac:dyDescent="0.2">
      <c r="R2756" t="s">
        <v>144</v>
      </c>
      <c r="S2756" t="s">
        <v>224</v>
      </c>
      <c r="T2756" t="s">
        <v>445</v>
      </c>
      <c r="U2756" s="21">
        <v>1300</v>
      </c>
      <c r="V2756" s="21" t="s">
        <v>369</v>
      </c>
      <c r="W2756" t="str">
        <f>VLOOKUP(Table_Query_from_Actuarial___Production[[#This Row],[Kor1]],$AI$3:$AK$105,3,FALSE)</f>
        <v>Claims Expense</v>
      </c>
      <c r="X2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56"/>
      <c r="Z2756" t="s">
        <v>43</v>
      </c>
      <c r="AA2756" t="s">
        <v>267</v>
      </c>
      <c r="AB2756" t="s">
        <v>427</v>
      </c>
      <c r="AC2756" s="21">
        <v>115.7</v>
      </c>
      <c r="AD2756" s="21" t="s">
        <v>368</v>
      </c>
      <c r="AE2756" t="str">
        <f>VLOOKUP(Table_Query_from_Actuarial___Production3[[#This Row],[Kor1]],$AI$3:$AK$105,3,FALSE)</f>
        <v>Charge-offs</v>
      </c>
      <c r="AF2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7" spans="18:32" x14ac:dyDescent="0.2">
      <c r="R2757" t="s">
        <v>39</v>
      </c>
      <c r="S2757" t="s">
        <v>239</v>
      </c>
      <c r="T2757" t="s">
        <v>9</v>
      </c>
      <c r="U2757" s="21">
        <v>407</v>
      </c>
      <c r="V2757" s="21" t="s">
        <v>368</v>
      </c>
      <c r="W2757" t="str">
        <f>VLOOKUP(Table_Query_from_Actuarial___Production[[#This Row],[Kor1]],$AI$3:$AK$105,3,FALSE)</f>
        <v>Misc. Income for Insolvent Companies</v>
      </c>
      <c r="X2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7"/>
      <c r="Z2757" t="s">
        <v>44</v>
      </c>
      <c r="AA2757" t="s">
        <v>258</v>
      </c>
      <c r="AB2757" t="s">
        <v>5</v>
      </c>
      <c r="AC2757" s="21">
        <v>1180.02</v>
      </c>
      <c r="AD2757" s="21" t="s">
        <v>368</v>
      </c>
      <c r="AE2757" t="str">
        <f>VLOOKUP(Table_Query_from_Actuarial___Production3[[#This Row],[Kor1]],$AI$3:$AK$105,3,FALSE)</f>
        <v>Charge-offs</v>
      </c>
      <c r="AF2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8" spans="18:32" x14ac:dyDescent="0.2">
      <c r="R2758" t="s">
        <v>11</v>
      </c>
      <c r="S2758" t="s">
        <v>236</v>
      </c>
      <c r="T2758" t="s">
        <v>7</v>
      </c>
      <c r="U2758" s="21">
        <v>83771.11</v>
      </c>
      <c r="V2758" s="21" t="s">
        <v>368</v>
      </c>
      <c r="W2758" t="str">
        <f>VLOOKUP(Table_Query_from_Actuarial___Production[[#This Row],[Kor1]],$AI$3:$AK$105,3,FALSE)</f>
        <v>Losses Paid</v>
      </c>
      <c r="X2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8"/>
      <c r="Z2758" t="s">
        <v>32</v>
      </c>
      <c r="AA2758" t="s">
        <v>230</v>
      </c>
      <c r="AB2758" t="s">
        <v>6</v>
      </c>
      <c r="AC2758" s="21">
        <v>6960079.8799999999</v>
      </c>
      <c r="AD2758" s="21" t="s">
        <v>368</v>
      </c>
      <c r="AE2758" t="str">
        <f>VLOOKUP(Table_Query_from_Actuarial___Production3[[#This Row],[Kor1]],$AI$3:$AK$105,3,FALSE)</f>
        <v>Misc. Expense</v>
      </c>
      <c r="AF2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59" spans="18:32" x14ac:dyDescent="0.2">
      <c r="R2759" t="s">
        <v>22</v>
      </c>
      <c r="S2759" t="s">
        <v>259</v>
      </c>
      <c r="T2759" t="s">
        <v>443</v>
      </c>
      <c r="U2759" s="21">
        <v>29714.560000000001</v>
      </c>
      <c r="V2759" s="21" t="s">
        <v>368</v>
      </c>
      <c r="W2759" t="str">
        <f>VLOOKUP(Table_Query_from_Actuarial___Production[[#This Row],[Kor1]],$AI$3:$AK$105,3,FALSE)</f>
        <v>Misc. Expense</v>
      </c>
      <c r="X2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59"/>
      <c r="Z2759" t="s">
        <v>33</v>
      </c>
      <c r="AA2759" t="s">
        <v>236</v>
      </c>
      <c r="AB2759" t="s">
        <v>443</v>
      </c>
      <c r="AC2759" s="21">
        <v>4172.66</v>
      </c>
      <c r="AD2759" s="21" t="s">
        <v>368</v>
      </c>
      <c r="AE2759" t="str">
        <f>VLOOKUP(Table_Query_from_Actuarial___Production3[[#This Row],[Kor1]],$AI$3:$AK$105,3,FALSE)</f>
        <v>Misc. Expense</v>
      </c>
      <c r="AF2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0" spans="18:32" x14ac:dyDescent="0.2">
      <c r="R2760" t="s">
        <v>42</v>
      </c>
      <c r="S2760" t="s">
        <v>4</v>
      </c>
      <c r="T2760" t="s">
        <v>433</v>
      </c>
      <c r="U2760" s="21">
        <v>472.93</v>
      </c>
      <c r="V2760" s="21" t="s">
        <v>368</v>
      </c>
      <c r="W2760" t="str">
        <f>VLOOKUP(Table_Query_from_Actuarial___Production[[#This Row],[Kor1]],$AI$3:$AK$105,3,FALSE)</f>
        <v>Misc. Income</v>
      </c>
      <c r="X2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0"/>
      <c r="Z2760" t="s">
        <v>12</v>
      </c>
      <c r="AA2760" t="s">
        <v>228</v>
      </c>
      <c r="AB2760" t="s">
        <v>427</v>
      </c>
      <c r="AC2760" s="21">
        <v>217356.97</v>
      </c>
      <c r="AD2760" s="21" t="s">
        <v>368</v>
      </c>
      <c r="AE2760" t="str">
        <f>VLOOKUP(Table_Query_from_Actuarial___Production3[[#This Row],[Kor1]],$AI$3:$AK$105,3,FALSE)</f>
        <v>Premium Tax</v>
      </c>
      <c r="AF2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1" spans="18:32" x14ac:dyDescent="0.2">
      <c r="R2761" t="s">
        <v>43</v>
      </c>
      <c r="S2761" t="s">
        <v>250</v>
      </c>
      <c r="T2761" t="s">
        <v>356</v>
      </c>
      <c r="U2761" s="21">
        <v>-1243.08</v>
      </c>
      <c r="V2761" s="21" t="s">
        <v>368</v>
      </c>
      <c r="W2761" t="str">
        <f>VLOOKUP(Table_Query_from_Actuarial___Production[[#This Row],[Kor1]],$AI$3:$AK$105,3,FALSE)</f>
        <v>Charge-offs</v>
      </c>
      <c r="X2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1"/>
      <c r="Z2761" t="s">
        <v>20</v>
      </c>
      <c r="AA2761" t="s">
        <v>262</v>
      </c>
      <c r="AB2761" t="s">
        <v>5</v>
      </c>
      <c r="AC2761" s="21">
        <v>25.82</v>
      </c>
      <c r="AD2761" s="21" t="s">
        <v>368</v>
      </c>
      <c r="AE2761" t="str">
        <f>VLOOKUP(Table_Query_from_Actuarial___Production3[[#This Row],[Kor1]],$AI$3:$AK$105,3,FALSE)</f>
        <v>Misc. Expense</v>
      </c>
      <c r="AF2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2" spans="18:32" x14ac:dyDescent="0.2">
      <c r="R2762" t="s">
        <v>15</v>
      </c>
      <c r="S2762" t="s">
        <v>249</v>
      </c>
      <c r="T2762" t="s">
        <v>443</v>
      </c>
      <c r="U2762" s="21">
        <v>279014.25</v>
      </c>
      <c r="V2762" s="21" t="s">
        <v>368</v>
      </c>
      <c r="W2762" t="str">
        <f>VLOOKUP(Table_Query_from_Actuarial___Production[[#This Row],[Kor1]],$AI$3:$AK$105,3,FALSE)</f>
        <v>Unearned Premiums</v>
      </c>
      <c r="X2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2"/>
      <c r="Z2762" t="s">
        <v>11</v>
      </c>
      <c r="AA2762" t="s">
        <v>240</v>
      </c>
      <c r="AB2762" t="s">
        <v>7</v>
      </c>
      <c r="AC2762" s="21">
        <v>1150222.56</v>
      </c>
      <c r="AD2762" s="21" t="s">
        <v>368</v>
      </c>
      <c r="AE2762" t="str">
        <f>VLOOKUP(Table_Query_from_Actuarial___Production3[[#This Row],[Kor1]],$AI$3:$AK$105,3,FALSE)</f>
        <v>Losses Paid</v>
      </c>
      <c r="AF2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3" spans="18:32" x14ac:dyDescent="0.2">
      <c r="R2763" t="s">
        <v>47</v>
      </c>
      <c r="S2763" t="s">
        <v>233</v>
      </c>
      <c r="T2763" t="s">
        <v>433</v>
      </c>
      <c r="U2763" s="21">
        <v>1528.76</v>
      </c>
      <c r="V2763" s="21" t="s">
        <v>368</v>
      </c>
      <c r="W2763" t="str">
        <f>VLOOKUP(Table_Query_from_Actuarial___Production[[#This Row],[Kor1]],$AI$3:$AK$105,3,FALSE)</f>
        <v>Investment Income</v>
      </c>
      <c r="X2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3"/>
      <c r="Z2763" t="s">
        <v>21</v>
      </c>
      <c r="AA2763" t="s">
        <v>251</v>
      </c>
      <c r="AB2763" t="s">
        <v>427</v>
      </c>
      <c r="AC2763" s="21">
        <v>5433.47</v>
      </c>
      <c r="AD2763" s="21" t="s">
        <v>368</v>
      </c>
      <c r="AE2763" t="str">
        <f>VLOOKUP(Table_Query_from_Actuarial___Production3[[#This Row],[Kor1]],$AI$3:$AK$105,3,FALSE)</f>
        <v>Misc. Expense</v>
      </c>
      <c r="AF2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4" spans="18:32" x14ac:dyDescent="0.2">
      <c r="R2764" t="s">
        <v>47</v>
      </c>
      <c r="S2764" t="s">
        <v>243</v>
      </c>
      <c r="T2764" t="s">
        <v>443</v>
      </c>
      <c r="U2764" s="21">
        <v>8478.4699999999993</v>
      </c>
      <c r="V2764" s="21" t="s">
        <v>368</v>
      </c>
      <c r="W2764" t="str">
        <f>VLOOKUP(Table_Query_from_Actuarial___Production[[#This Row],[Kor1]],$AI$3:$AK$105,3,FALSE)</f>
        <v>Investment Income</v>
      </c>
      <c r="X2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4"/>
      <c r="Z2764" t="s">
        <v>14</v>
      </c>
      <c r="AA2764" t="s">
        <v>256</v>
      </c>
      <c r="AB2764" t="s">
        <v>6</v>
      </c>
      <c r="AC2764" s="21">
        <v>2797.76</v>
      </c>
      <c r="AD2764" s="21" t="s">
        <v>368</v>
      </c>
      <c r="AE2764" t="str">
        <f>VLOOKUP(Table_Query_from_Actuarial___Production3[[#This Row],[Kor1]],$AI$3:$AK$105,3,FALSE)</f>
        <v>Claims Expense</v>
      </c>
      <c r="AF2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5" spans="18:32" x14ac:dyDescent="0.2">
      <c r="R2765" t="s">
        <v>3</v>
      </c>
      <c r="S2765" t="s">
        <v>240</v>
      </c>
      <c r="T2765" t="s">
        <v>443</v>
      </c>
      <c r="U2765" s="21">
        <v>3594266</v>
      </c>
      <c r="V2765" s="21" t="s">
        <v>368</v>
      </c>
      <c r="W2765" t="str">
        <f>VLOOKUP(Table_Query_from_Actuarial___Production[[#This Row],[Kor1]],$AI$3:$AK$105,3,FALSE)</f>
        <v>Premiums Written</v>
      </c>
      <c r="X2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5"/>
      <c r="Z2765" t="s">
        <v>3</v>
      </c>
      <c r="AA2765" t="s">
        <v>236</v>
      </c>
      <c r="AB2765" t="s">
        <v>443</v>
      </c>
      <c r="AC2765" s="21">
        <v>8488</v>
      </c>
      <c r="AD2765" s="21" t="s">
        <v>368</v>
      </c>
      <c r="AE2765" t="str">
        <f>VLOOKUP(Table_Query_from_Actuarial___Production3[[#This Row],[Kor1]],$AI$3:$AK$105,3,FALSE)</f>
        <v>Premiums Written</v>
      </c>
      <c r="AF2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6" spans="18:32" x14ac:dyDescent="0.2">
      <c r="R2766" t="s">
        <v>3</v>
      </c>
      <c r="S2766" t="s">
        <v>252</v>
      </c>
      <c r="T2766" t="s">
        <v>8</v>
      </c>
      <c r="U2766" s="21">
        <v>12950963</v>
      </c>
      <c r="V2766" s="21" t="s">
        <v>368</v>
      </c>
      <c r="W2766" t="str">
        <f>VLOOKUP(Table_Query_from_Actuarial___Production[[#This Row],[Kor1]],$AI$3:$AK$105,3,FALSE)</f>
        <v>Premiums Written</v>
      </c>
      <c r="X2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6"/>
      <c r="Z2766" t="s">
        <v>11</v>
      </c>
      <c r="AA2766" t="s">
        <v>248</v>
      </c>
      <c r="AB2766" t="s">
        <v>9</v>
      </c>
      <c r="AC2766" s="21">
        <v>26346.28</v>
      </c>
      <c r="AD2766" s="21" t="s">
        <v>368</v>
      </c>
      <c r="AE2766" t="str">
        <f>VLOOKUP(Table_Query_from_Actuarial___Production3[[#This Row],[Kor1]],$AI$3:$AK$105,3,FALSE)</f>
        <v>Losses Paid</v>
      </c>
      <c r="AF2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7" spans="18:32" x14ac:dyDescent="0.2">
      <c r="R2767" t="s">
        <v>13</v>
      </c>
      <c r="S2767" t="s">
        <v>354</v>
      </c>
      <c r="T2767" t="s">
        <v>427</v>
      </c>
      <c r="U2767" s="21">
        <v>29417929.170000002</v>
      </c>
      <c r="V2767" s="21" t="s">
        <v>368</v>
      </c>
      <c r="W2767" t="str">
        <f>VLOOKUP(Table_Query_from_Actuarial___Production[[#This Row],[Kor1]],$AI$3:$AK$105,3,FALSE)</f>
        <v>Operating Service Fees</v>
      </c>
      <c r="X2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767"/>
      <c r="Z2767" t="s">
        <v>12</v>
      </c>
      <c r="AA2767" t="s">
        <v>244</v>
      </c>
      <c r="AB2767" t="s">
        <v>6</v>
      </c>
      <c r="AC2767" s="21">
        <v>20482.400000000001</v>
      </c>
      <c r="AD2767" s="21" t="s">
        <v>368</v>
      </c>
      <c r="AE2767" t="str">
        <f>VLOOKUP(Table_Query_from_Actuarial___Production3[[#This Row],[Kor1]],$AI$3:$AK$105,3,FALSE)</f>
        <v>Premium Tax</v>
      </c>
      <c r="AF2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8" spans="18:32" x14ac:dyDescent="0.2">
      <c r="R2768" t="s">
        <v>21</v>
      </c>
      <c r="S2768" t="s">
        <v>250</v>
      </c>
      <c r="T2768" t="s">
        <v>6</v>
      </c>
      <c r="U2768" s="21">
        <v>868</v>
      </c>
      <c r="V2768" s="21" t="s">
        <v>368</v>
      </c>
      <c r="W2768" t="str">
        <f>VLOOKUP(Table_Query_from_Actuarial___Production[[#This Row],[Kor1]],$AI$3:$AK$105,3,FALSE)</f>
        <v>Misc. Expense</v>
      </c>
      <c r="X2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68"/>
      <c r="Z2768" t="s">
        <v>14</v>
      </c>
      <c r="AA2768" t="s">
        <v>234</v>
      </c>
      <c r="AB2768" t="s">
        <v>427</v>
      </c>
      <c r="AC2768" s="21">
        <v>59808.32</v>
      </c>
      <c r="AD2768" s="21" t="s">
        <v>368</v>
      </c>
      <c r="AE2768" t="str">
        <f>VLOOKUP(Table_Query_from_Actuarial___Production3[[#This Row],[Kor1]],$AI$3:$AK$105,3,FALSE)</f>
        <v>Claims Expense</v>
      </c>
      <c r="AF2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69" spans="18:32" x14ac:dyDescent="0.2">
      <c r="R2769" t="s">
        <v>13</v>
      </c>
      <c r="S2769" t="s">
        <v>224</v>
      </c>
      <c r="T2769" t="s">
        <v>427</v>
      </c>
      <c r="U2769" s="21">
        <v>269793.57</v>
      </c>
      <c r="V2769" s="21" t="s">
        <v>368</v>
      </c>
      <c r="W2769" t="str">
        <f>VLOOKUP(Table_Query_from_Actuarial___Production[[#This Row],[Kor1]],$AI$3:$AK$105,3,FALSE)</f>
        <v>Operating Service Fees</v>
      </c>
      <c r="X2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769"/>
      <c r="Z2769" t="s">
        <v>47</v>
      </c>
      <c r="AA2769" t="s">
        <v>251</v>
      </c>
      <c r="AB2769" t="s">
        <v>356</v>
      </c>
      <c r="AC2769" s="21">
        <v>630.39</v>
      </c>
      <c r="AD2769" s="21" t="s">
        <v>368</v>
      </c>
      <c r="AE2769" t="str">
        <f>VLOOKUP(Table_Query_from_Actuarial___Production3[[#This Row],[Kor1]],$AI$3:$AK$105,3,FALSE)</f>
        <v>Investment Income</v>
      </c>
      <c r="AF2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0" spans="18:32" x14ac:dyDescent="0.2">
      <c r="R2770" t="s">
        <v>14</v>
      </c>
      <c r="S2770" t="s">
        <v>224</v>
      </c>
      <c r="T2770" t="s">
        <v>445</v>
      </c>
      <c r="U2770" s="21">
        <v>15322.49</v>
      </c>
      <c r="V2770" s="21" t="s">
        <v>370</v>
      </c>
      <c r="W2770" t="str">
        <f>VLOOKUP(Table_Query_from_Actuarial___Production[[#This Row],[Kor1]],$AI$3:$AK$105,3,FALSE)</f>
        <v>Claims Expense</v>
      </c>
      <c r="X2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770"/>
      <c r="Z2770" t="s">
        <v>13</v>
      </c>
      <c r="AA2770" t="s">
        <v>239</v>
      </c>
      <c r="AB2770" t="s">
        <v>356</v>
      </c>
      <c r="AC2770" s="21">
        <v>96786.240000000005</v>
      </c>
      <c r="AD2770" s="21" t="s">
        <v>368</v>
      </c>
      <c r="AE2770" t="str">
        <f>VLOOKUP(Table_Query_from_Actuarial___Production3[[#This Row],[Kor1]],$AI$3:$AK$105,3,FALSE)</f>
        <v>Operating Service Fees</v>
      </c>
      <c r="AF2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1" spans="18:32" x14ac:dyDescent="0.2">
      <c r="R2771" t="s">
        <v>11</v>
      </c>
      <c r="S2771" t="s">
        <v>254</v>
      </c>
      <c r="T2771" t="s">
        <v>351</v>
      </c>
      <c r="U2771" s="21">
        <v>936394.66</v>
      </c>
      <c r="V2771" s="21" t="s">
        <v>368</v>
      </c>
      <c r="W2771" t="str">
        <f>VLOOKUP(Table_Query_from_Actuarial___Production[[#This Row],[Kor1]],$AI$3:$AK$105,3,FALSE)</f>
        <v>Losses Paid</v>
      </c>
      <c r="X2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1"/>
      <c r="Z2771" t="s">
        <v>21</v>
      </c>
      <c r="AA2771" t="s">
        <v>241</v>
      </c>
      <c r="AB2771" t="s">
        <v>8</v>
      </c>
      <c r="AC2771" s="21">
        <v>2208.02</v>
      </c>
      <c r="AD2771" s="21" t="s">
        <v>368</v>
      </c>
      <c r="AE2771" t="str">
        <f>VLOOKUP(Table_Query_from_Actuarial___Production3[[#This Row],[Kor1]],$AI$3:$AK$105,3,FALSE)</f>
        <v>Misc. Expense</v>
      </c>
      <c r="AF2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2" spans="18:32" x14ac:dyDescent="0.2">
      <c r="R2772" t="s">
        <v>3</v>
      </c>
      <c r="S2772" t="s">
        <v>257</v>
      </c>
      <c r="T2772" t="s">
        <v>9</v>
      </c>
      <c r="U2772" s="21">
        <v>1434028</v>
      </c>
      <c r="V2772" s="21" t="s">
        <v>368</v>
      </c>
      <c r="W2772" t="str">
        <f>VLOOKUP(Table_Query_from_Actuarial___Production[[#This Row],[Kor1]],$AI$3:$AK$105,3,FALSE)</f>
        <v>Premiums Written</v>
      </c>
      <c r="X2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2"/>
      <c r="Z2772" t="s">
        <v>47</v>
      </c>
      <c r="AA2772" t="s">
        <v>257</v>
      </c>
      <c r="AB2772" t="s">
        <v>5</v>
      </c>
      <c r="AC2772" s="21">
        <v>409.74</v>
      </c>
      <c r="AD2772" s="21" t="s">
        <v>368</v>
      </c>
      <c r="AE2772" t="str">
        <f>VLOOKUP(Table_Query_from_Actuarial___Production3[[#This Row],[Kor1]],$AI$3:$AK$105,3,FALSE)</f>
        <v>Investment Income</v>
      </c>
      <c r="AF2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3" spans="18:32" x14ac:dyDescent="0.2">
      <c r="R2773" t="s">
        <v>12</v>
      </c>
      <c r="S2773" t="s">
        <v>250</v>
      </c>
      <c r="T2773" t="s">
        <v>9</v>
      </c>
      <c r="U2773" s="21">
        <v>20289.79</v>
      </c>
      <c r="V2773" s="21" t="s">
        <v>368</v>
      </c>
      <c r="W2773" t="str">
        <f>VLOOKUP(Table_Query_from_Actuarial___Production[[#This Row],[Kor1]],$AI$3:$AK$105,3,FALSE)</f>
        <v>Premium Tax</v>
      </c>
      <c r="X2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3"/>
      <c r="Z2773" t="s">
        <v>16</v>
      </c>
      <c r="AA2773" t="s">
        <v>352</v>
      </c>
      <c r="AB2773" t="s">
        <v>441</v>
      </c>
      <c r="AC2773" s="21">
        <v>2500</v>
      </c>
      <c r="AD2773" s="21" t="s">
        <v>369</v>
      </c>
      <c r="AE2773" t="str">
        <f>VLOOKUP(Table_Query_from_Actuarial___Production3[[#This Row],[Kor1]],$AI$3:$AK$105,3,FALSE)</f>
        <v>Losses Outstanding</v>
      </c>
      <c r="AF2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2774" spans="18:32" x14ac:dyDescent="0.2">
      <c r="R2774" t="s">
        <v>11</v>
      </c>
      <c r="S2774" t="s">
        <v>245</v>
      </c>
      <c r="T2774" t="s">
        <v>8</v>
      </c>
      <c r="U2774" s="21">
        <v>14175.71</v>
      </c>
      <c r="V2774" s="21" t="s">
        <v>368</v>
      </c>
      <c r="W2774" t="str">
        <f>VLOOKUP(Table_Query_from_Actuarial___Production[[#This Row],[Kor1]],$AI$3:$AK$105,3,FALSE)</f>
        <v>Losses Paid</v>
      </c>
      <c r="X2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4"/>
      <c r="Z2774" t="s">
        <v>43</v>
      </c>
      <c r="AA2774" t="s">
        <v>224</v>
      </c>
      <c r="AB2774" t="s">
        <v>6</v>
      </c>
      <c r="AC2774" s="21">
        <v>121.02</v>
      </c>
      <c r="AD2774" s="21" t="s">
        <v>425</v>
      </c>
      <c r="AE2774" t="str">
        <f>VLOOKUP(Table_Query_from_Actuarial___Production3[[#This Row],[Kor1]],$AI$3:$AK$105,3,FALSE)</f>
        <v>Charge-offs</v>
      </c>
      <c r="AF2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775" spans="18:32" x14ac:dyDescent="0.2">
      <c r="R2775" t="s">
        <v>38</v>
      </c>
      <c r="S2775" t="s">
        <v>224</v>
      </c>
      <c r="T2775" t="s">
        <v>441</v>
      </c>
      <c r="U2775" s="21">
        <v>10511.96</v>
      </c>
      <c r="V2775" s="21" t="s">
        <v>369</v>
      </c>
      <c r="W2775" t="str">
        <f>VLOOKUP(Table_Query_from_Actuarial___Production[[#This Row],[Kor1]],$AI$3:$AK$105,3,FALSE)</f>
        <v>Misc. Income</v>
      </c>
      <c r="X2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75"/>
      <c r="Z2775" t="s">
        <v>31</v>
      </c>
      <c r="AA2775" t="s">
        <v>262</v>
      </c>
      <c r="AB2775" t="s">
        <v>442</v>
      </c>
      <c r="AC2775" s="21">
        <v>1067.45</v>
      </c>
      <c r="AD2775" s="21" t="s">
        <v>368</v>
      </c>
      <c r="AE2775" t="str">
        <f>VLOOKUP(Table_Query_from_Actuarial___Production3[[#This Row],[Kor1]],$AI$3:$AK$105,3,FALSE)</f>
        <v>Misc. Expense</v>
      </c>
      <c r="AF2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6" spans="18:32" x14ac:dyDescent="0.2">
      <c r="R2776" t="s">
        <v>27</v>
      </c>
      <c r="S2776" t="s">
        <v>4</v>
      </c>
      <c r="T2776" t="s">
        <v>6</v>
      </c>
      <c r="U2776" s="21">
        <v>-0.05</v>
      </c>
      <c r="V2776" s="21" t="s">
        <v>368</v>
      </c>
      <c r="W2776" t="str">
        <f>VLOOKUP(Table_Query_from_Actuarial___Production[[#This Row],[Kor1]],$AI$3:$AK$105,3,FALSE)</f>
        <v>Misc. Expense</v>
      </c>
      <c r="X2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6"/>
      <c r="Z2776" t="s">
        <v>49</v>
      </c>
      <c r="AA2776" t="s">
        <v>256</v>
      </c>
      <c r="AB2776" t="s">
        <v>351</v>
      </c>
      <c r="AC2776" s="21">
        <v>48035.13</v>
      </c>
      <c r="AD2776" s="21" t="s">
        <v>368</v>
      </c>
      <c r="AE2776" t="str">
        <f>VLOOKUP(Table_Query_from_Actuarial___Production3[[#This Row],[Kor1]],$AI$3:$AK$105,3,FALSE)</f>
        <v>ALAE Paid</v>
      </c>
      <c r="AF2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7" spans="18:32" x14ac:dyDescent="0.2">
      <c r="R2777" t="s">
        <v>11</v>
      </c>
      <c r="S2777" t="s">
        <v>253</v>
      </c>
      <c r="T2777" t="s">
        <v>443</v>
      </c>
      <c r="U2777" s="21">
        <v>3137.67</v>
      </c>
      <c r="V2777" s="21" t="s">
        <v>368</v>
      </c>
      <c r="W2777" t="str">
        <f>VLOOKUP(Table_Query_from_Actuarial___Production[[#This Row],[Kor1]],$AI$3:$AK$105,3,FALSE)</f>
        <v>Losses Paid</v>
      </c>
      <c r="X2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7"/>
      <c r="Z2777" t="s">
        <v>13</v>
      </c>
      <c r="AA2777" t="s">
        <v>262</v>
      </c>
      <c r="AB2777" t="s">
        <v>351</v>
      </c>
      <c r="AC2777" s="21">
        <v>167089.32</v>
      </c>
      <c r="AD2777" s="21" t="s">
        <v>368</v>
      </c>
      <c r="AE2777" t="str">
        <f>VLOOKUP(Table_Query_from_Actuarial___Production3[[#This Row],[Kor1]],$AI$3:$AK$105,3,FALSE)</f>
        <v>Operating Service Fees</v>
      </c>
      <c r="AF2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8" spans="18:32" x14ac:dyDescent="0.2">
      <c r="R2778" t="s">
        <v>49</v>
      </c>
      <c r="S2778" t="s">
        <v>264</v>
      </c>
      <c r="T2778" t="s">
        <v>6</v>
      </c>
      <c r="U2778" s="21">
        <v>19969.89</v>
      </c>
      <c r="V2778" s="21" t="s">
        <v>368</v>
      </c>
      <c r="W2778" t="str">
        <f>VLOOKUP(Table_Query_from_Actuarial___Production[[#This Row],[Kor1]],$AI$3:$AK$105,3,FALSE)</f>
        <v>ALAE Paid</v>
      </c>
      <c r="X2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8"/>
      <c r="Z2778" t="s">
        <v>19</v>
      </c>
      <c r="AA2778" t="s">
        <v>255</v>
      </c>
      <c r="AB2778" t="s">
        <v>351</v>
      </c>
      <c r="AC2778" s="21">
        <v>344</v>
      </c>
      <c r="AD2778" s="21" t="s">
        <v>368</v>
      </c>
      <c r="AE2778" t="str">
        <f>VLOOKUP(Table_Query_from_Actuarial___Production3[[#This Row],[Kor1]],$AI$3:$AK$105,3,FALSE)</f>
        <v>Misc. Expense for Insolvent Companies</v>
      </c>
      <c r="AF2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79" spans="18:32" x14ac:dyDescent="0.2">
      <c r="R2779" t="s">
        <v>21</v>
      </c>
      <c r="S2779" t="s">
        <v>257</v>
      </c>
      <c r="T2779" t="s">
        <v>351</v>
      </c>
      <c r="U2779" s="21">
        <v>1648.91</v>
      </c>
      <c r="V2779" s="21" t="s">
        <v>368</v>
      </c>
      <c r="W2779" t="str">
        <f>VLOOKUP(Table_Query_from_Actuarial___Production[[#This Row],[Kor1]],$AI$3:$AK$105,3,FALSE)</f>
        <v>Misc. Expense</v>
      </c>
      <c r="X2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79"/>
      <c r="Z2779" t="s">
        <v>20</v>
      </c>
      <c r="AA2779" t="s">
        <v>248</v>
      </c>
      <c r="AB2779" t="s">
        <v>427</v>
      </c>
      <c r="AC2779" s="21">
        <v>170.21</v>
      </c>
      <c r="AD2779" s="21" t="s">
        <v>368</v>
      </c>
      <c r="AE2779" t="str">
        <f>VLOOKUP(Table_Query_from_Actuarial___Production3[[#This Row],[Kor1]],$AI$3:$AK$105,3,FALSE)</f>
        <v>Misc. Expense</v>
      </c>
      <c r="AF2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0" spans="18:32" x14ac:dyDescent="0.2">
      <c r="R2780" t="s">
        <v>37</v>
      </c>
      <c r="S2780" t="s">
        <v>256</v>
      </c>
      <c r="T2780" t="s">
        <v>351</v>
      </c>
      <c r="U2780" s="21">
        <v>0.11</v>
      </c>
      <c r="V2780" s="21" t="s">
        <v>368</v>
      </c>
      <c r="W2780" t="str">
        <f>VLOOKUP(Table_Query_from_Actuarial___Production[[#This Row],[Kor1]],$AI$3:$AK$105,3,FALSE)</f>
        <v>Misc. Expense</v>
      </c>
      <c r="X2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0"/>
      <c r="Z2780" t="s">
        <v>3</v>
      </c>
      <c r="AA2780" t="s">
        <v>238</v>
      </c>
      <c r="AB2780" t="s">
        <v>351</v>
      </c>
      <c r="AC2780" s="21">
        <v>754261</v>
      </c>
      <c r="AD2780" s="21" t="s">
        <v>368</v>
      </c>
      <c r="AE2780" t="str">
        <f>VLOOKUP(Table_Query_from_Actuarial___Production3[[#This Row],[Kor1]],$AI$3:$AK$105,3,FALSE)</f>
        <v>Premiums Written</v>
      </c>
      <c r="AF2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1" spans="18:32" x14ac:dyDescent="0.2">
      <c r="R2781" t="s">
        <v>43</v>
      </c>
      <c r="S2781" t="s">
        <v>241</v>
      </c>
      <c r="T2781" t="s">
        <v>443</v>
      </c>
      <c r="U2781" s="21">
        <v>250.67</v>
      </c>
      <c r="V2781" s="21" t="s">
        <v>368</v>
      </c>
      <c r="W2781" t="str">
        <f>VLOOKUP(Table_Query_from_Actuarial___Production[[#This Row],[Kor1]],$AI$3:$AK$105,3,FALSE)</f>
        <v>Charge-offs</v>
      </c>
      <c r="X2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1"/>
      <c r="Z2781" t="s">
        <v>20</v>
      </c>
      <c r="AA2781" t="s">
        <v>239</v>
      </c>
      <c r="AB2781" t="s">
        <v>356</v>
      </c>
      <c r="AC2781" s="21">
        <v>47.69</v>
      </c>
      <c r="AD2781" s="21" t="s">
        <v>368</v>
      </c>
      <c r="AE2781" t="str">
        <f>VLOOKUP(Table_Query_from_Actuarial___Production3[[#This Row],[Kor1]],$AI$3:$AK$105,3,FALSE)</f>
        <v>Misc. Expense</v>
      </c>
      <c r="AF2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2" spans="18:32" x14ac:dyDescent="0.2">
      <c r="R2782" t="s">
        <v>34</v>
      </c>
      <c r="S2782" t="s">
        <v>255</v>
      </c>
      <c r="T2782" t="s">
        <v>442</v>
      </c>
      <c r="U2782" s="21">
        <v>1251.8800000000001</v>
      </c>
      <c r="V2782" s="21" t="s">
        <v>368</v>
      </c>
      <c r="W2782" t="str">
        <f>VLOOKUP(Table_Query_from_Actuarial___Production[[#This Row],[Kor1]],$AI$3:$AK$105,3,FALSE)</f>
        <v>Misc. Expense</v>
      </c>
      <c r="X2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2"/>
      <c r="Z2782" t="s">
        <v>16</v>
      </c>
      <c r="AA2782" t="s">
        <v>243</v>
      </c>
      <c r="AB2782" t="s">
        <v>427</v>
      </c>
      <c r="AC2782" s="21">
        <v>25132.39</v>
      </c>
      <c r="AD2782" s="21" t="s">
        <v>368</v>
      </c>
      <c r="AE2782" t="str">
        <f>VLOOKUP(Table_Query_from_Actuarial___Production3[[#This Row],[Kor1]],$AI$3:$AK$105,3,FALSE)</f>
        <v>Losses Outstanding</v>
      </c>
      <c r="AF2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3" spans="18:32" x14ac:dyDescent="0.2">
      <c r="R2783" t="s">
        <v>44</v>
      </c>
      <c r="S2783" t="s">
        <v>224</v>
      </c>
      <c r="T2783" t="s">
        <v>7</v>
      </c>
      <c r="U2783" s="21">
        <v>554.96</v>
      </c>
      <c r="V2783" s="21" t="s">
        <v>369</v>
      </c>
      <c r="W2783" t="str">
        <f>VLOOKUP(Table_Query_from_Actuarial___Production[[#This Row],[Kor1]],$AI$3:$AK$105,3,FALSE)</f>
        <v>Charge-offs</v>
      </c>
      <c r="X2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783"/>
      <c r="Z2783" t="s">
        <v>11</v>
      </c>
      <c r="AA2783" t="s">
        <v>255</v>
      </c>
      <c r="AB2783" t="s">
        <v>5</v>
      </c>
      <c r="AC2783" s="21">
        <v>7947.74</v>
      </c>
      <c r="AD2783" s="21" t="s">
        <v>368</v>
      </c>
      <c r="AE2783" t="str">
        <f>VLOOKUP(Table_Query_from_Actuarial___Production3[[#This Row],[Kor1]],$AI$3:$AK$105,3,FALSE)</f>
        <v>Losses Paid</v>
      </c>
      <c r="AF2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4" spans="18:32" x14ac:dyDescent="0.2">
      <c r="R2784" t="s">
        <v>44</v>
      </c>
      <c r="S2784" t="s">
        <v>239</v>
      </c>
      <c r="T2784" t="s">
        <v>441</v>
      </c>
      <c r="U2784" s="21">
        <v>415237</v>
      </c>
      <c r="V2784" s="21" t="s">
        <v>368</v>
      </c>
      <c r="W2784" t="str">
        <f>VLOOKUP(Table_Query_from_Actuarial___Production[[#This Row],[Kor1]],$AI$3:$AK$105,3,FALSE)</f>
        <v>Charge-offs</v>
      </c>
      <c r="X2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4"/>
      <c r="Z2784" t="s">
        <v>41</v>
      </c>
      <c r="AA2784" t="s">
        <v>227</v>
      </c>
      <c r="AB2784" t="s">
        <v>6</v>
      </c>
      <c r="AC2784" s="21">
        <v>50</v>
      </c>
      <c r="AD2784" s="21" t="s">
        <v>368</v>
      </c>
      <c r="AE2784" t="str">
        <f>VLOOKUP(Table_Query_from_Actuarial___Production3[[#This Row],[Kor1]],$AI$3:$AK$105,3,FALSE)</f>
        <v>Misc. Income</v>
      </c>
      <c r="AF2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5" spans="18:32" x14ac:dyDescent="0.2">
      <c r="R2785" t="s">
        <v>41</v>
      </c>
      <c r="S2785" t="s">
        <v>244</v>
      </c>
      <c r="T2785" t="s">
        <v>356</v>
      </c>
      <c r="U2785" s="21">
        <v>250.01</v>
      </c>
      <c r="V2785" s="21" t="s">
        <v>368</v>
      </c>
      <c r="W2785" t="str">
        <f>VLOOKUP(Table_Query_from_Actuarial___Production[[#This Row],[Kor1]],$AI$3:$AK$105,3,FALSE)</f>
        <v>Misc. Income</v>
      </c>
      <c r="X2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5"/>
      <c r="Z2785" t="s">
        <v>38</v>
      </c>
      <c r="AA2785" t="s">
        <v>224</v>
      </c>
      <c r="AB2785" t="s">
        <v>351</v>
      </c>
      <c r="AC2785" s="21">
        <v>14500.44</v>
      </c>
      <c r="AD2785" s="21" t="s">
        <v>369</v>
      </c>
      <c r="AE2785" t="str">
        <f>VLOOKUP(Table_Query_from_Actuarial___Production3[[#This Row],[Kor1]],$AI$3:$AK$105,3,FALSE)</f>
        <v>Misc. Income</v>
      </c>
      <c r="AF2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786" spans="18:32" x14ac:dyDescent="0.2">
      <c r="R2786" t="s">
        <v>41</v>
      </c>
      <c r="S2786" t="s">
        <v>250</v>
      </c>
      <c r="T2786" t="s">
        <v>433</v>
      </c>
      <c r="U2786" s="21">
        <v>350.01</v>
      </c>
      <c r="V2786" s="21" t="s">
        <v>368</v>
      </c>
      <c r="W2786" t="str">
        <f>VLOOKUP(Table_Query_from_Actuarial___Production[[#This Row],[Kor1]],$AI$3:$AK$105,3,FALSE)</f>
        <v>Misc. Income</v>
      </c>
      <c r="X2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6"/>
      <c r="Z2786" t="s">
        <v>31</v>
      </c>
      <c r="AA2786" t="s">
        <v>247</v>
      </c>
      <c r="AB2786" t="s">
        <v>356</v>
      </c>
      <c r="AC2786" s="21">
        <v>475.34</v>
      </c>
      <c r="AD2786" s="21" t="s">
        <v>368</v>
      </c>
      <c r="AE2786" t="str">
        <f>VLOOKUP(Table_Query_from_Actuarial___Production3[[#This Row],[Kor1]],$AI$3:$AK$105,3,FALSE)</f>
        <v>Misc. Expense</v>
      </c>
      <c r="AF2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7" spans="18:32" x14ac:dyDescent="0.2">
      <c r="R2787" t="s">
        <v>47</v>
      </c>
      <c r="S2787" t="s">
        <v>235</v>
      </c>
      <c r="T2787" t="s">
        <v>356</v>
      </c>
      <c r="U2787" s="21">
        <v>3006.4</v>
      </c>
      <c r="V2787" s="21" t="s">
        <v>368</v>
      </c>
      <c r="W2787" t="str">
        <f>VLOOKUP(Table_Query_from_Actuarial___Production[[#This Row],[Kor1]],$AI$3:$AK$105,3,FALSE)</f>
        <v>Investment Income</v>
      </c>
      <c r="X2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7"/>
      <c r="Z2787" t="s">
        <v>33</v>
      </c>
      <c r="AA2787" t="s">
        <v>262</v>
      </c>
      <c r="AB2787" t="s">
        <v>356</v>
      </c>
      <c r="AC2787" s="21">
        <v>14443.88</v>
      </c>
      <c r="AD2787" s="21" t="s">
        <v>368</v>
      </c>
      <c r="AE2787" t="str">
        <f>VLOOKUP(Table_Query_from_Actuarial___Production3[[#This Row],[Kor1]],$AI$3:$AK$105,3,FALSE)</f>
        <v>Misc. Expense</v>
      </c>
      <c r="AF2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8" spans="18:32" x14ac:dyDescent="0.2">
      <c r="R2788" t="s">
        <v>10</v>
      </c>
      <c r="S2788" t="s">
        <v>254</v>
      </c>
      <c r="T2788" t="s">
        <v>445</v>
      </c>
      <c r="U2788" s="21">
        <v>761618.09</v>
      </c>
      <c r="V2788" s="21" t="s">
        <v>368</v>
      </c>
      <c r="W2788" t="str">
        <f>VLOOKUP(Table_Query_from_Actuarial___Production[[#This Row],[Kor1]],$AI$3:$AK$105,3,FALSE)</f>
        <v>Commissions</v>
      </c>
      <c r="X2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8"/>
      <c r="Z2788" t="s">
        <v>47</v>
      </c>
      <c r="AA2788" t="s">
        <v>263</v>
      </c>
      <c r="AB2788" t="s">
        <v>442</v>
      </c>
      <c r="AC2788" s="21">
        <v>921.86</v>
      </c>
      <c r="AD2788" s="21" t="s">
        <v>368</v>
      </c>
      <c r="AE2788" t="str">
        <f>VLOOKUP(Table_Query_from_Actuarial___Production3[[#This Row],[Kor1]],$AI$3:$AK$105,3,FALSE)</f>
        <v>Investment Income</v>
      </c>
      <c r="AF2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89" spans="18:32" x14ac:dyDescent="0.2">
      <c r="R2789" t="s">
        <v>40</v>
      </c>
      <c r="S2789" t="s">
        <v>233</v>
      </c>
      <c r="T2789" t="s">
        <v>427</v>
      </c>
      <c r="U2789" s="21">
        <v>286.29000000000002</v>
      </c>
      <c r="V2789" s="21" t="s">
        <v>368</v>
      </c>
      <c r="W2789" t="str">
        <f>VLOOKUP(Table_Query_from_Actuarial___Production[[#This Row],[Kor1]],$AI$3:$AK$105,3,FALSE)</f>
        <v>Misc. Income</v>
      </c>
      <c r="X2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89"/>
      <c r="Z2789" t="s">
        <v>50</v>
      </c>
      <c r="AA2789" t="s">
        <v>229</v>
      </c>
      <c r="AB2789" t="s">
        <v>427</v>
      </c>
      <c r="AC2789" s="21">
        <v>931.83</v>
      </c>
      <c r="AD2789" s="21" t="s">
        <v>368</v>
      </c>
      <c r="AE2789" t="str">
        <f>VLOOKUP(Table_Query_from_Actuarial___Production3[[#This Row],[Kor1]],$AI$3:$AK$105,3,FALSE)</f>
        <v>ALAE Reserve</v>
      </c>
      <c r="AF2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0" spans="18:32" x14ac:dyDescent="0.2">
      <c r="R2790" t="s">
        <v>14</v>
      </c>
      <c r="S2790" t="s">
        <v>260</v>
      </c>
      <c r="T2790" t="s">
        <v>356</v>
      </c>
      <c r="U2790" s="21">
        <v>2699.76</v>
      </c>
      <c r="V2790" s="21" t="s">
        <v>368</v>
      </c>
      <c r="W2790" t="str">
        <f>VLOOKUP(Table_Query_from_Actuarial___Production[[#This Row],[Kor1]],$AI$3:$AK$105,3,FALSE)</f>
        <v>Claims Expense</v>
      </c>
      <c r="X2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0"/>
      <c r="Z2790" t="s">
        <v>41</v>
      </c>
      <c r="AA2790" t="s">
        <v>255</v>
      </c>
      <c r="AB2790" t="s">
        <v>5</v>
      </c>
      <c r="AC2790" s="21">
        <v>100</v>
      </c>
      <c r="AD2790" s="21" t="s">
        <v>368</v>
      </c>
      <c r="AE2790" t="str">
        <f>VLOOKUP(Table_Query_from_Actuarial___Production3[[#This Row],[Kor1]],$AI$3:$AK$105,3,FALSE)</f>
        <v>Misc. Income</v>
      </c>
      <c r="AF2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1" spans="18:32" x14ac:dyDescent="0.2">
      <c r="R2791" t="s">
        <v>41</v>
      </c>
      <c r="S2791" t="s">
        <v>247</v>
      </c>
      <c r="T2791" t="s">
        <v>442</v>
      </c>
      <c r="U2791" s="21">
        <v>500.01</v>
      </c>
      <c r="V2791" s="21" t="s">
        <v>368</v>
      </c>
      <c r="W2791" t="str">
        <f>VLOOKUP(Table_Query_from_Actuarial___Production[[#This Row],[Kor1]],$AI$3:$AK$105,3,FALSE)</f>
        <v>Misc. Income</v>
      </c>
      <c r="X2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1"/>
      <c r="Z2791" t="s">
        <v>11</v>
      </c>
      <c r="AA2791" t="s">
        <v>225</v>
      </c>
      <c r="AB2791" t="s">
        <v>427</v>
      </c>
      <c r="AC2791" s="21">
        <v>271950.46999999997</v>
      </c>
      <c r="AD2791" s="21" t="s">
        <v>369</v>
      </c>
      <c r="AE2791" t="str">
        <f>VLOOKUP(Table_Query_from_Actuarial___Production3[[#This Row],[Kor1]],$AI$3:$AK$105,3,FALSE)</f>
        <v>Losses Paid</v>
      </c>
      <c r="AF2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792" spans="18:32" x14ac:dyDescent="0.2">
      <c r="R2792" t="s">
        <v>43</v>
      </c>
      <c r="S2792" t="s">
        <v>258</v>
      </c>
      <c r="T2792" t="s">
        <v>8</v>
      </c>
      <c r="U2792" s="21">
        <v>14.01</v>
      </c>
      <c r="V2792" s="21" t="s">
        <v>368</v>
      </c>
      <c r="W2792" t="str">
        <f>VLOOKUP(Table_Query_from_Actuarial___Production[[#This Row],[Kor1]],$AI$3:$AK$105,3,FALSE)</f>
        <v>Charge-offs</v>
      </c>
      <c r="X2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2"/>
      <c r="Z2792" t="s">
        <v>16</v>
      </c>
      <c r="AA2792" t="s">
        <v>224</v>
      </c>
      <c r="AB2792" t="s">
        <v>433</v>
      </c>
      <c r="AC2792" s="21">
        <v>-15338.24</v>
      </c>
      <c r="AD2792" s="21" t="s">
        <v>368</v>
      </c>
      <c r="AE2792" t="str">
        <f>VLOOKUP(Table_Query_from_Actuarial___Production3[[#This Row],[Kor1]],$AI$3:$AK$105,3,FALSE)</f>
        <v>Losses Outstanding</v>
      </c>
      <c r="AF2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793" spans="18:32" x14ac:dyDescent="0.2">
      <c r="R2793" t="s">
        <v>39</v>
      </c>
      <c r="S2793" t="s">
        <v>266</v>
      </c>
      <c r="T2793" t="s">
        <v>9</v>
      </c>
      <c r="U2793" s="21">
        <v>14.01</v>
      </c>
      <c r="V2793" s="21" t="s">
        <v>368</v>
      </c>
      <c r="W2793" t="str">
        <f>VLOOKUP(Table_Query_from_Actuarial___Production[[#This Row],[Kor1]],$AI$3:$AK$105,3,FALSE)</f>
        <v>Misc. Income for Insolvent Companies</v>
      </c>
      <c r="X2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3"/>
      <c r="Z2793" t="s">
        <v>14</v>
      </c>
      <c r="AA2793" t="s">
        <v>230</v>
      </c>
      <c r="AB2793" t="s">
        <v>9</v>
      </c>
      <c r="AC2793" s="21">
        <v>2459598.0699999998</v>
      </c>
      <c r="AD2793" s="21" t="s">
        <v>368</v>
      </c>
      <c r="AE2793" t="str">
        <f>VLOOKUP(Table_Query_from_Actuarial___Production3[[#This Row],[Kor1]],$AI$3:$AK$105,3,FALSE)</f>
        <v>Claims Expense</v>
      </c>
      <c r="AF2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4" spans="18:32" x14ac:dyDescent="0.2">
      <c r="R2794" t="s">
        <v>444</v>
      </c>
      <c r="S2794" t="s">
        <v>255</v>
      </c>
      <c r="T2794" t="s">
        <v>443</v>
      </c>
      <c r="U2794" s="21">
        <v>10167.81</v>
      </c>
      <c r="V2794" s="21" t="s">
        <v>368</v>
      </c>
      <c r="W2794" t="str">
        <f>VLOOKUP(Table_Query_from_Actuarial___Production[[#This Row],[Kor1]],$AI$3:$AK$105,3,FALSE)</f>
        <v>Misc. Expense</v>
      </c>
      <c r="X2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4"/>
      <c r="Z2794" t="s">
        <v>39</v>
      </c>
      <c r="AA2794" t="s">
        <v>238</v>
      </c>
      <c r="AB2794" t="s">
        <v>9</v>
      </c>
      <c r="AC2794" s="21">
        <v>564</v>
      </c>
      <c r="AD2794" s="21" t="s">
        <v>368</v>
      </c>
      <c r="AE2794" t="str">
        <f>VLOOKUP(Table_Query_from_Actuarial___Production3[[#This Row],[Kor1]],$AI$3:$AK$105,3,FALSE)</f>
        <v>Misc. Income for Insolvent Companies</v>
      </c>
      <c r="AF2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5" spans="18:32" x14ac:dyDescent="0.2">
      <c r="R2795" t="s">
        <v>38</v>
      </c>
      <c r="S2795" t="s">
        <v>354</v>
      </c>
      <c r="T2795" t="s">
        <v>433</v>
      </c>
      <c r="U2795" s="21">
        <v>29654.63</v>
      </c>
      <c r="V2795" s="21" t="s">
        <v>368</v>
      </c>
      <c r="W2795" t="str">
        <f>VLOOKUP(Table_Query_from_Actuarial___Production[[#This Row],[Kor1]],$AI$3:$AK$105,3,FALSE)</f>
        <v>Misc. Income</v>
      </c>
      <c r="X2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795"/>
      <c r="Z2795" t="s">
        <v>37</v>
      </c>
      <c r="AA2795" t="s">
        <v>267</v>
      </c>
      <c r="AB2795" t="s">
        <v>441</v>
      </c>
      <c r="AC2795" s="21">
        <v>-131.6</v>
      </c>
      <c r="AD2795" s="21" t="s">
        <v>368</v>
      </c>
      <c r="AE2795" t="str">
        <f>VLOOKUP(Table_Query_from_Actuarial___Production3[[#This Row],[Kor1]],$AI$3:$AK$105,3,FALSE)</f>
        <v>Misc. Expense</v>
      </c>
      <c r="AF2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6" spans="18:32" x14ac:dyDescent="0.2">
      <c r="R2796" t="s">
        <v>3</v>
      </c>
      <c r="S2796" t="s">
        <v>228</v>
      </c>
      <c r="T2796" t="s">
        <v>433</v>
      </c>
      <c r="U2796" s="21">
        <v>28865</v>
      </c>
      <c r="V2796" s="21" t="s">
        <v>368</v>
      </c>
      <c r="W2796" t="str">
        <f>VLOOKUP(Table_Query_from_Actuarial___Production[[#This Row],[Kor1]],$AI$3:$AK$105,3,FALSE)</f>
        <v>Premiums Written</v>
      </c>
      <c r="X2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6"/>
      <c r="Z2796" t="s">
        <v>39</v>
      </c>
      <c r="AA2796" t="s">
        <v>248</v>
      </c>
      <c r="AB2796" t="s">
        <v>356</v>
      </c>
      <c r="AC2796" s="21">
        <v>2859</v>
      </c>
      <c r="AD2796" s="21" t="s">
        <v>368</v>
      </c>
      <c r="AE2796" t="str">
        <f>VLOOKUP(Table_Query_from_Actuarial___Production3[[#This Row],[Kor1]],$AI$3:$AK$105,3,FALSE)</f>
        <v>Misc. Income for Insolvent Companies</v>
      </c>
      <c r="AF2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7" spans="18:32" x14ac:dyDescent="0.2">
      <c r="R2797" t="s">
        <v>21</v>
      </c>
      <c r="S2797" t="s">
        <v>232</v>
      </c>
      <c r="T2797" t="s">
        <v>7</v>
      </c>
      <c r="U2797" s="21">
        <v>2316.42</v>
      </c>
      <c r="V2797" s="21" t="s">
        <v>368</v>
      </c>
      <c r="W2797" t="str">
        <f>VLOOKUP(Table_Query_from_Actuarial___Production[[#This Row],[Kor1]],$AI$3:$AK$105,3,FALSE)</f>
        <v>Misc. Expense</v>
      </c>
      <c r="X2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7"/>
      <c r="Z2797" t="s">
        <v>49</v>
      </c>
      <c r="AA2797" t="s">
        <v>258</v>
      </c>
      <c r="AB2797" t="s">
        <v>433</v>
      </c>
      <c r="AC2797" s="21">
        <v>34264.69</v>
      </c>
      <c r="AD2797" s="21" t="s">
        <v>368</v>
      </c>
      <c r="AE2797" t="str">
        <f>VLOOKUP(Table_Query_from_Actuarial___Production3[[#This Row],[Kor1]],$AI$3:$AK$105,3,FALSE)</f>
        <v>ALAE Paid</v>
      </c>
      <c r="AF2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8" spans="18:32" x14ac:dyDescent="0.2">
      <c r="R2798" t="s">
        <v>43</v>
      </c>
      <c r="S2798" t="s">
        <v>240</v>
      </c>
      <c r="T2798" t="s">
        <v>433</v>
      </c>
      <c r="U2798" s="21">
        <v>-984.6</v>
      </c>
      <c r="V2798" s="21" t="s">
        <v>368</v>
      </c>
      <c r="W2798" t="str">
        <f>VLOOKUP(Table_Query_from_Actuarial___Production[[#This Row],[Kor1]],$AI$3:$AK$105,3,FALSE)</f>
        <v>Charge-offs</v>
      </c>
      <c r="X2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8"/>
      <c r="Z2798" t="s">
        <v>12</v>
      </c>
      <c r="AA2798" t="s">
        <v>243</v>
      </c>
      <c r="AB2798" t="s">
        <v>433</v>
      </c>
      <c r="AC2798" s="21">
        <v>10275.219999999999</v>
      </c>
      <c r="AD2798" s="21" t="s">
        <v>368</v>
      </c>
      <c r="AE2798" t="str">
        <f>VLOOKUP(Table_Query_from_Actuarial___Production3[[#This Row],[Kor1]],$AI$3:$AK$105,3,FALSE)</f>
        <v>Premium Tax</v>
      </c>
      <c r="AF2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799" spans="18:32" x14ac:dyDescent="0.2">
      <c r="R2799" t="s">
        <v>47</v>
      </c>
      <c r="S2799" t="s">
        <v>234</v>
      </c>
      <c r="T2799" t="s">
        <v>443</v>
      </c>
      <c r="U2799" s="21">
        <v>11538.97</v>
      </c>
      <c r="V2799" s="21" t="s">
        <v>368</v>
      </c>
      <c r="W2799" t="str">
        <f>VLOOKUP(Table_Query_from_Actuarial___Production[[#This Row],[Kor1]],$AI$3:$AK$105,3,FALSE)</f>
        <v>Investment Income</v>
      </c>
      <c r="X2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799"/>
      <c r="Z2799" t="s">
        <v>13</v>
      </c>
      <c r="AA2799" t="s">
        <v>237</v>
      </c>
      <c r="AB2799" t="s">
        <v>442</v>
      </c>
      <c r="AC2799" s="21">
        <v>11589390.99</v>
      </c>
      <c r="AD2799" s="21" t="s">
        <v>368</v>
      </c>
      <c r="AE2799" t="str">
        <f>VLOOKUP(Table_Query_from_Actuarial___Production3[[#This Row],[Kor1]],$AI$3:$AK$105,3,FALSE)</f>
        <v>Operating Service Fees</v>
      </c>
      <c r="AF2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0" spans="18:32" x14ac:dyDescent="0.2">
      <c r="R2800" t="s">
        <v>41</v>
      </c>
      <c r="S2800" t="s">
        <v>246</v>
      </c>
      <c r="T2800" t="s">
        <v>427</v>
      </c>
      <c r="U2800" s="21">
        <v>511.42</v>
      </c>
      <c r="V2800" s="21" t="s">
        <v>368</v>
      </c>
      <c r="W2800" t="str">
        <f>VLOOKUP(Table_Query_from_Actuarial___Production[[#This Row],[Kor1]],$AI$3:$AK$105,3,FALSE)</f>
        <v>Misc. Income</v>
      </c>
      <c r="X2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0"/>
      <c r="Z2800" t="s">
        <v>13</v>
      </c>
      <c r="AA2800" t="s">
        <v>244</v>
      </c>
      <c r="AB2800" t="s">
        <v>9</v>
      </c>
      <c r="AC2800" s="21">
        <v>243895.08</v>
      </c>
      <c r="AD2800" s="21" t="s">
        <v>368</v>
      </c>
      <c r="AE2800" t="str">
        <f>VLOOKUP(Table_Query_from_Actuarial___Production3[[#This Row],[Kor1]],$AI$3:$AK$105,3,FALSE)</f>
        <v>Operating Service Fees</v>
      </c>
      <c r="AF2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1" spans="18:32" x14ac:dyDescent="0.2">
      <c r="R2801" t="s">
        <v>48</v>
      </c>
      <c r="S2801" t="s">
        <v>260</v>
      </c>
      <c r="T2801" t="s">
        <v>433</v>
      </c>
      <c r="U2801" s="21">
        <v>0.28000000000000003</v>
      </c>
      <c r="V2801" s="21" t="s">
        <v>368</v>
      </c>
      <c r="W2801" t="str">
        <f>VLOOKUP(Table_Query_from_Actuarial___Production[[#This Row],[Kor1]],$AI$3:$AK$105,3,FALSE)</f>
        <v>Anticipated Salvage</v>
      </c>
      <c r="X2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1"/>
      <c r="Z2801" t="s">
        <v>11</v>
      </c>
      <c r="AA2801" t="s">
        <v>262</v>
      </c>
      <c r="AB2801" t="s">
        <v>427</v>
      </c>
      <c r="AC2801" s="21">
        <v>35132.92</v>
      </c>
      <c r="AD2801" s="21" t="s">
        <v>368</v>
      </c>
      <c r="AE2801" t="str">
        <f>VLOOKUP(Table_Query_from_Actuarial___Production3[[#This Row],[Kor1]],$AI$3:$AK$105,3,FALSE)</f>
        <v>Losses Paid</v>
      </c>
      <c r="AF2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2" spans="18:32" x14ac:dyDescent="0.2">
      <c r="R2802" t="s">
        <v>17</v>
      </c>
      <c r="S2802" t="s">
        <v>354</v>
      </c>
      <c r="T2802" t="s">
        <v>356</v>
      </c>
      <c r="U2802" s="21">
        <v>10.54</v>
      </c>
      <c r="V2802" s="21" t="s">
        <v>369</v>
      </c>
      <c r="W2802" t="str">
        <f>VLOOKUP(Table_Query_from_Actuarial___Production[[#This Row],[Kor1]],$AI$3:$AK$105,3,FALSE)</f>
        <v>IBNR</v>
      </c>
      <c r="X2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802"/>
      <c r="Z2802" t="s">
        <v>34</v>
      </c>
      <c r="AA2802" t="s">
        <v>239</v>
      </c>
      <c r="AB2802" t="s">
        <v>356</v>
      </c>
      <c r="AC2802" s="21">
        <v>1167.02</v>
      </c>
      <c r="AD2802" s="21" t="s">
        <v>368</v>
      </c>
      <c r="AE2802" t="str">
        <f>VLOOKUP(Table_Query_from_Actuarial___Production3[[#This Row],[Kor1]],$AI$3:$AK$105,3,FALSE)</f>
        <v>Misc. Expense</v>
      </c>
      <c r="AF2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3" spans="18:32" x14ac:dyDescent="0.2">
      <c r="R2803" t="s">
        <v>18</v>
      </c>
      <c r="S2803" t="s">
        <v>224</v>
      </c>
      <c r="T2803" t="s">
        <v>445</v>
      </c>
      <c r="U2803" s="21">
        <v>75373.990000000005</v>
      </c>
      <c r="V2803" s="21" t="s">
        <v>370</v>
      </c>
      <c r="W2803" t="str">
        <f>VLOOKUP(Table_Query_from_Actuarial___Production[[#This Row],[Kor1]],$AI$3:$AK$105,3,FALSE)</f>
        <v>Misc. Expense</v>
      </c>
      <c r="X2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803"/>
      <c r="Z2803" t="s">
        <v>16</v>
      </c>
      <c r="AA2803" t="s">
        <v>240</v>
      </c>
      <c r="AB2803" t="s">
        <v>356</v>
      </c>
      <c r="AC2803" s="21">
        <v>419504.69</v>
      </c>
      <c r="AD2803" s="21" t="s">
        <v>368</v>
      </c>
      <c r="AE2803" t="str">
        <f>VLOOKUP(Table_Query_from_Actuarial___Production3[[#This Row],[Kor1]],$AI$3:$AK$105,3,FALSE)</f>
        <v>Losses Outstanding</v>
      </c>
      <c r="AF2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4" spans="18:32" x14ac:dyDescent="0.2">
      <c r="R2804" t="s">
        <v>37</v>
      </c>
      <c r="S2804" t="s">
        <v>263</v>
      </c>
      <c r="T2804" t="s">
        <v>8</v>
      </c>
      <c r="U2804" s="21">
        <v>-65.44</v>
      </c>
      <c r="V2804" s="21" t="s">
        <v>368</v>
      </c>
      <c r="W2804" t="str">
        <f>VLOOKUP(Table_Query_from_Actuarial___Production[[#This Row],[Kor1]],$AI$3:$AK$105,3,FALSE)</f>
        <v>Misc. Expense</v>
      </c>
      <c r="X2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4"/>
      <c r="Z2804" t="s">
        <v>10</v>
      </c>
      <c r="AA2804" t="s">
        <v>262</v>
      </c>
      <c r="AB2804" t="s">
        <v>5</v>
      </c>
      <c r="AC2804" s="21">
        <v>1001.2</v>
      </c>
      <c r="AD2804" s="21" t="s">
        <v>368</v>
      </c>
      <c r="AE2804" t="str">
        <f>VLOOKUP(Table_Query_from_Actuarial___Production3[[#This Row],[Kor1]],$AI$3:$AK$105,3,FALSE)</f>
        <v>Commissions</v>
      </c>
      <c r="AF2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5" spans="18:32" x14ac:dyDescent="0.2">
      <c r="R2805" t="s">
        <v>3</v>
      </c>
      <c r="S2805" t="s">
        <v>238</v>
      </c>
      <c r="T2805" t="s">
        <v>441</v>
      </c>
      <c r="U2805" s="21">
        <v>1894104</v>
      </c>
      <c r="V2805" s="21" t="s">
        <v>368</v>
      </c>
      <c r="W2805" t="str">
        <f>VLOOKUP(Table_Query_from_Actuarial___Production[[#This Row],[Kor1]],$AI$3:$AK$105,3,FALSE)</f>
        <v>Premiums Written</v>
      </c>
      <c r="X2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5"/>
      <c r="Z2805" t="s">
        <v>39</v>
      </c>
      <c r="AA2805" t="s">
        <v>239</v>
      </c>
      <c r="AB2805" t="s">
        <v>9</v>
      </c>
      <c r="AC2805" s="21">
        <v>407</v>
      </c>
      <c r="AD2805" s="21" t="s">
        <v>368</v>
      </c>
      <c r="AE2805" t="str">
        <f>VLOOKUP(Table_Query_from_Actuarial___Production3[[#This Row],[Kor1]],$AI$3:$AK$105,3,FALSE)</f>
        <v>Misc. Income for Insolvent Companies</v>
      </c>
      <c r="AF2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6" spans="18:32" x14ac:dyDescent="0.2">
      <c r="R2806" t="s">
        <v>13</v>
      </c>
      <c r="S2806" t="s">
        <v>266</v>
      </c>
      <c r="T2806" t="s">
        <v>8</v>
      </c>
      <c r="U2806" s="21">
        <v>72800.06</v>
      </c>
      <c r="V2806" s="21" t="s">
        <v>368</v>
      </c>
      <c r="W2806" t="str">
        <f>VLOOKUP(Table_Query_from_Actuarial___Production[[#This Row],[Kor1]],$AI$3:$AK$105,3,FALSE)</f>
        <v>Operating Service Fees</v>
      </c>
      <c r="X2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6"/>
      <c r="Z2806" t="s">
        <v>11</v>
      </c>
      <c r="AA2806" t="s">
        <v>236</v>
      </c>
      <c r="AB2806" t="s">
        <v>7</v>
      </c>
      <c r="AC2806" s="21">
        <v>83771.11</v>
      </c>
      <c r="AD2806" s="21" t="s">
        <v>368</v>
      </c>
      <c r="AE2806" t="str">
        <f>VLOOKUP(Table_Query_from_Actuarial___Production3[[#This Row],[Kor1]],$AI$3:$AK$105,3,FALSE)</f>
        <v>Losses Paid</v>
      </c>
      <c r="AF2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7" spans="18:32" x14ac:dyDescent="0.2">
      <c r="R2807" t="s">
        <v>48</v>
      </c>
      <c r="S2807" t="s">
        <v>249</v>
      </c>
      <c r="T2807" t="s">
        <v>441</v>
      </c>
      <c r="U2807" s="21">
        <v>9359.42</v>
      </c>
      <c r="V2807" s="21" t="s">
        <v>368</v>
      </c>
      <c r="W2807" t="str">
        <f>VLOOKUP(Table_Query_from_Actuarial___Production[[#This Row],[Kor1]],$AI$3:$AK$105,3,FALSE)</f>
        <v>Anticipated Salvage</v>
      </c>
      <c r="X2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7"/>
      <c r="Z2807" t="s">
        <v>22</v>
      </c>
      <c r="AA2807" t="s">
        <v>259</v>
      </c>
      <c r="AB2807" t="s">
        <v>443</v>
      </c>
      <c r="AC2807" s="21">
        <v>7377.26</v>
      </c>
      <c r="AD2807" s="21" t="s">
        <v>368</v>
      </c>
      <c r="AE2807" t="str">
        <f>VLOOKUP(Table_Query_from_Actuarial___Production3[[#This Row],[Kor1]],$AI$3:$AK$105,3,FALSE)</f>
        <v>Misc. Expense</v>
      </c>
      <c r="AF2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8" spans="18:32" x14ac:dyDescent="0.2">
      <c r="R2808" t="s">
        <v>32</v>
      </c>
      <c r="S2808" t="s">
        <v>237</v>
      </c>
      <c r="T2808" t="s">
        <v>442</v>
      </c>
      <c r="U2808" s="21">
        <v>-2674736.11</v>
      </c>
      <c r="V2808" s="21" t="s">
        <v>368</v>
      </c>
      <c r="W2808" t="str">
        <f>VLOOKUP(Table_Query_from_Actuarial___Production[[#This Row],[Kor1]],$AI$3:$AK$105,3,FALSE)</f>
        <v>Misc. Expense</v>
      </c>
      <c r="X2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8"/>
      <c r="Z2808" t="s">
        <v>42</v>
      </c>
      <c r="AA2808" t="s">
        <v>4</v>
      </c>
      <c r="AB2808" t="s">
        <v>433</v>
      </c>
      <c r="AC2808" s="21">
        <v>376.09</v>
      </c>
      <c r="AD2808" s="21" t="s">
        <v>368</v>
      </c>
      <c r="AE2808" t="str">
        <f>VLOOKUP(Table_Query_from_Actuarial___Production3[[#This Row],[Kor1]],$AI$3:$AK$105,3,FALSE)</f>
        <v>Misc. Income</v>
      </c>
      <c r="AF2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09" spans="18:32" x14ac:dyDescent="0.2">
      <c r="R2809" t="s">
        <v>37</v>
      </c>
      <c r="S2809" t="s">
        <v>267</v>
      </c>
      <c r="T2809" t="s">
        <v>351</v>
      </c>
      <c r="U2809" s="21">
        <v>29.12</v>
      </c>
      <c r="V2809" s="21" t="s">
        <v>368</v>
      </c>
      <c r="W2809" t="str">
        <f>VLOOKUP(Table_Query_from_Actuarial___Production[[#This Row],[Kor1]],$AI$3:$AK$105,3,FALSE)</f>
        <v>Misc. Expense</v>
      </c>
      <c r="X2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09"/>
      <c r="Z2809" t="s">
        <v>43</v>
      </c>
      <c r="AA2809" t="s">
        <v>250</v>
      </c>
      <c r="AB2809" t="s">
        <v>356</v>
      </c>
      <c r="AC2809" s="21">
        <v>-1243.08</v>
      </c>
      <c r="AD2809" s="21" t="s">
        <v>368</v>
      </c>
      <c r="AE2809" t="str">
        <f>VLOOKUP(Table_Query_from_Actuarial___Production3[[#This Row],[Kor1]],$AI$3:$AK$105,3,FALSE)</f>
        <v>Charge-offs</v>
      </c>
      <c r="AF2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0" spans="18:32" x14ac:dyDescent="0.2">
      <c r="R2810" t="s">
        <v>14</v>
      </c>
      <c r="S2810" t="s">
        <v>354</v>
      </c>
      <c r="T2810" t="s">
        <v>443</v>
      </c>
      <c r="U2810" s="21">
        <v>146649950.11000001</v>
      </c>
      <c r="V2810" s="21" t="s">
        <v>369</v>
      </c>
      <c r="W2810" t="str">
        <f>VLOOKUP(Table_Query_from_Actuarial___Production[[#This Row],[Kor1]],$AI$3:$AK$105,3,FALSE)</f>
        <v>Claims Expense</v>
      </c>
      <c r="X2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810"/>
      <c r="Z2810" t="s">
        <v>15</v>
      </c>
      <c r="AA2810" t="s">
        <v>249</v>
      </c>
      <c r="AB2810" t="s">
        <v>443</v>
      </c>
      <c r="AC2810" s="21">
        <v>156288.54</v>
      </c>
      <c r="AD2810" s="21" t="s">
        <v>368</v>
      </c>
      <c r="AE2810" t="str">
        <f>VLOOKUP(Table_Query_from_Actuarial___Production3[[#This Row],[Kor1]],$AI$3:$AK$105,3,FALSE)</f>
        <v>Unearned Premiums</v>
      </c>
      <c r="AF2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1" spans="18:32" x14ac:dyDescent="0.2">
      <c r="R2811" t="s">
        <v>13</v>
      </c>
      <c r="S2811" t="s">
        <v>240</v>
      </c>
      <c r="T2811" t="s">
        <v>442</v>
      </c>
      <c r="U2811" s="21">
        <v>537742.31000000006</v>
      </c>
      <c r="V2811" s="21" t="s">
        <v>368</v>
      </c>
      <c r="W2811" t="str">
        <f>VLOOKUP(Table_Query_from_Actuarial___Production[[#This Row],[Kor1]],$AI$3:$AK$105,3,FALSE)</f>
        <v>Operating Service Fees</v>
      </c>
      <c r="X2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1"/>
      <c r="Z2811" t="s">
        <v>47</v>
      </c>
      <c r="AA2811" t="s">
        <v>233</v>
      </c>
      <c r="AB2811" t="s">
        <v>433</v>
      </c>
      <c r="AC2811" s="21">
        <v>1528.76</v>
      </c>
      <c r="AD2811" s="21" t="s">
        <v>368</v>
      </c>
      <c r="AE2811" t="str">
        <f>VLOOKUP(Table_Query_from_Actuarial___Production3[[#This Row],[Kor1]],$AI$3:$AK$105,3,FALSE)</f>
        <v>Investment Income</v>
      </c>
      <c r="AF2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2" spans="18:32" x14ac:dyDescent="0.2">
      <c r="R2812" t="s">
        <v>50</v>
      </c>
      <c r="S2812" t="s">
        <v>267</v>
      </c>
      <c r="T2812" t="s">
        <v>442</v>
      </c>
      <c r="U2812" s="21">
        <v>66089.13</v>
      </c>
      <c r="V2812" s="21" t="s">
        <v>368</v>
      </c>
      <c r="W2812" t="str">
        <f>VLOOKUP(Table_Query_from_Actuarial___Production[[#This Row],[Kor1]],$AI$3:$AK$105,3,FALSE)</f>
        <v>ALAE Reserve</v>
      </c>
      <c r="X2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2"/>
      <c r="Z2812" t="s">
        <v>47</v>
      </c>
      <c r="AA2812" t="s">
        <v>243</v>
      </c>
      <c r="AB2812" t="s">
        <v>443</v>
      </c>
      <c r="AC2812" s="21">
        <v>1362.33</v>
      </c>
      <c r="AD2812" s="21" t="s">
        <v>368</v>
      </c>
      <c r="AE2812" t="str">
        <f>VLOOKUP(Table_Query_from_Actuarial___Production3[[#This Row],[Kor1]],$AI$3:$AK$105,3,FALSE)</f>
        <v>Investment Income</v>
      </c>
      <c r="AF2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3" spans="18:32" x14ac:dyDescent="0.2">
      <c r="R2813" t="s">
        <v>13</v>
      </c>
      <c r="S2813" t="s">
        <v>228</v>
      </c>
      <c r="T2813" t="s">
        <v>356</v>
      </c>
      <c r="U2813" s="21">
        <v>26295.01</v>
      </c>
      <c r="V2813" s="21" t="s">
        <v>368</v>
      </c>
      <c r="W2813" t="str">
        <f>VLOOKUP(Table_Query_from_Actuarial___Production[[#This Row],[Kor1]],$AI$3:$AK$105,3,FALSE)</f>
        <v>Operating Service Fees</v>
      </c>
      <c r="X2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3"/>
      <c r="Z2813" t="s">
        <v>3</v>
      </c>
      <c r="AA2813" t="s">
        <v>240</v>
      </c>
      <c r="AB2813" t="s">
        <v>443</v>
      </c>
      <c r="AC2813" s="21">
        <v>1090859</v>
      </c>
      <c r="AD2813" s="21" t="s">
        <v>368</v>
      </c>
      <c r="AE2813" t="str">
        <f>VLOOKUP(Table_Query_from_Actuarial___Production3[[#This Row],[Kor1]],$AI$3:$AK$105,3,FALSE)</f>
        <v>Premiums Written</v>
      </c>
      <c r="AF2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4" spans="18:32" x14ac:dyDescent="0.2">
      <c r="R2814" t="s">
        <v>19</v>
      </c>
      <c r="S2814" t="s">
        <v>236</v>
      </c>
      <c r="T2814" t="s">
        <v>427</v>
      </c>
      <c r="U2814" s="21">
        <v>53</v>
      </c>
      <c r="V2814" s="21" t="s">
        <v>368</v>
      </c>
      <c r="W2814" t="str">
        <f>VLOOKUP(Table_Query_from_Actuarial___Production[[#This Row],[Kor1]],$AI$3:$AK$105,3,FALSE)</f>
        <v>Misc. Expense for Insolvent Companies</v>
      </c>
      <c r="X2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4"/>
      <c r="Z2814" t="s">
        <v>3</v>
      </c>
      <c r="AA2814" t="s">
        <v>252</v>
      </c>
      <c r="AB2814" t="s">
        <v>8</v>
      </c>
      <c r="AC2814" s="21">
        <v>12950963</v>
      </c>
      <c r="AD2814" s="21" t="s">
        <v>368</v>
      </c>
      <c r="AE2814" t="str">
        <f>VLOOKUP(Table_Query_from_Actuarial___Production3[[#This Row],[Kor1]],$AI$3:$AK$105,3,FALSE)</f>
        <v>Premiums Written</v>
      </c>
      <c r="AF2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5" spans="18:32" x14ac:dyDescent="0.2">
      <c r="R2815" t="s">
        <v>47</v>
      </c>
      <c r="S2815" t="s">
        <v>233</v>
      </c>
      <c r="T2815" t="s">
        <v>351</v>
      </c>
      <c r="U2815" s="21">
        <v>1014.73</v>
      </c>
      <c r="V2815" s="21" t="s">
        <v>368</v>
      </c>
      <c r="W2815" t="str">
        <f>VLOOKUP(Table_Query_from_Actuarial___Production[[#This Row],[Kor1]],$AI$3:$AK$105,3,FALSE)</f>
        <v>Investment Income</v>
      </c>
      <c r="X2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5"/>
      <c r="Z2815" t="s">
        <v>13</v>
      </c>
      <c r="AA2815" t="s">
        <v>354</v>
      </c>
      <c r="AB2815" t="s">
        <v>427</v>
      </c>
      <c r="AC2815" s="21">
        <v>29419226.390000001</v>
      </c>
      <c r="AD2815" s="21" t="s">
        <v>368</v>
      </c>
      <c r="AE2815" t="str">
        <f>VLOOKUP(Table_Query_from_Actuarial___Production3[[#This Row],[Kor1]],$AI$3:$AK$105,3,FALSE)</f>
        <v>Operating Service Fees</v>
      </c>
      <c r="AF2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816" spans="18:32" x14ac:dyDescent="0.2">
      <c r="R2816" t="s">
        <v>17</v>
      </c>
      <c r="S2816" t="s">
        <v>225</v>
      </c>
      <c r="T2816" t="s">
        <v>443</v>
      </c>
      <c r="U2816" s="21">
        <v>516513.67</v>
      </c>
      <c r="V2816" s="21" t="s">
        <v>368</v>
      </c>
      <c r="W2816" t="str">
        <f>VLOOKUP(Table_Query_from_Actuarial___Production[[#This Row],[Kor1]],$AI$3:$AK$105,3,FALSE)</f>
        <v>IBNR</v>
      </c>
      <c r="X2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816"/>
      <c r="Z2816" t="s">
        <v>21</v>
      </c>
      <c r="AA2816" t="s">
        <v>250</v>
      </c>
      <c r="AB2816" t="s">
        <v>6</v>
      </c>
      <c r="AC2816" s="21">
        <v>868</v>
      </c>
      <c r="AD2816" s="21" t="s">
        <v>368</v>
      </c>
      <c r="AE2816" t="str">
        <f>VLOOKUP(Table_Query_from_Actuarial___Production3[[#This Row],[Kor1]],$AI$3:$AK$105,3,FALSE)</f>
        <v>Misc. Expense</v>
      </c>
      <c r="AF2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7" spans="18:32" x14ac:dyDescent="0.2">
      <c r="R2817" t="s">
        <v>31</v>
      </c>
      <c r="S2817" t="s">
        <v>233</v>
      </c>
      <c r="T2817" t="s">
        <v>356</v>
      </c>
      <c r="U2817" s="21">
        <v>366.34</v>
      </c>
      <c r="V2817" s="21" t="s">
        <v>368</v>
      </c>
      <c r="W2817" t="str">
        <f>VLOOKUP(Table_Query_from_Actuarial___Production[[#This Row],[Kor1]],$AI$3:$AK$105,3,FALSE)</f>
        <v>Misc. Expense</v>
      </c>
      <c r="X2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7"/>
      <c r="Z2817" t="s">
        <v>13</v>
      </c>
      <c r="AA2817" t="s">
        <v>224</v>
      </c>
      <c r="AB2817" t="s">
        <v>427</v>
      </c>
      <c r="AC2817" s="21">
        <v>269793.57</v>
      </c>
      <c r="AD2817" s="21" t="s">
        <v>368</v>
      </c>
      <c r="AE2817" t="str">
        <f>VLOOKUP(Table_Query_from_Actuarial___Production3[[#This Row],[Kor1]],$AI$3:$AK$105,3,FALSE)</f>
        <v>Operating Service Fees</v>
      </c>
      <c r="AF2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818" spans="18:32" x14ac:dyDescent="0.2">
      <c r="R2818" t="s">
        <v>33</v>
      </c>
      <c r="S2818" t="s">
        <v>259</v>
      </c>
      <c r="T2818" t="s">
        <v>427</v>
      </c>
      <c r="U2818" s="21">
        <v>10772.81</v>
      </c>
      <c r="V2818" s="21" t="s">
        <v>368</v>
      </c>
      <c r="W2818" t="str">
        <f>VLOOKUP(Table_Query_from_Actuarial___Production[[#This Row],[Kor1]],$AI$3:$AK$105,3,FALSE)</f>
        <v>Misc. Expense</v>
      </c>
      <c r="X2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8"/>
      <c r="Z2818" t="s">
        <v>11</v>
      </c>
      <c r="AA2818" t="s">
        <v>254</v>
      </c>
      <c r="AB2818" t="s">
        <v>351</v>
      </c>
      <c r="AC2818" s="21">
        <v>936394.66</v>
      </c>
      <c r="AD2818" s="21" t="s">
        <v>368</v>
      </c>
      <c r="AE2818" t="str">
        <f>VLOOKUP(Table_Query_from_Actuarial___Production3[[#This Row],[Kor1]],$AI$3:$AK$105,3,FALSE)</f>
        <v>Losses Paid</v>
      </c>
      <c r="AF2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19" spans="18:32" x14ac:dyDescent="0.2">
      <c r="R2819" t="s">
        <v>40</v>
      </c>
      <c r="S2819" t="s">
        <v>241</v>
      </c>
      <c r="T2819" t="s">
        <v>442</v>
      </c>
      <c r="U2819" s="21">
        <v>22</v>
      </c>
      <c r="V2819" s="21" t="s">
        <v>368</v>
      </c>
      <c r="W2819" t="str">
        <f>VLOOKUP(Table_Query_from_Actuarial___Production[[#This Row],[Kor1]],$AI$3:$AK$105,3,FALSE)</f>
        <v>Misc. Income</v>
      </c>
      <c r="X2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19"/>
      <c r="Z2819" t="s">
        <v>3</v>
      </c>
      <c r="AA2819" t="s">
        <v>257</v>
      </c>
      <c r="AB2819" t="s">
        <v>9</v>
      </c>
      <c r="AC2819" s="21">
        <v>1434028</v>
      </c>
      <c r="AD2819" s="21" t="s">
        <v>368</v>
      </c>
      <c r="AE2819" t="str">
        <f>VLOOKUP(Table_Query_from_Actuarial___Production3[[#This Row],[Kor1]],$AI$3:$AK$105,3,FALSE)</f>
        <v>Premiums Written</v>
      </c>
      <c r="AF2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0" spans="18:32" x14ac:dyDescent="0.2">
      <c r="R2820" t="s">
        <v>41</v>
      </c>
      <c r="S2820" t="s">
        <v>246</v>
      </c>
      <c r="T2820" t="s">
        <v>9</v>
      </c>
      <c r="U2820" s="21">
        <v>400.02</v>
      </c>
      <c r="V2820" s="21" t="s">
        <v>368</v>
      </c>
      <c r="W2820" t="str">
        <f>VLOOKUP(Table_Query_from_Actuarial___Production[[#This Row],[Kor1]],$AI$3:$AK$105,3,FALSE)</f>
        <v>Misc. Income</v>
      </c>
      <c r="X2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0"/>
      <c r="Z2820" t="s">
        <v>12</v>
      </c>
      <c r="AA2820" t="s">
        <v>250</v>
      </c>
      <c r="AB2820" t="s">
        <v>9</v>
      </c>
      <c r="AC2820" s="21">
        <v>20289.79</v>
      </c>
      <c r="AD2820" s="21" t="s">
        <v>368</v>
      </c>
      <c r="AE2820" t="str">
        <f>VLOOKUP(Table_Query_from_Actuarial___Production3[[#This Row],[Kor1]],$AI$3:$AK$105,3,FALSE)</f>
        <v>Premium Tax</v>
      </c>
      <c r="AF2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1" spans="18:32" x14ac:dyDescent="0.2">
      <c r="R2821" t="s">
        <v>49</v>
      </c>
      <c r="S2821" t="s">
        <v>266</v>
      </c>
      <c r="T2821" t="s">
        <v>6</v>
      </c>
      <c r="U2821" s="21">
        <v>7614.56</v>
      </c>
      <c r="V2821" s="21" t="s">
        <v>368</v>
      </c>
      <c r="W2821" t="str">
        <f>VLOOKUP(Table_Query_from_Actuarial___Production[[#This Row],[Kor1]],$AI$3:$AK$105,3,FALSE)</f>
        <v>ALAE Paid</v>
      </c>
      <c r="X2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1"/>
      <c r="Z2821" t="s">
        <v>11</v>
      </c>
      <c r="AA2821" t="s">
        <v>245</v>
      </c>
      <c r="AB2821" t="s">
        <v>8</v>
      </c>
      <c r="AC2821" s="21">
        <v>14175.71</v>
      </c>
      <c r="AD2821" s="21" t="s">
        <v>368</v>
      </c>
      <c r="AE2821" t="str">
        <f>VLOOKUP(Table_Query_from_Actuarial___Production3[[#This Row],[Kor1]],$AI$3:$AK$105,3,FALSE)</f>
        <v>Losses Paid</v>
      </c>
      <c r="AF2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2" spans="18:32" x14ac:dyDescent="0.2">
      <c r="R2822" t="s">
        <v>13</v>
      </c>
      <c r="S2822" t="s">
        <v>224</v>
      </c>
      <c r="T2822" t="s">
        <v>443</v>
      </c>
      <c r="U2822" s="21">
        <v>189471.54</v>
      </c>
      <c r="V2822" s="21" t="s">
        <v>368</v>
      </c>
      <c r="W2822" t="str">
        <f>VLOOKUP(Table_Query_from_Actuarial___Production[[#This Row],[Kor1]],$AI$3:$AK$105,3,FALSE)</f>
        <v>Operating Service Fees</v>
      </c>
      <c r="X2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822"/>
      <c r="Z2822" t="s">
        <v>38</v>
      </c>
      <c r="AA2822" t="s">
        <v>224</v>
      </c>
      <c r="AB2822" t="s">
        <v>441</v>
      </c>
      <c r="AC2822" s="21">
        <v>10511.96</v>
      </c>
      <c r="AD2822" s="21" t="s">
        <v>369</v>
      </c>
      <c r="AE2822" t="str">
        <f>VLOOKUP(Table_Query_from_Actuarial___Production3[[#This Row],[Kor1]],$AI$3:$AK$105,3,FALSE)</f>
        <v>Misc. Income</v>
      </c>
      <c r="AF2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823" spans="18:32" x14ac:dyDescent="0.2">
      <c r="R2823" t="s">
        <v>3</v>
      </c>
      <c r="S2823" t="s">
        <v>241</v>
      </c>
      <c r="T2823" t="s">
        <v>9</v>
      </c>
      <c r="U2823" s="21">
        <v>843449</v>
      </c>
      <c r="V2823" s="21" t="s">
        <v>368</v>
      </c>
      <c r="W2823" t="str">
        <f>VLOOKUP(Table_Query_from_Actuarial___Production[[#This Row],[Kor1]],$AI$3:$AK$105,3,FALSE)</f>
        <v>Premiums Written</v>
      </c>
      <c r="X2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3"/>
      <c r="Z2823" t="s">
        <v>27</v>
      </c>
      <c r="AA2823" t="s">
        <v>4</v>
      </c>
      <c r="AB2823" t="s">
        <v>6</v>
      </c>
      <c r="AC2823" s="21">
        <v>-0.05</v>
      </c>
      <c r="AD2823" s="21" t="s">
        <v>368</v>
      </c>
      <c r="AE2823" t="str">
        <f>VLOOKUP(Table_Query_from_Actuarial___Production3[[#This Row],[Kor1]],$AI$3:$AK$105,3,FALSE)</f>
        <v>Misc. Expense</v>
      </c>
      <c r="AF2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4" spans="18:32" x14ac:dyDescent="0.2">
      <c r="R2824" t="s">
        <v>11</v>
      </c>
      <c r="S2824" t="s">
        <v>255</v>
      </c>
      <c r="T2824" t="s">
        <v>441</v>
      </c>
      <c r="U2824" s="21">
        <v>28160.560000000001</v>
      </c>
      <c r="V2824" s="21" t="s">
        <v>368</v>
      </c>
      <c r="W2824" t="str">
        <f>VLOOKUP(Table_Query_from_Actuarial___Production[[#This Row],[Kor1]],$AI$3:$AK$105,3,FALSE)</f>
        <v>Losses Paid</v>
      </c>
      <c r="X2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4"/>
      <c r="Z2824" t="s">
        <v>49</v>
      </c>
      <c r="AA2824" t="s">
        <v>264</v>
      </c>
      <c r="AB2824" t="s">
        <v>6</v>
      </c>
      <c r="AC2824" s="21">
        <v>19969.89</v>
      </c>
      <c r="AD2824" s="21" t="s">
        <v>368</v>
      </c>
      <c r="AE2824" t="str">
        <f>VLOOKUP(Table_Query_from_Actuarial___Production3[[#This Row],[Kor1]],$AI$3:$AK$105,3,FALSE)</f>
        <v>ALAE Paid</v>
      </c>
      <c r="AF2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5" spans="18:32" x14ac:dyDescent="0.2">
      <c r="R2825" t="s">
        <v>21</v>
      </c>
      <c r="S2825" t="s">
        <v>251</v>
      </c>
      <c r="T2825" t="s">
        <v>8</v>
      </c>
      <c r="U2825" s="21">
        <v>951.77</v>
      </c>
      <c r="V2825" s="21" t="s">
        <v>368</v>
      </c>
      <c r="W2825" t="str">
        <f>VLOOKUP(Table_Query_from_Actuarial___Production[[#This Row],[Kor1]],$AI$3:$AK$105,3,FALSE)</f>
        <v>Misc. Expense</v>
      </c>
      <c r="X2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5"/>
      <c r="Z2825" t="s">
        <v>21</v>
      </c>
      <c r="AA2825" t="s">
        <v>257</v>
      </c>
      <c r="AB2825" t="s">
        <v>351</v>
      </c>
      <c r="AC2825" s="21">
        <v>1648.91</v>
      </c>
      <c r="AD2825" s="21" t="s">
        <v>368</v>
      </c>
      <c r="AE2825" t="str">
        <f>VLOOKUP(Table_Query_from_Actuarial___Production3[[#This Row],[Kor1]],$AI$3:$AK$105,3,FALSE)</f>
        <v>Misc. Expense</v>
      </c>
      <c r="AF2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6" spans="18:32" x14ac:dyDescent="0.2">
      <c r="R2826" t="s">
        <v>47</v>
      </c>
      <c r="S2826" t="s">
        <v>257</v>
      </c>
      <c r="T2826" t="s">
        <v>441</v>
      </c>
      <c r="U2826" s="21">
        <v>213.95</v>
      </c>
      <c r="V2826" s="21" t="s">
        <v>368</v>
      </c>
      <c r="W2826" t="str">
        <f>VLOOKUP(Table_Query_from_Actuarial___Production[[#This Row],[Kor1]],$AI$3:$AK$105,3,FALSE)</f>
        <v>Investment Income</v>
      </c>
      <c r="X2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6"/>
      <c r="Z2826" t="s">
        <v>37</v>
      </c>
      <c r="AA2826" t="s">
        <v>256</v>
      </c>
      <c r="AB2826" t="s">
        <v>351</v>
      </c>
      <c r="AC2826" s="21">
        <v>0.11</v>
      </c>
      <c r="AD2826" s="21" t="s">
        <v>368</v>
      </c>
      <c r="AE2826" t="str">
        <f>VLOOKUP(Table_Query_from_Actuarial___Production3[[#This Row],[Kor1]],$AI$3:$AK$105,3,FALSE)</f>
        <v>Misc. Expense</v>
      </c>
      <c r="AF2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7" spans="18:32" x14ac:dyDescent="0.2">
      <c r="R2827" t="s">
        <v>31</v>
      </c>
      <c r="S2827" t="s">
        <v>232</v>
      </c>
      <c r="T2827" t="s">
        <v>9</v>
      </c>
      <c r="U2827" s="21">
        <v>464.86</v>
      </c>
      <c r="V2827" s="21" t="s">
        <v>368</v>
      </c>
      <c r="W2827" t="str">
        <f>VLOOKUP(Table_Query_from_Actuarial___Production[[#This Row],[Kor1]],$AI$3:$AK$105,3,FALSE)</f>
        <v>Misc. Expense</v>
      </c>
      <c r="X2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7"/>
      <c r="Z2827" t="s">
        <v>43</v>
      </c>
      <c r="AA2827" t="s">
        <v>241</v>
      </c>
      <c r="AB2827" t="s">
        <v>443</v>
      </c>
      <c r="AC2827" s="21">
        <v>53.25</v>
      </c>
      <c r="AD2827" s="21" t="s">
        <v>368</v>
      </c>
      <c r="AE2827" t="str">
        <f>VLOOKUP(Table_Query_from_Actuarial___Production3[[#This Row],[Kor1]],$AI$3:$AK$105,3,FALSE)</f>
        <v>Charge-offs</v>
      </c>
      <c r="AF2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8" spans="18:32" x14ac:dyDescent="0.2">
      <c r="R2828" t="s">
        <v>36</v>
      </c>
      <c r="S2828" t="s">
        <v>242</v>
      </c>
      <c r="T2828" t="s">
        <v>433</v>
      </c>
      <c r="U2828" s="21">
        <v>6772.03</v>
      </c>
      <c r="V2828" s="21" t="s">
        <v>368</v>
      </c>
      <c r="W2828" t="str">
        <f>VLOOKUP(Table_Query_from_Actuarial___Production[[#This Row],[Kor1]],$AI$3:$AK$105,3,FALSE)</f>
        <v>Misc. Expense</v>
      </c>
      <c r="X2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8"/>
      <c r="Z2828" t="s">
        <v>3</v>
      </c>
      <c r="AA2828" t="s">
        <v>250</v>
      </c>
      <c r="AB2828" t="s">
        <v>5</v>
      </c>
      <c r="AC2828" s="21">
        <v>616635</v>
      </c>
      <c r="AD2828" s="21" t="s">
        <v>368</v>
      </c>
      <c r="AE2828" t="str">
        <f>VLOOKUP(Table_Query_from_Actuarial___Production3[[#This Row],[Kor1]],$AI$3:$AK$105,3,FALSE)</f>
        <v>Premiums Written</v>
      </c>
      <c r="AF2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29" spans="18:32" x14ac:dyDescent="0.2">
      <c r="R2829" t="s">
        <v>43</v>
      </c>
      <c r="S2829" t="s">
        <v>4</v>
      </c>
      <c r="T2829" t="s">
        <v>351</v>
      </c>
      <c r="U2829" s="21">
        <v>8042.54</v>
      </c>
      <c r="V2829" s="21" t="s">
        <v>368</v>
      </c>
      <c r="W2829" t="str">
        <f>VLOOKUP(Table_Query_from_Actuarial___Production[[#This Row],[Kor1]],$AI$3:$AK$105,3,FALSE)</f>
        <v>Charge-offs</v>
      </c>
      <c r="X2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29"/>
      <c r="Z2829" t="s">
        <v>34</v>
      </c>
      <c r="AA2829" t="s">
        <v>255</v>
      </c>
      <c r="AB2829" t="s">
        <v>442</v>
      </c>
      <c r="AC2829" s="21">
        <v>1251.8800000000001</v>
      </c>
      <c r="AD2829" s="21" t="s">
        <v>368</v>
      </c>
      <c r="AE2829" t="str">
        <f>VLOOKUP(Table_Query_from_Actuarial___Production3[[#This Row],[Kor1]],$AI$3:$AK$105,3,FALSE)</f>
        <v>Misc. Expense</v>
      </c>
      <c r="AF2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0" spans="18:32" x14ac:dyDescent="0.2">
      <c r="R2830" t="s">
        <v>3</v>
      </c>
      <c r="S2830" t="s">
        <v>237</v>
      </c>
      <c r="T2830" t="s">
        <v>442</v>
      </c>
      <c r="U2830" s="21">
        <v>60640578</v>
      </c>
      <c r="V2830" s="21" t="s">
        <v>368</v>
      </c>
      <c r="W2830" t="str">
        <f>VLOOKUP(Table_Query_from_Actuarial___Production[[#This Row],[Kor1]],$AI$3:$AK$105,3,FALSE)</f>
        <v>Premiums Written</v>
      </c>
      <c r="X2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0"/>
      <c r="Z2830" t="s">
        <v>44</v>
      </c>
      <c r="AA2830" t="s">
        <v>224</v>
      </c>
      <c r="AB2830" t="s">
        <v>7</v>
      </c>
      <c r="AC2830" s="21">
        <v>554.96</v>
      </c>
      <c r="AD2830" s="21" t="s">
        <v>369</v>
      </c>
      <c r="AE2830" t="str">
        <f>VLOOKUP(Table_Query_from_Actuarial___Production3[[#This Row],[Kor1]],$AI$3:$AK$105,3,FALSE)</f>
        <v>Charge-offs</v>
      </c>
      <c r="AF2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831" spans="18:32" x14ac:dyDescent="0.2">
      <c r="R2831" t="s">
        <v>10</v>
      </c>
      <c r="S2831" t="s">
        <v>255</v>
      </c>
      <c r="T2831" t="s">
        <v>6</v>
      </c>
      <c r="U2831" s="21">
        <v>10768.45</v>
      </c>
      <c r="V2831" s="21" t="s">
        <v>368</v>
      </c>
      <c r="W2831" t="str">
        <f>VLOOKUP(Table_Query_from_Actuarial___Production[[#This Row],[Kor1]],$AI$3:$AK$105,3,FALSE)</f>
        <v>Commissions</v>
      </c>
      <c r="X2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1"/>
      <c r="Z2831" t="s">
        <v>19</v>
      </c>
      <c r="AA2831" t="s">
        <v>227</v>
      </c>
      <c r="AB2831" t="s">
        <v>5</v>
      </c>
      <c r="AC2831" s="21">
        <v>2594</v>
      </c>
      <c r="AD2831" s="21" t="s">
        <v>368</v>
      </c>
      <c r="AE2831" t="str">
        <f>VLOOKUP(Table_Query_from_Actuarial___Production3[[#This Row],[Kor1]],$AI$3:$AK$105,3,FALSE)</f>
        <v>Misc. Expense for Insolvent Companies</v>
      </c>
      <c r="AF2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2" spans="18:32" x14ac:dyDescent="0.2">
      <c r="R2832" t="s">
        <v>43</v>
      </c>
      <c r="S2832" t="s">
        <v>252</v>
      </c>
      <c r="T2832" t="s">
        <v>9</v>
      </c>
      <c r="U2832" s="21">
        <v>12162.25</v>
      </c>
      <c r="V2832" s="21" t="s">
        <v>368</v>
      </c>
      <c r="W2832" t="str">
        <f>VLOOKUP(Table_Query_from_Actuarial___Production[[#This Row],[Kor1]],$AI$3:$AK$105,3,FALSE)</f>
        <v>Charge-offs</v>
      </c>
      <c r="X2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2"/>
      <c r="Z2832" t="s">
        <v>44</v>
      </c>
      <c r="AA2832" t="s">
        <v>239</v>
      </c>
      <c r="AB2832" t="s">
        <v>441</v>
      </c>
      <c r="AC2832" s="21">
        <v>415237</v>
      </c>
      <c r="AD2832" s="21" t="s">
        <v>368</v>
      </c>
      <c r="AE2832" t="str">
        <f>VLOOKUP(Table_Query_from_Actuarial___Production3[[#This Row],[Kor1]],$AI$3:$AK$105,3,FALSE)</f>
        <v>Charge-offs</v>
      </c>
      <c r="AF2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3" spans="18:32" x14ac:dyDescent="0.2">
      <c r="R2833" t="s">
        <v>13</v>
      </c>
      <c r="S2833" t="s">
        <v>226</v>
      </c>
      <c r="T2833" t="s">
        <v>8</v>
      </c>
      <c r="U2833" s="21">
        <v>1519927.37</v>
      </c>
      <c r="V2833" s="21" t="s">
        <v>368</v>
      </c>
      <c r="W2833" t="str">
        <f>VLOOKUP(Table_Query_from_Actuarial___Production[[#This Row],[Kor1]],$AI$3:$AK$105,3,FALSE)</f>
        <v>Operating Service Fees</v>
      </c>
      <c r="X2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833"/>
      <c r="Z2833" t="s">
        <v>41</v>
      </c>
      <c r="AA2833" t="s">
        <v>244</v>
      </c>
      <c r="AB2833" t="s">
        <v>356</v>
      </c>
      <c r="AC2833" s="21">
        <v>250.01</v>
      </c>
      <c r="AD2833" s="21" t="s">
        <v>368</v>
      </c>
      <c r="AE2833" t="str">
        <f>VLOOKUP(Table_Query_from_Actuarial___Production3[[#This Row],[Kor1]],$AI$3:$AK$105,3,FALSE)</f>
        <v>Misc. Income</v>
      </c>
      <c r="AF2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4" spans="18:32" x14ac:dyDescent="0.2">
      <c r="R2834" t="s">
        <v>11</v>
      </c>
      <c r="S2834" t="s">
        <v>248</v>
      </c>
      <c r="T2834" t="s">
        <v>427</v>
      </c>
      <c r="U2834" s="21">
        <v>380720.11</v>
      </c>
      <c r="V2834" s="21" t="s">
        <v>368</v>
      </c>
      <c r="W2834" t="str">
        <f>VLOOKUP(Table_Query_from_Actuarial___Production[[#This Row],[Kor1]],$AI$3:$AK$105,3,FALSE)</f>
        <v>Losses Paid</v>
      </c>
      <c r="X2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4"/>
      <c r="Z2834" t="s">
        <v>41</v>
      </c>
      <c r="AA2834" t="s">
        <v>250</v>
      </c>
      <c r="AB2834" t="s">
        <v>433</v>
      </c>
      <c r="AC2834" s="21">
        <v>350.01</v>
      </c>
      <c r="AD2834" s="21" t="s">
        <v>368</v>
      </c>
      <c r="AE2834" t="str">
        <f>VLOOKUP(Table_Query_from_Actuarial___Production3[[#This Row],[Kor1]],$AI$3:$AK$105,3,FALSE)</f>
        <v>Misc. Income</v>
      </c>
      <c r="AF2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5" spans="18:32" x14ac:dyDescent="0.2">
      <c r="R2835" t="s">
        <v>11</v>
      </c>
      <c r="S2835" t="s">
        <v>254</v>
      </c>
      <c r="T2835" t="s">
        <v>441</v>
      </c>
      <c r="U2835" s="21">
        <v>27858086</v>
      </c>
      <c r="V2835" s="21" t="s">
        <v>368</v>
      </c>
      <c r="W2835" t="str">
        <f>VLOOKUP(Table_Query_from_Actuarial___Production[[#This Row],[Kor1]],$AI$3:$AK$105,3,FALSE)</f>
        <v>Losses Paid</v>
      </c>
      <c r="X2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5"/>
      <c r="Z2835" t="s">
        <v>47</v>
      </c>
      <c r="AA2835" t="s">
        <v>235</v>
      </c>
      <c r="AB2835" t="s">
        <v>356</v>
      </c>
      <c r="AC2835" s="21">
        <v>3006.4</v>
      </c>
      <c r="AD2835" s="21" t="s">
        <v>368</v>
      </c>
      <c r="AE2835" t="str">
        <f>VLOOKUP(Table_Query_from_Actuarial___Production3[[#This Row],[Kor1]],$AI$3:$AK$105,3,FALSE)</f>
        <v>Investment Income</v>
      </c>
      <c r="AF2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6" spans="18:32" x14ac:dyDescent="0.2">
      <c r="R2836" t="s">
        <v>44</v>
      </c>
      <c r="S2836" t="s">
        <v>226</v>
      </c>
      <c r="T2836" t="s">
        <v>8</v>
      </c>
      <c r="U2836" s="21">
        <v>185954.92</v>
      </c>
      <c r="V2836" s="21" t="s">
        <v>368</v>
      </c>
      <c r="W2836" t="str">
        <f>VLOOKUP(Table_Query_from_Actuarial___Production[[#This Row],[Kor1]],$AI$3:$AK$105,3,FALSE)</f>
        <v>Charge-offs</v>
      </c>
      <c r="X2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836"/>
      <c r="Z2836" t="s">
        <v>40</v>
      </c>
      <c r="AA2836" t="s">
        <v>233</v>
      </c>
      <c r="AB2836" t="s">
        <v>427</v>
      </c>
      <c r="AC2836" s="21">
        <v>286.29000000000002</v>
      </c>
      <c r="AD2836" s="21" t="s">
        <v>368</v>
      </c>
      <c r="AE2836" t="str">
        <f>VLOOKUP(Table_Query_from_Actuarial___Production3[[#This Row],[Kor1]],$AI$3:$AK$105,3,FALSE)</f>
        <v>Misc. Income</v>
      </c>
      <c r="AF2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7" spans="18:32" x14ac:dyDescent="0.2">
      <c r="R2837" t="s">
        <v>33</v>
      </c>
      <c r="S2837" t="s">
        <v>252</v>
      </c>
      <c r="T2837" t="s">
        <v>8</v>
      </c>
      <c r="U2837" s="21">
        <v>33990.26</v>
      </c>
      <c r="V2837" s="21" t="s">
        <v>368</v>
      </c>
      <c r="W2837" t="str">
        <f>VLOOKUP(Table_Query_from_Actuarial___Production[[#This Row],[Kor1]],$AI$3:$AK$105,3,FALSE)</f>
        <v>Misc. Expense</v>
      </c>
      <c r="X2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7"/>
      <c r="Z2837" t="s">
        <v>14</v>
      </c>
      <c r="AA2837" t="s">
        <v>260</v>
      </c>
      <c r="AB2837" t="s">
        <v>356</v>
      </c>
      <c r="AC2837" s="21">
        <v>2699.76</v>
      </c>
      <c r="AD2837" s="21" t="s">
        <v>368</v>
      </c>
      <c r="AE2837" t="str">
        <f>VLOOKUP(Table_Query_from_Actuarial___Production3[[#This Row],[Kor1]],$AI$3:$AK$105,3,FALSE)</f>
        <v>Claims Expense</v>
      </c>
      <c r="AF2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8" spans="18:32" x14ac:dyDescent="0.2">
      <c r="R2838" t="s">
        <v>21</v>
      </c>
      <c r="S2838" t="s">
        <v>258</v>
      </c>
      <c r="T2838" t="s">
        <v>443</v>
      </c>
      <c r="U2838" s="21">
        <v>4725.5</v>
      </c>
      <c r="V2838" s="21" t="s">
        <v>368</v>
      </c>
      <c r="W2838" t="str">
        <f>VLOOKUP(Table_Query_from_Actuarial___Production[[#This Row],[Kor1]],$AI$3:$AK$105,3,FALSE)</f>
        <v>Misc. Expense</v>
      </c>
      <c r="X2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8"/>
      <c r="Z2838" t="s">
        <v>41</v>
      </c>
      <c r="AA2838" t="s">
        <v>247</v>
      </c>
      <c r="AB2838" t="s">
        <v>442</v>
      </c>
      <c r="AC2838" s="21">
        <v>500.01</v>
      </c>
      <c r="AD2838" s="21" t="s">
        <v>368</v>
      </c>
      <c r="AE2838" t="str">
        <f>VLOOKUP(Table_Query_from_Actuarial___Production3[[#This Row],[Kor1]],$AI$3:$AK$105,3,FALSE)</f>
        <v>Misc. Income</v>
      </c>
      <c r="AF2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39" spans="18:32" x14ac:dyDescent="0.2">
      <c r="R2839" t="s">
        <v>31</v>
      </c>
      <c r="S2839" t="s">
        <v>249</v>
      </c>
      <c r="T2839" t="s">
        <v>442</v>
      </c>
      <c r="U2839" s="21">
        <v>819.72</v>
      </c>
      <c r="V2839" s="21" t="s">
        <v>368</v>
      </c>
      <c r="W2839" t="str">
        <f>VLOOKUP(Table_Query_from_Actuarial___Production[[#This Row],[Kor1]],$AI$3:$AK$105,3,FALSE)</f>
        <v>Misc. Expense</v>
      </c>
      <c r="X2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39"/>
      <c r="Z2839" t="s">
        <v>43</v>
      </c>
      <c r="AA2839" t="s">
        <v>258</v>
      </c>
      <c r="AB2839" t="s">
        <v>8</v>
      </c>
      <c r="AC2839" s="21">
        <v>14.01</v>
      </c>
      <c r="AD2839" s="21" t="s">
        <v>368</v>
      </c>
      <c r="AE2839" t="str">
        <f>VLOOKUP(Table_Query_from_Actuarial___Production3[[#This Row],[Kor1]],$AI$3:$AK$105,3,FALSE)</f>
        <v>Charge-offs</v>
      </c>
      <c r="AF2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0" spans="18:32" x14ac:dyDescent="0.2">
      <c r="R2840" t="s">
        <v>41</v>
      </c>
      <c r="S2840" t="s">
        <v>254</v>
      </c>
      <c r="T2840" t="s">
        <v>433</v>
      </c>
      <c r="U2840" s="21">
        <v>809.86</v>
      </c>
      <c r="V2840" s="21" t="s">
        <v>368</v>
      </c>
      <c r="W2840" t="str">
        <f>VLOOKUP(Table_Query_from_Actuarial___Production[[#This Row],[Kor1]],$AI$3:$AK$105,3,FALSE)</f>
        <v>Misc. Income</v>
      </c>
      <c r="X2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0"/>
      <c r="Z2840" t="s">
        <v>39</v>
      </c>
      <c r="AA2840" t="s">
        <v>266</v>
      </c>
      <c r="AB2840" t="s">
        <v>9</v>
      </c>
      <c r="AC2840" s="21">
        <v>14.01</v>
      </c>
      <c r="AD2840" s="21" t="s">
        <v>368</v>
      </c>
      <c r="AE2840" t="str">
        <f>VLOOKUP(Table_Query_from_Actuarial___Production3[[#This Row],[Kor1]],$AI$3:$AK$105,3,FALSE)</f>
        <v>Misc. Income for Insolvent Companies</v>
      </c>
      <c r="AF2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1" spans="18:32" x14ac:dyDescent="0.2">
      <c r="R2841" t="s">
        <v>33</v>
      </c>
      <c r="S2841" t="s">
        <v>240</v>
      </c>
      <c r="T2841" t="s">
        <v>356</v>
      </c>
      <c r="U2841" s="21">
        <v>14908.59</v>
      </c>
      <c r="V2841" s="21" t="s">
        <v>368</v>
      </c>
      <c r="W2841" t="str">
        <f>VLOOKUP(Table_Query_from_Actuarial___Production[[#This Row],[Kor1]],$AI$3:$AK$105,3,FALSE)</f>
        <v>Misc. Expense</v>
      </c>
      <c r="X2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1"/>
      <c r="Z2841" t="s">
        <v>10</v>
      </c>
      <c r="AA2841" t="s">
        <v>228</v>
      </c>
      <c r="AB2841" t="s">
        <v>5</v>
      </c>
      <c r="AC2841" s="21">
        <v>40086.1</v>
      </c>
      <c r="AD2841" s="21" t="s">
        <v>368</v>
      </c>
      <c r="AE2841" t="str">
        <f>VLOOKUP(Table_Query_from_Actuarial___Production3[[#This Row],[Kor1]],$AI$3:$AK$105,3,FALSE)</f>
        <v>Commissions</v>
      </c>
      <c r="AF2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2" spans="18:32" x14ac:dyDescent="0.2">
      <c r="R2842" t="s">
        <v>21</v>
      </c>
      <c r="S2842" t="s">
        <v>257</v>
      </c>
      <c r="T2842" t="s">
        <v>433</v>
      </c>
      <c r="U2842" s="21">
        <v>3878</v>
      </c>
      <c r="V2842" s="21" t="s">
        <v>368</v>
      </c>
      <c r="W2842" t="str">
        <f>VLOOKUP(Table_Query_from_Actuarial___Production[[#This Row],[Kor1]],$AI$3:$AK$105,3,FALSE)</f>
        <v>Misc. Expense</v>
      </c>
      <c r="X2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2"/>
      <c r="Z2842" t="s">
        <v>38</v>
      </c>
      <c r="AA2842" t="s">
        <v>354</v>
      </c>
      <c r="AB2842" t="s">
        <v>433</v>
      </c>
      <c r="AC2842" s="21">
        <v>29654.63</v>
      </c>
      <c r="AD2842" s="21" t="s">
        <v>368</v>
      </c>
      <c r="AE2842" t="str">
        <f>VLOOKUP(Table_Query_from_Actuarial___Production3[[#This Row],[Kor1]],$AI$3:$AK$105,3,FALSE)</f>
        <v>Misc. Income</v>
      </c>
      <c r="AF2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843" spans="18:32" x14ac:dyDescent="0.2">
      <c r="R2843" t="s">
        <v>12</v>
      </c>
      <c r="S2843" t="s">
        <v>238</v>
      </c>
      <c r="T2843" t="s">
        <v>445</v>
      </c>
      <c r="U2843" s="21">
        <v>28288</v>
      </c>
      <c r="V2843" s="21" t="s">
        <v>368</v>
      </c>
      <c r="W2843" t="str">
        <f>VLOOKUP(Table_Query_from_Actuarial___Production[[#This Row],[Kor1]],$AI$3:$AK$105,3,FALSE)</f>
        <v>Premium Tax</v>
      </c>
      <c r="X2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3"/>
      <c r="Z2843" t="s">
        <v>3</v>
      </c>
      <c r="AA2843" t="s">
        <v>228</v>
      </c>
      <c r="AB2843" t="s">
        <v>433</v>
      </c>
      <c r="AC2843" s="21">
        <v>28865</v>
      </c>
      <c r="AD2843" s="21" t="s">
        <v>368</v>
      </c>
      <c r="AE2843" t="str">
        <f>VLOOKUP(Table_Query_from_Actuarial___Production3[[#This Row],[Kor1]],$AI$3:$AK$105,3,FALSE)</f>
        <v>Premiums Written</v>
      </c>
      <c r="AF2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4" spans="18:32" x14ac:dyDescent="0.2">
      <c r="R2844" t="s">
        <v>12</v>
      </c>
      <c r="S2844" t="s">
        <v>252</v>
      </c>
      <c r="T2844" t="s">
        <v>433</v>
      </c>
      <c r="U2844" s="21">
        <v>658639.59</v>
      </c>
      <c r="V2844" s="21" t="s">
        <v>368</v>
      </c>
      <c r="W2844" t="str">
        <f>VLOOKUP(Table_Query_from_Actuarial___Production[[#This Row],[Kor1]],$AI$3:$AK$105,3,FALSE)</f>
        <v>Premium Tax</v>
      </c>
      <c r="X2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4"/>
      <c r="Z2844" t="s">
        <v>21</v>
      </c>
      <c r="AA2844" t="s">
        <v>232</v>
      </c>
      <c r="AB2844" t="s">
        <v>7</v>
      </c>
      <c r="AC2844" s="21">
        <v>2316.42</v>
      </c>
      <c r="AD2844" s="21" t="s">
        <v>368</v>
      </c>
      <c r="AE2844" t="str">
        <f>VLOOKUP(Table_Query_from_Actuarial___Production3[[#This Row],[Kor1]],$AI$3:$AK$105,3,FALSE)</f>
        <v>Misc. Expense</v>
      </c>
      <c r="AF2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5" spans="18:32" x14ac:dyDescent="0.2">
      <c r="R2845" t="s">
        <v>44</v>
      </c>
      <c r="S2845" t="s">
        <v>259</v>
      </c>
      <c r="T2845" t="s">
        <v>9</v>
      </c>
      <c r="U2845" s="21">
        <v>8</v>
      </c>
      <c r="V2845" s="21" t="s">
        <v>368</v>
      </c>
      <c r="W2845" t="str">
        <f>VLOOKUP(Table_Query_from_Actuarial___Production[[#This Row],[Kor1]],$AI$3:$AK$105,3,FALSE)</f>
        <v>Charge-offs</v>
      </c>
      <c r="X2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5"/>
      <c r="Z2845" t="s">
        <v>43</v>
      </c>
      <c r="AA2845" t="s">
        <v>240</v>
      </c>
      <c r="AB2845" t="s">
        <v>433</v>
      </c>
      <c r="AC2845" s="21">
        <v>-984.6</v>
      </c>
      <c r="AD2845" s="21" t="s">
        <v>368</v>
      </c>
      <c r="AE2845" t="str">
        <f>VLOOKUP(Table_Query_from_Actuarial___Production3[[#This Row],[Kor1]],$AI$3:$AK$105,3,FALSE)</f>
        <v>Charge-offs</v>
      </c>
      <c r="AF2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6" spans="18:32" x14ac:dyDescent="0.2">
      <c r="R2846" t="s">
        <v>10</v>
      </c>
      <c r="S2846" t="s">
        <v>260</v>
      </c>
      <c r="T2846" t="s">
        <v>442</v>
      </c>
      <c r="U2846" s="21">
        <v>4777.2</v>
      </c>
      <c r="V2846" s="21" t="s">
        <v>368</v>
      </c>
      <c r="W2846" t="str">
        <f>VLOOKUP(Table_Query_from_Actuarial___Production[[#This Row],[Kor1]],$AI$3:$AK$105,3,FALSE)</f>
        <v>Commissions</v>
      </c>
      <c r="X2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6"/>
      <c r="Z2846" t="s">
        <v>47</v>
      </c>
      <c r="AA2846" t="s">
        <v>234</v>
      </c>
      <c r="AB2846" t="s">
        <v>443</v>
      </c>
      <c r="AC2846" s="21">
        <v>4011.44</v>
      </c>
      <c r="AD2846" s="21" t="s">
        <v>368</v>
      </c>
      <c r="AE2846" t="str">
        <f>VLOOKUP(Table_Query_from_Actuarial___Production3[[#This Row],[Kor1]],$AI$3:$AK$105,3,FALSE)</f>
        <v>Investment Income</v>
      </c>
      <c r="AF2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7" spans="18:32" x14ac:dyDescent="0.2">
      <c r="R2847" t="s">
        <v>44</v>
      </c>
      <c r="S2847" t="s">
        <v>263</v>
      </c>
      <c r="T2847" t="s">
        <v>9</v>
      </c>
      <c r="U2847" s="21">
        <v>7</v>
      </c>
      <c r="V2847" s="21" t="s">
        <v>368</v>
      </c>
      <c r="W2847" t="str">
        <f>VLOOKUP(Table_Query_from_Actuarial___Production[[#This Row],[Kor1]],$AI$3:$AK$105,3,FALSE)</f>
        <v>Charge-offs</v>
      </c>
      <c r="X2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7"/>
      <c r="Z2847" t="s">
        <v>41</v>
      </c>
      <c r="AA2847" t="s">
        <v>246</v>
      </c>
      <c r="AB2847" t="s">
        <v>427</v>
      </c>
      <c r="AC2847" s="21">
        <v>511.42</v>
      </c>
      <c r="AD2847" s="21" t="s">
        <v>368</v>
      </c>
      <c r="AE2847" t="str">
        <f>VLOOKUP(Table_Query_from_Actuarial___Production3[[#This Row],[Kor1]],$AI$3:$AK$105,3,FALSE)</f>
        <v>Misc. Income</v>
      </c>
      <c r="AF2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8" spans="18:32" x14ac:dyDescent="0.2">
      <c r="R2848" t="s">
        <v>47</v>
      </c>
      <c r="S2848" t="s">
        <v>242</v>
      </c>
      <c r="T2848" t="s">
        <v>351</v>
      </c>
      <c r="U2848" s="21">
        <v>2146.91</v>
      </c>
      <c r="V2848" s="21" t="s">
        <v>368</v>
      </c>
      <c r="W2848" t="str">
        <f>VLOOKUP(Table_Query_from_Actuarial___Production[[#This Row],[Kor1]],$AI$3:$AK$105,3,FALSE)</f>
        <v>Investment Income</v>
      </c>
      <c r="X2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8"/>
      <c r="Z2848" t="s">
        <v>40</v>
      </c>
      <c r="AA2848" t="s">
        <v>264</v>
      </c>
      <c r="AB2848" t="s">
        <v>5</v>
      </c>
      <c r="AC2848" s="21">
        <v>60.02</v>
      </c>
      <c r="AD2848" s="21" t="s">
        <v>368</v>
      </c>
      <c r="AE2848" t="str">
        <f>VLOOKUP(Table_Query_from_Actuarial___Production3[[#This Row],[Kor1]],$AI$3:$AK$105,3,FALSE)</f>
        <v>Misc. Income</v>
      </c>
      <c r="AF2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49" spans="18:32" x14ac:dyDescent="0.2">
      <c r="R2849" t="s">
        <v>3</v>
      </c>
      <c r="S2849" t="s">
        <v>259</v>
      </c>
      <c r="T2849" t="s">
        <v>9</v>
      </c>
      <c r="U2849" s="21">
        <v>353640</v>
      </c>
      <c r="V2849" s="21" t="s">
        <v>368</v>
      </c>
      <c r="W2849" t="str">
        <f>VLOOKUP(Table_Query_from_Actuarial___Production[[#This Row],[Kor1]],$AI$3:$AK$105,3,FALSE)</f>
        <v>Premiums Written</v>
      </c>
      <c r="X2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49"/>
      <c r="Z2849" t="s">
        <v>48</v>
      </c>
      <c r="AA2849" t="s">
        <v>260</v>
      </c>
      <c r="AB2849" t="s">
        <v>433</v>
      </c>
      <c r="AC2849" s="21">
        <v>2.16</v>
      </c>
      <c r="AD2849" s="21" t="s">
        <v>368</v>
      </c>
      <c r="AE2849" t="str">
        <f>VLOOKUP(Table_Query_from_Actuarial___Production3[[#This Row],[Kor1]],$AI$3:$AK$105,3,FALSE)</f>
        <v>Anticipated Salvage</v>
      </c>
      <c r="AF2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0" spans="18:32" x14ac:dyDescent="0.2">
      <c r="R2850" t="s">
        <v>17</v>
      </c>
      <c r="S2850" t="s">
        <v>246</v>
      </c>
      <c r="T2850" t="s">
        <v>441</v>
      </c>
      <c r="U2850" s="21">
        <v>346935.37</v>
      </c>
      <c r="V2850" s="21" t="s">
        <v>368</v>
      </c>
      <c r="W2850" t="str">
        <f>VLOOKUP(Table_Query_from_Actuarial___Production[[#This Row],[Kor1]],$AI$3:$AK$105,3,FALSE)</f>
        <v>IBNR</v>
      </c>
      <c r="X2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0"/>
      <c r="Z2850" t="s">
        <v>17</v>
      </c>
      <c r="AA2850" t="s">
        <v>354</v>
      </c>
      <c r="AB2850" t="s">
        <v>356</v>
      </c>
      <c r="AC2850" s="21">
        <v>30608.68</v>
      </c>
      <c r="AD2850" s="21" t="s">
        <v>369</v>
      </c>
      <c r="AE2850" t="str">
        <f>VLOOKUP(Table_Query_from_Actuarial___Production3[[#This Row],[Kor1]],$AI$3:$AK$105,3,FALSE)</f>
        <v>IBNR</v>
      </c>
      <c r="AF2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851" spans="18:32" x14ac:dyDescent="0.2">
      <c r="R2851" t="s">
        <v>47</v>
      </c>
      <c r="S2851" t="s">
        <v>234</v>
      </c>
      <c r="T2851" t="s">
        <v>427</v>
      </c>
      <c r="U2851" s="21">
        <v>5436.59</v>
      </c>
      <c r="V2851" s="21" t="s">
        <v>368</v>
      </c>
      <c r="W2851" t="str">
        <f>VLOOKUP(Table_Query_from_Actuarial___Production[[#This Row],[Kor1]],$AI$3:$AK$105,3,FALSE)</f>
        <v>Investment Income</v>
      </c>
      <c r="X2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1"/>
      <c r="Z2851" t="s">
        <v>37</v>
      </c>
      <c r="AA2851" t="s">
        <v>263</v>
      </c>
      <c r="AB2851" t="s">
        <v>8</v>
      </c>
      <c r="AC2851" s="21">
        <v>-65.44</v>
      </c>
      <c r="AD2851" s="21" t="s">
        <v>368</v>
      </c>
      <c r="AE2851" t="str">
        <f>VLOOKUP(Table_Query_from_Actuarial___Production3[[#This Row],[Kor1]],$AI$3:$AK$105,3,FALSE)</f>
        <v>Misc. Expense</v>
      </c>
      <c r="AF2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2" spans="18:32" x14ac:dyDescent="0.2">
      <c r="R2852" t="s">
        <v>12</v>
      </c>
      <c r="S2852" t="s">
        <v>258</v>
      </c>
      <c r="T2852" t="s">
        <v>433</v>
      </c>
      <c r="U2852" s="21">
        <v>61802.48</v>
      </c>
      <c r="V2852" s="21" t="s">
        <v>368</v>
      </c>
      <c r="W2852" t="str">
        <f>VLOOKUP(Table_Query_from_Actuarial___Production[[#This Row],[Kor1]],$AI$3:$AK$105,3,FALSE)</f>
        <v>Premium Tax</v>
      </c>
      <c r="X2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2"/>
      <c r="Z2852" t="s">
        <v>147</v>
      </c>
      <c r="AA2852" t="s">
        <v>354</v>
      </c>
      <c r="AB2852" t="s">
        <v>5</v>
      </c>
      <c r="AC2852" s="21">
        <v>2736.82</v>
      </c>
      <c r="AD2852" s="21" t="s">
        <v>368</v>
      </c>
      <c r="AE2852" t="str">
        <f>VLOOKUP(Table_Query_from_Actuarial___Production3[[#This Row],[Kor1]],$AI$3:$AK$105,3,FALSE)</f>
        <v>Investment Impairments</v>
      </c>
      <c r="AF2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853" spans="18:32" x14ac:dyDescent="0.2">
      <c r="R2853" t="s">
        <v>11</v>
      </c>
      <c r="S2853" t="s">
        <v>225</v>
      </c>
      <c r="T2853" t="s">
        <v>443</v>
      </c>
      <c r="U2853" s="21">
        <v>212501.61</v>
      </c>
      <c r="V2853" s="21" t="s">
        <v>369</v>
      </c>
      <c r="W2853" t="str">
        <f>VLOOKUP(Table_Query_from_Actuarial___Production[[#This Row],[Kor1]],$AI$3:$AK$105,3,FALSE)</f>
        <v>Losses Paid</v>
      </c>
      <c r="X2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853"/>
      <c r="Z2853" t="s">
        <v>3</v>
      </c>
      <c r="AA2853" t="s">
        <v>238</v>
      </c>
      <c r="AB2853" t="s">
        <v>441</v>
      </c>
      <c r="AC2853" s="21">
        <v>1894104</v>
      </c>
      <c r="AD2853" s="21" t="s">
        <v>368</v>
      </c>
      <c r="AE2853" t="str">
        <f>VLOOKUP(Table_Query_from_Actuarial___Production3[[#This Row],[Kor1]],$AI$3:$AK$105,3,FALSE)</f>
        <v>Premiums Written</v>
      </c>
      <c r="AF2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4" spans="18:32" x14ac:dyDescent="0.2">
      <c r="R2854" t="s">
        <v>19</v>
      </c>
      <c r="S2854" t="s">
        <v>227</v>
      </c>
      <c r="T2854" t="s">
        <v>441</v>
      </c>
      <c r="U2854" s="21">
        <v>2</v>
      </c>
      <c r="V2854" s="21" t="s">
        <v>368</v>
      </c>
      <c r="W2854" t="str">
        <f>VLOOKUP(Table_Query_from_Actuarial___Production[[#This Row],[Kor1]],$AI$3:$AK$105,3,FALSE)</f>
        <v>Misc. Expense for Insolvent Companies</v>
      </c>
      <c r="X2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4"/>
      <c r="Z2854" t="s">
        <v>13</v>
      </c>
      <c r="AA2854" t="s">
        <v>266</v>
      </c>
      <c r="AB2854" t="s">
        <v>8</v>
      </c>
      <c r="AC2854" s="21">
        <v>72800.06</v>
      </c>
      <c r="AD2854" s="21" t="s">
        <v>368</v>
      </c>
      <c r="AE2854" t="str">
        <f>VLOOKUP(Table_Query_from_Actuarial___Production3[[#This Row],[Kor1]],$AI$3:$AK$105,3,FALSE)</f>
        <v>Operating Service Fees</v>
      </c>
      <c r="AF2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5" spans="18:32" x14ac:dyDescent="0.2">
      <c r="R2855" t="s">
        <v>3</v>
      </c>
      <c r="S2855" t="s">
        <v>244</v>
      </c>
      <c r="T2855" t="s">
        <v>9</v>
      </c>
      <c r="U2855" s="21">
        <v>1197786</v>
      </c>
      <c r="V2855" s="21" t="s">
        <v>368</v>
      </c>
      <c r="W2855" t="str">
        <f>VLOOKUP(Table_Query_from_Actuarial___Production[[#This Row],[Kor1]],$AI$3:$AK$105,3,FALSE)</f>
        <v>Premiums Written</v>
      </c>
      <c r="X2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5"/>
      <c r="Z2855" t="s">
        <v>48</v>
      </c>
      <c r="AA2855" t="s">
        <v>249</v>
      </c>
      <c r="AB2855" t="s">
        <v>441</v>
      </c>
      <c r="AC2855" s="21">
        <v>5943.33</v>
      </c>
      <c r="AD2855" s="21" t="s">
        <v>368</v>
      </c>
      <c r="AE2855" t="str">
        <f>VLOOKUP(Table_Query_from_Actuarial___Production3[[#This Row],[Kor1]],$AI$3:$AK$105,3,FALSE)</f>
        <v>Anticipated Salvage</v>
      </c>
      <c r="AF2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6" spans="18:32" x14ac:dyDescent="0.2">
      <c r="R2856" t="s">
        <v>19</v>
      </c>
      <c r="S2856" t="s">
        <v>259</v>
      </c>
      <c r="T2856" t="s">
        <v>427</v>
      </c>
      <c r="U2856" s="21">
        <v>1740</v>
      </c>
      <c r="V2856" s="21" t="s">
        <v>368</v>
      </c>
      <c r="W2856" t="str">
        <f>VLOOKUP(Table_Query_from_Actuarial___Production[[#This Row],[Kor1]],$AI$3:$AK$105,3,FALSE)</f>
        <v>Misc. Expense for Insolvent Companies</v>
      </c>
      <c r="X2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6"/>
      <c r="Z2856" t="s">
        <v>32</v>
      </c>
      <c r="AA2856" t="s">
        <v>237</v>
      </c>
      <c r="AB2856" t="s">
        <v>442</v>
      </c>
      <c r="AC2856" s="21">
        <v>-2674736.11</v>
      </c>
      <c r="AD2856" s="21" t="s">
        <v>368</v>
      </c>
      <c r="AE2856" t="str">
        <f>VLOOKUP(Table_Query_from_Actuarial___Production3[[#This Row],[Kor1]],$AI$3:$AK$105,3,FALSE)</f>
        <v>Misc. Expense</v>
      </c>
      <c r="AF2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7" spans="18:32" x14ac:dyDescent="0.2">
      <c r="R2857" t="s">
        <v>14</v>
      </c>
      <c r="S2857" t="s">
        <v>224</v>
      </c>
      <c r="T2857" t="s">
        <v>6</v>
      </c>
      <c r="U2857" s="21">
        <v>309427.02</v>
      </c>
      <c r="V2857" s="21" t="s">
        <v>370</v>
      </c>
      <c r="W2857" t="str">
        <f>VLOOKUP(Table_Query_from_Actuarial___Production[[#This Row],[Kor1]],$AI$3:$AK$105,3,FALSE)</f>
        <v>Claims Expense</v>
      </c>
      <c r="X2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857"/>
      <c r="Z2857" t="s">
        <v>37</v>
      </c>
      <c r="AA2857" t="s">
        <v>267</v>
      </c>
      <c r="AB2857" t="s">
        <v>351</v>
      </c>
      <c r="AC2857" s="21">
        <v>29.12</v>
      </c>
      <c r="AD2857" s="21" t="s">
        <v>368</v>
      </c>
      <c r="AE2857" t="str">
        <f>VLOOKUP(Table_Query_from_Actuarial___Production3[[#This Row],[Kor1]],$AI$3:$AK$105,3,FALSE)</f>
        <v>Misc. Expense</v>
      </c>
      <c r="AF2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58" spans="18:32" x14ac:dyDescent="0.2">
      <c r="R2858" t="s">
        <v>37</v>
      </c>
      <c r="S2858" t="s">
        <v>267</v>
      </c>
      <c r="T2858" t="s">
        <v>433</v>
      </c>
      <c r="U2858" s="21">
        <v>624.92999999999995</v>
      </c>
      <c r="V2858" s="21" t="s">
        <v>368</v>
      </c>
      <c r="W2858" t="str">
        <f>VLOOKUP(Table_Query_from_Actuarial___Production[[#This Row],[Kor1]],$AI$3:$AK$105,3,FALSE)</f>
        <v>Misc. Expense</v>
      </c>
      <c r="X2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58"/>
      <c r="Z2858" t="s">
        <v>14</v>
      </c>
      <c r="AA2858" t="s">
        <v>354</v>
      </c>
      <c r="AB2858" t="s">
        <v>443</v>
      </c>
      <c r="AC2858" s="21">
        <v>71167764.590000004</v>
      </c>
      <c r="AD2858" s="21" t="s">
        <v>369</v>
      </c>
      <c r="AE2858" t="str">
        <f>VLOOKUP(Table_Query_from_Actuarial___Production3[[#This Row],[Kor1]],$AI$3:$AK$105,3,FALSE)</f>
        <v>Claims Expense</v>
      </c>
      <c r="AF2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859" spans="18:32" x14ac:dyDescent="0.2">
      <c r="R2859" t="s">
        <v>16</v>
      </c>
      <c r="S2859" t="s">
        <v>354</v>
      </c>
      <c r="T2859" t="s">
        <v>433</v>
      </c>
      <c r="U2859" s="21">
        <v>8855116.6899999995</v>
      </c>
      <c r="V2859" s="21" t="s">
        <v>368</v>
      </c>
      <c r="W2859" t="str">
        <f>VLOOKUP(Table_Query_from_Actuarial___Production[[#This Row],[Kor1]],$AI$3:$AK$105,3,FALSE)</f>
        <v>Losses Outstanding</v>
      </c>
      <c r="X2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859"/>
      <c r="Z2859" t="s">
        <v>13</v>
      </c>
      <c r="AA2859" t="s">
        <v>240</v>
      </c>
      <c r="AB2859" t="s">
        <v>442</v>
      </c>
      <c r="AC2859" s="21">
        <v>543547.66</v>
      </c>
      <c r="AD2859" s="21" t="s">
        <v>368</v>
      </c>
      <c r="AE2859" t="str">
        <f>VLOOKUP(Table_Query_from_Actuarial___Production3[[#This Row],[Kor1]],$AI$3:$AK$105,3,FALSE)</f>
        <v>Operating Service Fees</v>
      </c>
      <c r="AF2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0" spans="18:32" x14ac:dyDescent="0.2">
      <c r="R2860" t="s">
        <v>3</v>
      </c>
      <c r="S2860" t="s">
        <v>250</v>
      </c>
      <c r="T2860" t="s">
        <v>441</v>
      </c>
      <c r="U2860" s="21">
        <v>1274170</v>
      </c>
      <c r="V2860" s="21" t="s">
        <v>368</v>
      </c>
      <c r="W2860" t="str">
        <f>VLOOKUP(Table_Query_from_Actuarial___Production[[#This Row],[Kor1]],$AI$3:$AK$105,3,FALSE)</f>
        <v>Premiums Written</v>
      </c>
      <c r="X2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0"/>
      <c r="Z2860" t="s">
        <v>50</v>
      </c>
      <c r="AA2860" t="s">
        <v>267</v>
      </c>
      <c r="AB2860" t="s">
        <v>442</v>
      </c>
      <c r="AC2860" s="21">
        <v>138704.59</v>
      </c>
      <c r="AD2860" s="21" t="s">
        <v>368</v>
      </c>
      <c r="AE2860" t="str">
        <f>VLOOKUP(Table_Query_from_Actuarial___Production3[[#This Row],[Kor1]],$AI$3:$AK$105,3,FALSE)</f>
        <v>ALAE Reserve</v>
      </c>
      <c r="AF2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1" spans="18:32" x14ac:dyDescent="0.2">
      <c r="R2861" t="s">
        <v>12</v>
      </c>
      <c r="S2861" t="s">
        <v>251</v>
      </c>
      <c r="T2861" t="s">
        <v>445</v>
      </c>
      <c r="U2861" s="21">
        <v>21661.4</v>
      </c>
      <c r="V2861" s="21" t="s">
        <v>368</v>
      </c>
      <c r="W2861" t="str">
        <f>VLOOKUP(Table_Query_from_Actuarial___Production[[#This Row],[Kor1]],$AI$3:$AK$105,3,FALSE)</f>
        <v>Premium Tax</v>
      </c>
      <c r="X2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1"/>
      <c r="Z2861" t="s">
        <v>13</v>
      </c>
      <c r="AA2861" t="s">
        <v>228</v>
      </c>
      <c r="AB2861" t="s">
        <v>356</v>
      </c>
      <c r="AC2861" s="21">
        <v>26295.01</v>
      </c>
      <c r="AD2861" s="21" t="s">
        <v>368</v>
      </c>
      <c r="AE2861" t="str">
        <f>VLOOKUP(Table_Query_from_Actuarial___Production3[[#This Row],[Kor1]],$AI$3:$AK$105,3,FALSE)</f>
        <v>Operating Service Fees</v>
      </c>
      <c r="AF2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2" spans="18:32" x14ac:dyDescent="0.2">
      <c r="R2862" t="s">
        <v>32</v>
      </c>
      <c r="S2862" t="s">
        <v>242</v>
      </c>
      <c r="T2862" t="s">
        <v>8</v>
      </c>
      <c r="U2862" s="21">
        <v>8485.7999999999993</v>
      </c>
      <c r="V2862" s="21" t="s">
        <v>368</v>
      </c>
      <c r="W2862" t="str">
        <f>VLOOKUP(Table_Query_from_Actuarial___Production[[#This Row],[Kor1]],$AI$3:$AK$105,3,FALSE)</f>
        <v>Misc. Expense</v>
      </c>
      <c r="X2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2"/>
      <c r="Z2862" t="s">
        <v>19</v>
      </c>
      <c r="AA2862" t="s">
        <v>236</v>
      </c>
      <c r="AB2862" t="s">
        <v>427</v>
      </c>
      <c r="AC2862" s="21">
        <v>53</v>
      </c>
      <c r="AD2862" s="21" t="s">
        <v>368</v>
      </c>
      <c r="AE2862" t="str">
        <f>VLOOKUP(Table_Query_from_Actuarial___Production3[[#This Row],[Kor1]],$AI$3:$AK$105,3,FALSE)</f>
        <v>Misc. Expense for Insolvent Companies</v>
      </c>
      <c r="AF2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3" spans="18:32" x14ac:dyDescent="0.2">
      <c r="R2863" t="s">
        <v>38</v>
      </c>
      <c r="S2863" t="s">
        <v>226</v>
      </c>
      <c r="T2863" t="s">
        <v>6</v>
      </c>
      <c r="U2863" s="21">
        <v>194634.71</v>
      </c>
      <c r="V2863" s="21" t="s">
        <v>368</v>
      </c>
      <c r="W2863" t="str">
        <f>VLOOKUP(Table_Query_from_Actuarial___Production[[#This Row],[Kor1]],$AI$3:$AK$105,3,FALSE)</f>
        <v>Misc. Income</v>
      </c>
      <c r="X2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863"/>
      <c r="Z2863" t="s">
        <v>47</v>
      </c>
      <c r="AA2863" t="s">
        <v>233</v>
      </c>
      <c r="AB2863" t="s">
        <v>351</v>
      </c>
      <c r="AC2863" s="21">
        <v>1014.73</v>
      </c>
      <c r="AD2863" s="21" t="s">
        <v>368</v>
      </c>
      <c r="AE2863" t="str">
        <f>VLOOKUP(Table_Query_from_Actuarial___Production3[[#This Row],[Kor1]],$AI$3:$AK$105,3,FALSE)</f>
        <v>Investment Income</v>
      </c>
      <c r="AF2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4" spans="18:32" x14ac:dyDescent="0.2">
      <c r="R2864" t="s">
        <v>31</v>
      </c>
      <c r="S2864" t="s">
        <v>260</v>
      </c>
      <c r="T2864" t="s">
        <v>427</v>
      </c>
      <c r="U2864" s="21">
        <v>795.88</v>
      </c>
      <c r="V2864" s="21" t="s">
        <v>368</v>
      </c>
      <c r="W2864" t="str">
        <f>VLOOKUP(Table_Query_from_Actuarial___Production[[#This Row],[Kor1]],$AI$3:$AK$105,3,FALSE)</f>
        <v>Misc. Expense</v>
      </c>
      <c r="X2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4"/>
      <c r="Z2864" t="s">
        <v>17</v>
      </c>
      <c r="AA2864" t="s">
        <v>225</v>
      </c>
      <c r="AB2864" t="s">
        <v>443</v>
      </c>
      <c r="AC2864" s="21">
        <v>357024.22</v>
      </c>
      <c r="AD2864" s="21" t="s">
        <v>368</v>
      </c>
      <c r="AE2864" t="str">
        <f>VLOOKUP(Table_Query_from_Actuarial___Production3[[#This Row],[Kor1]],$AI$3:$AK$105,3,FALSE)</f>
        <v>IBNR</v>
      </c>
      <c r="AF2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2865" spans="18:32" x14ac:dyDescent="0.2">
      <c r="R2865" t="s">
        <v>18</v>
      </c>
      <c r="S2865" t="s">
        <v>224</v>
      </c>
      <c r="T2865" t="s">
        <v>6</v>
      </c>
      <c r="U2865" s="21">
        <v>154344.65</v>
      </c>
      <c r="V2865" s="21" t="s">
        <v>370</v>
      </c>
      <c r="W2865" t="str">
        <f>VLOOKUP(Table_Query_from_Actuarial___Production[[#This Row],[Kor1]],$AI$3:$AK$105,3,FALSE)</f>
        <v>Misc. Expense</v>
      </c>
      <c r="X2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865"/>
      <c r="Z2865" t="s">
        <v>31</v>
      </c>
      <c r="AA2865" t="s">
        <v>233</v>
      </c>
      <c r="AB2865" t="s">
        <v>356</v>
      </c>
      <c r="AC2865" s="21">
        <v>366.34</v>
      </c>
      <c r="AD2865" s="21" t="s">
        <v>368</v>
      </c>
      <c r="AE2865" t="str">
        <f>VLOOKUP(Table_Query_from_Actuarial___Production3[[#This Row],[Kor1]],$AI$3:$AK$105,3,FALSE)</f>
        <v>Misc. Expense</v>
      </c>
      <c r="AF2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6" spans="18:32" x14ac:dyDescent="0.2">
      <c r="R2866" t="s">
        <v>11</v>
      </c>
      <c r="S2866" t="s">
        <v>248</v>
      </c>
      <c r="T2866" t="s">
        <v>443</v>
      </c>
      <c r="U2866" s="21">
        <v>59510.81</v>
      </c>
      <c r="V2866" s="21" t="s">
        <v>368</v>
      </c>
      <c r="W2866" t="str">
        <f>VLOOKUP(Table_Query_from_Actuarial___Production[[#This Row],[Kor1]],$AI$3:$AK$105,3,FALSE)</f>
        <v>Losses Paid</v>
      </c>
      <c r="X2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6"/>
      <c r="Z2866" t="s">
        <v>33</v>
      </c>
      <c r="AA2866" t="s">
        <v>259</v>
      </c>
      <c r="AB2866" t="s">
        <v>427</v>
      </c>
      <c r="AC2866" s="21">
        <v>10772.81</v>
      </c>
      <c r="AD2866" s="21" t="s">
        <v>368</v>
      </c>
      <c r="AE2866" t="str">
        <f>VLOOKUP(Table_Query_from_Actuarial___Production3[[#This Row],[Kor1]],$AI$3:$AK$105,3,FALSE)</f>
        <v>Misc. Expense</v>
      </c>
      <c r="AF2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7" spans="18:32" x14ac:dyDescent="0.2">
      <c r="R2867" t="s">
        <v>34</v>
      </c>
      <c r="S2867" t="s">
        <v>232</v>
      </c>
      <c r="T2867" t="s">
        <v>9</v>
      </c>
      <c r="U2867" s="21">
        <v>12.07</v>
      </c>
      <c r="V2867" s="21" t="s">
        <v>368</v>
      </c>
      <c r="W2867" t="str">
        <f>VLOOKUP(Table_Query_from_Actuarial___Production[[#This Row],[Kor1]],$AI$3:$AK$105,3,FALSE)</f>
        <v>Misc. Expense</v>
      </c>
      <c r="X2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7"/>
      <c r="Z2867" t="s">
        <v>40</v>
      </c>
      <c r="AA2867" t="s">
        <v>241</v>
      </c>
      <c r="AB2867" t="s">
        <v>442</v>
      </c>
      <c r="AC2867" s="21">
        <v>22</v>
      </c>
      <c r="AD2867" s="21" t="s">
        <v>368</v>
      </c>
      <c r="AE2867" t="str">
        <f>VLOOKUP(Table_Query_from_Actuarial___Production3[[#This Row],[Kor1]],$AI$3:$AK$105,3,FALSE)</f>
        <v>Misc. Income</v>
      </c>
      <c r="AF2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8" spans="18:32" x14ac:dyDescent="0.2">
      <c r="R2868" t="s">
        <v>47</v>
      </c>
      <c r="S2868" t="s">
        <v>243</v>
      </c>
      <c r="T2868" t="s">
        <v>427</v>
      </c>
      <c r="U2868" s="21">
        <v>2125.61</v>
      </c>
      <c r="V2868" s="21" t="s">
        <v>368</v>
      </c>
      <c r="W2868" t="str">
        <f>VLOOKUP(Table_Query_from_Actuarial___Production[[#This Row],[Kor1]],$AI$3:$AK$105,3,FALSE)</f>
        <v>Investment Income</v>
      </c>
      <c r="X2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8"/>
      <c r="Z2868" t="s">
        <v>41</v>
      </c>
      <c r="AA2868" t="s">
        <v>246</v>
      </c>
      <c r="AB2868" t="s">
        <v>9</v>
      </c>
      <c r="AC2868" s="21">
        <v>400.02</v>
      </c>
      <c r="AD2868" s="21" t="s">
        <v>368</v>
      </c>
      <c r="AE2868" t="str">
        <f>VLOOKUP(Table_Query_from_Actuarial___Production3[[#This Row],[Kor1]],$AI$3:$AK$105,3,FALSE)</f>
        <v>Misc. Income</v>
      </c>
      <c r="AF2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69" spans="18:32" x14ac:dyDescent="0.2">
      <c r="R2869" t="s">
        <v>10</v>
      </c>
      <c r="S2869" t="s">
        <v>254</v>
      </c>
      <c r="T2869" t="s">
        <v>6</v>
      </c>
      <c r="U2869" s="21">
        <v>39615.800000000003</v>
      </c>
      <c r="V2869" s="21" t="s">
        <v>368</v>
      </c>
      <c r="W2869" t="str">
        <f>VLOOKUP(Table_Query_from_Actuarial___Production[[#This Row],[Kor1]],$AI$3:$AK$105,3,FALSE)</f>
        <v>Commissions</v>
      </c>
      <c r="X2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69"/>
      <c r="Z2869" t="s">
        <v>49</v>
      </c>
      <c r="AA2869" t="s">
        <v>266</v>
      </c>
      <c r="AB2869" t="s">
        <v>6</v>
      </c>
      <c r="AC2869" s="21">
        <v>7614.56</v>
      </c>
      <c r="AD2869" s="21" t="s">
        <v>368</v>
      </c>
      <c r="AE2869" t="str">
        <f>VLOOKUP(Table_Query_from_Actuarial___Production3[[#This Row],[Kor1]],$AI$3:$AK$105,3,FALSE)</f>
        <v>ALAE Paid</v>
      </c>
      <c r="AF2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0" spans="18:32" x14ac:dyDescent="0.2">
      <c r="R2870" t="s">
        <v>33</v>
      </c>
      <c r="S2870" t="s">
        <v>261</v>
      </c>
      <c r="T2870" t="s">
        <v>8</v>
      </c>
      <c r="U2870" s="21">
        <v>15461.34</v>
      </c>
      <c r="V2870" s="21" t="s">
        <v>368</v>
      </c>
      <c r="W2870" t="str">
        <f>VLOOKUP(Table_Query_from_Actuarial___Production[[#This Row],[Kor1]],$AI$3:$AK$105,3,FALSE)</f>
        <v>Misc. Expense</v>
      </c>
      <c r="X2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0"/>
      <c r="Z2870" t="s">
        <v>13</v>
      </c>
      <c r="AA2870" t="s">
        <v>224</v>
      </c>
      <c r="AB2870" t="s">
        <v>443</v>
      </c>
      <c r="AC2870" s="21">
        <v>115768.7</v>
      </c>
      <c r="AD2870" s="21" t="s">
        <v>368</v>
      </c>
      <c r="AE2870" t="str">
        <f>VLOOKUP(Table_Query_from_Actuarial___Production3[[#This Row],[Kor1]],$AI$3:$AK$105,3,FALSE)</f>
        <v>Operating Service Fees</v>
      </c>
      <c r="AF2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871" spans="18:32" x14ac:dyDescent="0.2">
      <c r="R2871" t="s">
        <v>14</v>
      </c>
      <c r="S2871" t="s">
        <v>244</v>
      </c>
      <c r="T2871" t="s">
        <v>441</v>
      </c>
      <c r="U2871" s="21">
        <v>383827.37</v>
      </c>
      <c r="V2871" s="21" t="s">
        <v>368</v>
      </c>
      <c r="W2871" t="str">
        <f>VLOOKUP(Table_Query_from_Actuarial___Production[[#This Row],[Kor1]],$AI$3:$AK$105,3,FALSE)</f>
        <v>Claims Expense</v>
      </c>
      <c r="X2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1"/>
      <c r="Z2871" t="s">
        <v>3</v>
      </c>
      <c r="AA2871" t="s">
        <v>241</v>
      </c>
      <c r="AB2871" t="s">
        <v>9</v>
      </c>
      <c r="AC2871" s="21">
        <v>843449</v>
      </c>
      <c r="AD2871" s="21" t="s">
        <v>368</v>
      </c>
      <c r="AE2871" t="str">
        <f>VLOOKUP(Table_Query_from_Actuarial___Production3[[#This Row],[Kor1]],$AI$3:$AK$105,3,FALSE)</f>
        <v>Premiums Written</v>
      </c>
      <c r="AF2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2" spans="18:32" x14ac:dyDescent="0.2">
      <c r="R2872" t="s">
        <v>34</v>
      </c>
      <c r="S2872" t="s">
        <v>244</v>
      </c>
      <c r="T2872" t="s">
        <v>445</v>
      </c>
      <c r="U2872" s="21">
        <v>910.52</v>
      </c>
      <c r="V2872" s="21" t="s">
        <v>368</v>
      </c>
      <c r="W2872" t="str">
        <f>VLOOKUP(Table_Query_from_Actuarial___Production[[#This Row],[Kor1]],$AI$3:$AK$105,3,FALSE)</f>
        <v>Misc. Expense</v>
      </c>
      <c r="X2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2"/>
      <c r="Z2872" t="s">
        <v>11</v>
      </c>
      <c r="AA2872" t="s">
        <v>255</v>
      </c>
      <c r="AB2872" t="s">
        <v>441</v>
      </c>
      <c r="AC2872" s="21">
        <v>28160.560000000001</v>
      </c>
      <c r="AD2872" s="21" t="s">
        <v>368</v>
      </c>
      <c r="AE2872" t="str">
        <f>VLOOKUP(Table_Query_from_Actuarial___Production3[[#This Row],[Kor1]],$AI$3:$AK$105,3,FALSE)</f>
        <v>Losses Paid</v>
      </c>
      <c r="AF2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3" spans="18:32" x14ac:dyDescent="0.2">
      <c r="R2873" t="s">
        <v>21</v>
      </c>
      <c r="S2873" t="s">
        <v>258</v>
      </c>
      <c r="T2873" t="s">
        <v>427</v>
      </c>
      <c r="U2873" s="21">
        <v>11020.22</v>
      </c>
      <c r="V2873" s="21" t="s">
        <v>368</v>
      </c>
      <c r="W2873" t="str">
        <f>VLOOKUP(Table_Query_from_Actuarial___Production[[#This Row],[Kor1]],$AI$3:$AK$105,3,FALSE)</f>
        <v>Misc. Expense</v>
      </c>
      <c r="X2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3"/>
      <c r="Z2873" t="s">
        <v>21</v>
      </c>
      <c r="AA2873" t="s">
        <v>251</v>
      </c>
      <c r="AB2873" t="s">
        <v>8</v>
      </c>
      <c r="AC2873" s="21">
        <v>951.77</v>
      </c>
      <c r="AD2873" s="21" t="s">
        <v>368</v>
      </c>
      <c r="AE2873" t="str">
        <f>VLOOKUP(Table_Query_from_Actuarial___Production3[[#This Row],[Kor1]],$AI$3:$AK$105,3,FALSE)</f>
        <v>Misc. Expense</v>
      </c>
      <c r="AF2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4" spans="18:32" x14ac:dyDescent="0.2">
      <c r="R2874" t="s">
        <v>13</v>
      </c>
      <c r="S2874" t="s">
        <v>262</v>
      </c>
      <c r="T2874" t="s">
        <v>441</v>
      </c>
      <c r="U2874" s="21">
        <v>78208.12</v>
      </c>
      <c r="V2874" s="21" t="s">
        <v>368</v>
      </c>
      <c r="W2874" t="str">
        <f>VLOOKUP(Table_Query_from_Actuarial___Production[[#This Row],[Kor1]],$AI$3:$AK$105,3,FALSE)</f>
        <v>Operating Service Fees</v>
      </c>
      <c r="X2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4"/>
      <c r="Z2874" t="s">
        <v>47</v>
      </c>
      <c r="AA2874" t="s">
        <v>257</v>
      </c>
      <c r="AB2874" t="s">
        <v>441</v>
      </c>
      <c r="AC2874" s="21">
        <v>213.95</v>
      </c>
      <c r="AD2874" s="21" t="s">
        <v>368</v>
      </c>
      <c r="AE2874" t="str">
        <f>VLOOKUP(Table_Query_from_Actuarial___Production3[[#This Row],[Kor1]],$AI$3:$AK$105,3,FALSE)</f>
        <v>Investment Income</v>
      </c>
      <c r="AF2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5" spans="18:32" x14ac:dyDescent="0.2">
      <c r="R2875" t="s">
        <v>17</v>
      </c>
      <c r="S2875" t="s">
        <v>244</v>
      </c>
      <c r="T2875" t="s">
        <v>445</v>
      </c>
      <c r="U2875" s="21">
        <v>289336.56</v>
      </c>
      <c r="V2875" s="21" t="s">
        <v>368</v>
      </c>
      <c r="W2875" t="str">
        <f>VLOOKUP(Table_Query_from_Actuarial___Production[[#This Row],[Kor1]],$AI$3:$AK$105,3,FALSE)</f>
        <v>IBNR</v>
      </c>
      <c r="X2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5"/>
      <c r="Z2875" t="s">
        <v>31</v>
      </c>
      <c r="AA2875" t="s">
        <v>232</v>
      </c>
      <c r="AB2875" t="s">
        <v>9</v>
      </c>
      <c r="AC2875" s="21">
        <v>464.86</v>
      </c>
      <c r="AD2875" s="21" t="s">
        <v>368</v>
      </c>
      <c r="AE2875" t="str">
        <f>VLOOKUP(Table_Query_from_Actuarial___Production3[[#This Row],[Kor1]],$AI$3:$AK$105,3,FALSE)</f>
        <v>Misc. Expense</v>
      </c>
      <c r="AF2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6" spans="18:32" x14ac:dyDescent="0.2">
      <c r="R2876" t="s">
        <v>21</v>
      </c>
      <c r="S2876" t="s">
        <v>232</v>
      </c>
      <c r="T2876" t="s">
        <v>443</v>
      </c>
      <c r="U2876" s="21">
        <v>1250.4000000000001</v>
      </c>
      <c r="V2876" s="21" t="s">
        <v>368</v>
      </c>
      <c r="W2876" t="str">
        <f>VLOOKUP(Table_Query_from_Actuarial___Production[[#This Row],[Kor1]],$AI$3:$AK$105,3,FALSE)</f>
        <v>Misc. Expense</v>
      </c>
      <c r="X2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6"/>
      <c r="Z2876" t="s">
        <v>36</v>
      </c>
      <c r="AA2876" t="s">
        <v>242</v>
      </c>
      <c r="AB2876" t="s">
        <v>433</v>
      </c>
      <c r="AC2876" s="21">
        <v>6772.03</v>
      </c>
      <c r="AD2876" s="21" t="s">
        <v>368</v>
      </c>
      <c r="AE2876" t="str">
        <f>VLOOKUP(Table_Query_from_Actuarial___Production3[[#This Row],[Kor1]],$AI$3:$AK$105,3,FALSE)</f>
        <v>Misc. Expense</v>
      </c>
      <c r="AF2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7" spans="18:32" x14ac:dyDescent="0.2">
      <c r="R2877" t="s">
        <v>41</v>
      </c>
      <c r="S2877" t="s">
        <v>229</v>
      </c>
      <c r="T2877" t="s">
        <v>442</v>
      </c>
      <c r="U2877" s="21">
        <v>1350</v>
      </c>
      <c r="V2877" s="21" t="s">
        <v>368</v>
      </c>
      <c r="W2877" t="str">
        <f>VLOOKUP(Table_Query_from_Actuarial___Production[[#This Row],[Kor1]],$AI$3:$AK$105,3,FALSE)</f>
        <v>Misc. Income</v>
      </c>
      <c r="X2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7"/>
      <c r="Z2877" t="s">
        <v>43</v>
      </c>
      <c r="AA2877" t="s">
        <v>4</v>
      </c>
      <c r="AB2877" t="s">
        <v>351</v>
      </c>
      <c r="AC2877" s="21">
        <v>8042.54</v>
      </c>
      <c r="AD2877" s="21" t="s">
        <v>368</v>
      </c>
      <c r="AE2877" t="str">
        <f>VLOOKUP(Table_Query_from_Actuarial___Production3[[#This Row],[Kor1]],$AI$3:$AK$105,3,FALSE)</f>
        <v>Charge-offs</v>
      </c>
      <c r="AF2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78" spans="18:32" x14ac:dyDescent="0.2">
      <c r="R2878" t="s">
        <v>13</v>
      </c>
      <c r="S2878" t="s">
        <v>261</v>
      </c>
      <c r="T2878" t="s">
        <v>356</v>
      </c>
      <c r="U2878" s="21">
        <v>109879.51</v>
      </c>
      <c r="V2878" s="21" t="s">
        <v>368</v>
      </c>
      <c r="W2878" t="str">
        <f>VLOOKUP(Table_Query_from_Actuarial___Production[[#This Row],[Kor1]],$AI$3:$AK$105,3,FALSE)</f>
        <v>Operating Service Fees</v>
      </c>
      <c r="X2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8"/>
      <c r="Z2878" t="s">
        <v>17</v>
      </c>
      <c r="AA2878" t="s">
        <v>224</v>
      </c>
      <c r="AB2878" t="s">
        <v>433</v>
      </c>
      <c r="AC2878" s="21">
        <v>-302.23</v>
      </c>
      <c r="AD2878" s="21" t="s">
        <v>425</v>
      </c>
      <c r="AE2878" t="str">
        <f>VLOOKUP(Table_Query_from_Actuarial___Production3[[#This Row],[Kor1]],$AI$3:$AK$105,3,FALSE)</f>
        <v>IBNR</v>
      </c>
      <c r="AF2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879" spans="18:32" x14ac:dyDescent="0.2">
      <c r="R2879" t="s">
        <v>43</v>
      </c>
      <c r="S2879" t="s">
        <v>233</v>
      </c>
      <c r="T2879" t="s">
        <v>427</v>
      </c>
      <c r="U2879" s="21">
        <v>-59.4</v>
      </c>
      <c r="V2879" s="21" t="s">
        <v>368</v>
      </c>
      <c r="W2879" t="str">
        <f>VLOOKUP(Table_Query_from_Actuarial___Production[[#This Row],[Kor1]],$AI$3:$AK$105,3,FALSE)</f>
        <v>Charge-offs</v>
      </c>
      <c r="X2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79"/>
      <c r="Z2879" t="s">
        <v>3</v>
      </c>
      <c r="AA2879" t="s">
        <v>237</v>
      </c>
      <c r="AB2879" t="s">
        <v>442</v>
      </c>
      <c r="AC2879" s="21">
        <v>63778770</v>
      </c>
      <c r="AD2879" s="21" t="s">
        <v>368</v>
      </c>
      <c r="AE2879" t="str">
        <f>VLOOKUP(Table_Query_from_Actuarial___Production3[[#This Row],[Kor1]],$AI$3:$AK$105,3,FALSE)</f>
        <v>Premiums Written</v>
      </c>
      <c r="AF2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0" spans="18:32" x14ac:dyDescent="0.2">
      <c r="R2880" t="s">
        <v>33</v>
      </c>
      <c r="S2880" t="s">
        <v>236</v>
      </c>
      <c r="T2880" t="s">
        <v>351</v>
      </c>
      <c r="U2880" s="21">
        <v>15500.63</v>
      </c>
      <c r="V2880" s="21" t="s">
        <v>368</v>
      </c>
      <c r="W2880" t="str">
        <f>VLOOKUP(Table_Query_from_Actuarial___Production[[#This Row],[Kor1]],$AI$3:$AK$105,3,FALSE)</f>
        <v>Misc. Expense</v>
      </c>
      <c r="X2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0"/>
      <c r="Z2880" t="s">
        <v>10</v>
      </c>
      <c r="AA2880" t="s">
        <v>255</v>
      </c>
      <c r="AB2880" t="s">
        <v>6</v>
      </c>
      <c r="AC2880" s="21">
        <v>10768.45</v>
      </c>
      <c r="AD2880" s="21" t="s">
        <v>368</v>
      </c>
      <c r="AE2880" t="str">
        <f>VLOOKUP(Table_Query_from_Actuarial___Production3[[#This Row],[Kor1]],$AI$3:$AK$105,3,FALSE)</f>
        <v>Commissions</v>
      </c>
      <c r="AF2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1" spans="18:32" x14ac:dyDescent="0.2">
      <c r="R2881" t="s">
        <v>43</v>
      </c>
      <c r="S2881" t="s">
        <v>244</v>
      </c>
      <c r="T2881" t="s">
        <v>6</v>
      </c>
      <c r="U2881" s="21">
        <v>1494.71</v>
      </c>
      <c r="V2881" s="21" t="s">
        <v>368</v>
      </c>
      <c r="W2881" t="str">
        <f>VLOOKUP(Table_Query_from_Actuarial___Production[[#This Row],[Kor1]],$AI$3:$AK$105,3,FALSE)</f>
        <v>Charge-offs</v>
      </c>
      <c r="X2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1"/>
      <c r="Z2881" t="s">
        <v>43</v>
      </c>
      <c r="AA2881" t="s">
        <v>252</v>
      </c>
      <c r="AB2881" t="s">
        <v>9</v>
      </c>
      <c r="AC2881" s="21">
        <v>12162.25</v>
      </c>
      <c r="AD2881" s="21" t="s">
        <v>368</v>
      </c>
      <c r="AE2881" t="str">
        <f>VLOOKUP(Table_Query_from_Actuarial___Production3[[#This Row],[Kor1]],$AI$3:$AK$105,3,FALSE)</f>
        <v>Charge-offs</v>
      </c>
      <c r="AF2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2" spans="18:32" x14ac:dyDescent="0.2">
      <c r="R2882" t="s">
        <v>19</v>
      </c>
      <c r="S2882" t="s">
        <v>262</v>
      </c>
      <c r="T2882" t="s">
        <v>427</v>
      </c>
      <c r="U2882" s="21">
        <v>580</v>
      </c>
      <c r="V2882" s="21" t="s">
        <v>368</v>
      </c>
      <c r="W2882" t="str">
        <f>VLOOKUP(Table_Query_from_Actuarial___Production[[#This Row],[Kor1]],$AI$3:$AK$105,3,FALSE)</f>
        <v>Misc. Expense for Insolvent Companies</v>
      </c>
      <c r="X2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2"/>
      <c r="Z2882" t="s">
        <v>13</v>
      </c>
      <c r="AA2882" t="s">
        <v>226</v>
      </c>
      <c r="AB2882" t="s">
        <v>8</v>
      </c>
      <c r="AC2882" s="21">
        <v>1519927.37</v>
      </c>
      <c r="AD2882" s="21" t="s">
        <v>368</v>
      </c>
      <c r="AE2882" t="str">
        <f>VLOOKUP(Table_Query_from_Actuarial___Production3[[#This Row],[Kor1]],$AI$3:$AK$105,3,FALSE)</f>
        <v>Operating Service Fees</v>
      </c>
      <c r="AF2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883" spans="18:32" x14ac:dyDescent="0.2">
      <c r="R2883" t="s">
        <v>10</v>
      </c>
      <c r="S2883" t="s">
        <v>228</v>
      </c>
      <c r="T2883" t="s">
        <v>433</v>
      </c>
      <c r="U2883" s="21">
        <v>2886.5</v>
      </c>
      <c r="V2883" s="21" t="s">
        <v>368</v>
      </c>
      <c r="W2883" t="str">
        <f>VLOOKUP(Table_Query_from_Actuarial___Production[[#This Row],[Kor1]],$AI$3:$AK$105,3,FALSE)</f>
        <v>Commissions</v>
      </c>
      <c r="X2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3"/>
      <c r="Z2883" t="s">
        <v>11</v>
      </c>
      <c r="AA2883" t="s">
        <v>248</v>
      </c>
      <c r="AB2883" t="s">
        <v>427</v>
      </c>
      <c r="AC2883" s="21">
        <v>380720.11</v>
      </c>
      <c r="AD2883" s="21" t="s">
        <v>368</v>
      </c>
      <c r="AE2883" t="str">
        <f>VLOOKUP(Table_Query_from_Actuarial___Production3[[#This Row],[Kor1]],$AI$3:$AK$105,3,FALSE)</f>
        <v>Losses Paid</v>
      </c>
      <c r="AF2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4" spans="18:32" x14ac:dyDescent="0.2">
      <c r="R2884" t="s">
        <v>16</v>
      </c>
      <c r="S2884" t="s">
        <v>4</v>
      </c>
      <c r="T2884" t="s">
        <v>356</v>
      </c>
      <c r="U2884" s="21">
        <v>3532786.64</v>
      </c>
      <c r="V2884" s="21" t="s">
        <v>368</v>
      </c>
      <c r="W2884" t="str">
        <f>VLOOKUP(Table_Query_from_Actuarial___Production[[#This Row],[Kor1]],$AI$3:$AK$105,3,FALSE)</f>
        <v>Losses Outstanding</v>
      </c>
      <c r="X2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4"/>
      <c r="Z2884" t="s">
        <v>11</v>
      </c>
      <c r="AA2884" t="s">
        <v>254</v>
      </c>
      <c r="AB2884" t="s">
        <v>441</v>
      </c>
      <c r="AC2884" s="21">
        <v>16468865.66</v>
      </c>
      <c r="AD2884" s="21" t="s">
        <v>368</v>
      </c>
      <c r="AE2884" t="str">
        <f>VLOOKUP(Table_Query_from_Actuarial___Production3[[#This Row],[Kor1]],$AI$3:$AK$105,3,FALSE)</f>
        <v>Losses Paid</v>
      </c>
      <c r="AF2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5" spans="18:32" x14ac:dyDescent="0.2">
      <c r="R2885" t="s">
        <v>12</v>
      </c>
      <c r="S2885" t="s">
        <v>255</v>
      </c>
      <c r="T2885" t="s">
        <v>443</v>
      </c>
      <c r="U2885" s="21">
        <v>7839.41</v>
      </c>
      <c r="V2885" s="21" t="s">
        <v>368</v>
      </c>
      <c r="W2885" t="str">
        <f>VLOOKUP(Table_Query_from_Actuarial___Production[[#This Row],[Kor1]],$AI$3:$AK$105,3,FALSE)</f>
        <v>Premium Tax</v>
      </c>
      <c r="X2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5"/>
      <c r="Z2885" t="s">
        <v>44</v>
      </c>
      <c r="AA2885" t="s">
        <v>226</v>
      </c>
      <c r="AB2885" t="s">
        <v>8</v>
      </c>
      <c r="AC2885" s="21">
        <v>185954.92</v>
      </c>
      <c r="AD2885" s="21" t="s">
        <v>368</v>
      </c>
      <c r="AE2885" t="str">
        <f>VLOOKUP(Table_Query_from_Actuarial___Production3[[#This Row],[Kor1]],$AI$3:$AK$105,3,FALSE)</f>
        <v>Charge-offs</v>
      </c>
      <c r="AF2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886" spans="18:32" x14ac:dyDescent="0.2">
      <c r="R2886" t="s">
        <v>10</v>
      </c>
      <c r="S2886" t="s">
        <v>224</v>
      </c>
      <c r="T2886" t="s">
        <v>433</v>
      </c>
      <c r="U2886" s="21">
        <v>91551.1</v>
      </c>
      <c r="V2886" s="21" t="s">
        <v>368</v>
      </c>
      <c r="W2886" t="str">
        <f>VLOOKUP(Table_Query_from_Actuarial___Production[[#This Row],[Kor1]],$AI$3:$AK$105,3,FALSE)</f>
        <v>Commissions</v>
      </c>
      <c r="X2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2886"/>
      <c r="Z2886" t="s">
        <v>33</v>
      </c>
      <c r="AA2886" t="s">
        <v>252</v>
      </c>
      <c r="AB2886" t="s">
        <v>8</v>
      </c>
      <c r="AC2886" s="21">
        <v>33990.26</v>
      </c>
      <c r="AD2886" s="21" t="s">
        <v>368</v>
      </c>
      <c r="AE2886" t="str">
        <f>VLOOKUP(Table_Query_from_Actuarial___Production3[[#This Row],[Kor1]],$AI$3:$AK$105,3,FALSE)</f>
        <v>Misc. Expense</v>
      </c>
      <c r="AF2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7" spans="18:32" x14ac:dyDescent="0.2">
      <c r="R2887" t="s">
        <v>3</v>
      </c>
      <c r="S2887" t="s">
        <v>251</v>
      </c>
      <c r="T2887" t="s">
        <v>6</v>
      </c>
      <c r="U2887" s="21">
        <v>59081</v>
      </c>
      <c r="V2887" s="21" t="s">
        <v>368</v>
      </c>
      <c r="W2887" t="str">
        <f>VLOOKUP(Table_Query_from_Actuarial___Production[[#This Row],[Kor1]],$AI$3:$AK$105,3,FALSE)</f>
        <v>Premiums Written</v>
      </c>
      <c r="X2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7"/>
      <c r="Z2887" t="s">
        <v>21</v>
      </c>
      <c r="AA2887" t="s">
        <v>258</v>
      </c>
      <c r="AB2887" t="s">
        <v>443</v>
      </c>
      <c r="AC2887" s="21">
        <v>4725.5</v>
      </c>
      <c r="AD2887" s="21" t="s">
        <v>368</v>
      </c>
      <c r="AE2887" t="str">
        <f>VLOOKUP(Table_Query_from_Actuarial___Production3[[#This Row],[Kor1]],$AI$3:$AK$105,3,FALSE)</f>
        <v>Misc. Expense</v>
      </c>
      <c r="AF2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8" spans="18:32" x14ac:dyDescent="0.2">
      <c r="R2888" t="s">
        <v>47</v>
      </c>
      <c r="S2888" t="s">
        <v>247</v>
      </c>
      <c r="T2888" t="s">
        <v>442</v>
      </c>
      <c r="U2888" s="21">
        <v>515.83000000000004</v>
      </c>
      <c r="V2888" s="21" t="s">
        <v>368</v>
      </c>
      <c r="W2888" t="str">
        <f>VLOOKUP(Table_Query_from_Actuarial___Production[[#This Row],[Kor1]],$AI$3:$AK$105,3,FALSE)</f>
        <v>Investment Income</v>
      </c>
      <c r="X2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8"/>
      <c r="Z2888" t="s">
        <v>31</v>
      </c>
      <c r="AA2888" t="s">
        <v>249</v>
      </c>
      <c r="AB2888" t="s">
        <v>442</v>
      </c>
      <c r="AC2888" s="21">
        <v>819.72</v>
      </c>
      <c r="AD2888" s="21" t="s">
        <v>368</v>
      </c>
      <c r="AE2888" t="str">
        <f>VLOOKUP(Table_Query_from_Actuarial___Production3[[#This Row],[Kor1]],$AI$3:$AK$105,3,FALSE)</f>
        <v>Misc. Expense</v>
      </c>
      <c r="AF2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89" spans="18:32" x14ac:dyDescent="0.2">
      <c r="R2889" t="s">
        <v>50</v>
      </c>
      <c r="S2889" t="s">
        <v>268</v>
      </c>
      <c r="T2889" t="s">
        <v>441</v>
      </c>
      <c r="U2889" s="21">
        <v>931.81</v>
      </c>
      <c r="V2889" s="21" t="s">
        <v>368</v>
      </c>
      <c r="W2889" t="str">
        <f>VLOOKUP(Table_Query_from_Actuarial___Production[[#This Row],[Kor1]],$AI$3:$AK$105,3,FALSE)</f>
        <v>ALAE Reserve</v>
      </c>
      <c r="X2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89"/>
      <c r="Z2889" t="s">
        <v>41</v>
      </c>
      <c r="AA2889" t="s">
        <v>254</v>
      </c>
      <c r="AB2889" t="s">
        <v>433</v>
      </c>
      <c r="AC2889" s="21">
        <v>809.86</v>
      </c>
      <c r="AD2889" s="21" t="s">
        <v>368</v>
      </c>
      <c r="AE2889" t="str">
        <f>VLOOKUP(Table_Query_from_Actuarial___Production3[[#This Row],[Kor1]],$AI$3:$AK$105,3,FALSE)</f>
        <v>Misc. Income</v>
      </c>
      <c r="AF2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0" spans="18:32" x14ac:dyDescent="0.2">
      <c r="R2890" t="s">
        <v>40</v>
      </c>
      <c r="S2890" t="s">
        <v>231</v>
      </c>
      <c r="T2890" t="s">
        <v>6</v>
      </c>
      <c r="U2890" s="21">
        <v>6</v>
      </c>
      <c r="V2890" s="21" t="s">
        <v>368</v>
      </c>
      <c r="W2890" t="str">
        <f>VLOOKUP(Table_Query_from_Actuarial___Production[[#This Row],[Kor1]],$AI$3:$AK$105,3,FALSE)</f>
        <v>Misc. Income</v>
      </c>
      <c r="X2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0"/>
      <c r="Z2890" t="s">
        <v>33</v>
      </c>
      <c r="AA2890" t="s">
        <v>240</v>
      </c>
      <c r="AB2890" t="s">
        <v>356</v>
      </c>
      <c r="AC2890" s="21">
        <v>14908.59</v>
      </c>
      <c r="AD2890" s="21" t="s">
        <v>368</v>
      </c>
      <c r="AE2890" t="str">
        <f>VLOOKUP(Table_Query_from_Actuarial___Production3[[#This Row],[Kor1]],$AI$3:$AK$105,3,FALSE)</f>
        <v>Misc. Expense</v>
      </c>
      <c r="AF2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1" spans="18:32" x14ac:dyDescent="0.2">
      <c r="R2891" t="s">
        <v>39</v>
      </c>
      <c r="S2891" t="s">
        <v>228</v>
      </c>
      <c r="T2891" t="s">
        <v>442</v>
      </c>
      <c r="U2891" s="21">
        <v>89</v>
      </c>
      <c r="V2891" s="21" t="s">
        <v>368</v>
      </c>
      <c r="W2891" t="str">
        <f>VLOOKUP(Table_Query_from_Actuarial___Production[[#This Row],[Kor1]],$AI$3:$AK$105,3,FALSE)</f>
        <v>Misc. Income for Insolvent Companies</v>
      </c>
      <c r="X2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1"/>
      <c r="Z2891" t="s">
        <v>21</v>
      </c>
      <c r="AA2891" t="s">
        <v>257</v>
      </c>
      <c r="AB2891" t="s">
        <v>433</v>
      </c>
      <c r="AC2891" s="21">
        <v>3878</v>
      </c>
      <c r="AD2891" s="21" t="s">
        <v>368</v>
      </c>
      <c r="AE2891" t="str">
        <f>VLOOKUP(Table_Query_from_Actuarial___Production3[[#This Row],[Kor1]],$AI$3:$AK$105,3,FALSE)</f>
        <v>Misc. Expense</v>
      </c>
      <c r="AF2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2" spans="18:32" x14ac:dyDescent="0.2">
      <c r="R2892" t="s">
        <v>47</v>
      </c>
      <c r="S2892" t="s">
        <v>268</v>
      </c>
      <c r="T2892" t="s">
        <v>356</v>
      </c>
      <c r="U2892" s="21">
        <v>363.9</v>
      </c>
      <c r="V2892" s="21" t="s">
        <v>368</v>
      </c>
      <c r="W2892" t="str">
        <f>VLOOKUP(Table_Query_from_Actuarial___Production[[#This Row],[Kor1]],$AI$3:$AK$105,3,FALSE)</f>
        <v>Investment Income</v>
      </c>
      <c r="X2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2"/>
      <c r="Z2892" t="s">
        <v>12</v>
      </c>
      <c r="AA2892" t="s">
        <v>252</v>
      </c>
      <c r="AB2892" t="s">
        <v>433</v>
      </c>
      <c r="AC2892" s="21">
        <v>658639.59</v>
      </c>
      <c r="AD2892" s="21" t="s">
        <v>368</v>
      </c>
      <c r="AE2892" t="str">
        <f>VLOOKUP(Table_Query_from_Actuarial___Production3[[#This Row],[Kor1]],$AI$3:$AK$105,3,FALSE)</f>
        <v>Premium Tax</v>
      </c>
      <c r="AF2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3" spans="18:32" x14ac:dyDescent="0.2">
      <c r="R2893" t="s">
        <v>50</v>
      </c>
      <c r="S2893" t="s">
        <v>4</v>
      </c>
      <c r="T2893" t="s">
        <v>351</v>
      </c>
      <c r="U2893" s="21">
        <v>41239.51</v>
      </c>
      <c r="V2893" s="21" t="s">
        <v>368</v>
      </c>
      <c r="W2893" t="str">
        <f>VLOOKUP(Table_Query_from_Actuarial___Production[[#This Row],[Kor1]],$AI$3:$AK$105,3,FALSE)</f>
        <v>ALAE Reserve</v>
      </c>
      <c r="X2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3"/>
      <c r="Z2893" t="s">
        <v>44</v>
      </c>
      <c r="AA2893" t="s">
        <v>259</v>
      </c>
      <c r="AB2893" t="s">
        <v>9</v>
      </c>
      <c r="AC2893" s="21">
        <v>8</v>
      </c>
      <c r="AD2893" s="21" t="s">
        <v>368</v>
      </c>
      <c r="AE2893" t="str">
        <f>VLOOKUP(Table_Query_from_Actuarial___Production3[[#This Row],[Kor1]],$AI$3:$AK$105,3,FALSE)</f>
        <v>Charge-offs</v>
      </c>
      <c r="AF2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4" spans="18:32" x14ac:dyDescent="0.2">
      <c r="R2894" t="s">
        <v>10</v>
      </c>
      <c r="S2894" t="s">
        <v>234</v>
      </c>
      <c r="T2894" t="s">
        <v>433</v>
      </c>
      <c r="U2894" s="21">
        <v>74947.02</v>
      </c>
      <c r="V2894" s="21" t="s">
        <v>368</v>
      </c>
      <c r="W2894" t="str">
        <f>VLOOKUP(Table_Query_from_Actuarial___Production[[#This Row],[Kor1]],$AI$3:$AK$105,3,FALSE)</f>
        <v>Commissions</v>
      </c>
      <c r="X2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4"/>
      <c r="Z2894" t="s">
        <v>10</v>
      </c>
      <c r="AA2894" t="s">
        <v>225</v>
      </c>
      <c r="AB2894" t="s">
        <v>5</v>
      </c>
      <c r="AC2894" s="21">
        <v>464964.99</v>
      </c>
      <c r="AD2894" s="21" t="s">
        <v>369</v>
      </c>
      <c r="AE2894" t="str">
        <f>VLOOKUP(Table_Query_from_Actuarial___Production3[[#This Row],[Kor1]],$AI$3:$AK$105,3,FALSE)</f>
        <v>Commissions</v>
      </c>
      <c r="AF2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895" spans="18:32" x14ac:dyDescent="0.2">
      <c r="R2895" t="s">
        <v>31</v>
      </c>
      <c r="S2895" t="s">
        <v>245</v>
      </c>
      <c r="T2895" t="s">
        <v>442</v>
      </c>
      <c r="U2895" s="21">
        <v>987.26</v>
      </c>
      <c r="V2895" s="21" t="s">
        <v>368</v>
      </c>
      <c r="W2895" t="str">
        <f>VLOOKUP(Table_Query_from_Actuarial___Production[[#This Row],[Kor1]],$AI$3:$AK$105,3,FALSE)</f>
        <v>Misc. Expense</v>
      </c>
      <c r="X2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5"/>
      <c r="Z2895" t="s">
        <v>10</v>
      </c>
      <c r="AA2895" t="s">
        <v>260</v>
      </c>
      <c r="AB2895" t="s">
        <v>442</v>
      </c>
      <c r="AC2895" s="21">
        <v>4777.2</v>
      </c>
      <c r="AD2895" s="21" t="s">
        <v>368</v>
      </c>
      <c r="AE2895" t="str">
        <f>VLOOKUP(Table_Query_from_Actuarial___Production3[[#This Row],[Kor1]],$AI$3:$AK$105,3,FALSE)</f>
        <v>Commissions</v>
      </c>
      <c r="AF2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6" spans="18:32" x14ac:dyDescent="0.2">
      <c r="R2896" t="s">
        <v>10</v>
      </c>
      <c r="S2896" t="s">
        <v>248</v>
      </c>
      <c r="T2896" t="s">
        <v>8</v>
      </c>
      <c r="U2896" s="21">
        <v>3165.35</v>
      </c>
      <c r="V2896" s="21" t="s">
        <v>368</v>
      </c>
      <c r="W2896" t="str">
        <f>VLOOKUP(Table_Query_from_Actuarial___Production[[#This Row],[Kor1]],$AI$3:$AK$105,3,FALSE)</f>
        <v>Commissions</v>
      </c>
      <c r="X2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6"/>
      <c r="Z2896" t="s">
        <v>44</v>
      </c>
      <c r="AA2896" t="s">
        <v>263</v>
      </c>
      <c r="AB2896" t="s">
        <v>9</v>
      </c>
      <c r="AC2896" s="21">
        <v>7</v>
      </c>
      <c r="AD2896" s="21" t="s">
        <v>368</v>
      </c>
      <c r="AE2896" t="str">
        <f>VLOOKUP(Table_Query_from_Actuarial___Production3[[#This Row],[Kor1]],$AI$3:$AK$105,3,FALSE)</f>
        <v>Charge-offs</v>
      </c>
      <c r="AF2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7" spans="18:32" x14ac:dyDescent="0.2">
      <c r="R2897" t="s">
        <v>75</v>
      </c>
      <c r="S2897" t="s">
        <v>4</v>
      </c>
      <c r="T2897" t="s">
        <v>442</v>
      </c>
      <c r="U2897" s="21">
        <v>126374</v>
      </c>
      <c r="V2897" s="21" t="s">
        <v>368</v>
      </c>
      <c r="W2897" t="str">
        <f>VLOOKUP(Table_Query_from_Actuarial___Production[[#This Row],[Kor1]],$AI$3:$AK$105,3,FALSE)</f>
        <v>EBUB</v>
      </c>
      <c r="X2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7"/>
      <c r="Z2897" t="s">
        <v>47</v>
      </c>
      <c r="AA2897" t="s">
        <v>242</v>
      </c>
      <c r="AB2897" t="s">
        <v>351</v>
      </c>
      <c r="AC2897" s="21">
        <v>2146.91</v>
      </c>
      <c r="AD2897" s="21" t="s">
        <v>368</v>
      </c>
      <c r="AE2897" t="str">
        <f>VLOOKUP(Table_Query_from_Actuarial___Production3[[#This Row],[Kor1]],$AI$3:$AK$105,3,FALSE)</f>
        <v>Investment Income</v>
      </c>
      <c r="AF2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8" spans="18:32" x14ac:dyDescent="0.2">
      <c r="R2898" t="s">
        <v>10</v>
      </c>
      <c r="S2898" t="s">
        <v>239</v>
      </c>
      <c r="T2898" t="s">
        <v>6</v>
      </c>
      <c r="U2898" s="21">
        <v>7970.42</v>
      </c>
      <c r="V2898" s="21" t="s">
        <v>368</v>
      </c>
      <c r="W2898" t="str">
        <f>VLOOKUP(Table_Query_from_Actuarial___Production[[#This Row],[Kor1]],$AI$3:$AK$105,3,FALSE)</f>
        <v>Commissions</v>
      </c>
      <c r="X2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8"/>
      <c r="Z2898" t="s">
        <v>3</v>
      </c>
      <c r="AA2898" t="s">
        <v>259</v>
      </c>
      <c r="AB2898" t="s">
        <v>9</v>
      </c>
      <c r="AC2898" s="21">
        <v>353640</v>
      </c>
      <c r="AD2898" s="21" t="s">
        <v>368</v>
      </c>
      <c r="AE2898" t="str">
        <f>VLOOKUP(Table_Query_from_Actuarial___Production3[[#This Row],[Kor1]],$AI$3:$AK$105,3,FALSE)</f>
        <v>Premiums Written</v>
      </c>
      <c r="AF2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899" spans="18:32" x14ac:dyDescent="0.2">
      <c r="R2899" t="s">
        <v>14</v>
      </c>
      <c r="S2899" t="s">
        <v>232</v>
      </c>
      <c r="T2899" t="s">
        <v>442</v>
      </c>
      <c r="U2899" s="21">
        <v>70182</v>
      </c>
      <c r="V2899" s="21" t="s">
        <v>368</v>
      </c>
      <c r="W2899" t="str">
        <f>VLOOKUP(Table_Query_from_Actuarial___Production[[#This Row],[Kor1]],$AI$3:$AK$105,3,FALSE)</f>
        <v>Claims Expense</v>
      </c>
      <c r="X2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899"/>
      <c r="Z2899" t="s">
        <v>17</v>
      </c>
      <c r="AA2899" t="s">
        <v>246</v>
      </c>
      <c r="AB2899" t="s">
        <v>441</v>
      </c>
      <c r="AC2899" s="21">
        <v>512244.95</v>
      </c>
      <c r="AD2899" s="21" t="s">
        <v>368</v>
      </c>
      <c r="AE2899" t="str">
        <f>VLOOKUP(Table_Query_from_Actuarial___Production3[[#This Row],[Kor1]],$AI$3:$AK$105,3,FALSE)</f>
        <v>IBNR</v>
      </c>
      <c r="AF2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0" spans="18:32" x14ac:dyDescent="0.2">
      <c r="R2900" t="s">
        <v>49</v>
      </c>
      <c r="S2900" t="s">
        <v>241</v>
      </c>
      <c r="T2900" t="s">
        <v>427</v>
      </c>
      <c r="U2900" s="21">
        <v>1709.5</v>
      </c>
      <c r="V2900" s="21" t="s">
        <v>368</v>
      </c>
      <c r="W2900" t="str">
        <f>VLOOKUP(Table_Query_from_Actuarial___Production[[#This Row],[Kor1]],$AI$3:$AK$105,3,FALSE)</f>
        <v>ALAE Paid</v>
      </c>
      <c r="X2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0"/>
      <c r="Z2900" t="s">
        <v>47</v>
      </c>
      <c r="AA2900" t="s">
        <v>234</v>
      </c>
      <c r="AB2900" t="s">
        <v>427</v>
      </c>
      <c r="AC2900" s="21">
        <v>5436.59</v>
      </c>
      <c r="AD2900" s="21" t="s">
        <v>368</v>
      </c>
      <c r="AE2900" t="str">
        <f>VLOOKUP(Table_Query_from_Actuarial___Production3[[#This Row],[Kor1]],$AI$3:$AK$105,3,FALSE)</f>
        <v>Investment Income</v>
      </c>
      <c r="AF2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1" spans="18:32" x14ac:dyDescent="0.2">
      <c r="R2901" t="s">
        <v>11</v>
      </c>
      <c r="S2901" t="s">
        <v>354</v>
      </c>
      <c r="T2901" t="s">
        <v>7</v>
      </c>
      <c r="U2901" s="21">
        <v>710382462.99000001</v>
      </c>
      <c r="V2901" s="21" t="s">
        <v>369</v>
      </c>
      <c r="W2901" t="str">
        <f>VLOOKUP(Table_Query_from_Actuarial___Production[[#This Row],[Kor1]],$AI$3:$AK$105,3,FALSE)</f>
        <v>Losses Paid</v>
      </c>
      <c r="X2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901"/>
      <c r="Z2901" t="s">
        <v>12</v>
      </c>
      <c r="AA2901" t="s">
        <v>258</v>
      </c>
      <c r="AB2901" t="s">
        <v>433</v>
      </c>
      <c r="AC2901" s="21">
        <v>61802.48</v>
      </c>
      <c r="AD2901" s="21" t="s">
        <v>368</v>
      </c>
      <c r="AE2901" t="str">
        <f>VLOOKUP(Table_Query_from_Actuarial___Production3[[#This Row],[Kor1]],$AI$3:$AK$105,3,FALSE)</f>
        <v>Premium Tax</v>
      </c>
      <c r="AF2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2" spans="18:32" x14ac:dyDescent="0.2">
      <c r="R2902" t="s">
        <v>17</v>
      </c>
      <c r="S2902" t="s">
        <v>266</v>
      </c>
      <c r="T2902" t="s">
        <v>441</v>
      </c>
      <c r="U2902" s="21">
        <v>136699.29</v>
      </c>
      <c r="V2902" s="21" t="s">
        <v>368</v>
      </c>
      <c r="W2902" t="str">
        <f>VLOOKUP(Table_Query_from_Actuarial___Production[[#This Row],[Kor1]],$AI$3:$AK$105,3,FALSE)</f>
        <v>IBNR</v>
      </c>
      <c r="X2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2"/>
      <c r="Z2902" t="s">
        <v>19</v>
      </c>
      <c r="AA2902" t="s">
        <v>227</v>
      </c>
      <c r="AB2902" t="s">
        <v>441</v>
      </c>
      <c r="AC2902" s="21">
        <v>2</v>
      </c>
      <c r="AD2902" s="21" t="s">
        <v>368</v>
      </c>
      <c r="AE2902" t="str">
        <f>VLOOKUP(Table_Query_from_Actuarial___Production3[[#This Row],[Kor1]],$AI$3:$AK$105,3,FALSE)</f>
        <v>Misc. Expense for Insolvent Companies</v>
      </c>
      <c r="AF2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3" spans="18:32" x14ac:dyDescent="0.2">
      <c r="R2903" t="s">
        <v>18</v>
      </c>
      <c r="S2903" t="s">
        <v>226</v>
      </c>
      <c r="T2903" t="s">
        <v>443</v>
      </c>
      <c r="U2903" s="21">
        <v>116360.81</v>
      </c>
      <c r="V2903" s="21" t="s">
        <v>368</v>
      </c>
      <c r="W2903" t="str">
        <f>VLOOKUP(Table_Query_from_Actuarial___Production[[#This Row],[Kor1]],$AI$3:$AK$105,3,FALSE)</f>
        <v>Misc. Expense</v>
      </c>
      <c r="X2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903"/>
      <c r="Z2903" t="s">
        <v>3</v>
      </c>
      <c r="AA2903" t="s">
        <v>244</v>
      </c>
      <c r="AB2903" t="s">
        <v>9</v>
      </c>
      <c r="AC2903" s="21">
        <v>1197786</v>
      </c>
      <c r="AD2903" s="21" t="s">
        <v>368</v>
      </c>
      <c r="AE2903" t="str">
        <f>VLOOKUP(Table_Query_from_Actuarial___Production3[[#This Row],[Kor1]],$AI$3:$AK$105,3,FALSE)</f>
        <v>Premiums Written</v>
      </c>
      <c r="AF2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4" spans="18:32" x14ac:dyDescent="0.2">
      <c r="R2904" t="s">
        <v>13</v>
      </c>
      <c r="S2904" t="s">
        <v>254</v>
      </c>
      <c r="T2904" t="s">
        <v>445</v>
      </c>
      <c r="U2904" s="21">
        <v>2741839.92</v>
      </c>
      <c r="V2904" s="21" t="s">
        <v>368</v>
      </c>
      <c r="W2904" t="str">
        <f>VLOOKUP(Table_Query_from_Actuarial___Production[[#This Row],[Kor1]],$AI$3:$AK$105,3,FALSE)</f>
        <v>Operating Service Fees</v>
      </c>
      <c r="X2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4"/>
      <c r="Z2904" t="s">
        <v>19</v>
      </c>
      <c r="AA2904" t="s">
        <v>259</v>
      </c>
      <c r="AB2904" t="s">
        <v>427</v>
      </c>
      <c r="AC2904" s="21">
        <v>1740</v>
      </c>
      <c r="AD2904" s="21" t="s">
        <v>368</v>
      </c>
      <c r="AE2904" t="str">
        <f>VLOOKUP(Table_Query_from_Actuarial___Production3[[#This Row],[Kor1]],$AI$3:$AK$105,3,FALSE)</f>
        <v>Misc. Expense for Insolvent Companies</v>
      </c>
      <c r="AF2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5" spans="18:32" x14ac:dyDescent="0.2">
      <c r="R2905" t="s">
        <v>14</v>
      </c>
      <c r="S2905" t="s">
        <v>235</v>
      </c>
      <c r="T2905" t="s">
        <v>356</v>
      </c>
      <c r="U2905" s="21">
        <v>56053.83</v>
      </c>
      <c r="V2905" s="21" t="s">
        <v>368</v>
      </c>
      <c r="W2905" t="str">
        <f>VLOOKUP(Table_Query_from_Actuarial___Production[[#This Row],[Kor1]],$AI$3:$AK$105,3,FALSE)</f>
        <v>Claims Expense</v>
      </c>
      <c r="X2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5"/>
      <c r="Z2905" t="s">
        <v>14</v>
      </c>
      <c r="AA2905" t="s">
        <v>224</v>
      </c>
      <c r="AB2905" t="s">
        <v>6</v>
      </c>
      <c r="AC2905" s="21">
        <v>309427.02</v>
      </c>
      <c r="AD2905" s="21" t="s">
        <v>370</v>
      </c>
      <c r="AE2905" t="str">
        <f>VLOOKUP(Table_Query_from_Actuarial___Production3[[#This Row],[Kor1]],$AI$3:$AK$105,3,FALSE)</f>
        <v>Claims Expense</v>
      </c>
      <c r="AF2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906" spans="18:32" x14ac:dyDescent="0.2">
      <c r="R2906" t="s">
        <v>31</v>
      </c>
      <c r="S2906" t="s">
        <v>230</v>
      </c>
      <c r="T2906" t="s">
        <v>351</v>
      </c>
      <c r="U2906" s="21">
        <v>-3702.77</v>
      </c>
      <c r="V2906" s="21" t="s">
        <v>368</v>
      </c>
      <c r="W2906" t="str">
        <f>VLOOKUP(Table_Query_from_Actuarial___Production[[#This Row],[Kor1]],$AI$3:$AK$105,3,FALSE)</f>
        <v>Misc. Expense</v>
      </c>
      <c r="X2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6"/>
      <c r="Z2906" t="s">
        <v>37</v>
      </c>
      <c r="AA2906" t="s">
        <v>267</v>
      </c>
      <c r="AB2906" t="s">
        <v>433</v>
      </c>
      <c r="AC2906" s="21">
        <v>624.92999999999995</v>
      </c>
      <c r="AD2906" s="21" t="s">
        <v>368</v>
      </c>
      <c r="AE2906" t="str">
        <f>VLOOKUP(Table_Query_from_Actuarial___Production3[[#This Row],[Kor1]],$AI$3:$AK$105,3,FALSE)</f>
        <v>Misc. Expense</v>
      </c>
      <c r="AF2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7" spans="18:32" x14ac:dyDescent="0.2">
      <c r="R2907" t="s">
        <v>48</v>
      </c>
      <c r="S2907" t="s">
        <v>260</v>
      </c>
      <c r="T2907" t="s">
        <v>441</v>
      </c>
      <c r="U2907" s="21">
        <v>11.9</v>
      </c>
      <c r="V2907" s="21" t="s">
        <v>368</v>
      </c>
      <c r="W2907" t="str">
        <f>VLOOKUP(Table_Query_from_Actuarial___Production[[#This Row],[Kor1]],$AI$3:$AK$105,3,FALSE)</f>
        <v>Anticipated Salvage</v>
      </c>
      <c r="X2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7"/>
      <c r="Z2907" t="s">
        <v>16</v>
      </c>
      <c r="AA2907" t="s">
        <v>354</v>
      </c>
      <c r="AB2907" t="s">
        <v>433</v>
      </c>
      <c r="AC2907" s="21">
        <v>16451545.310000001</v>
      </c>
      <c r="AD2907" s="21" t="s">
        <v>368</v>
      </c>
      <c r="AE2907" t="str">
        <f>VLOOKUP(Table_Query_from_Actuarial___Production3[[#This Row],[Kor1]],$AI$3:$AK$105,3,FALSE)</f>
        <v>Losses Outstanding</v>
      </c>
      <c r="AF2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908" spans="18:32" x14ac:dyDescent="0.2">
      <c r="R2908" t="s">
        <v>10</v>
      </c>
      <c r="S2908" t="s">
        <v>226</v>
      </c>
      <c r="T2908" t="s">
        <v>356</v>
      </c>
      <c r="U2908" s="21">
        <v>339607.7</v>
      </c>
      <c r="V2908" s="21" t="s">
        <v>368</v>
      </c>
      <c r="W2908" t="str">
        <f>VLOOKUP(Table_Query_from_Actuarial___Production[[#This Row],[Kor1]],$AI$3:$AK$105,3,FALSE)</f>
        <v>Commissions</v>
      </c>
      <c r="X2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908"/>
      <c r="Z2908" t="s">
        <v>3</v>
      </c>
      <c r="AA2908" t="s">
        <v>250</v>
      </c>
      <c r="AB2908" t="s">
        <v>441</v>
      </c>
      <c r="AC2908" s="21">
        <v>1274170</v>
      </c>
      <c r="AD2908" s="21" t="s">
        <v>368</v>
      </c>
      <c r="AE2908" t="str">
        <f>VLOOKUP(Table_Query_from_Actuarial___Production3[[#This Row],[Kor1]],$AI$3:$AK$105,3,FALSE)</f>
        <v>Premiums Written</v>
      </c>
      <c r="AF2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09" spans="18:32" x14ac:dyDescent="0.2">
      <c r="R2909" t="s">
        <v>39</v>
      </c>
      <c r="S2909" t="s">
        <v>251</v>
      </c>
      <c r="T2909" t="s">
        <v>427</v>
      </c>
      <c r="U2909" s="21">
        <v>344.57</v>
      </c>
      <c r="V2909" s="21" t="s">
        <v>368</v>
      </c>
      <c r="W2909" t="str">
        <f>VLOOKUP(Table_Query_from_Actuarial___Production[[#This Row],[Kor1]],$AI$3:$AK$105,3,FALSE)</f>
        <v>Misc. Income for Insolvent Companies</v>
      </c>
      <c r="X2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09"/>
      <c r="Z2909" t="s">
        <v>32</v>
      </c>
      <c r="AA2909" t="s">
        <v>242</v>
      </c>
      <c r="AB2909" t="s">
        <v>8</v>
      </c>
      <c r="AC2909" s="21">
        <v>8485.7999999999993</v>
      </c>
      <c r="AD2909" s="21" t="s">
        <v>368</v>
      </c>
      <c r="AE2909" t="str">
        <f>VLOOKUP(Table_Query_from_Actuarial___Production3[[#This Row],[Kor1]],$AI$3:$AK$105,3,FALSE)</f>
        <v>Misc. Expense</v>
      </c>
      <c r="AF2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0" spans="18:32" x14ac:dyDescent="0.2">
      <c r="R2910" t="s">
        <v>43</v>
      </c>
      <c r="S2910" t="s">
        <v>257</v>
      </c>
      <c r="T2910" t="s">
        <v>8</v>
      </c>
      <c r="U2910" s="21">
        <v>5762.68</v>
      </c>
      <c r="V2910" s="21" t="s">
        <v>368</v>
      </c>
      <c r="W2910" t="str">
        <f>VLOOKUP(Table_Query_from_Actuarial___Production[[#This Row],[Kor1]],$AI$3:$AK$105,3,FALSE)</f>
        <v>Charge-offs</v>
      </c>
      <c r="X2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0"/>
      <c r="Z2910" t="s">
        <v>38</v>
      </c>
      <c r="AA2910" t="s">
        <v>226</v>
      </c>
      <c r="AB2910" t="s">
        <v>6</v>
      </c>
      <c r="AC2910" s="21">
        <v>194634.71</v>
      </c>
      <c r="AD2910" s="21" t="s">
        <v>368</v>
      </c>
      <c r="AE2910" t="str">
        <f>VLOOKUP(Table_Query_from_Actuarial___Production3[[#This Row],[Kor1]],$AI$3:$AK$105,3,FALSE)</f>
        <v>Misc. Income</v>
      </c>
      <c r="AF2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911" spans="18:32" x14ac:dyDescent="0.2">
      <c r="R2911" t="s">
        <v>21</v>
      </c>
      <c r="S2911" t="s">
        <v>258</v>
      </c>
      <c r="T2911" t="s">
        <v>7</v>
      </c>
      <c r="U2911" s="21">
        <v>6008.86</v>
      </c>
      <c r="V2911" s="21" t="s">
        <v>368</v>
      </c>
      <c r="W2911" t="str">
        <f>VLOOKUP(Table_Query_from_Actuarial___Production[[#This Row],[Kor1]],$AI$3:$AK$105,3,FALSE)</f>
        <v>Misc. Expense</v>
      </c>
      <c r="X2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1"/>
      <c r="Z2911" t="s">
        <v>38</v>
      </c>
      <c r="AA2911" t="s">
        <v>224</v>
      </c>
      <c r="AB2911" t="s">
        <v>5</v>
      </c>
      <c r="AC2911" s="21">
        <v>12684.35</v>
      </c>
      <c r="AD2911" s="21" t="s">
        <v>369</v>
      </c>
      <c r="AE2911" t="str">
        <f>VLOOKUP(Table_Query_from_Actuarial___Production3[[#This Row],[Kor1]],$AI$3:$AK$105,3,FALSE)</f>
        <v>Misc. Income</v>
      </c>
      <c r="AF2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912" spans="18:32" x14ac:dyDescent="0.2">
      <c r="R2912" t="s">
        <v>10</v>
      </c>
      <c r="S2912" t="s">
        <v>231</v>
      </c>
      <c r="T2912" t="s">
        <v>442</v>
      </c>
      <c r="U2912" s="21">
        <v>120445.33</v>
      </c>
      <c r="V2912" s="21" t="s">
        <v>368</v>
      </c>
      <c r="W2912" t="str">
        <f>VLOOKUP(Table_Query_from_Actuarial___Production[[#This Row],[Kor1]],$AI$3:$AK$105,3,FALSE)</f>
        <v>Commissions</v>
      </c>
      <c r="X2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2"/>
      <c r="Z2912" t="s">
        <v>31</v>
      </c>
      <c r="AA2912" t="s">
        <v>260</v>
      </c>
      <c r="AB2912" t="s">
        <v>427</v>
      </c>
      <c r="AC2912" s="21">
        <v>795.88</v>
      </c>
      <c r="AD2912" s="21" t="s">
        <v>368</v>
      </c>
      <c r="AE2912" t="str">
        <f>VLOOKUP(Table_Query_from_Actuarial___Production3[[#This Row],[Kor1]],$AI$3:$AK$105,3,FALSE)</f>
        <v>Misc. Expense</v>
      </c>
      <c r="AF2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3" spans="18:32" x14ac:dyDescent="0.2">
      <c r="R2913" t="s">
        <v>48</v>
      </c>
      <c r="S2913" t="s">
        <v>255</v>
      </c>
      <c r="T2913" t="s">
        <v>441</v>
      </c>
      <c r="U2913" s="21">
        <v>316.5</v>
      </c>
      <c r="V2913" s="21" t="s">
        <v>368</v>
      </c>
      <c r="W2913" t="str">
        <f>VLOOKUP(Table_Query_from_Actuarial___Production[[#This Row],[Kor1]],$AI$3:$AK$105,3,FALSE)</f>
        <v>Anticipated Salvage</v>
      </c>
      <c r="X2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3"/>
      <c r="Z2913" t="s">
        <v>18</v>
      </c>
      <c r="AA2913" t="s">
        <v>224</v>
      </c>
      <c r="AB2913" t="s">
        <v>6</v>
      </c>
      <c r="AC2913" s="21">
        <v>154344.65</v>
      </c>
      <c r="AD2913" s="21" t="s">
        <v>370</v>
      </c>
      <c r="AE2913" t="str">
        <f>VLOOKUP(Table_Query_from_Actuarial___Production3[[#This Row],[Kor1]],$AI$3:$AK$105,3,FALSE)</f>
        <v>Misc. Expense</v>
      </c>
      <c r="AF2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2914" spans="18:32" x14ac:dyDescent="0.2">
      <c r="R2914" t="s">
        <v>10</v>
      </c>
      <c r="S2914" t="s">
        <v>242</v>
      </c>
      <c r="T2914" t="s">
        <v>433</v>
      </c>
      <c r="U2914" s="21">
        <v>33532.870000000003</v>
      </c>
      <c r="V2914" s="21" t="s">
        <v>368</v>
      </c>
      <c r="W2914" t="str">
        <f>VLOOKUP(Table_Query_from_Actuarial___Production[[#This Row],[Kor1]],$AI$3:$AK$105,3,FALSE)</f>
        <v>Commissions</v>
      </c>
      <c r="X2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4"/>
      <c r="Z2914" t="s">
        <v>3</v>
      </c>
      <c r="AA2914" t="s">
        <v>229</v>
      </c>
      <c r="AB2914" t="s">
        <v>5</v>
      </c>
      <c r="AC2914" s="21">
        <v>35174</v>
      </c>
      <c r="AD2914" s="21" t="s">
        <v>368</v>
      </c>
      <c r="AE2914" t="str">
        <f>VLOOKUP(Table_Query_from_Actuarial___Production3[[#This Row],[Kor1]],$AI$3:$AK$105,3,FALSE)</f>
        <v>Premiums Written</v>
      </c>
      <c r="AF2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5" spans="18:32" x14ac:dyDescent="0.2">
      <c r="R2915" t="s">
        <v>16</v>
      </c>
      <c r="S2915" t="s">
        <v>257</v>
      </c>
      <c r="T2915" t="s">
        <v>445</v>
      </c>
      <c r="U2915" s="21">
        <v>39714.620000000003</v>
      </c>
      <c r="V2915" s="21" t="s">
        <v>368</v>
      </c>
      <c r="W2915" t="str">
        <f>VLOOKUP(Table_Query_from_Actuarial___Production[[#This Row],[Kor1]],$AI$3:$AK$105,3,FALSE)</f>
        <v>Losses Outstanding</v>
      </c>
      <c r="X2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5"/>
      <c r="Z2915" t="s">
        <v>34</v>
      </c>
      <c r="AA2915" t="s">
        <v>232</v>
      </c>
      <c r="AB2915" t="s">
        <v>9</v>
      </c>
      <c r="AC2915" s="21">
        <v>12.07</v>
      </c>
      <c r="AD2915" s="21" t="s">
        <v>368</v>
      </c>
      <c r="AE2915" t="str">
        <f>VLOOKUP(Table_Query_from_Actuarial___Production3[[#This Row],[Kor1]],$AI$3:$AK$105,3,FALSE)</f>
        <v>Misc. Expense</v>
      </c>
      <c r="AF2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6" spans="18:32" x14ac:dyDescent="0.2">
      <c r="R2916" t="s">
        <v>20</v>
      </c>
      <c r="S2916" t="s">
        <v>242</v>
      </c>
      <c r="T2916" t="s">
        <v>445</v>
      </c>
      <c r="U2916" s="21">
        <v>56.96</v>
      </c>
      <c r="V2916" s="21" t="s">
        <v>368</v>
      </c>
      <c r="W2916" t="str">
        <f>VLOOKUP(Table_Query_from_Actuarial___Production[[#This Row],[Kor1]],$AI$3:$AK$105,3,FALSE)</f>
        <v>Misc. Expense</v>
      </c>
      <c r="X2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6"/>
      <c r="Z2916" t="s">
        <v>47</v>
      </c>
      <c r="AA2916" t="s">
        <v>243</v>
      </c>
      <c r="AB2916" t="s">
        <v>427</v>
      </c>
      <c r="AC2916" s="21">
        <v>2125.61</v>
      </c>
      <c r="AD2916" s="21" t="s">
        <v>368</v>
      </c>
      <c r="AE2916" t="str">
        <f>VLOOKUP(Table_Query_from_Actuarial___Production3[[#This Row],[Kor1]],$AI$3:$AK$105,3,FALSE)</f>
        <v>Investment Income</v>
      </c>
      <c r="AF2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7" spans="18:32" x14ac:dyDescent="0.2">
      <c r="R2917" t="s">
        <v>43</v>
      </c>
      <c r="S2917" t="s">
        <v>4</v>
      </c>
      <c r="T2917" t="s">
        <v>7</v>
      </c>
      <c r="U2917" s="21">
        <v>1328.05</v>
      </c>
      <c r="V2917" s="21" t="s">
        <v>368</v>
      </c>
      <c r="W2917" t="str">
        <f>VLOOKUP(Table_Query_from_Actuarial___Production[[#This Row],[Kor1]],$AI$3:$AK$105,3,FALSE)</f>
        <v>Charge-offs</v>
      </c>
      <c r="X2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7"/>
      <c r="Z2917" t="s">
        <v>10</v>
      </c>
      <c r="AA2917" t="s">
        <v>254</v>
      </c>
      <c r="AB2917" t="s">
        <v>6</v>
      </c>
      <c r="AC2917" s="21">
        <v>39615.800000000003</v>
      </c>
      <c r="AD2917" s="21" t="s">
        <v>368</v>
      </c>
      <c r="AE2917" t="str">
        <f>VLOOKUP(Table_Query_from_Actuarial___Production3[[#This Row],[Kor1]],$AI$3:$AK$105,3,FALSE)</f>
        <v>Commissions</v>
      </c>
      <c r="AF2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8" spans="18:32" x14ac:dyDescent="0.2">
      <c r="R2918" t="s">
        <v>48</v>
      </c>
      <c r="S2918" t="s">
        <v>259</v>
      </c>
      <c r="T2918" t="s">
        <v>433</v>
      </c>
      <c r="U2918" s="21">
        <v>77.069999999999993</v>
      </c>
      <c r="V2918" s="21" t="s">
        <v>368</v>
      </c>
      <c r="W2918" t="str">
        <f>VLOOKUP(Table_Query_from_Actuarial___Production[[#This Row],[Kor1]],$AI$3:$AK$105,3,FALSE)</f>
        <v>Anticipated Salvage</v>
      </c>
      <c r="X2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8"/>
      <c r="Z2918" t="s">
        <v>33</v>
      </c>
      <c r="AA2918" t="s">
        <v>261</v>
      </c>
      <c r="AB2918" t="s">
        <v>8</v>
      </c>
      <c r="AC2918" s="21">
        <v>15461.34</v>
      </c>
      <c r="AD2918" s="21" t="s">
        <v>368</v>
      </c>
      <c r="AE2918" t="str">
        <f>VLOOKUP(Table_Query_from_Actuarial___Production3[[#This Row],[Kor1]],$AI$3:$AK$105,3,FALSE)</f>
        <v>Misc. Expense</v>
      </c>
      <c r="AF2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19" spans="18:32" x14ac:dyDescent="0.2">
      <c r="R2919" t="s">
        <v>14</v>
      </c>
      <c r="S2919" t="s">
        <v>240</v>
      </c>
      <c r="T2919" t="s">
        <v>433</v>
      </c>
      <c r="U2919" s="21">
        <v>516990.99</v>
      </c>
      <c r="V2919" s="21" t="s">
        <v>368</v>
      </c>
      <c r="W2919" t="str">
        <f>VLOOKUP(Table_Query_from_Actuarial___Production[[#This Row],[Kor1]],$AI$3:$AK$105,3,FALSE)</f>
        <v>Claims Expense</v>
      </c>
      <c r="X2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19"/>
      <c r="Z2919" t="s">
        <v>14</v>
      </c>
      <c r="AA2919" t="s">
        <v>244</v>
      </c>
      <c r="AB2919" t="s">
        <v>441</v>
      </c>
      <c r="AC2919" s="21">
        <v>383827.37</v>
      </c>
      <c r="AD2919" s="21" t="s">
        <v>368</v>
      </c>
      <c r="AE2919" t="str">
        <f>VLOOKUP(Table_Query_from_Actuarial___Production3[[#This Row],[Kor1]],$AI$3:$AK$105,3,FALSE)</f>
        <v>Claims Expense</v>
      </c>
      <c r="AF2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0" spans="18:32" x14ac:dyDescent="0.2">
      <c r="R2920" t="s">
        <v>11</v>
      </c>
      <c r="S2920" t="s">
        <v>231</v>
      </c>
      <c r="T2920" t="s">
        <v>8</v>
      </c>
      <c r="U2920" s="21">
        <v>171606.35</v>
      </c>
      <c r="V2920" s="21" t="s">
        <v>368</v>
      </c>
      <c r="W2920" t="str">
        <f>VLOOKUP(Table_Query_from_Actuarial___Production[[#This Row],[Kor1]],$AI$3:$AK$105,3,FALSE)</f>
        <v>Losses Paid</v>
      </c>
      <c r="X2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0"/>
      <c r="Z2920" t="s">
        <v>26</v>
      </c>
      <c r="AA2920" t="s">
        <v>259</v>
      </c>
      <c r="AB2920" t="s">
        <v>5</v>
      </c>
      <c r="AC2920" s="21">
        <v>3155.54</v>
      </c>
      <c r="AD2920" s="21" t="s">
        <v>368</v>
      </c>
      <c r="AE2920" t="str">
        <f>VLOOKUP(Table_Query_from_Actuarial___Production3[[#This Row],[Kor1]],$AI$3:$AK$105,3,FALSE)</f>
        <v>Misc. Expense</v>
      </c>
      <c r="AF2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1" spans="18:32" x14ac:dyDescent="0.2">
      <c r="R2921" t="s">
        <v>31</v>
      </c>
      <c r="S2921" t="s">
        <v>250</v>
      </c>
      <c r="T2921" t="s">
        <v>442</v>
      </c>
      <c r="U2921" s="21">
        <v>1038.49</v>
      </c>
      <c r="V2921" s="21" t="s">
        <v>368</v>
      </c>
      <c r="W2921" t="str">
        <f>VLOOKUP(Table_Query_from_Actuarial___Production[[#This Row],[Kor1]],$AI$3:$AK$105,3,FALSE)</f>
        <v>Misc. Expense</v>
      </c>
      <c r="X2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1"/>
      <c r="Z2921" t="s">
        <v>21</v>
      </c>
      <c r="AA2921" t="s">
        <v>258</v>
      </c>
      <c r="AB2921" t="s">
        <v>427</v>
      </c>
      <c r="AC2921" s="21">
        <v>11020.22</v>
      </c>
      <c r="AD2921" s="21" t="s">
        <v>368</v>
      </c>
      <c r="AE2921" t="str">
        <f>VLOOKUP(Table_Query_from_Actuarial___Production3[[#This Row],[Kor1]],$AI$3:$AK$105,3,FALSE)</f>
        <v>Misc. Expense</v>
      </c>
      <c r="AF2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2" spans="18:32" x14ac:dyDescent="0.2">
      <c r="R2922" t="s">
        <v>167</v>
      </c>
      <c r="S2922" t="s">
        <v>354</v>
      </c>
      <c r="T2922" t="s">
        <v>441</v>
      </c>
      <c r="U2922" s="21">
        <v>26593892</v>
      </c>
      <c r="V2922" s="21" t="s">
        <v>368</v>
      </c>
      <c r="W2922" t="str">
        <f>VLOOKUP(Table_Query_from_Actuarial___Production[[#This Row],[Kor1]],$AI$3:$AK$105,3,FALSE)</f>
        <v>Recoupment</v>
      </c>
      <c r="X2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922"/>
      <c r="Z2922" t="s">
        <v>13</v>
      </c>
      <c r="AA2922" t="s">
        <v>262</v>
      </c>
      <c r="AB2922" t="s">
        <v>441</v>
      </c>
      <c r="AC2922" s="21">
        <v>78208.12</v>
      </c>
      <c r="AD2922" s="21" t="s">
        <v>368</v>
      </c>
      <c r="AE2922" t="str">
        <f>VLOOKUP(Table_Query_from_Actuarial___Production3[[#This Row],[Kor1]],$AI$3:$AK$105,3,FALSE)</f>
        <v>Operating Service Fees</v>
      </c>
      <c r="AF2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3" spans="18:32" x14ac:dyDescent="0.2">
      <c r="R2923" t="s">
        <v>14</v>
      </c>
      <c r="S2923" t="s">
        <v>224</v>
      </c>
      <c r="T2923" t="s">
        <v>7</v>
      </c>
      <c r="U2923" s="21">
        <v>20485.169999999998</v>
      </c>
      <c r="V2923" s="21" t="s">
        <v>369</v>
      </c>
      <c r="W2923" t="str">
        <f>VLOOKUP(Table_Query_from_Actuarial___Production[[#This Row],[Kor1]],$AI$3:$AK$105,3,FALSE)</f>
        <v>Claims Expense</v>
      </c>
      <c r="X2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923"/>
      <c r="Z2923" t="s">
        <v>21</v>
      </c>
      <c r="AA2923" t="s">
        <v>232</v>
      </c>
      <c r="AB2923" t="s">
        <v>443</v>
      </c>
      <c r="AC2923" s="21">
        <v>1250.4000000000001</v>
      </c>
      <c r="AD2923" s="21" t="s">
        <v>368</v>
      </c>
      <c r="AE2923" t="str">
        <f>VLOOKUP(Table_Query_from_Actuarial___Production3[[#This Row],[Kor1]],$AI$3:$AK$105,3,FALSE)</f>
        <v>Misc. Expense</v>
      </c>
      <c r="AF2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4" spans="18:32" x14ac:dyDescent="0.2">
      <c r="R2924" t="s">
        <v>12</v>
      </c>
      <c r="S2924" t="s">
        <v>238</v>
      </c>
      <c r="T2924" t="s">
        <v>6</v>
      </c>
      <c r="U2924" s="21">
        <v>846.64</v>
      </c>
      <c r="V2924" s="21" t="s">
        <v>368</v>
      </c>
      <c r="W2924" t="str">
        <f>VLOOKUP(Table_Query_from_Actuarial___Production[[#This Row],[Kor1]],$AI$3:$AK$105,3,FALSE)</f>
        <v>Premium Tax</v>
      </c>
      <c r="X2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4"/>
      <c r="Z2924" t="s">
        <v>41</v>
      </c>
      <c r="AA2924" t="s">
        <v>229</v>
      </c>
      <c r="AB2924" t="s">
        <v>442</v>
      </c>
      <c r="AC2924" s="21">
        <v>1350</v>
      </c>
      <c r="AD2924" s="21" t="s">
        <v>368</v>
      </c>
      <c r="AE2924" t="str">
        <f>VLOOKUP(Table_Query_from_Actuarial___Production3[[#This Row],[Kor1]],$AI$3:$AK$105,3,FALSE)</f>
        <v>Misc. Income</v>
      </c>
      <c r="AF2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5" spans="18:32" x14ac:dyDescent="0.2">
      <c r="R2925" t="s">
        <v>39</v>
      </c>
      <c r="S2925" t="s">
        <v>242</v>
      </c>
      <c r="T2925" t="s">
        <v>427</v>
      </c>
      <c r="U2925" s="21">
        <v>55280.31</v>
      </c>
      <c r="V2925" s="21" t="s">
        <v>368</v>
      </c>
      <c r="W2925" t="str">
        <f>VLOOKUP(Table_Query_from_Actuarial___Production[[#This Row],[Kor1]],$AI$3:$AK$105,3,FALSE)</f>
        <v>Misc. Income for Insolvent Companies</v>
      </c>
      <c r="X2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5"/>
      <c r="Z2925" t="s">
        <v>41</v>
      </c>
      <c r="AA2925" t="s">
        <v>232</v>
      </c>
      <c r="AB2925" t="s">
        <v>5</v>
      </c>
      <c r="AC2925" s="21">
        <v>1543.63</v>
      </c>
      <c r="AD2925" s="21" t="s">
        <v>368</v>
      </c>
      <c r="AE2925" t="str">
        <f>VLOOKUP(Table_Query_from_Actuarial___Production3[[#This Row],[Kor1]],$AI$3:$AK$105,3,FALSE)</f>
        <v>Misc. Income</v>
      </c>
      <c r="AF2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6" spans="18:32" x14ac:dyDescent="0.2">
      <c r="R2926" t="s">
        <v>47</v>
      </c>
      <c r="S2926" t="s">
        <v>250</v>
      </c>
      <c r="T2926" t="s">
        <v>8</v>
      </c>
      <c r="U2926" s="21">
        <v>0.04</v>
      </c>
      <c r="V2926" s="21" t="s">
        <v>368</v>
      </c>
      <c r="W2926" t="str">
        <f>VLOOKUP(Table_Query_from_Actuarial___Production[[#This Row],[Kor1]],$AI$3:$AK$105,3,FALSE)</f>
        <v>Investment Income</v>
      </c>
      <c r="X2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6"/>
      <c r="Z2926" t="s">
        <v>13</v>
      </c>
      <c r="AA2926" t="s">
        <v>261</v>
      </c>
      <c r="AB2926" t="s">
        <v>356</v>
      </c>
      <c r="AC2926" s="21">
        <v>109879.51</v>
      </c>
      <c r="AD2926" s="21" t="s">
        <v>368</v>
      </c>
      <c r="AE2926" t="str">
        <f>VLOOKUP(Table_Query_from_Actuarial___Production3[[#This Row],[Kor1]],$AI$3:$AK$105,3,FALSE)</f>
        <v>Operating Service Fees</v>
      </c>
      <c r="AF2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7" spans="18:32" x14ac:dyDescent="0.2">
      <c r="R2927" t="s">
        <v>47</v>
      </c>
      <c r="S2927" t="s">
        <v>264</v>
      </c>
      <c r="T2927" t="s">
        <v>445</v>
      </c>
      <c r="U2927" s="21">
        <v>30140.79</v>
      </c>
      <c r="V2927" s="21" t="s">
        <v>368</v>
      </c>
      <c r="W2927" t="str">
        <f>VLOOKUP(Table_Query_from_Actuarial___Production[[#This Row],[Kor1]],$AI$3:$AK$105,3,FALSE)</f>
        <v>Investment Income</v>
      </c>
      <c r="X2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7"/>
      <c r="Z2927" t="s">
        <v>43</v>
      </c>
      <c r="AA2927" t="s">
        <v>233</v>
      </c>
      <c r="AB2927" t="s">
        <v>427</v>
      </c>
      <c r="AC2927" s="21">
        <v>-59.4</v>
      </c>
      <c r="AD2927" s="21" t="s">
        <v>368</v>
      </c>
      <c r="AE2927" t="str">
        <f>VLOOKUP(Table_Query_from_Actuarial___Production3[[#This Row],[Kor1]],$AI$3:$AK$105,3,FALSE)</f>
        <v>Charge-offs</v>
      </c>
      <c r="AF2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8" spans="18:32" x14ac:dyDescent="0.2">
      <c r="R2928" t="s">
        <v>10</v>
      </c>
      <c r="S2928" t="s">
        <v>240</v>
      </c>
      <c r="T2928" t="s">
        <v>7</v>
      </c>
      <c r="U2928" s="21">
        <v>79859.53</v>
      </c>
      <c r="V2928" s="21" t="s">
        <v>368</v>
      </c>
      <c r="W2928" t="str">
        <f>VLOOKUP(Table_Query_from_Actuarial___Production[[#This Row],[Kor1]],$AI$3:$AK$105,3,FALSE)</f>
        <v>Commissions</v>
      </c>
      <c r="X2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8"/>
      <c r="Z2928" t="s">
        <v>33</v>
      </c>
      <c r="AA2928" t="s">
        <v>236</v>
      </c>
      <c r="AB2928" t="s">
        <v>351</v>
      </c>
      <c r="AC2928" s="21">
        <v>15500.63</v>
      </c>
      <c r="AD2928" s="21" t="s">
        <v>368</v>
      </c>
      <c r="AE2928" t="str">
        <f>VLOOKUP(Table_Query_from_Actuarial___Production3[[#This Row],[Kor1]],$AI$3:$AK$105,3,FALSE)</f>
        <v>Misc. Expense</v>
      </c>
      <c r="AF2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29" spans="18:32" x14ac:dyDescent="0.2">
      <c r="R2929" t="s">
        <v>21</v>
      </c>
      <c r="S2929" t="s">
        <v>228</v>
      </c>
      <c r="T2929" t="s">
        <v>427</v>
      </c>
      <c r="U2929" s="21">
        <v>84</v>
      </c>
      <c r="V2929" s="21" t="s">
        <v>368</v>
      </c>
      <c r="W2929" t="str">
        <f>VLOOKUP(Table_Query_from_Actuarial___Production[[#This Row],[Kor1]],$AI$3:$AK$105,3,FALSE)</f>
        <v>Misc. Expense</v>
      </c>
      <c r="X2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29"/>
      <c r="Z2929" t="s">
        <v>43</v>
      </c>
      <c r="AA2929" t="s">
        <v>244</v>
      </c>
      <c r="AB2929" t="s">
        <v>6</v>
      </c>
      <c r="AC2929" s="21">
        <v>1494.71</v>
      </c>
      <c r="AD2929" s="21" t="s">
        <v>368</v>
      </c>
      <c r="AE2929" t="str">
        <f>VLOOKUP(Table_Query_from_Actuarial___Production3[[#This Row],[Kor1]],$AI$3:$AK$105,3,FALSE)</f>
        <v>Charge-offs</v>
      </c>
      <c r="AF2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0" spans="18:32" x14ac:dyDescent="0.2">
      <c r="R2930" t="s">
        <v>12</v>
      </c>
      <c r="S2930" t="s">
        <v>264</v>
      </c>
      <c r="T2930" t="s">
        <v>445</v>
      </c>
      <c r="U2930" s="21">
        <v>59292.68</v>
      </c>
      <c r="V2930" s="21" t="s">
        <v>368</v>
      </c>
      <c r="W2930" t="str">
        <f>VLOOKUP(Table_Query_from_Actuarial___Production[[#This Row],[Kor1]],$AI$3:$AK$105,3,FALSE)</f>
        <v>Premium Tax</v>
      </c>
      <c r="X2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0"/>
      <c r="Z2930" t="s">
        <v>19</v>
      </c>
      <c r="AA2930" t="s">
        <v>262</v>
      </c>
      <c r="AB2930" t="s">
        <v>427</v>
      </c>
      <c r="AC2930" s="21">
        <v>580</v>
      </c>
      <c r="AD2930" s="21" t="s">
        <v>368</v>
      </c>
      <c r="AE2930" t="str">
        <f>VLOOKUP(Table_Query_from_Actuarial___Production3[[#This Row],[Kor1]],$AI$3:$AK$105,3,FALSE)</f>
        <v>Misc. Expense for Insolvent Companies</v>
      </c>
      <c r="AF2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1" spans="18:32" x14ac:dyDescent="0.2">
      <c r="R2931" t="s">
        <v>38</v>
      </c>
      <c r="S2931" t="s">
        <v>225</v>
      </c>
      <c r="T2931" t="s">
        <v>427</v>
      </c>
      <c r="U2931" s="21">
        <v>1033615.78</v>
      </c>
      <c r="V2931" s="21" t="s">
        <v>369</v>
      </c>
      <c r="W2931" t="str">
        <f>VLOOKUP(Table_Query_from_Actuarial___Production[[#This Row],[Kor1]],$AI$3:$AK$105,3,FALSE)</f>
        <v>Misc. Income</v>
      </c>
      <c r="X2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931"/>
      <c r="Z2931" t="s">
        <v>10</v>
      </c>
      <c r="AA2931" t="s">
        <v>228</v>
      </c>
      <c r="AB2931" t="s">
        <v>433</v>
      </c>
      <c r="AC2931" s="21">
        <v>2886.5</v>
      </c>
      <c r="AD2931" s="21" t="s">
        <v>368</v>
      </c>
      <c r="AE2931" t="str">
        <f>VLOOKUP(Table_Query_from_Actuarial___Production3[[#This Row],[Kor1]],$AI$3:$AK$105,3,FALSE)</f>
        <v>Commissions</v>
      </c>
      <c r="AF2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2" spans="18:32" x14ac:dyDescent="0.2">
      <c r="R2932" t="s">
        <v>13</v>
      </c>
      <c r="S2932" t="s">
        <v>253</v>
      </c>
      <c r="T2932" t="s">
        <v>8</v>
      </c>
      <c r="U2932" s="21">
        <v>1150.82</v>
      </c>
      <c r="V2932" s="21" t="s">
        <v>368</v>
      </c>
      <c r="W2932" t="str">
        <f>VLOOKUP(Table_Query_from_Actuarial___Production[[#This Row],[Kor1]],$AI$3:$AK$105,3,FALSE)</f>
        <v>Operating Service Fees</v>
      </c>
      <c r="X2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2"/>
      <c r="Z2932" t="s">
        <v>16</v>
      </c>
      <c r="AA2932" t="s">
        <v>4</v>
      </c>
      <c r="AB2932" t="s">
        <v>356</v>
      </c>
      <c r="AC2932" s="21">
        <v>7370101.21</v>
      </c>
      <c r="AD2932" s="21" t="s">
        <v>368</v>
      </c>
      <c r="AE2932" t="str">
        <f>VLOOKUP(Table_Query_from_Actuarial___Production3[[#This Row],[Kor1]],$AI$3:$AK$105,3,FALSE)</f>
        <v>Losses Outstanding</v>
      </c>
      <c r="AF2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3" spans="18:32" x14ac:dyDescent="0.2">
      <c r="R2933" t="s">
        <v>43</v>
      </c>
      <c r="S2933" t="s">
        <v>233</v>
      </c>
      <c r="T2933" t="s">
        <v>443</v>
      </c>
      <c r="U2933" s="21">
        <v>-531.45000000000005</v>
      </c>
      <c r="V2933" s="21" t="s">
        <v>368</v>
      </c>
      <c r="W2933" t="str">
        <f>VLOOKUP(Table_Query_from_Actuarial___Production[[#This Row],[Kor1]],$AI$3:$AK$105,3,FALSE)</f>
        <v>Charge-offs</v>
      </c>
      <c r="X2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3"/>
      <c r="Z2933" t="s">
        <v>38</v>
      </c>
      <c r="AA2933" t="s">
        <v>354</v>
      </c>
      <c r="AB2933" t="s">
        <v>5</v>
      </c>
      <c r="AC2933" s="21">
        <v>11068.89</v>
      </c>
      <c r="AD2933" s="21" t="s">
        <v>368</v>
      </c>
      <c r="AE2933" t="str">
        <f>VLOOKUP(Table_Query_from_Actuarial___Production3[[#This Row],[Kor1]],$AI$3:$AK$105,3,FALSE)</f>
        <v>Misc. Income</v>
      </c>
      <c r="AF2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934" spans="18:32" x14ac:dyDescent="0.2">
      <c r="R2934" t="s">
        <v>43</v>
      </c>
      <c r="S2934" t="s">
        <v>246</v>
      </c>
      <c r="T2934" t="s">
        <v>442</v>
      </c>
      <c r="U2934" s="21">
        <v>1.29</v>
      </c>
      <c r="V2934" s="21" t="s">
        <v>368</v>
      </c>
      <c r="W2934" t="str">
        <f>VLOOKUP(Table_Query_from_Actuarial___Production[[#This Row],[Kor1]],$AI$3:$AK$105,3,FALSE)</f>
        <v>Charge-offs</v>
      </c>
      <c r="X2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4"/>
      <c r="Z2934" t="s">
        <v>41</v>
      </c>
      <c r="AA2934" t="s">
        <v>254</v>
      </c>
      <c r="AB2934" t="s">
        <v>5</v>
      </c>
      <c r="AC2934" s="21">
        <v>250.01</v>
      </c>
      <c r="AD2934" s="21" t="s">
        <v>368</v>
      </c>
      <c r="AE2934" t="str">
        <f>VLOOKUP(Table_Query_from_Actuarial___Production3[[#This Row],[Kor1]],$AI$3:$AK$105,3,FALSE)</f>
        <v>Misc. Income</v>
      </c>
      <c r="AF2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5" spans="18:32" x14ac:dyDescent="0.2">
      <c r="R2935" t="s">
        <v>12</v>
      </c>
      <c r="S2935" t="s">
        <v>251</v>
      </c>
      <c r="T2935" t="s">
        <v>6</v>
      </c>
      <c r="U2935" s="21">
        <v>1772.43</v>
      </c>
      <c r="V2935" s="21" t="s">
        <v>368</v>
      </c>
      <c r="W2935" t="str">
        <f>VLOOKUP(Table_Query_from_Actuarial___Production[[#This Row],[Kor1]],$AI$3:$AK$105,3,FALSE)</f>
        <v>Premium Tax</v>
      </c>
      <c r="X2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5"/>
      <c r="Z2935" t="s">
        <v>12</v>
      </c>
      <c r="AA2935" t="s">
        <v>255</v>
      </c>
      <c r="AB2935" t="s">
        <v>443</v>
      </c>
      <c r="AC2935" s="21">
        <v>3859.17</v>
      </c>
      <c r="AD2935" s="21" t="s">
        <v>368</v>
      </c>
      <c r="AE2935" t="str">
        <f>VLOOKUP(Table_Query_from_Actuarial___Production3[[#This Row],[Kor1]],$AI$3:$AK$105,3,FALSE)</f>
        <v>Premium Tax</v>
      </c>
      <c r="AF2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6" spans="18:32" x14ac:dyDescent="0.2">
      <c r="R2936" t="s">
        <v>17</v>
      </c>
      <c r="S2936" t="s">
        <v>232</v>
      </c>
      <c r="T2936" t="s">
        <v>445</v>
      </c>
      <c r="U2936" s="21">
        <v>249411.14</v>
      </c>
      <c r="V2936" s="21" t="s">
        <v>368</v>
      </c>
      <c r="W2936" t="str">
        <f>VLOOKUP(Table_Query_from_Actuarial___Production[[#This Row],[Kor1]],$AI$3:$AK$105,3,FALSE)</f>
        <v>IBNR</v>
      </c>
      <c r="X2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6"/>
      <c r="Z2936" t="s">
        <v>10</v>
      </c>
      <c r="AA2936" t="s">
        <v>224</v>
      </c>
      <c r="AB2936" t="s">
        <v>433</v>
      </c>
      <c r="AC2936" s="21">
        <v>91551.1</v>
      </c>
      <c r="AD2936" s="21" t="s">
        <v>368</v>
      </c>
      <c r="AE2936" t="str">
        <f>VLOOKUP(Table_Query_from_Actuarial___Production3[[#This Row],[Kor1]],$AI$3:$AK$105,3,FALSE)</f>
        <v>Commissions</v>
      </c>
      <c r="AF2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2937" spans="18:32" x14ac:dyDescent="0.2">
      <c r="R2937" t="s">
        <v>33</v>
      </c>
      <c r="S2937" t="s">
        <v>236</v>
      </c>
      <c r="T2937" t="s">
        <v>441</v>
      </c>
      <c r="U2937" s="21">
        <v>14263.04</v>
      </c>
      <c r="V2937" s="21" t="s">
        <v>368</v>
      </c>
      <c r="W2937" t="str">
        <f>VLOOKUP(Table_Query_from_Actuarial___Production[[#This Row],[Kor1]],$AI$3:$AK$105,3,FALSE)</f>
        <v>Misc. Expense</v>
      </c>
      <c r="X2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7"/>
      <c r="Z2937" t="s">
        <v>3</v>
      </c>
      <c r="AA2937" t="s">
        <v>251</v>
      </c>
      <c r="AB2937" t="s">
        <v>6</v>
      </c>
      <c r="AC2937" s="21">
        <v>59081</v>
      </c>
      <c r="AD2937" s="21" t="s">
        <v>368</v>
      </c>
      <c r="AE2937" t="str">
        <f>VLOOKUP(Table_Query_from_Actuarial___Production3[[#This Row],[Kor1]],$AI$3:$AK$105,3,FALSE)</f>
        <v>Premiums Written</v>
      </c>
      <c r="AF2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8" spans="18:32" x14ac:dyDescent="0.2">
      <c r="R2938" t="s">
        <v>47</v>
      </c>
      <c r="S2938" t="s">
        <v>233</v>
      </c>
      <c r="T2938" t="s">
        <v>441</v>
      </c>
      <c r="U2938" s="21">
        <v>14.14</v>
      </c>
      <c r="V2938" s="21" t="s">
        <v>368</v>
      </c>
      <c r="W2938" t="str">
        <f>VLOOKUP(Table_Query_from_Actuarial___Production[[#This Row],[Kor1]],$AI$3:$AK$105,3,FALSE)</f>
        <v>Investment Income</v>
      </c>
      <c r="X2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38"/>
      <c r="Z2938" t="s">
        <v>47</v>
      </c>
      <c r="AA2938" t="s">
        <v>247</v>
      </c>
      <c r="AB2938" t="s">
        <v>442</v>
      </c>
      <c r="AC2938" s="21">
        <v>515.83000000000004</v>
      </c>
      <c r="AD2938" s="21" t="s">
        <v>368</v>
      </c>
      <c r="AE2938" t="str">
        <f>VLOOKUP(Table_Query_from_Actuarial___Production3[[#This Row],[Kor1]],$AI$3:$AK$105,3,FALSE)</f>
        <v>Investment Income</v>
      </c>
      <c r="AF2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39" spans="18:32" x14ac:dyDescent="0.2">
      <c r="R2939" t="s">
        <v>46</v>
      </c>
      <c r="S2939" t="s">
        <v>352</v>
      </c>
      <c r="T2939" t="s">
        <v>9</v>
      </c>
      <c r="U2939" s="21">
        <v>43.43</v>
      </c>
      <c r="V2939" s="21" t="s">
        <v>368</v>
      </c>
      <c r="W2939" t="str">
        <f>VLOOKUP(Table_Query_from_Actuarial___Production[[#This Row],[Kor1]],$AI$3:$AK$105,3,FALSE)</f>
        <v>Investment Income</v>
      </c>
      <c r="X2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2939"/>
      <c r="Z2939" t="s">
        <v>50</v>
      </c>
      <c r="AA2939" t="s">
        <v>268</v>
      </c>
      <c r="AB2939" t="s">
        <v>441</v>
      </c>
      <c r="AC2939" s="21">
        <v>752.32</v>
      </c>
      <c r="AD2939" s="21" t="s">
        <v>368</v>
      </c>
      <c r="AE2939" t="str">
        <f>VLOOKUP(Table_Query_from_Actuarial___Production3[[#This Row],[Kor1]],$AI$3:$AK$105,3,FALSE)</f>
        <v>ALAE Reserve</v>
      </c>
      <c r="AF2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0" spans="18:32" x14ac:dyDescent="0.2">
      <c r="R2940" t="s">
        <v>29</v>
      </c>
      <c r="S2940" t="s">
        <v>230</v>
      </c>
      <c r="T2940" t="s">
        <v>8</v>
      </c>
      <c r="U2940" s="21">
        <v>-6050.12</v>
      </c>
      <c r="V2940" s="21" t="s">
        <v>368</v>
      </c>
      <c r="W2940" t="str">
        <f>VLOOKUP(Table_Query_from_Actuarial___Production[[#This Row],[Kor1]],$AI$3:$AK$105,3,FALSE)</f>
        <v>Misc. Expense</v>
      </c>
      <c r="X2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0"/>
      <c r="Z2940" t="s">
        <v>21</v>
      </c>
      <c r="AA2940" t="s">
        <v>257</v>
      </c>
      <c r="AB2940" t="s">
        <v>5</v>
      </c>
      <c r="AC2940" s="21">
        <v>6993.42</v>
      </c>
      <c r="AD2940" s="21" t="s">
        <v>368</v>
      </c>
      <c r="AE2940" t="str">
        <f>VLOOKUP(Table_Query_from_Actuarial___Production3[[#This Row],[Kor1]],$AI$3:$AK$105,3,FALSE)</f>
        <v>Misc. Expense</v>
      </c>
      <c r="AF2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1" spans="18:32" x14ac:dyDescent="0.2">
      <c r="R2941" t="s">
        <v>167</v>
      </c>
      <c r="S2941" t="s">
        <v>354</v>
      </c>
      <c r="T2941" t="s">
        <v>351</v>
      </c>
      <c r="U2941" s="21">
        <v>23367163</v>
      </c>
      <c r="V2941" s="21" t="s">
        <v>368</v>
      </c>
      <c r="W2941" t="str">
        <f>VLOOKUP(Table_Query_from_Actuarial___Production[[#This Row],[Kor1]],$AI$3:$AK$105,3,FALSE)</f>
        <v>Recoupment</v>
      </c>
      <c r="X2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941"/>
      <c r="Z2941" t="s">
        <v>40</v>
      </c>
      <c r="AA2941" t="s">
        <v>231</v>
      </c>
      <c r="AB2941" t="s">
        <v>6</v>
      </c>
      <c r="AC2941" s="21">
        <v>6</v>
      </c>
      <c r="AD2941" s="21" t="s">
        <v>368</v>
      </c>
      <c r="AE2941" t="str">
        <f>VLOOKUP(Table_Query_from_Actuarial___Production3[[#This Row],[Kor1]],$AI$3:$AK$105,3,FALSE)</f>
        <v>Misc. Income</v>
      </c>
      <c r="AF2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2" spans="18:32" x14ac:dyDescent="0.2">
      <c r="R2942" t="s">
        <v>3</v>
      </c>
      <c r="S2942" t="s">
        <v>231</v>
      </c>
      <c r="T2942" t="s">
        <v>433</v>
      </c>
      <c r="U2942" s="21">
        <v>1502800</v>
      </c>
      <c r="V2942" s="21" t="s">
        <v>368</v>
      </c>
      <c r="W2942" t="str">
        <f>VLOOKUP(Table_Query_from_Actuarial___Production[[#This Row],[Kor1]],$AI$3:$AK$105,3,FALSE)</f>
        <v>Premiums Written</v>
      </c>
      <c r="X2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2"/>
      <c r="Z2942" t="s">
        <v>39</v>
      </c>
      <c r="AA2942" t="s">
        <v>228</v>
      </c>
      <c r="AB2942" t="s">
        <v>442</v>
      </c>
      <c r="AC2942" s="21">
        <v>89</v>
      </c>
      <c r="AD2942" s="21" t="s">
        <v>368</v>
      </c>
      <c r="AE2942" t="str">
        <f>VLOOKUP(Table_Query_from_Actuarial___Production3[[#This Row],[Kor1]],$AI$3:$AK$105,3,FALSE)</f>
        <v>Misc. Income for Insolvent Companies</v>
      </c>
      <c r="AF2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3" spans="18:32" x14ac:dyDescent="0.2">
      <c r="R2943" t="s">
        <v>439</v>
      </c>
      <c r="S2943" t="s">
        <v>234</v>
      </c>
      <c r="T2943" t="s">
        <v>443</v>
      </c>
      <c r="U2943" s="21">
        <v>-22730.93</v>
      </c>
      <c r="V2943" s="21" t="s">
        <v>368</v>
      </c>
      <c r="W2943" t="str">
        <f>VLOOKUP(Table_Query_from_Actuarial___Production[[#This Row],[Kor1]],$AI$3:$AK$105,3,FALSE)</f>
        <v>Operating Service Fees</v>
      </c>
      <c r="X2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3"/>
      <c r="Z2943" t="s">
        <v>47</v>
      </c>
      <c r="AA2943" t="s">
        <v>268</v>
      </c>
      <c r="AB2943" t="s">
        <v>356</v>
      </c>
      <c r="AC2943" s="21">
        <v>363.9</v>
      </c>
      <c r="AD2943" s="21" t="s">
        <v>368</v>
      </c>
      <c r="AE2943" t="str">
        <f>VLOOKUP(Table_Query_from_Actuarial___Production3[[#This Row],[Kor1]],$AI$3:$AK$105,3,FALSE)</f>
        <v>Investment Income</v>
      </c>
      <c r="AF2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4" spans="18:32" x14ac:dyDescent="0.2">
      <c r="R2944" t="s">
        <v>48</v>
      </c>
      <c r="S2944" t="s">
        <v>232</v>
      </c>
      <c r="T2944" t="s">
        <v>427</v>
      </c>
      <c r="U2944" s="21">
        <v>10</v>
      </c>
      <c r="V2944" s="21" t="s">
        <v>368</v>
      </c>
      <c r="W2944" t="str">
        <f>VLOOKUP(Table_Query_from_Actuarial___Production[[#This Row],[Kor1]],$AI$3:$AK$105,3,FALSE)</f>
        <v>Anticipated Salvage</v>
      </c>
      <c r="X2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4"/>
      <c r="Z2944" t="s">
        <v>50</v>
      </c>
      <c r="AA2944" t="s">
        <v>4</v>
      </c>
      <c r="AB2944" t="s">
        <v>351</v>
      </c>
      <c r="AC2944" s="21">
        <v>43769.95</v>
      </c>
      <c r="AD2944" s="21" t="s">
        <v>368</v>
      </c>
      <c r="AE2944" t="str">
        <f>VLOOKUP(Table_Query_from_Actuarial___Production3[[#This Row],[Kor1]],$AI$3:$AK$105,3,FALSE)</f>
        <v>ALAE Reserve</v>
      </c>
      <c r="AF2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5" spans="18:32" x14ac:dyDescent="0.2">
      <c r="R2945" t="s">
        <v>10</v>
      </c>
      <c r="S2945" t="s">
        <v>247</v>
      </c>
      <c r="T2945" t="s">
        <v>356</v>
      </c>
      <c r="U2945" s="21">
        <v>1010.7</v>
      </c>
      <c r="V2945" s="21" t="s">
        <v>368</v>
      </c>
      <c r="W2945" t="str">
        <f>VLOOKUP(Table_Query_from_Actuarial___Production[[#This Row],[Kor1]],$AI$3:$AK$105,3,FALSE)</f>
        <v>Commissions</v>
      </c>
      <c r="X2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5"/>
      <c r="Z2945" t="s">
        <v>10</v>
      </c>
      <c r="AA2945" t="s">
        <v>234</v>
      </c>
      <c r="AB2945" t="s">
        <v>433</v>
      </c>
      <c r="AC2945" s="21">
        <v>74947.02</v>
      </c>
      <c r="AD2945" s="21" t="s">
        <v>368</v>
      </c>
      <c r="AE2945" t="str">
        <f>VLOOKUP(Table_Query_from_Actuarial___Production3[[#This Row],[Kor1]],$AI$3:$AK$105,3,FALSE)</f>
        <v>Commissions</v>
      </c>
      <c r="AF2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6" spans="18:32" x14ac:dyDescent="0.2">
      <c r="R2946" t="s">
        <v>13</v>
      </c>
      <c r="S2946" t="s">
        <v>255</v>
      </c>
      <c r="T2946" t="s">
        <v>7</v>
      </c>
      <c r="U2946" s="21">
        <v>29951.01</v>
      </c>
      <c r="V2946" s="21" t="s">
        <v>368</v>
      </c>
      <c r="W2946" t="str">
        <f>VLOOKUP(Table_Query_from_Actuarial___Production[[#This Row],[Kor1]],$AI$3:$AK$105,3,FALSE)</f>
        <v>Operating Service Fees</v>
      </c>
      <c r="X2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6"/>
      <c r="Z2946" t="s">
        <v>31</v>
      </c>
      <c r="AA2946" t="s">
        <v>245</v>
      </c>
      <c r="AB2946" t="s">
        <v>442</v>
      </c>
      <c r="AC2946" s="21">
        <v>987.26</v>
      </c>
      <c r="AD2946" s="21" t="s">
        <v>368</v>
      </c>
      <c r="AE2946" t="str">
        <f>VLOOKUP(Table_Query_from_Actuarial___Production3[[#This Row],[Kor1]],$AI$3:$AK$105,3,FALSE)</f>
        <v>Misc. Expense</v>
      </c>
      <c r="AF2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7" spans="18:32" x14ac:dyDescent="0.2">
      <c r="R2947" t="s">
        <v>41</v>
      </c>
      <c r="S2947" t="s">
        <v>240</v>
      </c>
      <c r="T2947" t="s">
        <v>8</v>
      </c>
      <c r="U2947" s="21">
        <v>250.02</v>
      </c>
      <c r="V2947" s="21" t="s">
        <v>368</v>
      </c>
      <c r="W2947" t="str">
        <f>VLOOKUP(Table_Query_from_Actuarial___Production[[#This Row],[Kor1]],$AI$3:$AK$105,3,FALSE)</f>
        <v>Misc. Income</v>
      </c>
      <c r="X2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7"/>
      <c r="Z2947" t="s">
        <v>10</v>
      </c>
      <c r="AA2947" t="s">
        <v>248</v>
      </c>
      <c r="AB2947" t="s">
        <v>8</v>
      </c>
      <c r="AC2947" s="21">
        <v>3165.35</v>
      </c>
      <c r="AD2947" s="21" t="s">
        <v>368</v>
      </c>
      <c r="AE2947" t="str">
        <f>VLOOKUP(Table_Query_from_Actuarial___Production3[[#This Row],[Kor1]],$AI$3:$AK$105,3,FALSE)</f>
        <v>Commissions</v>
      </c>
      <c r="AF2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8" spans="18:32" x14ac:dyDescent="0.2">
      <c r="R2948" t="s">
        <v>43</v>
      </c>
      <c r="S2948" t="s">
        <v>249</v>
      </c>
      <c r="T2948" t="s">
        <v>356</v>
      </c>
      <c r="U2948" s="21">
        <v>1894.56</v>
      </c>
      <c r="V2948" s="21" t="s">
        <v>368</v>
      </c>
      <c r="W2948" t="str">
        <f>VLOOKUP(Table_Query_from_Actuarial___Production[[#This Row],[Kor1]],$AI$3:$AK$105,3,FALSE)</f>
        <v>Charge-offs</v>
      </c>
      <c r="X2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8"/>
      <c r="Z2948" t="s">
        <v>10</v>
      </c>
      <c r="AA2948" t="s">
        <v>239</v>
      </c>
      <c r="AB2948" t="s">
        <v>6</v>
      </c>
      <c r="AC2948" s="21">
        <v>7970.42</v>
      </c>
      <c r="AD2948" s="21" t="s">
        <v>368</v>
      </c>
      <c r="AE2948" t="str">
        <f>VLOOKUP(Table_Query_from_Actuarial___Production3[[#This Row],[Kor1]],$AI$3:$AK$105,3,FALSE)</f>
        <v>Commissions</v>
      </c>
      <c r="AF2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49" spans="18:32" x14ac:dyDescent="0.2">
      <c r="R2949" t="s">
        <v>11</v>
      </c>
      <c r="S2949" t="s">
        <v>248</v>
      </c>
      <c r="T2949" t="s">
        <v>7</v>
      </c>
      <c r="U2949" s="21">
        <v>14419.7</v>
      </c>
      <c r="V2949" s="21" t="s">
        <v>368</v>
      </c>
      <c r="W2949" t="str">
        <f>VLOOKUP(Table_Query_from_Actuarial___Production[[#This Row],[Kor1]],$AI$3:$AK$105,3,FALSE)</f>
        <v>Losses Paid</v>
      </c>
      <c r="X2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49"/>
      <c r="Z2949" t="s">
        <v>14</v>
      </c>
      <c r="AA2949" t="s">
        <v>232</v>
      </c>
      <c r="AB2949" t="s">
        <v>442</v>
      </c>
      <c r="AC2949" s="21">
        <v>62041.15</v>
      </c>
      <c r="AD2949" s="21" t="s">
        <v>368</v>
      </c>
      <c r="AE2949" t="str">
        <f>VLOOKUP(Table_Query_from_Actuarial___Production3[[#This Row],[Kor1]],$AI$3:$AK$105,3,FALSE)</f>
        <v>Claims Expense</v>
      </c>
      <c r="AF2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0" spans="18:32" x14ac:dyDescent="0.2">
      <c r="R2950" t="s">
        <v>16</v>
      </c>
      <c r="S2950" t="s">
        <v>352</v>
      </c>
      <c r="T2950" t="s">
        <v>6</v>
      </c>
      <c r="U2950" s="21">
        <v>10224.98</v>
      </c>
      <c r="V2950" s="21" t="s">
        <v>369</v>
      </c>
      <c r="W2950" t="str">
        <f>VLOOKUP(Table_Query_from_Actuarial___Production[[#This Row],[Kor1]],$AI$3:$AK$105,3,FALSE)</f>
        <v>Losses Outstanding</v>
      </c>
      <c r="X2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2950"/>
      <c r="Z2950" t="s">
        <v>49</v>
      </c>
      <c r="AA2950" t="s">
        <v>241</v>
      </c>
      <c r="AB2950" t="s">
        <v>427</v>
      </c>
      <c r="AC2950" s="21">
        <v>1709.5</v>
      </c>
      <c r="AD2950" s="21" t="s">
        <v>368</v>
      </c>
      <c r="AE2950" t="str">
        <f>VLOOKUP(Table_Query_from_Actuarial___Production3[[#This Row],[Kor1]],$AI$3:$AK$105,3,FALSE)</f>
        <v>ALAE Paid</v>
      </c>
      <c r="AF2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1" spans="18:32" x14ac:dyDescent="0.2">
      <c r="R2951" t="s">
        <v>44</v>
      </c>
      <c r="S2951" t="s">
        <v>265</v>
      </c>
      <c r="T2951" t="s">
        <v>442</v>
      </c>
      <c r="U2951" s="21">
        <v>5673</v>
      </c>
      <c r="V2951" s="21" t="s">
        <v>368</v>
      </c>
      <c r="W2951" t="str">
        <f>VLOOKUP(Table_Query_from_Actuarial___Production[[#This Row],[Kor1]],$AI$3:$AK$105,3,FALSE)</f>
        <v>Charge-offs</v>
      </c>
      <c r="X2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1"/>
      <c r="Z2951" t="s">
        <v>11</v>
      </c>
      <c r="AA2951" t="s">
        <v>354</v>
      </c>
      <c r="AB2951" t="s">
        <v>7</v>
      </c>
      <c r="AC2951" s="21">
        <v>710220344.74000001</v>
      </c>
      <c r="AD2951" s="21" t="s">
        <v>369</v>
      </c>
      <c r="AE2951" t="str">
        <f>VLOOKUP(Table_Query_from_Actuarial___Production3[[#This Row],[Kor1]],$AI$3:$AK$105,3,FALSE)</f>
        <v>Losses Paid</v>
      </c>
      <c r="AF2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2952" spans="18:32" x14ac:dyDescent="0.2">
      <c r="R2952" t="s">
        <v>50</v>
      </c>
      <c r="S2952" t="s">
        <v>4</v>
      </c>
      <c r="T2952" t="s">
        <v>441</v>
      </c>
      <c r="U2952" s="21">
        <v>1159847.8600000001</v>
      </c>
      <c r="V2952" s="21" t="s">
        <v>368</v>
      </c>
      <c r="W2952" t="str">
        <f>VLOOKUP(Table_Query_from_Actuarial___Production[[#This Row],[Kor1]],$AI$3:$AK$105,3,FALSE)</f>
        <v>ALAE Reserve</v>
      </c>
      <c r="X2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2"/>
      <c r="Z2952" t="s">
        <v>17</v>
      </c>
      <c r="AA2952" t="s">
        <v>266</v>
      </c>
      <c r="AB2952" t="s">
        <v>441</v>
      </c>
      <c r="AC2952" s="21">
        <v>204081.16</v>
      </c>
      <c r="AD2952" s="21" t="s">
        <v>368</v>
      </c>
      <c r="AE2952" t="str">
        <f>VLOOKUP(Table_Query_from_Actuarial___Production3[[#This Row],[Kor1]],$AI$3:$AK$105,3,FALSE)</f>
        <v>IBNR</v>
      </c>
      <c r="AF2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3" spans="18:32" x14ac:dyDescent="0.2">
      <c r="R2953" t="s">
        <v>12</v>
      </c>
      <c r="S2953" t="s">
        <v>241</v>
      </c>
      <c r="T2953" t="s">
        <v>445</v>
      </c>
      <c r="U2953" s="21">
        <v>16818.2</v>
      </c>
      <c r="V2953" s="21" t="s">
        <v>368</v>
      </c>
      <c r="W2953" t="str">
        <f>VLOOKUP(Table_Query_from_Actuarial___Production[[#This Row],[Kor1]],$AI$3:$AK$105,3,FALSE)</f>
        <v>Premium Tax</v>
      </c>
      <c r="X2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3"/>
      <c r="Z2953" t="s">
        <v>37</v>
      </c>
      <c r="AA2953" t="s">
        <v>256</v>
      </c>
      <c r="AB2953" t="s">
        <v>5</v>
      </c>
      <c r="AC2953" s="21">
        <v>16.309999999999999</v>
      </c>
      <c r="AD2953" s="21" t="s">
        <v>368</v>
      </c>
      <c r="AE2953" t="str">
        <f>VLOOKUP(Table_Query_from_Actuarial___Production3[[#This Row],[Kor1]],$AI$3:$AK$105,3,FALSE)</f>
        <v>Misc. Expense</v>
      </c>
      <c r="AF2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4" spans="18:32" x14ac:dyDescent="0.2">
      <c r="R2954" t="s">
        <v>33</v>
      </c>
      <c r="S2954" t="s">
        <v>259</v>
      </c>
      <c r="T2954" t="s">
        <v>443</v>
      </c>
      <c r="U2954" s="21">
        <v>17494.5</v>
      </c>
      <c r="V2954" s="21" t="s">
        <v>368</v>
      </c>
      <c r="W2954" t="str">
        <f>VLOOKUP(Table_Query_from_Actuarial___Production[[#This Row],[Kor1]],$AI$3:$AK$105,3,FALSE)</f>
        <v>Misc. Expense</v>
      </c>
      <c r="X2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4"/>
      <c r="Z2954" t="s">
        <v>18</v>
      </c>
      <c r="AA2954" t="s">
        <v>226</v>
      </c>
      <c r="AB2954" t="s">
        <v>443</v>
      </c>
      <c r="AC2954" s="21">
        <v>37745.67</v>
      </c>
      <c r="AD2954" s="21" t="s">
        <v>368</v>
      </c>
      <c r="AE2954" t="str">
        <f>VLOOKUP(Table_Query_from_Actuarial___Production3[[#This Row],[Kor1]],$AI$3:$AK$105,3,FALSE)</f>
        <v>Misc. Expense</v>
      </c>
      <c r="AF2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955" spans="18:32" x14ac:dyDescent="0.2">
      <c r="R2955" t="s">
        <v>39</v>
      </c>
      <c r="S2955" t="s">
        <v>242</v>
      </c>
      <c r="T2955" t="s">
        <v>443</v>
      </c>
      <c r="U2955" s="21">
        <v>529.17999999999995</v>
      </c>
      <c r="V2955" s="21" t="s">
        <v>368</v>
      </c>
      <c r="W2955" t="str">
        <f>VLOOKUP(Table_Query_from_Actuarial___Production[[#This Row],[Kor1]],$AI$3:$AK$105,3,FALSE)</f>
        <v>Misc. Income for Insolvent Companies</v>
      </c>
      <c r="X2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5"/>
      <c r="Z2955" t="s">
        <v>14</v>
      </c>
      <c r="AA2955" t="s">
        <v>235</v>
      </c>
      <c r="AB2955" t="s">
        <v>356</v>
      </c>
      <c r="AC2955" s="21">
        <v>56053.83</v>
      </c>
      <c r="AD2955" s="21" t="s">
        <v>368</v>
      </c>
      <c r="AE2955" t="str">
        <f>VLOOKUP(Table_Query_from_Actuarial___Production3[[#This Row],[Kor1]],$AI$3:$AK$105,3,FALSE)</f>
        <v>Claims Expense</v>
      </c>
      <c r="AF2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6" spans="18:32" x14ac:dyDescent="0.2">
      <c r="R2956" t="s">
        <v>10</v>
      </c>
      <c r="S2956" t="s">
        <v>244</v>
      </c>
      <c r="T2956" t="s">
        <v>8</v>
      </c>
      <c r="U2956" s="21">
        <v>74266.259999999995</v>
      </c>
      <c r="V2956" s="21" t="s">
        <v>368</v>
      </c>
      <c r="W2956" t="str">
        <f>VLOOKUP(Table_Query_from_Actuarial___Production[[#This Row],[Kor1]],$AI$3:$AK$105,3,FALSE)</f>
        <v>Commissions</v>
      </c>
      <c r="X2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6"/>
      <c r="Z2956" t="s">
        <v>31</v>
      </c>
      <c r="AA2956" t="s">
        <v>230</v>
      </c>
      <c r="AB2956" t="s">
        <v>351</v>
      </c>
      <c r="AC2956" s="21">
        <v>-3702.77</v>
      </c>
      <c r="AD2956" s="21" t="s">
        <v>368</v>
      </c>
      <c r="AE2956" t="str">
        <f>VLOOKUP(Table_Query_from_Actuarial___Production3[[#This Row],[Kor1]],$AI$3:$AK$105,3,FALSE)</f>
        <v>Misc. Expense</v>
      </c>
      <c r="AF2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7" spans="18:32" x14ac:dyDescent="0.2">
      <c r="R2957" t="s">
        <v>37</v>
      </c>
      <c r="S2957" t="s">
        <v>259</v>
      </c>
      <c r="T2957" t="s">
        <v>427</v>
      </c>
      <c r="U2957" s="21">
        <v>496.12</v>
      </c>
      <c r="V2957" s="21" t="s">
        <v>368</v>
      </c>
      <c r="W2957" t="str">
        <f>VLOOKUP(Table_Query_from_Actuarial___Production[[#This Row],[Kor1]],$AI$3:$AK$105,3,FALSE)</f>
        <v>Misc. Expense</v>
      </c>
      <c r="X2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7"/>
      <c r="Z2957" t="s">
        <v>48</v>
      </c>
      <c r="AA2957" t="s">
        <v>260</v>
      </c>
      <c r="AB2957" t="s">
        <v>441</v>
      </c>
      <c r="AC2957" s="21">
        <v>21.37</v>
      </c>
      <c r="AD2957" s="21" t="s">
        <v>368</v>
      </c>
      <c r="AE2957" t="str">
        <f>VLOOKUP(Table_Query_from_Actuarial___Production3[[#This Row],[Kor1]],$AI$3:$AK$105,3,FALSE)</f>
        <v>Anticipated Salvage</v>
      </c>
      <c r="AF2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58" spans="18:32" x14ac:dyDescent="0.2">
      <c r="R2958" t="s">
        <v>33</v>
      </c>
      <c r="S2958" t="s">
        <v>229</v>
      </c>
      <c r="T2958" t="s">
        <v>443</v>
      </c>
      <c r="U2958" s="21">
        <v>16169.34</v>
      </c>
      <c r="V2958" s="21" t="s">
        <v>368</v>
      </c>
      <c r="W2958" t="str">
        <f>VLOOKUP(Table_Query_from_Actuarial___Production[[#This Row],[Kor1]],$AI$3:$AK$105,3,FALSE)</f>
        <v>Misc. Expense</v>
      </c>
      <c r="X2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58"/>
      <c r="Z2958" t="s">
        <v>10</v>
      </c>
      <c r="AA2958" t="s">
        <v>226</v>
      </c>
      <c r="AB2958" t="s">
        <v>356</v>
      </c>
      <c r="AC2958" s="21">
        <v>339607.7</v>
      </c>
      <c r="AD2958" s="21" t="s">
        <v>368</v>
      </c>
      <c r="AE2958" t="str">
        <f>VLOOKUP(Table_Query_from_Actuarial___Production3[[#This Row],[Kor1]],$AI$3:$AK$105,3,FALSE)</f>
        <v>Commissions</v>
      </c>
      <c r="AF2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2959" spans="18:32" x14ac:dyDescent="0.2">
      <c r="R2959" t="s">
        <v>3</v>
      </c>
      <c r="S2959" t="s">
        <v>352</v>
      </c>
      <c r="T2959" t="s">
        <v>356</v>
      </c>
      <c r="U2959" s="21">
        <v>1261</v>
      </c>
      <c r="V2959" s="21" t="s">
        <v>368</v>
      </c>
      <c r="W2959" t="str">
        <f>VLOOKUP(Table_Query_from_Actuarial___Production[[#This Row],[Kor1]],$AI$3:$AK$105,3,FALSE)</f>
        <v>Premiums Written</v>
      </c>
      <c r="X2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2959"/>
      <c r="Z2959" t="s">
        <v>39</v>
      </c>
      <c r="AA2959" t="s">
        <v>251</v>
      </c>
      <c r="AB2959" t="s">
        <v>427</v>
      </c>
      <c r="AC2959" s="21">
        <v>344.57</v>
      </c>
      <c r="AD2959" s="21" t="s">
        <v>368</v>
      </c>
      <c r="AE2959" t="str">
        <f>VLOOKUP(Table_Query_from_Actuarial___Production3[[#This Row],[Kor1]],$AI$3:$AK$105,3,FALSE)</f>
        <v>Misc. Income for Insolvent Companies</v>
      </c>
      <c r="AF2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0" spans="18:32" x14ac:dyDescent="0.2">
      <c r="R2960" t="s">
        <v>12</v>
      </c>
      <c r="S2960" t="s">
        <v>254</v>
      </c>
      <c r="T2960" t="s">
        <v>8</v>
      </c>
      <c r="U2960" s="21">
        <v>26912.71</v>
      </c>
      <c r="V2960" s="21" t="s">
        <v>368</v>
      </c>
      <c r="W2960" t="str">
        <f>VLOOKUP(Table_Query_from_Actuarial___Production[[#This Row],[Kor1]],$AI$3:$AK$105,3,FALSE)</f>
        <v>Premium Tax</v>
      </c>
      <c r="X2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0"/>
      <c r="Z2960" t="s">
        <v>43</v>
      </c>
      <c r="AA2960" t="s">
        <v>257</v>
      </c>
      <c r="AB2960" t="s">
        <v>8</v>
      </c>
      <c r="AC2960" s="21">
        <v>5762.68</v>
      </c>
      <c r="AD2960" s="21" t="s">
        <v>368</v>
      </c>
      <c r="AE2960" t="str">
        <f>VLOOKUP(Table_Query_from_Actuarial___Production3[[#This Row],[Kor1]],$AI$3:$AK$105,3,FALSE)</f>
        <v>Charge-offs</v>
      </c>
      <c r="AF2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1" spans="18:32" x14ac:dyDescent="0.2">
      <c r="R2961" t="s">
        <v>444</v>
      </c>
      <c r="S2961" t="s">
        <v>254</v>
      </c>
      <c r="T2961" t="s">
        <v>443</v>
      </c>
      <c r="U2961" s="21">
        <v>39106.6</v>
      </c>
      <c r="V2961" s="21" t="s">
        <v>368</v>
      </c>
      <c r="W2961" t="str">
        <f>VLOOKUP(Table_Query_from_Actuarial___Production[[#This Row],[Kor1]],$AI$3:$AK$105,3,FALSE)</f>
        <v>Misc. Expense</v>
      </c>
      <c r="X2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1"/>
      <c r="Z2961" t="s">
        <v>21</v>
      </c>
      <c r="AA2961" t="s">
        <v>258</v>
      </c>
      <c r="AB2961" t="s">
        <v>7</v>
      </c>
      <c r="AC2961" s="21">
        <v>6008.86</v>
      </c>
      <c r="AD2961" s="21" t="s">
        <v>368</v>
      </c>
      <c r="AE2961" t="str">
        <f>VLOOKUP(Table_Query_from_Actuarial___Production3[[#This Row],[Kor1]],$AI$3:$AK$105,3,FALSE)</f>
        <v>Misc. Expense</v>
      </c>
      <c r="AF2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2" spans="18:32" x14ac:dyDescent="0.2">
      <c r="R2962" t="s">
        <v>20</v>
      </c>
      <c r="S2962" t="s">
        <v>264</v>
      </c>
      <c r="T2962" t="s">
        <v>356</v>
      </c>
      <c r="U2962" s="21">
        <v>674.55</v>
      </c>
      <c r="V2962" s="21" t="s">
        <v>368</v>
      </c>
      <c r="W2962" t="str">
        <f>VLOOKUP(Table_Query_from_Actuarial___Production[[#This Row],[Kor1]],$AI$3:$AK$105,3,FALSE)</f>
        <v>Misc. Expense</v>
      </c>
      <c r="X2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2"/>
      <c r="Z2962" t="s">
        <v>10</v>
      </c>
      <c r="AA2962" t="s">
        <v>231</v>
      </c>
      <c r="AB2962" t="s">
        <v>442</v>
      </c>
      <c r="AC2962" s="21">
        <v>121404.03</v>
      </c>
      <c r="AD2962" s="21" t="s">
        <v>368</v>
      </c>
      <c r="AE2962" t="str">
        <f>VLOOKUP(Table_Query_from_Actuarial___Production3[[#This Row],[Kor1]],$AI$3:$AK$105,3,FALSE)</f>
        <v>Commissions</v>
      </c>
      <c r="AF2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3" spans="18:32" x14ac:dyDescent="0.2">
      <c r="R2963" t="s">
        <v>13</v>
      </c>
      <c r="S2963" t="s">
        <v>267</v>
      </c>
      <c r="T2963" t="s">
        <v>8</v>
      </c>
      <c r="U2963" s="21">
        <v>66668</v>
      </c>
      <c r="V2963" s="21" t="s">
        <v>368</v>
      </c>
      <c r="W2963" t="str">
        <f>VLOOKUP(Table_Query_from_Actuarial___Production[[#This Row],[Kor1]],$AI$3:$AK$105,3,FALSE)</f>
        <v>Operating Service Fees</v>
      </c>
      <c r="X2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3"/>
      <c r="Z2963" t="s">
        <v>48</v>
      </c>
      <c r="AA2963" t="s">
        <v>255</v>
      </c>
      <c r="AB2963" t="s">
        <v>441</v>
      </c>
      <c r="AC2963" s="21">
        <v>354.65</v>
      </c>
      <c r="AD2963" s="21" t="s">
        <v>368</v>
      </c>
      <c r="AE2963" t="str">
        <f>VLOOKUP(Table_Query_from_Actuarial___Production3[[#This Row],[Kor1]],$AI$3:$AK$105,3,FALSE)</f>
        <v>Anticipated Salvage</v>
      </c>
      <c r="AF2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4" spans="18:32" x14ac:dyDescent="0.2">
      <c r="R2964" t="s">
        <v>39</v>
      </c>
      <c r="S2964" t="s">
        <v>264</v>
      </c>
      <c r="T2964" t="s">
        <v>9</v>
      </c>
      <c r="U2964" s="21">
        <v>812.98</v>
      </c>
      <c r="V2964" s="21" t="s">
        <v>368</v>
      </c>
      <c r="W2964" t="str">
        <f>VLOOKUP(Table_Query_from_Actuarial___Production[[#This Row],[Kor1]],$AI$3:$AK$105,3,FALSE)</f>
        <v>Misc. Income for Insolvent Companies</v>
      </c>
      <c r="X2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4"/>
      <c r="Z2964" t="s">
        <v>17</v>
      </c>
      <c r="AA2964" t="s">
        <v>354</v>
      </c>
      <c r="AB2964" t="s">
        <v>351</v>
      </c>
      <c r="AC2964" s="21">
        <v>174676.61</v>
      </c>
      <c r="AD2964" s="21" t="s">
        <v>368</v>
      </c>
      <c r="AE2964" t="str">
        <f>VLOOKUP(Table_Query_from_Actuarial___Production3[[#This Row],[Kor1]],$AI$3:$AK$105,3,FALSE)</f>
        <v>IBNR</v>
      </c>
      <c r="AF2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965" spans="18:32" x14ac:dyDescent="0.2">
      <c r="R2965" t="s">
        <v>13</v>
      </c>
      <c r="S2965" t="s">
        <v>259</v>
      </c>
      <c r="T2965" t="s">
        <v>9</v>
      </c>
      <c r="U2965" s="21">
        <v>60753.760000000002</v>
      </c>
      <c r="V2965" s="21" t="s">
        <v>368</v>
      </c>
      <c r="W2965" t="str">
        <f>VLOOKUP(Table_Query_from_Actuarial___Production[[#This Row],[Kor1]],$AI$3:$AK$105,3,FALSE)</f>
        <v>Operating Service Fees</v>
      </c>
      <c r="X2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5"/>
      <c r="Z2965" t="s">
        <v>10</v>
      </c>
      <c r="AA2965" t="s">
        <v>242</v>
      </c>
      <c r="AB2965" t="s">
        <v>433</v>
      </c>
      <c r="AC2965" s="21">
        <v>33532.870000000003</v>
      </c>
      <c r="AD2965" s="21" t="s">
        <v>368</v>
      </c>
      <c r="AE2965" t="str">
        <f>VLOOKUP(Table_Query_from_Actuarial___Production3[[#This Row],[Kor1]],$AI$3:$AK$105,3,FALSE)</f>
        <v>Commissions</v>
      </c>
      <c r="AF2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6" spans="18:32" x14ac:dyDescent="0.2">
      <c r="R2966" t="s">
        <v>20</v>
      </c>
      <c r="S2966" t="s">
        <v>254</v>
      </c>
      <c r="T2966" t="s">
        <v>7</v>
      </c>
      <c r="U2966" s="21">
        <v>113.37</v>
      </c>
      <c r="V2966" s="21" t="s">
        <v>368</v>
      </c>
      <c r="W2966" t="str">
        <f>VLOOKUP(Table_Query_from_Actuarial___Production[[#This Row],[Kor1]],$AI$3:$AK$105,3,FALSE)</f>
        <v>Misc. Expense</v>
      </c>
      <c r="X2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6"/>
      <c r="Z2966" t="s">
        <v>43</v>
      </c>
      <c r="AA2966" t="s">
        <v>4</v>
      </c>
      <c r="AB2966" t="s">
        <v>7</v>
      </c>
      <c r="AC2966" s="21">
        <v>1328.05</v>
      </c>
      <c r="AD2966" s="21" t="s">
        <v>368</v>
      </c>
      <c r="AE2966" t="str">
        <f>VLOOKUP(Table_Query_from_Actuarial___Production3[[#This Row],[Kor1]],$AI$3:$AK$105,3,FALSE)</f>
        <v>Charge-offs</v>
      </c>
      <c r="AF2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7" spans="18:32" x14ac:dyDescent="0.2">
      <c r="R2967" t="s">
        <v>38</v>
      </c>
      <c r="S2967" t="s">
        <v>354</v>
      </c>
      <c r="T2967" t="s">
        <v>441</v>
      </c>
      <c r="U2967" s="21">
        <v>23892.89</v>
      </c>
      <c r="V2967" s="21" t="s">
        <v>368</v>
      </c>
      <c r="W2967" t="str">
        <f>VLOOKUP(Table_Query_from_Actuarial___Production[[#This Row],[Kor1]],$AI$3:$AK$105,3,FALSE)</f>
        <v>Misc. Income</v>
      </c>
      <c r="X2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2967"/>
      <c r="Z2967" t="s">
        <v>48</v>
      </c>
      <c r="AA2967" t="s">
        <v>259</v>
      </c>
      <c r="AB2967" t="s">
        <v>433</v>
      </c>
      <c r="AC2967" s="21">
        <v>85.82</v>
      </c>
      <c r="AD2967" s="21" t="s">
        <v>368</v>
      </c>
      <c r="AE2967" t="str">
        <f>VLOOKUP(Table_Query_from_Actuarial___Production3[[#This Row],[Kor1]],$AI$3:$AK$105,3,FALSE)</f>
        <v>Anticipated Salvage</v>
      </c>
      <c r="AF2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8" spans="18:32" x14ac:dyDescent="0.2">
      <c r="R2968" t="s">
        <v>11</v>
      </c>
      <c r="S2968" t="s">
        <v>233</v>
      </c>
      <c r="T2968" t="s">
        <v>6</v>
      </c>
      <c r="U2968" s="21">
        <v>91250.559999999998</v>
      </c>
      <c r="V2968" s="21" t="s">
        <v>368</v>
      </c>
      <c r="W2968" t="str">
        <f>VLOOKUP(Table_Query_from_Actuarial___Production[[#This Row],[Kor1]],$AI$3:$AK$105,3,FALSE)</f>
        <v>Losses Paid</v>
      </c>
      <c r="X2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8"/>
      <c r="Z2968" t="s">
        <v>14</v>
      </c>
      <c r="AA2968" t="s">
        <v>240</v>
      </c>
      <c r="AB2968" t="s">
        <v>433</v>
      </c>
      <c r="AC2968" s="21">
        <v>516990.99</v>
      </c>
      <c r="AD2968" s="21" t="s">
        <v>368</v>
      </c>
      <c r="AE2968" t="str">
        <f>VLOOKUP(Table_Query_from_Actuarial___Production3[[#This Row],[Kor1]],$AI$3:$AK$105,3,FALSE)</f>
        <v>Claims Expense</v>
      </c>
      <c r="AF2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69" spans="18:32" x14ac:dyDescent="0.2">
      <c r="R2969" t="s">
        <v>19</v>
      </c>
      <c r="S2969" t="s">
        <v>233</v>
      </c>
      <c r="T2969" t="s">
        <v>7</v>
      </c>
      <c r="U2969" s="21">
        <v>30</v>
      </c>
      <c r="V2969" s="21" t="s">
        <v>368</v>
      </c>
      <c r="W2969" t="str">
        <f>VLOOKUP(Table_Query_from_Actuarial___Production[[#This Row],[Kor1]],$AI$3:$AK$105,3,FALSE)</f>
        <v>Misc. Expense for Insolvent Companies</v>
      </c>
      <c r="X2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69"/>
      <c r="Z2969" t="s">
        <v>11</v>
      </c>
      <c r="AA2969" t="s">
        <v>231</v>
      </c>
      <c r="AB2969" t="s">
        <v>8</v>
      </c>
      <c r="AC2969" s="21">
        <v>171606.35</v>
      </c>
      <c r="AD2969" s="21" t="s">
        <v>368</v>
      </c>
      <c r="AE2969" t="str">
        <f>VLOOKUP(Table_Query_from_Actuarial___Production3[[#This Row],[Kor1]],$AI$3:$AK$105,3,FALSE)</f>
        <v>Losses Paid</v>
      </c>
      <c r="AF2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0" spans="18:32" x14ac:dyDescent="0.2">
      <c r="R2970" t="s">
        <v>25</v>
      </c>
      <c r="S2970" t="s">
        <v>259</v>
      </c>
      <c r="T2970" t="s">
        <v>427</v>
      </c>
      <c r="U2970" s="21">
        <v>1204.56</v>
      </c>
      <c r="V2970" s="21" t="s">
        <v>368</v>
      </c>
      <c r="W2970" t="str">
        <f>VLOOKUP(Table_Query_from_Actuarial___Production[[#This Row],[Kor1]],$AI$3:$AK$105,3,FALSE)</f>
        <v>Misc. Expense</v>
      </c>
      <c r="X2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0"/>
      <c r="Z2970" t="s">
        <v>31</v>
      </c>
      <c r="AA2970" t="s">
        <v>250</v>
      </c>
      <c r="AB2970" t="s">
        <v>442</v>
      </c>
      <c r="AC2970" s="21">
        <v>1038.49</v>
      </c>
      <c r="AD2970" s="21" t="s">
        <v>368</v>
      </c>
      <c r="AE2970" t="str">
        <f>VLOOKUP(Table_Query_from_Actuarial___Production3[[#This Row],[Kor1]],$AI$3:$AK$105,3,FALSE)</f>
        <v>Misc. Expense</v>
      </c>
      <c r="AF2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1" spans="18:32" x14ac:dyDescent="0.2">
      <c r="R2971" t="s">
        <v>50</v>
      </c>
      <c r="S2971" t="s">
        <v>264</v>
      </c>
      <c r="T2971" t="s">
        <v>441</v>
      </c>
      <c r="U2971" s="21">
        <v>72952.5</v>
      </c>
      <c r="V2971" s="21" t="s">
        <v>368</v>
      </c>
      <c r="W2971" t="str">
        <f>VLOOKUP(Table_Query_from_Actuarial___Production[[#This Row],[Kor1]],$AI$3:$AK$105,3,FALSE)</f>
        <v>ALAE Reserve</v>
      </c>
      <c r="X2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1"/>
      <c r="Z2971" t="s">
        <v>167</v>
      </c>
      <c r="AA2971" t="s">
        <v>354</v>
      </c>
      <c r="AB2971" t="s">
        <v>441</v>
      </c>
      <c r="AC2971" s="21">
        <v>23311472</v>
      </c>
      <c r="AD2971" s="21" t="s">
        <v>368</v>
      </c>
      <c r="AE2971" t="str">
        <f>VLOOKUP(Table_Query_from_Actuarial___Production3[[#This Row],[Kor1]],$AI$3:$AK$105,3,FALSE)</f>
        <v>Recoupment</v>
      </c>
      <c r="AF2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972" spans="18:32" x14ac:dyDescent="0.2">
      <c r="R2972" t="s">
        <v>11</v>
      </c>
      <c r="S2972" t="s">
        <v>236</v>
      </c>
      <c r="T2972" t="s">
        <v>427</v>
      </c>
      <c r="U2972" s="21">
        <v>38784.61</v>
      </c>
      <c r="V2972" s="21" t="s">
        <v>368</v>
      </c>
      <c r="W2972" t="str">
        <f>VLOOKUP(Table_Query_from_Actuarial___Production[[#This Row],[Kor1]],$AI$3:$AK$105,3,FALSE)</f>
        <v>Losses Paid</v>
      </c>
      <c r="X2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2"/>
      <c r="Z2972" t="s">
        <v>40</v>
      </c>
      <c r="AA2972" t="s">
        <v>253</v>
      </c>
      <c r="AB2972" t="s">
        <v>5</v>
      </c>
      <c r="AC2972" s="21">
        <v>52</v>
      </c>
      <c r="AD2972" s="21" t="s">
        <v>368</v>
      </c>
      <c r="AE2972" t="str">
        <f>VLOOKUP(Table_Query_from_Actuarial___Production3[[#This Row],[Kor1]],$AI$3:$AK$105,3,FALSE)</f>
        <v>Misc. Income</v>
      </c>
      <c r="AF2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3" spans="18:32" x14ac:dyDescent="0.2">
      <c r="R2973" t="s">
        <v>41</v>
      </c>
      <c r="S2973" t="s">
        <v>268</v>
      </c>
      <c r="T2973" t="s">
        <v>6</v>
      </c>
      <c r="U2973" s="21">
        <v>100</v>
      </c>
      <c r="V2973" s="21" t="s">
        <v>368</v>
      </c>
      <c r="W2973" t="str">
        <f>VLOOKUP(Table_Query_from_Actuarial___Production[[#This Row],[Kor1]],$AI$3:$AK$105,3,FALSE)</f>
        <v>Misc. Income</v>
      </c>
      <c r="X2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3"/>
      <c r="Z2973" t="s">
        <v>14</v>
      </c>
      <c r="AA2973" t="s">
        <v>224</v>
      </c>
      <c r="AB2973" t="s">
        <v>7</v>
      </c>
      <c r="AC2973" s="21">
        <v>20485.169999999998</v>
      </c>
      <c r="AD2973" s="21" t="s">
        <v>369</v>
      </c>
      <c r="AE2973" t="str">
        <f>VLOOKUP(Table_Query_from_Actuarial___Production3[[#This Row],[Kor1]],$AI$3:$AK$105,3,FALSE)</f>
        <v>Claims Expense</v>
      </c>
      <c r="AF2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2974" spans="18:32" x14ac:dyDescent="0.2">
      <c r="R2974" t="s">
        <v>3</v>
      </c>
      <c r="S2974" t="s">
        <v>240</v>
      </c>
      <c r="T2974" t="s">
        <v>7</v>
      </c>
      <c r="U2974" s="21">
        <v>1227688</v>
      </c>
      <c r="V2974" s="21" t="s">
        <v>368</v>
      </c>
      <c r="W2974" t="str">
        <f>VLOOKUP(Table_Query_from_Actuarial___Production[[#This Row],[Kor1]],$AI$3:$AK$105,3,FALSE)</f>
        <v>Premiums Written</v>
      </c>
      <c r="X2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4"/>
      <c r="Z2974" t="s">
        <v>12</v>
      </c>
      <c r="AA2974" t="s">
        <v>238</v>
      </c>
      <c r="AB2974" t="s">
        <v>6</v>
      </c>
      <c r="AC2974" s="21">
        <v>846.64</v>
      </c>
      <c r="AD2974" s="21" t="s">
        <v>368</v>
      </c>
      <c r="AE2974" t="str">
        <f>VLOOKUP(Table_Query_from_Actuarial___Production3[[#This Row],[Kor1]],$AI$3:$AK$105,3,FALSE)</f>
        <v>Premium Tax</v>
      </c>
      <c r="AF2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5" spans="18:32" x14ac:dyDescent="0.2">
      <c r="R2975" t="s">
        <v>12</v>
      </c>
      <c r="S2975" t="s">
        <v>252</v>
      </c>
      <c r="T2975" t="s">
        <v>441</v>
      </c>
      <c r="U2975" s="21">
        <v>809167.77</v>
      </c>
      <c r="V2975" s="21" t="s">
        <v>368</v>
      </c>
      <c r="W2975" t="str">
        <f>VLOOKUP(Table_Query_from_Actuarial___Production[[#This Row],[Kor1]],$AI$3:$AK$105,3,FALSE)</f>
        <v>Premium Tax</v>
      </c>
      <c r="X2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5"/>
      <c r="Z2975" t="s">
        <v>39</v>
      </c>
      <c r="AA2975" t="s">
        <v>242</v>
      </c>
      <c r="AB2975" t="s">
        <v>427</v>
      </c>
      <c r="AC2975" s="21">
        <v>55280.31</v>
      </c>
      <c r="AD2975" s="21" t="s">
        <v>368</v>
      </c>
      <c r="AE2975" t="str">
        <f>VLOOKUP(Table_Query_from_Actuarial___Production3[[#This Row],[Kor1]],$AI$3:$AK$105,3,FALSE)</f>
        <v>Misc. Income for Insolvent Companies</v>
      </c>
      <c r="AF2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6" spans="18:32" x14ac:dyDescent="0.2">
      <c r="R2976" t="s">
        <v>3</v>
      </c>
      <c r="S2976" t="s">
        <v>256</v>
      </c>
      <c r="T2976" t="s">
        <v>442</v>
      </c>
      <c r="U2976" s="21">
        <v>61788</v>
      </c>
      <c r="V2976" s="21" t="s">
        <v>368</v>
      </c>
      <c r="W2976" t="str">
        <f>VLOOKUP(Table_Query_from_Actuarial___Production[[#This Row],[Kor1]],$AI$3:$AK$105,3,FALSE)</f>
        <v>Premiums Written</v>
      </c>
      <c r="X2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6"/>
      <c r="Z2976" t="s">
        <v>47</v>
      </c>
      <c r="AA2976" t="s">
        <v>250</v>
      </c>
      <c r="AB2976" t="s">
        <v>8</v>
      </c>
      <c r="AC2976" s="21">
        <v>0.04</v>
      </c>
      <c r="AD2976" s="21" t="s">
        <v>368</v>
      </c>
      <c r="AE2976" t="str">
        <f>VLOOKUP(Table_Query_from_Actuarial___Production3[[#This Row],[Kor1]],$AI$3:$AK$105,3,FALSE)</f>
        <v>Investment Income</v>
      </c>
      <c r="AF2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7" spans="18:32" x14ac:dyDescent="0.2">
      <c r="R2977" t="s">
        <v>12</v>
      </c>
      <c r="S2977" t="s">
        <v>257</v>
      </c>
      <c r="T2977" t="s">
        <v>433</v>
      </c>
      <c r="U2977" s="21">
        <v>32869.980000000003</v>
      </c>
      <c r="V2977" s="21" t="s">
        <v>368</v>
      </c>
      <c r="W2977" t="str">
        <f>VLOOKUP(Table_Query_from_Actuarial___Production[[#This Row],[Kor1]],$AI$3:$AK$105,3,FALSE)</f>
        <v>Premium Tax</v>
      </c>
      <c r="X2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7"/>
      <c r="Z2977" t="s">
        <v>10</v>
      </c>
      <c r="AA2977" t="s">
        <v>240</v>
      </c>
      <c r="AB2977" t="s">
        <v>7</v>
      </c>
      <c r="AC2977" s="21">
        <v>79859.53</v>
      </c>
      <c r="AD2977" s="21" t="s">
        <v>368</v>
      </c>
      <c r="AE2977" t="str">
        <f>VLOOKUP(Table_Query_from_Actuarial___Production3[[#This Row],[Kor1]],$AI$3:$AK$105,3,FALSE)</f>
        <v>Commissions</v>
      </c>
      <c r="AF2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8" spans="18:32" x14ac:dyDescent="0.2">
      <c r="R2978" t="s">
        <v>25</v>
      </c>
      <c r="S2978" t="s">
        <v>259</v>
      </c>
      <c r="T2978" t="s">
        <v>7</v>
      </c>
      <c r="U2978" s="21">
        <v>248.95</v>
      </c>
      <c r="V2978" s="21" t="s">
        <v>368</v>
      </c>
      <c r="W2978" t="str">
        <f>VLOOKUP(Table_Query_from_Actuarial___Production[[#This Row],[Kor1]],$AI$3:$AK$105,3,FALSE)</f>
        <v>Misc. Expense</v>
      </c>
      <c r="X2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8"/>
      <c r="Z2978" t="s">
        <v>21</v>
      </c>
      <c r="AA2978" t="s">
        <v>228</v>
      </c>
      <c r="AB2978" t="s">
        <v>427</v>
      </c>
      <c r="AC2978" s="21">
        <v>84</v>
      </c>
      <c r="AD2978" s="21" t="s">
        <v>368</v>
      </c>
      <c r="AE2978" t="str">
        <f>VLOOKUP(Table_Query_from_Actuarial___Production3[[#This Row],[Kor1]],$AI$3:$AK$105,3,FALSE)</f>
        <v>Misc. Expense</v>
      </c>
      <c r="AF2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79" spans="18:32" x14ac:dyDescent="0.2">
      <c r="R2979" t="s">
        <v>16</v>
      </c>
      <c r="S2979" t="s">
        <v>244</v>
      </c>
      <c r="T2979" t="s">
        <v>441</v>
      </c>
      <c r="U2979" s="21">
        <v>1059233.94</v>
      </c>
      <c r="V2979" s="21" t="s">
        <v>368</v>
      </c>
      <c r="W2979" t="str">
        <f>VLOOKUP(Table_Query_from_Actuarial___Production[[#This Row],[Kor1]],$AI$3:$AK$105,3,FALSE)</f>
        <v>Losses Outstanding</v>
      </c>
      <c r="X2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79"/>
      <c r="Z2979" t="s">
        <v>38</v>
      </c>
      <c r="AA2979" t="s">
        <v>225</v>
      </c>
      <c r="AB2979" t="s">
        <v>427</v>
      </c>
      <c r="AC2979" s="21">
        <v>1033615.78</v>
      </c>
      <c r="AD2979" s="21" t="s">
        <v>369</v>
      </c>
      <c r="AE2979" t="str">
        <f>VLOOKUP(Table_Query_from_Actuarial___Production3[[#This Row],[Kor1]],$AI$3:$AK$105,3,FALSE)</f>
        <v>Misc. Income</v>
      </c>
      <c r="AF2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2980" spans="18:32" x14ac:dyDescent="0.2">
      <c r="R2980" t="s">
        <v>48</v>
      </c>
      <c r="S2980" t="s">
        <v>231</v>
      </c>
      <c r="T2980" t="s">
        <v>433</v>
      </c>
      <c r="U2980" s="21">
        <v>3926.44</v>
      </c>
      <c r="V2980" s="21" t="s">
        <v>368</v>
      </c>
      <c r="W2980" t="str">
        <f>VLOOKUP(Table_Query_from_Actuarial___Production[[#This Row],[Kor1]],$AI$3:$AK$105,3,FALSE)</f>
        <v>Anticipated Salvage</v>
      </c>
      <c r="X2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0"/>
      <c r="Z2980" t="s">
        <v>13</v>
      </c>
      <c r="AA2980" t="s">
        <v>253</v>
      </c>
      <c r="AB2980" t="s">
        <v>8</v>
      </c>
      <c r="AC2980" s="21">
        <v>1150.82</v>
      </c>
      <c r="AD2980" s="21" t="s">
        <v>368</v>
      </c>
      <c r="AE2980" t="str">
        <f>VLOOKUP(Table_Query_from_Actuarial___Production3[[#This Row],[Kor1]],$AI$3:$AK$105,3,FALSE)</f>
        <v>Operating Service Fees</v>
      </c>
      <c r="AF2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1" spans="18:32" x14ac:dyDescent="0.2">
      <c r="R2981" t="s">
        <v>43</v>
      </c>
      <c r="S2981" t="s">
        <v>225</v>
      </c>
      <c r="T2981" t="s">
        <v>8</v>
      </c>
      <c r="U2981" s="21">
        <v>-6664.65</v>
      </c>
      <c r="V2981" s="21" t="s">
        <v>368</v>
      </c>
      <c r="W2981" t="str">
        <f>VLOOKUP(Table_Query_from_Actuarial___Production[[#This Row],[Kor1]],$AI$3:$AK$105,3,FALSE)</f>
        <v>Charge-offs</v>
      </c>
      <c r="X2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2981"/>
      <c r="Z2981" t="s">
        <v>43</v>
      </c>
      <c r="AA2981" t="s">
        <v>233</v>
      </c>
      <c r="AB2981" t="s">
        <v>443</v>
      </c>
      <c r="AC2981" s="21">
        <v>22.76</v>
      </c>
      <c r="AD2981" s="21" t="s">
        <v>368</v>
      </c>
      <c r="AE2981" t="str">
        <f>VLOOKUP(Table_Query_from_Actuarial___Production3[[#This Row],[Kor1]],$AI$3:$AK$105,3,FALSE)</f>
        <v>Charge-offs</v>
      </c>
      <c r="AF2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2" spans="18:32" x14ac:dyDescent="0.2">
      <c r="R2982" t="s">
        <v>10</v>
      </c>
      <c r="S2982" t="s">
        <v>239</v>
      </c>
      <c r="T2982" t="s">
        <v>445</v>
      </c>
      <c r="U2982" s="21">
        <v>212409.79</v>
      </c>
      <c r="V2982" s="21" t="s">
        <v>368</v>
      </c>
      <c r="W2982" t="str">
        <f>VLOOKUP(Table_Query_from_Actuarial___Production[[#This Row],[Kor1]],$AI$3:$AK$105,3,FALSE)</f>
        <v>Commissions</v>
      </c>
      <c r="X2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2"/>
      <c r="Z2982" t="s">
        <v>43</v>
      </c>
      <c r="AA2982" t="s">
        <v>246</v>
      </c>
      <c r="AB2982" t="s">
        <v>442</v>
      </c>
      <c r="AC2982" s="21">
        <v>1.29</v>
      </c>
      <c r="AD2982" s="21" t="s">
        <v>368</v>
      </c>
      <c r="AE2982" t="str">
        <f>VLOOKUP(Table_Query_from_Actuarial___Production3[[#This Row],[Kor1]],$AI$3:$AK$105,3,FALSE)</f>
        <v>Charge-offs</v>
      </c>
      <c r="AF2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3" spans="18:32" x14ac:dyDescent="0.2">
      <c r="R2983" t="s">
        <v>38</v>
      </c>
      <c r="S2983" t="s">
        <v>225</v>
      </c>
      <c r="T2983" t="s">
        <v>443</v>
      </c>
      <c r="U2983" s="21">
        <v>1503057.13</v>
      </c>
      <c r="V2983" s="21" t="s">
        <v>369</v>
      </c>
      <c r="W2983" t="str">
        <f>VLOOKUP(Table_Query_from_Actuarial___Production[[#This Row],[Kor1]],$AI$3:$AK$105,3,FALSE)</f>
        <v>Misc. Income</v>
      </c>
      <c r="X2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2983"/>
      <c r="Z2983" t="s">
        <v>12</v>
      </c>
      <c r="AA2983" t="s">
        <v>251</v>
      </c>
      <c r="AB2983" t="s">
        <v>6</v>
      </c>
      <c r="AC2983" s="21">
        <v>1772.43</v>
      </c>
      <c r="AD2983" s="21" t="s">
        <v>368</v>
      </c>
      <c r="AE2983" t="str">
        <f>VLOOKUP(Table_Query_from_Actuarial___Production3[[#This Row],[Kor1]],$AI$3:$AK$105,3,FALSE)</f>
        <v>Premium Tax</v>
      </c>
      <c r="AF2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4" spans="18:32" x14ac:dyDescent="0.2">
      <c r="R2984" t="s">
        <v>3</v>
      </c>
      <c r="S2984" t="s">
        <v>234</v>
      </c>
      <c r="T2984" t="s">
        <v>351</v>
      </c>
      <c r="U2984" s="21">
        <v>584276</v>
      </c>
      <c r="V2984" s="21" t="s">
        <v>368</v>
      </c>
      <c r="W2984" t="str">
        <f>VLOOKUP(Table_Query_from_Actuarial___Production[[#This Row],[Kor1]],$AI$3:$AK$105,3,FALSE)</f>
        <v>Premiums Written</v>
      </c>
      <c r="X2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4"/>
      <c r="Z2984" t="s">
        <v>33</v>
      </c>
      <c r="AA2984" t="s">
        <v>236</v>
      </c>
      <c r="AB2984" t="s">
        <v>441</v>
      </c>
      <c r="AC2984" s="21">
        <v>14263.04</v>
      </c>
      <c r="AD2984" s="21" t="s">
        <v>368</v>
      </c>
      <c r="AE2984" t="str">
        <f>VLOOKUP(Table_Query_from_Actuarial___Production3[[#This Row],[Kor1]],$AI$3:$AK$105,3,FALSE)</f>
        <v>Misc. Expense</v>
      </c>
      <c r="AF2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5" spans="18:32" x14ac:dyDescent="0.2">
      <c r="R2985" t="s">
        <v>20</v>
      </c>
      <c r="S2985" t="s">
        <v>253</v>
      </c>
      <c r="T2985" t="s">
        <v>427</v>
      </c>
      <c r="U2985" s="21">
        <v>85.11</v>
      </c>
      <c r="V2985" s="21" t="s">
        <v>368</v>
      </c>
      <c r="W2985" t="str">
        <f>VLOOKUP(Table_Query_from_Actuarial___Production[[#This Row],[Kor1]],$AI$3:$AK$105,3,FALSE)</f>
        <v>Misc. Expense</v>
      </c>
      <c r="X2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5"/>
      <c r="Z2985" t="s">
        <v>47</v>
      </c>
      <c r="AA2985" t="s">
        <v>233</v>
      </c>
      <c r="AB2985" t="s">
        <v>441</v>
      </c>
      <c r="AC2985" s="21">
        <v>14.14</v>
      </c>
      <c r="AD2985" s="21" t="s">
        <v>368</v>
      </c>
      <c r="AE2985" t="str">
        <f>VLOOKUP(Table_Query_from_Actuarial___Production3[[#This Row],[Kor1]],$AI$3:$AK$105,3,FALSE)</f>
        <v>Investment Income</v>
      </c>
      <c r="AF2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6" spans="18:32" x14ac:dyDescent="0.2">
      <c r="R2986" t="s">
        <v>48</v>
      </c>
      <c r="S2986" t="s">
        <v>232</v>
      </c>
      <c r="T2986" t="s">
        <v>443</v>
      </c>
      <c r="U2986" s="21">
        <v>8419.3700000000008</v>
      </c>
      <c r="V2986" s="21" t="s">
        <v>368</v>
      </c>
      <c r="W2986" t="str">
        <f>VLOOKUP(Table_Query_from_Actuarial___Production[[#This Row],[Kor1]],$AI$3:$AK$105,3,FALSE)</f>
        <v>Anticipated Salvage</v>
      </c>
      <c r="X2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86"/>
      <c r="Z2986" t="s">
        <v>3</v>
      </c>
      <c r="AA2986" t="s">
        <v>234</v>
      </c>
      <c r="AB2986" t="s">
        <v>5</v>
      </c>
      <c r="AC2986" s="21">
        <v>473102</v>
      </c>
      <c r="AD2986" s="21" t="s">
        <v>368</v>
      </c>
      <c r="AE2986" t="str">
        <f>VLOOKUP(Table_Query_from_Actuarial___Production3[[#This Row],[Kor1]],$AI$3:$AK$105,3,FALSE)</f>
        <v>Premiums Written</v>
      </c>
      <c r="AF2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7" spans="18:32" x14ac:dyDescent="0.2">
      <c r="R2987" t="s">
        <v>11</v>
      </c>
      <c r="S2987" t="s">
        <v>226</v>
      </c>
      <c r="T2987" t="s">
        <v>6</v>
      </c>
      <c r="U2987" s="21">
        <v>5015134.3099999996</v>
      </c>
      <c r="V2987" s="21" t="s">
        <v>368</v>
      </c>
      <c r="W2987" t="str">
        <f>VLOOKUP(Table_Query_from_Actuarial___Production[[#This Row],[Kor1]],$AI$3:$AK$105,3,FALSE)</f>
        <v>Losses Paid</v>
      </c>
      <c r="X2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2987"/>
      <c r="Z2987" t="s">
        <v>12</v>
      </c>
      <c r="AA2987" t="s">
        <v>253</v>
      </c>
      <c r="AB2987" t="s">
        <v>5</v>
      </c>
      <c r="AC2987" s="21">
        <v>710.56</v>
      </c>
      <c r="AD2987" s="21" t="s">
        <v>368</v>
      </c>
      <c r="AE2987" t="str">
        <f>VLOOKUP(Table_Query_from_Actuarial___Production3[[#This Row],[Kor1]],$AI$3:$AK$105,3,FALSE)</f>
        <v>Premium Tax</v>
      </c>
      <c r="AF2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88" spans="18:32" x14ac:dyDescent="0.2">
      <c r="R2988" t="s">
        <v>11</v>
      </c>
      <c r="S2988" t="s">
        <v>354</v>
      </c>
      <c r="T2988" t="s">
        <v>443</v>
      </c>
      <c r="U2988" s="21">
        <v>743716262.85000002</v>
      </c>
      <c r="V2988" s="21" t="s">
        <v>369</v>
      </c>
      <c r="W2988" t="str">
        <f>VLOOKUP(Table_Query_from_Actuarial___Production[[#This Row],[Kor1]],$AI$3:$AK$105,3,FALSE)</f>
        <v>Losses Paid</v>
      </c>
      <c r="X2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2988"/>
      <c r="Z2988" t="s">
        <v>46</v>
      </c>
      <c r="AA2988" t="s">
        <v>352</v>
      </c>
      <c r="AB2988" t="s">
        <v>9</v>
      </c>
      <c r="AC2988" s="21">
        <v>43.43</v>
      </c>
      <c r="AD2988" s="21" t="s">
        <v>368</v>
      </c>
      <c r="AE2988" t="str">
        <f>VLOOKUP(Table_Query_from_Actuarial___Production3[[#This Row],[Kor1]],$AI$3:$AK$105,3,FALSE)</f>
        <v>Investment Income</v>
      </c>
      <c r="AF2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2989" spans="18:32" x14ac:dyDescent="0.2">
      <c r="R2989" t="s">
        <v>77</v>
      </c>
      <c r="S2989" t="s">
        <v>224</v>
      </c>
      <c r="T2989" t="s">
        <v>445</v>
      </c>
      <c r="U2989" s="21">
        <v>134211</v>
      </c>
      <c r="V2989" s="21" t="s">
        <v>370</v>
      </c>
      <c r="W2989" t="str">
        <f>VLOOKUP(Table_Query_from_Actuarial___Production[[#This Row],[Kor1]],$AI$3:$AK$105,3,FALSE)</f>
        <v>PDR</v>
      </c>
      <c r="X2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2989"/>
      <c r="Z2989" t="s">
        <v>13</v>
      </c>
      <c r="AA2989" t="s">
        <v>262</v>
      </c>
      <c r="AB2989" t="s">
        <v>5</v>
      </c>
      <c r="AC2989" s="21">
        <v>3786.79</v>
      </c>
      <c r="AD2989" s="21" t="s">
        <v>368</v>
      </c>
      <c r="AE2989" t="str">
        <f>VLOOKUP(Table_Query_from_Actuarial___Production3[[#This Row],[Kor1]],$AI$3:$AK$105,3,FALSE)</f>
        <v>Operating Service Fees</v>
      </c>
      <c r="AF2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0" spans="18:32" x14ac:dyDescent="0.2">
      <c r="R2990" t="s">
        <v>34</v>
      </c>
      <c r="S2990" t="s">
        <v>237</v>
      </c>
      <c r="T2990" t="s">
        <v>443</v>
      </c>
      <c r="U2990" s="21">
        <v>674241.19</v>
      </c>
      <c r="V2990" s="21" t="s">
        <v>368</v>
      </c>
      <c r="W2990" t="str">
        <f>VLOOKUP(Table_Query_from_Actuarial___Production[[#This Row],[Kor1]],$AI$3:$AK$105,3,FALSE)</f>
        <v>Misc. Expense</v>
      </c>
      <c r="X2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0"/>
      <c r="Z2990" t="s">
        <v>29</v>
      </c>
      <c r="AA2990" t="s">
        <v>230</v>
      </c>
      <c r="AB2990" t="s">
        <v>8</v>
      </c>
      <c r="AC2990" s="21">
        <v>-6050.12</v>
      </c>
      <c r="AD2990" s="21" t="s">
        <v>368</v>
      </c>
      <c r="AE2990" t="str">
        <f>VLOOKUP(Table_Query_from_Actuarial___Production3[[#This Row],[Kor1]],$AI$3:$AK$105,3,FALSE)</f>
        <v>Misc. Expense</v>
      </c>
      <c r="AF2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1" spans="18:32" x14ac:dyDescent="0.2">
      <c r="R2991" t="s">
        <v>44</v>
      </c>
      <c r="S2991" t="s">
        <v>224</v>
      </c>
      <c r="T2991" t="s">
        <v>427</v>
      </c>
      <c r="U2991" s="21">
        <v>547.79999999999995</v>
      </c>
      <c r="V2991" s="21" t="s">
        <v>369</v>
      </c>
      <c r="W2991" t="str">
        <f>VLOOKUP(Table_Query_from_Actuarial___Production[[#This Row],[Kor1]],$AI$3:$AK$105,3,FALSE)</f>
        <v>Charge-offs</v>
      </c>
      <c r="X2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991"/>
      <c r="Z2991" t="s">
        <v>167</v>
      </c>
      <c r="AA2991" t="s">
        <v>354</v>
      </c>
      <c r="AB2991" t="s">
        <v>351</v>
      </c>
      <c r="AC2991" s="21">
        <v>23550868</v>
      </c>
      <c r="AD2991" s="21" t="s">
        <v>368</v>
      </c>
      <c r="AE2991" t="str">
        <f>VLOOKUP(Table_Query_from_Actuarial___Production3[[#This Row],[Kor1]],$AI$3:$AK$105,3,FALSE)</f>
        <v>Recoupment</v>
      </c>
      <c r="AF2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2992" spans="18:32" x14ac:dyDescent="0.2">
      <c r="R2992" t="s">
        <v>10</v>
      </c>
      <c r="S2992" t="s">
        <v>227</v>
      </c>
      <c r="T2992" t="s">
        <v>6</v>
      </c>
      <c r="U2992" s="21">
        <v>76254.7</v>
      </c>
      <c r="V2992" s="21" t="s">
        <v>368</v>
      </c>
      <c r="W2992" t="str">
        <f>VLOOKUP(Table_Query_from_Actuarial___Production[[#This Row],[Kor1]],$AI$3:$AK$105,3,FALSE)</f>
        <v>Commissions</v>
      </c>
      <c r="X2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2"/>
      <c r="Z2992" t="s">
        <v>3</v>
      </c>
      <c r="AA2992" t="s">
        <v>231</v>
      </c>
      <c r="AB2992" t="s">
        <v>433</v>
      </c>
      <c r="AC2992" s="21">
        <v>1502800</v>
      </c>
      <c r="AD2992" s="21" t="s">
        <v>368</v>
      </c>
      <c r="AE2992" t="str">
        <f>VLOOKUP(Table_Query_from_Actuarial___Production3[[#This Row],[Kor1]],$AI$3:$AK$105,3,FALSE)</f>
        <v>Premiums Written</v>
      </c>
      <c r="AF2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3" spans="18:32" x14ac:dyDescent="0.2">
      <c r="R2993" t="s">
        <v>29</v>
      </c>
      <c r="S2993" t="s">
        <v>4</v>
      </c>
      <c r="T2993" t="s">
        <v>9</v>
      </c>
      <c r="U2993" s="21">
        <v>466.7</v>
      </c>
      <c r="V2993" s="21" t="s">
        <v>368</v>
      </c>
      <c r="W2993" t="str">
        <f>VLOOKUP(Table_Query_from_Actuarial___Production[[#This Row],[Kor1]],$AI$3:$AK$105,3,FALSE)</f>
        <v>Misc. Expense</v>
      </c>
      <c r="X2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3"/>
      <c r="Z2993" t="s">
        <v>439</v>
      </c>
      <c r="AA2993" t="s">
        <v>234</v>
      </c>
      <c r="AB2993" t="s">
        <v>443</v>
      </c>
      <c r="AC2993" s="21">
        <v>-22730.93</v>
      </c>
      <c r="AD2993" s="21" t="s">
        <v>368</v>
      </c>
      <c r="AE2993" t="str">
        <f>VLOOKUP(Table_Query_from_Actuarial___Production3[[#This Row],[Kor1]],$AI$3:$AK$105,3,FALSE)</f>
        <v>Operating Service Fees</v>
      </c>
      <c r="AF2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4" spans="18:32" x14ac:dyDescent="0.2">
      <c r="R2994" t="s">
        <v>47</v>
      </c>
      <c r="S2994" t="s">
        <v>248</v>
      </c>
      <c r="T2994" t="s">
        <v>8</v>
      </c>
      <c r="U2994" s="21">
        <v>0.08</v>
      </c>
      <c r="V2994" s="21" t="s">
        <v>368</v>
      </c>
      <c r="W2994" t="str">
        <f>VLOOKUP(Table_Query_from_Actuarial___Production[[#This Row],[Kor1]],$AI$3:$AK$105,3,FALSE)</f>
        <v>Investment Income</v>
      </c>
      <c r="X2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4"/>
      <c r="Z2994" t="s">
        <v>11</v>
      </c>
      <c r="AA2994" t="s">
        <v>227</v>
      </c>
      <c r="AB2994" t="s">
        <v>5</v>
      </c>
      <c r="AC2994" s="21">
        <v>294523.95</v>
      </c>
      <c r="AD2994" s="21" t="s">
        <v>368</v>
      </c>
      <c r="AE2994" t="str">
        <f>VLOOKUP(Table_Query_from_Actuarial___Production3[[#This Row],[Kor1]],$AI$3:$AK$105,3,FALSE)</f>
        <v>Losses Paid</v>
      </c>
      <c r="AF2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5" spans="18:32" x14ac:dyDescent="0.2">
      <c r="R2995" t="s">
        <v>43</v>
      </c>
      <c r="S2995" t="s">
        <v>224</v>
      </c>
      <c r="T2995" t="s">
        <v>445</v>
      </c>
      <c r="U2995" s="21">
        <v>0.02</v>
      </c>
      <c r="V2995" s="21" t="s">
        <v>425</v>
      </c>
      <c r="W2995" t="str">
        <f>VLOOKUP(Table_Query_from_Actuarial___Production[[#This Row],[Kor1]],$AI$3:$AK$105,3,FALSE)</f>
        <v>Charge-offs</v>
      </c>
      <c r="X2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995"/>
      <c r="Z2995" t="s">
        <v>48</v>
      </c>
      <c r="AA2995" t="s">
        <v>232</v>
      </c>
      <c r="AB2995" t="s">
        <v>427</v>
      </c>
      <c r="AC2995" s="21">
        <v>1490.97</v>
      </c>
      <c r="AD2995" s="21" t="s">
        <v>368</v>
      </c>
      <c r="AE2995" t="str">
        <f>VLOOKUP(Table_Query_from_Actuarial___Production3[[#This Row],[Kor1]],$AI$3:$AK$105,3,FALSE)</f>
        <v>Anticipated Salvage</v>
      </c>
      <c r="AF2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6" spans="18:32" x14ac:dyDescent="0.2">
      <c r="R2996" t="s">
        <v>40</v>
      </c>
      <c r="S2996" t="s">
        <v>233</v>
      </c>
      <c r="T2996" t="s">
        <v>443</v>
      </c>
      <c r="U2996" s="21">
        <v>154</v>
      </c>
      <c r="V2996" s="21" t="s">
        <v>368</v>
      </c>
      <c r="W2996" t="str">
        <f>VLOOKUP(Table_Query_from_Actuarial___Production[[#This Row],[Kor1]],$AI$3:$AK$105,3,FALSE)</f>
        <v>Misc. Income</v>
      </c>
      <c r="X2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6"/>
      <c r="Z2996" t="s">
        <v>10</v>
      </c>
      <c r="AA2996" t="s">
        <v>247</v>
      </c>
      <c r="AB2996" t="s">
        <v>356</v>
      </c>
      <c r="AC2996" s="21">
        <v>1010.7</v>
      </c>
      <c r="AD2996" s="21" t="s">
        <v>368</v>
      </c>
      <c r="AE2996" t="str">
        <f>VLOOKUP(Table_Query_from_Actuarial___Production3[[#This Row],[Kor1]],$AI$3:$AK$105,3,FALSE)</f>
        <v>Commissions</v>
      </c>
      <c r="AF2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7" spans="18:32" x14ac:dyDescent="0.2">
      <c r="R2997" t="s">
        <v>13</v>
      </c>
      <c r="S2997" t="s">
        <v>224</v>
      </c>
      <c r="T2997" t="s">
        <v>445</v>
      </c>
      <c r="U2997" s="21">
        <v>7109</v>
      </c>
      <c r="V2997" s="21" t="s">
        <v>369</v>
      </c>
      <c r="W2997" t="str">
        <f>VLOOKUP(Table_Query_from_Actuarial___Production[[#This Row],[Kor1]],$AI$3:$AK$105,3,FALSE)</f>
        <v>Operating Service Fees</v>
      </c>
      <c r="X2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2997"/>
      <c r="Z2997" t="s">
        <v>13</v>
      </c>
      <c r="AA2997" t="s">
        <v>255</v>
      </c>
      <c r="AB2997" t="s">
        <v>7</v>
      </c>
      <c r="AC2997" s="21">
        <v>29951.01</v>
      </c>
      <c r="AD2997" s="21" t="s">
        <v>368</v>
      </c>
      <c r="AE2997" t="str">
        <f>VLOOKUP(Table_Query_from_Actuarial___Production3[[#This Row],[Kor1]],$AI$3:$AK$105,3,FALSE)</f>
        <v>Operating Service Fees</v>
      </c>
      <c r="AF2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8" spans="18:32" x14ac:dyDescent="0.2">
      <c r="R2998" t="s">
        <v>15</v>
      </c>
      <c r="S2998" t="s">
        <v>257</v>
      </c>
      <c r="T2998" t="s">
        <v>445</v>
      </c>
      <c r="U2998" s="21">
        <v>838619.74</v>
      </c>
      <c r="V2998" s="21" t="s">
        <v>368</v>
      </c>
      <c r="W2998" t="str">
        <f>VLOOKUP(Table_Query_from_Actuarial___Production[[#This Row],[Kor1]],$AI$3:$AK$105,3,FALSE)</f>
        <v>Unearned Premiums</v>
      </c>
      <c r="X2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8"/>
      <c r="Z2998" t="s">
        <v>41</v>
      </c>
      <c r="AA2998" t="s">
        <v>240</v>
      </c>
      <c r="AB2998" t="s">
        <v>8</v>
      </c>
      <c r="AC2998" s="21">
        <v>250.02</v>
      </c>
      <c r="AD2998" s="21" t="s">
        <v>368</v>
      </c>
      <c r="AE2998" t="str">
        <f>VLOOKUP(Table_Query_from_Actuarial___Production3[[#This Row],[Kor1]],$AI$3:$AK$105,3,FALSE)</f>
        <v>Misc. Income</v>
      </c>
      <c r="AF2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2999" spans="18:32" x14ac:dyDescent="0.2">
      <c r="R2999" t="s">
        <v>20</v>
      </c>
      <c r="S2999" t="s">
        <v>247</v>
      </c>
      <c r="T2999" t="s">
        <v>6</v>
      </c>
      <c r="U2999" s="21">
        <v>113.37</v>
      </c>
      <c r="V2999" s="21" t="s">
        <v>368</v>
      </c>
      <c r="W2999" t="str">
        <f>VLOOKUP(Table_Query_from_Actuarial___Production[[#This Row],[Kor1]],$AI$3:$AK$105,3,FALSE)</f>
        <v>Misc. Expense</v>
      </c>
      <c r="X2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2999"/>
      <c r="Z2999" t="s">
        <v>43</v>
      </c>
      <c r="AA2999" t="s">
        <v>249</v>
      </c>
      <c r="AB2999" t="s">
        <v>356</v>
      </c>
      <c r="AC2999" s="21">
        <v>1894.56</v>
      </c>
      <c r="AD2999" s="21" t="s">
        <v>368</v>
      </c>
      <c r="AE2999" t="str">
        <f>VLOOKUP(Table_Query_from_Actuarial___Production3[[#This Row],[Kor1]],$AI$3:$AK$105,3,FALSE)</f>
        <v>Charge-offs</v>
      </c>
      <c r="AF2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0" spans="18:32" x14ac:dyDescent="0.2">
      <c r="R3000" t="s">
        <v>33</v>
      </c>
      <c r="S3000" t="s">
        <v>267</v>
      </c>
      <c r="T3000" t="s">
        <v>445</v>
      </c>
      <c r="U3000" s="21">
        <v>8631.2800000000007</v>
      </c>
      <c r="V3000" s="21" t="s">
        <v>368</v>
      </c>
      <c r="W3000" t="str">
        <f>VLOOKUP(Table_Query_from_Actuarial___Production[[#This Row],[Kor1]],$AI$3:$AK$105,3,FALSE)</f>
        <v>Misc. Expense</v>
      </c>
      <c r="X3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0"/>
      <c r="Z3000" t="s">
        <v>11</v>
      </c>
      <c r="AA3000" t="s">
        <v>248</v>
      </c>
      <c r="AB3000" t="s">
        <v>7</v>
      </c>
      <c r="AC3000" s="21">
        <v>14419.7</v>
      </c>
      <c r="AD3000" s="21" t="s">
        <v>368</v>
      </c>
      <c r="AE3000" t="str">
        <f>VLOOKUP(Table_Query_from_Actuarial___Production3[[#This Row],[Kor1]],$AI$3:$AK$105,3,FALSE)</f>
        <v>Losses Paid</v>
      </c>
      <c r="AF3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1" spans="18:32" x14ac:dyDescent="0.2">
      <c r="R3001" t="s">
        <v>12</v>
      </c>
      <c r="S3001" t="s">
        <v>255</v>
      </c>
      <c r="T3001" t="s">
        <v>7</v>
      </c>
      <c r="U3001" s="21">
        <v>3209.63</v>
      </c>
      <c r="V3001" s="21" t="s">
        <v>368</v>
      </c>
      <c r="W3001" t="str">
        <f>VLOOKUP(Table_Query_from_Actuarial___Production[[#This Row],[Kor1]],$AI$3:$AK$105,3,FALSE)</f>
        <v>Premium Tax</v>
      </c>
      <c r="X3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1"/>
      <c r="Z3001" t="s">
        <v>44</v>
      </c>
      <c r="AA3001" t="s">
        <v>265</v>
      </c>
      <c r="AB3001" t="s">
        <v>442</v>
      </c>
      <c r="AC3001" s="21">
        <v>5673</v>
      </c>
      <c r="AD3001" s="21" t="s">
        <v>368</v>
      </c>
      <c r="AE3001" t="str">
        <f>VLOOKUP(Table_Query_from_Actuarial___Production3[[#This Row],[Kor1]],$AI$3:$AK$105,3,FALSE)</f>
        <v>Charge-offs</v>
      </c>
      <c r="AF3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2" spans="18:32" x14ac:dyDescent="0.2">
      <c r="R3002" t="s">
        <v>10</v>
      </c>
      <c r="S3002" t="s">
        <v>253</v>
      </c>
      <c r="T3002" t="s">
        <v>8</v>
      </c>
      <c r="U3002" s="21">
        <v>560.79999999999995</v>
      </c>
      <c r="V3002" s="21" t="s">
        <v>368</v>
      </c>
      <c r="W3002" t="str">
        <f>VLOOKUP(Table_Query_from_Actuarial___Production[[#This Row],[Kor1]],$AI$3:$AK$105,3,FALSE)</f>
        <v>Commissions</v>
      </c>
      <c r="X3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2"/>
      <c r="Z3002" t="s">
        <v>50</v>
      </c>
      <c r="AA3002" t="s">
        <v>4</v>
      </c>
      <c r="AB3002" t="s">
        <v>441</v>
      </c>
      <c r="AC3002" s="21">
        <v>1207886.73</v>
      </c>
      <c r="AD3002" s="21" t="s">
        <v>368</v>
      </c>
      <c r="AE3002" t="str">
        <f>VLOOKUP(Table_Query_from_Actuarial___Production3[[#This Row],[Kor1]],$AI$3:$AK$105,3,FALSE)</f>
        <v>ALAE Reserve</v>
      </c>
      <c r="AF3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3" spans="18:32" x14ac:dyDescent="0.2">
      <c r="R3003" t="s">
        <v>19</v>
      </c>
      <c r="S3003" t="s">
        <v>248</v>
      </c>
      <c r="T3003" t="s">
        <v>427</v>
      </c>
      <c r="U3003" s="21">
        <v>92</v>
      </c>
      <c r="V3003" s="21" t="s">
        <v>368</v>
      </c>
      <c r="W3003" t="str">
        <f>VLOOKUP(Table_Query_from_Actuarial___Production[[#This Row],[Kor1]],$AI$3:$AK$105,3,FALSE)</f>
        <v>Misc. Expense for Insolvent Companies</v>
      </c>
      <c r="X3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3"/>
      <c r="Z3003" t="s">
        <v>33</v>
      </c>
      <c r="AA3003" t="s">
        <v>259</v>
      </c>
      <c r="AB3003" t="s">
        <v>443</v>
      </c>
      <c r="AC3003" s="21">
        <v>4198.91</v>
      </c>
      <c r="AD3003" s="21" t="s">
        <v>368</v>
      </c>
      <c r="AE3003" t="str">
        <f>VLOOKUP(Table_Query_from_Actuarial___Production3[[#This Row],[Kor1]],$AI$3:$AK$105,3,FALSE)</f>
        <v>Misc. Expense</v>
      </c>
      <c r="AF3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4" spans="18:32" x14ac:dyDescent="0.2">
      <c r="R3004" t="s">
        <v>444</v>
      </c>
      <c r="S3004" t="s">
        <v>242</v>
      </c>
      <c r="T3004" t="s">
        <v>443</v>
      </c>
      <c r="U3004" s="21">
        <v>10167.81</v>
      </c>
      <c r="V3004" s="21" t="s">
        <v>368</v>
      </c>
      <c r="W3004" t="str">
        <f>VLOOKUP(Table_Query_from_Actuarial___Production[[#This Row],[Kor1]],$AI$3:$AK$105,3,FALSE)</f>
        <v>Misc. Expense</v>
      </c>
      <c r="X3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4"/>
      <c r="Z3004" t="s">
        <v>39</v>
      </c>
      <c r="AA3004" t="s">
        <v>242</v>
      </c>
      <c r="AB3004" t="s">
        <v>443</v>
      </c>
      <c r="AC3004" s="21">
        <v>529.17999999999995</v>
      </c>
      <c r="AD3004" s="21" t="s">
        <v>368</v>
      </c>
      <c r="AE3004" t="str">
        <f>VLOOKUP(Table_Query_from_Actuarial___Production3[[#This Row],[Kor1]],$AI$3:$AK$105,3,FALSE)</f>
        <v>Misc. Income for Insolvent Companies</v>
      </c>
      <c r="AF3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5" spans="18:32" x14ac:dyDescent="0.2">
      <c r="R3005" t="s">
        <v>37</v>
      </c>
      <c r="S3005" t="s">
        <v>266</v>
      </c>
      <c r="T3005" t="s">
        <v>433</v>
      </c>
      <c r="U3005" s="21">
        <v>2669.88</v>
      </c>
      <c r="V3005" s="21" t="s">
        <v>368</v>
      </c>
      <c r="W3005" t="str">
        <f>VLOOKUP(Table_Query_from_Actuarial___Production[[#This Row],[Kor1]],$AI$3:$AK$105,3,FALSE)</f>
        <v>Misc. Expense</v>
      </c>
      <c r="X3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5"/>
      <c r="Z3005" t="s">
        <v>10</v>
      </c>
      <c r="AA3005" t="s">
        <v>244</v>
      </c>
      <c r="AB3005" t="s">
        <v>8</v>
      </c>
      <c r="AC3005" s="21">
        <v>74266.259999999995</v>
      </c>
      <c r="AD3005" s="21" t="s">
        <v>368</v>
      </c>
      <c r="AE3005" t="str">
        <f>VLOOKUP(Table_Query_from_Actuarial___Production3[[#This Row],[Kor1]],$AI$3:$AK$105,3,FALSE)</f>
        <v>Commissions</v>
      </c>
      <c r="AF3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6" spans="18:32" x14ac:dyDescent="0.2">
      <c r="R3006" t="s">
        <v>11</v>
      </c>
      <c r="S3006" t="s">
        <v>239</v>
      </c>
      <c r="T3006" t="s">
        <v>356</v>
      </c>
      <c r="U3006" s="21">
        <v>507451.34</v>
      </c>
      <c r="V3006" s="21" t="s">
        <v>368</v>
      </c>
      <c r="W3006" t="str">
        <f>VLOOKUP(Table_Query_from_Actuarial___Production[[#This Row],[Kor1]],$AI$3:$AK$105,3,FALSE)</f>
        <v>Losses Paid</v>
      </c>
      <c r="X3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6"/>
      <c r="Z3006" t="s">
        <v>37</v>
      </c>
      <c r="AA3006" t="s">
        <v>259</v>
      </c>
      <c r="AB3006" t="s">
        <v>427</v>
      </c>
      <c r="AC3006" s="21">
        <v>496.12</v>
      </c>
      <c r="AD3006" s="21" t="s">
        <v>368</v>
      </c>
      <c r="AE3006" t="str">
        <f>VLOOKUP(Table_Query_from_Actuarial___Production3[[#This Row],[Kor1]],$AI$3:$AK$105,3,FALSE)</f>
        <v>Misc. Expense</v>
      </c>
      <c r="AF3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7" spans="18:32" x14ac:dyDescent="0.2">
      <c r="R3007" t="s">
        <v>21</v>
      </c>
      <c r="S3007" t="s">
        <v>257</v>
      </c>
      <c r="T3007" t="s">
        <v>441</v>
      </c>
      <c r="U3007" s="21">
        <v>2497.73</v>
      </c>
      <c r="V3007" s="21" t="s">
        <v>368</v>
      </c>
      <c r="W3007" t="str">
        <f>VLOOKUP(Table_Query_from_Actuarial___Production[[#This Row],[Kor1]],$AI$3:$AK$105,3,FALSE)</f>
        <v>Misc. Expense</v>
      </c>
      <c r="X3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7"/>
      <c r="Z3007" t="s">
        <v>33</v>
      </c>
      <c r="AA3007" t="s">
        <v>229</v>
      </c>
      <c r="AB3007" t="s">
        <v>443</v>
      </c>
      <c r="AC3007" s="21">
        <v>8239.25</v>
      </c>
      <c r="AD3007" s="21" t="s">
        <v>368</v>
      </c>
      <c r="AE3007" t="str">
        <f>VLOOKUP(Table_Query_from_Actuarial___Production3[[#This Row],[Kor1]],$AI$3:$AK$105,3,FALSE)</f>
        <v>Misc. Expense</v>
      </c>
      <c r="AF3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8" spans="18:32" x14ac:dyDescent="0.2">
      <c r="R3008" t="s">
        <v>39</v>
      </c>
      <c r="S3008" t="s">
        <v>249</v>
      </c>
      <c r="T3008" t="s">
        <v>8</v>
      </c>
      <c r="U3008" s="21">
        <v>2063.0100000000002</v>
      </c>
      <c r="V3008" s="21" t="s">
        <v>368</v>
      </c>
      <c r="W3008" t="str">
        <f>VLOOKUP(Table_Query_from_Actuarial___Production[[#This Row],[Kor1]],$AI$3:$AK$105,3,FALSE)</f>
        <v>Misc. Income for Insolvent Companies</v>
      </c>
      <c r="X3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8"/>
      <c r="Z3008" t="s">
        <v>39</v>
      </c>
      <c r="AA3008" t="s">
        <v>247</v>
      </c>
      <c r="AB3008" t="s">
        <v>5</v>
      </c>
      <c r="AC3008" s="21">
        <v>1285</v>
      </c>
      <c r="AD3008" s="21" t="s">
        <v>368</v>
      </c>
      <c r="AE3008" t="str">
        <f>VLOOKUP(Table_Query_from_Actuarial___Production3[[#This Row],[Kor1]],$AI$3:$AK$105,3,FALSE)</f>
        <v>Misc. Income for Insolvent Companies</v>
      </c>
      <c r="AF3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09" spans="18:32" x14ac:dyDescent="0.2">
      <c r="R3009" t="s">
        <v>14</v>
      </c>
      <c r="S3009" t="s">
        <v>263</v>
      </c>
      <c r="T3009" t="s">
        <v>443</v>
      </c>
      <c r="U3009" s="21">
        <v>16494.349999999999</v>
      </c>
      <c r="V3009" s="21" t="s">
        <v>368</v>
      </c>
      <c r="W3009" t="str">
        <f>VLOOKUP(Table_Query_from_Actuarial___Production[[#This Row],[Kor1]],$AI$3:$AK$105,3,FALSE)</f>
        <v>Claims Expense</v>
      </c>
      <c r="X3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09"/>
      <c r="Z3009" t="s">
        <v>3</v>
      </c>
      <c r="AA3009" t="s">
        <v>352</v>
      </c>
      <c r="AB3009" t="s">
        <v>356</v>
      </c>
      <c r="AC3009" s="21">
        <v>1261</v>
      </c>
      <c r="AD3009" s="21" t="s">
        <v>368</v>
      </c>
      <c r="AE3009" t="str">
        <f>VLOOKUP(Table_Query_from_Actuarial___Production3[[#This Row],[Kor1]],$AI$3:$AK$105,3,FALSE)</f>
        <v>Premiums Written</v>
      </c>
      <c r="AF3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010" spans="18:32" x14ac:dyDescent="0.2">
      <c r="R3010" t="s">
        <v>10</v>
      </c>
      <c r="S3010" t="s">
        <v>228</v>
      </c>
      <c r="T3010" t="s">
        <v>351</v>
      </c>
      <c r="U3010" s="21">
        <v>18213.75</v>
      </c>
      <c r="V3010" s="21" t="s">
        <v>368</v>
      </c>
      <c r="W3010" t="str">
        <f>VLOOKUP(Table_Query_from_Actuarial___Production[[#This Row],[Kor1]],$AI$3:$AK$105,3,FALSE)</f>
        <v>Commissions</v>
      </c>
      <c r="X3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0"/>
      <c r="Z3010" t="s">
        <v>12</v>
      </c>
      <c r="AA3010" t="s">
        <v>254</v>
      </c>
      <c r="AB3010" t="s">
        <v>8</v>
      </c>
      <c r="AC3010" s="21">
        <v>26912.71</v>
      </c>
      <c r="AD3010" s="21" t="s">
        <v>368</v>
      </c>
      <c r="AE3010" t="str">
        <f>VLOOKUP(Table_Query_from_Actuarial___Production3[[#This Row],[Kor1]],$AI$3:$AK$105,3,FALSE)</f>
        <v>Premium Tax</v>
      </c>
      <c r="AF3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1" spans="18:32" x14ac:dyDescent="0.2">
      <c r="R3011" t="s">
        <v>21</v>
      </c>
      <c r="S3011" t="s">
        <v>237</v>
      </c>
      <c r="T3011" t="s">
        <v>6</v>
      </c>
      <c r="U3011" s="21">
        <v>3537.94</v>
      </c>
      <c r="V3011" s="21" t="s">
        <v>368</v>
      </c>
      <c r="W3011" t="str">
        <f>VLOOKUP(Table_Query_from_Actuarial___Production[[#This Row],[Kor1]],$AI$3:$AK$105,3,FALSE)</f>
        <v>Misc. Expense</v>
      </c>
      <c r="X3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1"/>
      <c r="Z3011" t="s">
        <v>20</v>
      </c>
      <c r="AA3011" t="s">
        <v>264</v>
      </c>
      <c r="AB3011" t="s">
        <v>356</v>
      </c>
      <c r="AC3011" s="21">
        <v>674.55</v>
      </c>
      <c r="AD3011" s="21" t="s">
        <v>368</v>
      </c>
      <c r="AE3011" t="str">
        <f>VLOOKUP(Table_Query_from_Actuarial___Production3[[#This Row],[Kor1]],$AI$3:$AK$105,3,FALSE)</f>
        <v>Misc. Expense</v>
      </c>
      <c r="AF3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2" spans="18:32" x14ac:dyDescent="0.2">
      <c r="R3012" t="s">
        <v>23</v>
      </c>
      <c r="S3012" t="s">
        <v>259</v>
      </c>
      <c r="T3012" t="s">
        <v>443</v>
      </c>
      <c r="U3012" s="21">
        <v>2097.91</v>
      </c>
      <c r="V3012" s="21" t="s">
        <v>368</v>
      </c>
      <c r="W3012" t="str">
        <f>VLOOKUP(Table_Query_from_Actuarial___Production[[#This Row],[Kor1]],$AI$3:$AK$105,3,FALSE)</f>
        <v>Misc. Expense</v>
      </c>
      <c r="X3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2"/>
      <c r="Z3012" t="s">
        <v>13</v>
      </c>
      <c r="AA3012" t="s">
        <v>267</v>
      </c>
      <c r="AB3012" t="s">
        <v>8</v>
      </c>
      <c r="AC3012" s="21">
        <v>66668</v>
      </c>
      <c r="AD3012" s="21" t="s">
        <v>368</v>
      </c>
      <c r="AE3012" t="str">
        <f>VLOOKUP(Table_Query_from_Actuarial___Production3[[#This Row],[Kor1]],$AI$3:$AK$105,3,FALSE)</f>
        <v>Operating Service Fees</v>
      </c>
      <c r="AF3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3" spans="18:32" x14ac:dyDescent="0.2">
      <c r="R3013" t="s">
        <v>43</v>
      </c>
      <c r="S3013" t="s">
        <v>242</v>
      </c>
      <c r="T3013" t="s">
        <v>9</v>
      </c>
      <c r="U3013" s="21">
        <v>0.02</v>
      </c>
      <c r="V3013" s="21" t="s">
        <v>368</v>
      </c>
      <c r="W3013" t="str">
        <f>VLOOKUP(Table_Query_from_Actuarial___Production[[#This Row],[Kor1]],$AI$3:$AK$105,3,FALSE)</f>
        <v>Charge-offs</v>
      </c>
      <c r="X3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3"/>
      <c r="Z3013" t="s">
        <v>39</v>
      </c>
      <c r="AA3013" t="s">
        <v>264</v>
      </c>
      <c r="AB3013" t="s">
        <v>9</v>
      </c>
      <c r="AC3013" s="21">
        <v>812.98</v>
      </c>
      <c r="AD3013" s="21" t="s">
        <v>368</v>
      </c>
      <c r="AE3013" t="str">
        <f>VLOOKUP(Table_Query_from_Actuarial___Production3[[#This Row],[Kor1]],$AI$3:$AK$105,3,FALSE)</f>
        <v>Misc. Income for Insolvent Companies</v>
      </c>
      <c r="AF3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4" spans="18:32" x14ac:dyDescent="0.2">
      <c r="R3014" t="s">
        <v>44</v>
      </c>
      <c r="S3014" t="s">
        <v>225</v>
      </c>
      <c r="T3014" t="s">
        <v>8</v>
      </c>
      <c r="U3014" s="21">
        <v>1108.74</v>
      </c>
      <c r="V3014" s="21" t="s">
        <v>369</v>
      </c>
      <c r="W3014" t="str">
        <f>VLOOKUP(Table_Query_from_Actuarial___Production[[#This Row],[Kor1]],$AI$3:$AK$105,3,FALSE)</f>
        <v>Charge-offs</v>
      </c>
      <c r="X3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014"/>
      <c r="Z3014" t="s">
        <v>13</v>
      </c>
      <c r="AA3014" t="s">
        <v>259</v>
      </c>
      <c r="AB3014" t="s">
        <v>9</v>
      </c>
      <c r="AC3014" s="21">
        <v>60753.760000000002</v>
      </c>
      <c r="AD3014" s="21" t="s">
        <v>368</v>
      </c>
      <c r="AE3014" t="str">
        <f>VLOOKUP(Table_Query_from_Actuarial___Production3[[#This Row],[Kor1]],$AI$3:$AK$105,3,FALSE)</f>
        <v>Operating Service Fees</v>
      </c>
      <c r="AF3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5" spans="18:32" x14ac:dyDescent="0.2">
      <c r="R3015" t="s">
        <v>11</v>
      </c>
      <c r="S3015" t="s">
        <v>236</v>
      </c>
      <c r="T3015" t="s">
        <v>443</v>
      </c>
      <c r="U3015" s="21">
        <v>24370.48</v>
      </c>
      <c r="V3015" s="21" t="s">
        <v>368</v>
      </c>
      <c r="W3015" t="str">
        <f>VLOOKUP(Table_Query_from_Actuarial___Production[[#This Row],[Kor1]],$AI$3:$AK$105,3,FALSE)</f>
        <v>Losses Paid</v>
      </c>
      <c r="X3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5"/>
      <c r="Z3015" t="s">
        <v>20</v>
      </c>
      <c r="AA3015" t="s">
        <v>254</v>
      </c>
      <c r="AB3015" t="s">
        <v>7</v>
      </c>
      <c r="AC3015" s="21">
        <v>113.37</v>
      </c>
      <c r="AD3015" s="21" t="s">
        <v>368</v>
      </c>
      <c r="AE3015" t="str">
        <f>VLOOKUP(Table_Query_from_Actuarial___Production3[[#This Row],[Kor1]],$AI$3:$AK$105,3,FALSE)</f>
        <v>Misc. Expense</v>
      </c>
      <c r="AF3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6" spans="18:32" x14ac:dyDescent="0.2">
      <c r="R3016" t="s">
        <v>15</v>
      </c>
      <c r="S3016" t="s">
        <v>229</v>
      </c>
      <c r="T3016" t="s">
        <v>445</v>
      </c>
      <c r="U3016" s="21">
        <v>29346.75</v>
      </c>
      <c r="V3016" s="21" t="s">
        <v>368</v>
      </c>
      <c r="W3016" t="str">
        <f>VLOOKUP(Table_Query_from_Actuarial___Production[[#This Row],[Kor1]],$AI$3:$AK$105,3,FALSE)</f>
        <v>Unearned Premiums</v>
      </c>
      <c r="X3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6"/>
      <c r="Z3016" t="s">
        <v>38</v>
      </c>
      <c r="AA3016" t="s">
        <v>354</v>
      </c>
      <c r="AB3016" t="s">
        <v>441</v>
      </c>
      <c r="AC3016" s="21">
        <v>23892.89</v>
      </c>
      <c r="AD3016" s="21" t="s">
        <v>368</v>
      </c>
      <c r="AE3016" t="str">
        <f>VLOOKUP(Table_Query_from_Actuarial___Production3[[#This Row],[Kor1]],$AI$3:$AK$105,3,FALSE)</f>
        <v>Misc. Income</v>
      </c>
      <c r="AF3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017" spans="18:32" x14ac:dyDescent="0.2">
      <c r="R3017" t="s">
        <v>20</v>
      </c>
      <c r="S3017" t="s">
        <v>231</v>
      </c>
      <c r="T3017" t="s">
        <v>9</v>
      </c>
      <c r="U3017" s="21">
        <v>48.11</v>
      </c>
      <c r="V3017" s="21" t="s">
        <v>368</v>
      </c>
      <c r="W3017" t="str">
        <f>VLOOKUP(Table_Query_from_Actuarial___Production[[#This Row],[Kor1]],$AI$3:$AK$105,3,FALSE)</f>
        <v>Misc. Expense</v>
      </c>
      <c r="X3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7"/>
      <c r="Z3017" t="s">
        <v>11</v>
      </c>
      <c r="AA3017" t="s">
        <v>233</v>
      </c>
      <c r="AB3017" t="s">
        <v>6</v>
      </c>
      <c r="AC3017" s="21">
        <v>91250.559999999998</v>
      </c>
      <c r="AD3017" s="21" t="s">
        <v>368</v>
      </c>
      <c r="AE3017" t="str">
        <f>VLOOKUP(Table_Query_from_Actuarial___Production3[[#This Row],[Kor1]],$AI$3:$AK$105,3,FALSE)</f>
        <v>Losses Paid</v>
      </c>
      <c r="AF3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8" spans="18:32" x14ac:dyDescent="0.2">
      <c r="R3018" t="s">
        <v>17</v>
      </c>
      <c r="S3018" t="s">
        <v>246</v>
      </c>
      <c r="T3018" t="s">
        <v>433</v>
      </c>
      <c r="U3018" s="21">
        <v>338337.53</v>
      </c>
      <c r="V3018" s="21" t="s">
        <v>368</v>
      </c>
      <c r="W3018" t="str">
        <f>VLOOKUP(Table_Query_from_Actuarial___Production[[#This Row],[Kor1]],$AI$3:$AK$105,3,FALSE)</f>
        <v>IBNR</v>
      </c>
      <c r="X3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18"/>
      <c r="Z3018" t="s">
        <v>19</v>
      </c>
      <c r="AA3018" t="s">
        <v>233</v>
      </c>
      <c r="AB3018" t="s">
        <v>7</v>
      </c>
      <c r="AC3018" s="21">
        <v>30</v>
      </c>
      <c r="AD3018" s="21" t="s">
        <v>368</v>
      </c>
      <c r="AE3018" t="str">
        <f>VLOOKUP(Table_Query_from_Actuarial___Production3[[#This Row],[Kor1]],$AI$3:$AK$105,3,FALSE)</f>
        <v>Misc. Expense for Insolvent Companies</v>
      </c>
      <c r="AF3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19" spans="18:32" x14ac:dyDescent="0.2">
      <c r="R3019" t="s">
        <v>46</v>
      </c>
      <c r="S3019" t="s">
        <v>352</v>
      </c>
      <c r="T3019" t="s">
        <v>427</v>
      </c>
      <c r="U3019" s="21">
        <v>69.75</v>
      </c>
      <c r="V3019" s="21" t="s">
        <v>368</v>
      </c>
      <c r="W3019" t="str">
        <f>VLOOKUP(Table_Query_from_Actuarial___Production[[#This Row],[Kor1]],$AI$3:$AK$105,3,FALSE)</f>
        <v>Investment Income</v>
      </c>
      <c r="X3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019"/>
      <c r="Z3019" t="s">
        <v>25</v>
      </c>
      <c r="AA3019" t="s">
        <v>259</v>
      </c>
      <c r="AB3019" t="s">
        <v>427</v>
      </c>
      <c r="AC3019" s="21">
        <v>1204.56</v>
      </c>
      <c r="AD3019" s="21" t="s">
        <v>368</v>
      </c>
      <c r="AE3019" t="str">
        <f>VLOOKUP(Table_Query_from_Actuarial___Production3[[#This Row],[Kor1]],$AI$3:$AK$105,3,FALSE)</f>
        <v>Misc. Expense</v>
      </c>
      <c r="AF3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0" spans="18:32" x14ac:dyDescent="0.2">
      <c r="R3020" t="s">
        <v>14</v>
      </c>
      <c r="S3020" t="s">
        <v>261</v>
      </c>
      <c r="T3020" t="s">
        <v>443</v>
      </c>
      <c r="U3020" s="21">
        <v>6243.5</v>
      </c>
      <c r="V3020" s="21" t="s">
        <v>368</v>
      </c>
      <c r="W3020" t="str">
        <f>VLOOKUP(Table_Query_from_Actuarial___Production[[#This Row],[Kor1]],$AI$3:$AK$105,3,FALSE)</f>
        <v>Claims Expense</v>
      </c>
      <c r="X3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0"/>
      <c r="Z3020" t="s">
        <v>50</v>
      </c>
      <c r="AA3020" t="s">
        <v>264</v>
      </c>
      <c r="AB3020" t="s">
        <v>441</v>
      </c>
      <c r="AC3020" s="21">
        <v>90440.12</v>
      </c>
      <c r="AD3020" s="21" t="s">
        <v>368</v>
      </c>
      <c r="AE3020" t="str">
        <f>VLOOKUP(Table_Query_from_Actuarial___Production3[[#This Row],[Kor1]],$AI$3:$AK$105,3,FALSE)</f>
        <v>ALAE Reserve</v>
      </c>
      <c r="AF3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1" spans="18:32" x14ac:dyDescent="0.2">
      <c r="R3021" t="s">
        <v>20</v>
      </c>
      <c r="S3021" t="s">
        <v>260</v>
      </c>
      <c r="T3021" t="s">
        <v>9</v>
      </c>
      <c r="U3021" s="21">
        <v>24.06</v>
      </c>
      <c r="V3021" s="21" t="s">
        <v>368</v>
      </c>
      <c r="W3021" t="str">
        <f>VLOOKUP(Table_Query_from_Actuarial___Production[[#This Row],[Kor1]],$AI$3:$AK$105,3,FALSE)</f>
        <v>Misc. Expense</v>
      </c>
      <c r="X3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1"/>
      <c r="Z3021" t="s">
        <v>11</v>
      </c>
      <c r="AA3021" t="s">
        <v>236</v>
      </c>
      <c r="AB3021" t="s">
        <v>427</v>
      </c>
      <c r="AC3021" s="21">
        <v>38784.61</v>
      </c>
      <c r="AD3021" s="21" t="s">
        <v>368</v>
      </c>
      <c r="AE3021" t="str">
        <f>VLOOKUP(Table_Query_from_Actuarial___Production3[[#This Row],[Kor1]],$AI$3:$AK$105,3,FALSE)</f>
        <v>Losses Paid</v>
      </c>
      <c r="AF3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2" spans="18:32" x14ac:dyDescent="0.2">
      <c r="R3022" t="s">
        <v>33</v>
      </c>
      <c r="S3022" t="s">
        <v>233</v>
      </c>
      <c r="T3022" t="s">
        <v>8</v>
      </c>
      <c r="U3022" s="21">
        <v>15232.19</v>
      </c>
      <c r="V3022" s="21" t="s">
        <v>368</v>
      </c>
      <c r="W3022" t="str">
        <f>VLOOKUP(Table_Query_from_Actuarial___Production[[#This Row],[Kor1]],$AI$3:$AK$105,3,FALSE)</f>
        <v>Misc. Expense</v>
      </c>
      <c r="X3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2"/>
      <c r="Z3022" t="s">
        <v>41</v>
      </c>
      <c r="AA3022" t="s">
        <v>268</v>
      </c>
      <c r="AB3022" t="s">
        <v>6</v>
      </c>
      <c r="AC3022" s="21">
        <v>100</v>
      </c>
      <c r="AD3022" s="21" t="s">
        <v>368</v>
      </c>
      <c r="AE3022" t="str">
        <f>VLOOKUP(Table_Query_from_Actuarial___Production3[[#This Row],[Kor1]],$AI$3:$AK$105,3,FALSE)</f>
        <v>Misc. Income</v>
      </c>
      <c r="AF3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3" spans="18:32" x14ac:dyDescent="0.2">
      <c r="R3023" t="s">
        <v>13</v>
      </c>
      <c r="S3023" t="s">
        <v>224</v>
      </c>
      <c r="T3023" t="s">
        <v>433</v>
      </c>
      <c r="U3023" s="21">
        <v>2769.71</v>
      </c>
      <c r="V3023" s="21" t="s">
        <v>425</v>
      </c>
      <c r="W3023" t="str">
        <f>VLOOKUP(Table_Query_from_Actuarial___Production[[#This Row],[Kor1]],$AI$3:$AK$105,3,FALSE)</f>
        <v>Operating Service Fees</v>
      </c>
      <c r="X3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023"/>
      <c r="Z3023" t="s">
        <v>3</v>
      </c>
      <c r="AA3023" t="s">
        <v>240</v>
      </c>
      <c r="AB3023" t="s">
        <v>7</v>
      </c>
      <c r="AC3023" s="21">
        <v>1227688</v>
      </c>
      <c r="AD3023" s="21" t="s">
        <v>368</v>
      </c>
      <c r="AE3023" t="str">
        <f>VLOOKUP(Table_Query_from_Actuarial___Production3[[#This Row],[Kor1]],$AI$3:$AK$105,3,FALSE)</f>
        <v>Premiums Written</v>
      </c>
      <c r="AF3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4" spans="18:32" x14ac:dyDescent="0.2">
      <c r="R3024" t="s">
        <v>19</v>
      </c>
      <c r="S3024" t="s">
        <v>240</v>
      </c>
      <c r="T3024" t="s">
        <v>356</v>
      </c>
      <c r="U3024" s="21">
        <v>1886</v>
      </c>
      <c r="V3024" s="21" t="s">
        <v>368</v>
      </c>
      <c r="W3024" t="str">
        <f>VLOOKUP(Table_Query_from_Actuarial___Production[[#This Row],[Kor1]],$AI$3:$AK$105,3,FALSE)</f>
        <v>Misc. Expense for Insolvent Companies</v>
      </c>
      <c r="X3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4"/>
      <c r="Z3024" t="s">
        <v>12</v>
      </c>
      <c r="AA3024" t="s">
        <v>252</v>
      </c>
      <c r="AB3024" t="s">
        <v>441</v>
      </c>
      <c r="AC3024" s="21">
        <v>809167.77</v>
      </c>
      <c r="AD3024" s="21" t="s">
        <v>368</v>
      </c>
      <c r="AE3024" t="str">
        <f>VLOOKUP(Table_Query_from_Actuarial___Production3[[#This Row],[Kor1]],$AI$3:$AK$105,3,FALSE)</f>
        <v>Premium Tax</v>
      </c>
      <c r="AF3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5" spans="18:32" x14ac:dyDescent="0.2">
      <c r="R3025" t="s">
        <v>43</v>
      </c>
      <c r="S3025" t="s">
        <v>233</v>
      </c>
      <c r="T3025" t="s">
        <v>7</v>
      </c>
      <c r="U3025" s="21">
        <v>1070.97</v>
      </c>
      <c r="V3025" s="21" t="s">
        <v>368</v>
      </c>
      <c r="W3025" t="str">
        <f>VLOOKUP(Table_Query_from_Actuarial___Production[[#This Row],[Kor1]],$AI$3:$AK$105,3,FALSE)</f>
        <v>Charge-offs</v>
      </c>
      <c r="X3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5"/>
      <c r="Z3025" t="s">
        <v>3</v>
      </c>
      <c r="AA3025" t="s">
        <v>256</v>
      </c>
      <c r="AB3025" t="s">
        <v>442</v>
      </c>
      <c r="AC3025" s="21">
        <v>61788</v>
      </c>
      <c r="AD3025" s="21" t="s">
        <v>368</v>
      </c>
      <c r="AE3025" t="str">
        <f>VLOOKUP(Table_Query_from_Actuarial___Production3[[#This Row],[Kor1]],$AI$3:$AK$105,3,FALSE)</f>
        <v>Premiums Written</v>
      </c>
      <c r="AF3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6" spans="18:32" x14ac:dyDescent="0.2">
      <c r="R3026" t="s">
        <v>3</v>
      </c>
      <c r="S3026" t="s">
        <v>230</v>
      </c>
      <c r="T3026" t="s">
        <v>356</v>
      </c>
      <c r="U3026" s="21">
        <v>27265700</v>
      </c>
      <c r="V3026" s="21" t="s">
        <v>368</v>
      </c>
      <c r="W3026" t="str">
        <f>VLOOKUP(Table_Query_from_Actuarial___Production[[#This Row],[Kor1]],$AI$3:$AK$105,3,FALSE)</f>
        <v>Premiums Written</v>
      </c>
      <c r="X3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6"/>
      <c r="Z3026" t="s">
        <v>12</v>
      </c>
      <c r="AA3026" t="s">
        <v>257</v>
      </c>
      <c r="AB3026" t="s">
        <v>433</v>
      </c>
      <c r="AC3026" s="21">
        <v>32869.980000000003</v>
      </c>
      <c r="AD3026" s="21" t="s">
        <v>368</v>
      </c>
      <c r="AE3026" t="str">
        <f>VLOOKUP(Table_Query_from_Actuarial___Production3[[#This Row],[Kor1]],$AI$3:$AK$105,3,FALSE)</f>
        <v>Premium Tax</v>
      </c>
      <c r="AF3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7" spans="18:32" x14ac:dyDescent="0.2">
      <c r="R3027" t="s">
        <v>3</v>
      </c>
      <c r="S3027" t="s">
        <v>225</v>
      </c>
      <c r="T3027" t="s">
        <v>8</v>
      </c>
      <c r="U3027" s="21">
        <v>538443.71</v>
      </c>
      <c r="V3027" s="21" t="s">
        <v>369</v>
      </c>
      <c r="W3027" t="str">
        <f>VLOOKUP(Table_Query_from_Actuarial___Production[[#This Row],[Kor1]],$AI$3:$AK$105,3,FALSE)</f>
        <v>Premiums Written</v>
      </c>
      <c r="X3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027"/>
      <c r="Z3027" t="s">
        <v>25</v>
      </c>
      <c r="AA3027" t="s">
        <v>259</v>
      </c>
      <c r="AB3027" t="s">
        <v>7</v>
      </c>
      <c r="AC3027" s="21">
        <v>248.95</v>
      </c>
      <c r="AD3027" s="21" t="s">
        <v>368</v>
      </c>
      <c r="AE3027" t="str">
        <f>VLOOKUP(Table_Query_from_Actuarial___Production3[[#This Row],[Kor1]],$AI$3:$AK$105,3,FALSE)</f>
        <v>Misc. Expense</v>
      </c>
      <c r="AF3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8" spans="18:32" x14ac:dyDescent="0.2">
      <c r="R3028" t="s">
        <v>33</v>
      </c>
      <c r="S3028" t="s">
        <v>235</v>
      </c>
      <c r="T3028" t="s">
        <v>442</v>
      </c>
      <c r="U3028" s="21">
        <v>16527.189999999999</v>
      </c>
      <c r="V3028" s="21" t="s">
        <v>368</v>
      </c>
      <c r="W3028" t="str">
        <f>VLOOKUP(Table_Query_from_Actuarial___Production[[#This Row],[Kor1]],$AI$3:$AK$105,3,FALSE)</f>
        <v>Misc. Expense</v>
      </c>
      <c r="X3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8"/>
      <c r="Z3028" t="s">
        <v>16</v>
      </c>
      <c r="AA3028" t="s">
        <v>244</v>
      </c>
      <c r="AB3028" t="s">
        <v>441</v>
      </c>
      <c r="AC3028" s="21">
        <v>1320572.6100000001</v>
      </c>
      <c r="AD3028" s="21" t="s">
        <v>368</v>
      </c>
      <c r="AE3028" t="str">
        <f>VLOOKUP(Table_Query_from_Actuarial___Production3[[#This Row],[Kor1]],$AI$3:$AK$105,3,FALSE)</f>
        <v>Losses Outstanding</v>
      </c>
      <c r="AF3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29" spans="18:32" x14ac:dyDescent="0.2">
      <c r="R3029" t="s">
        <v>33</v>
      </c>
      <c r="S3029" t="s">
        <v>259</v>
      </c>
      <c r="T3029" t="s">
        <v>7</v>
      </c>
      <c r="U3029" s="21">
        <v>18414.490000000002</v>
      </c>
      <c r="V3029" s="21" t="s">
        <v>368</v>
      </c>
      <c r="W3029" t="str">
        <f>VLOOKUP(Table_Query_from_Actuarial___Production[[#This Row],[Kor1]],$AI$3:$AK$105,3,FALSE)</f>
        <v>Misc. Expense</v>
      </c>
      <c r="X3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29"/>
      <c r="Z3029" t="s">
        <v>48</v>
      </c>
      <c r="AA3029" t="s">
        <v>231</v>
      </c>
      <c r="AB3029" t="s">
        <v>433</v>
      </c>
      <c r="AC3029" s="21">
        <v>10804.03</v>
      </c>
      <c r="AD3029" s="21" t="s">
        <v>368</v>
      </c>
      <c r="AE3029" t="str">
        <f>VLOOKUP(Table_Query_from_Actuarial___Production3[[#This Row],[Kor1]],$AI$3:$AK$105,3,FALSE)</f>
        <v>Anticipated Salvage</v>
      </c>
      <c r="AF3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0" spans="18:32" x14ac:dyDescent="0.2">
      <c r="R3030" t="s">
        <v>47</v>
      </c>
      <c r="S3030" t="s">
        <v>264</v>
      </c>
      <c r="T3030" t="s">
        <v>6</v>
      </c>
      <c r="U3030" s="21">
        <v>0.19</v>
      </c>
      <c r="V3030" s="21" t="s">
        <v>368</v>
      </c>
      <c r="W3030" t="str">
        <f>VLOOKUP(Table_Query_from_Actuarial___Production[[#This Row],[Kor1]],$AI$3:$AK$105,3,FALSE)</f>
        <v>Investment Income</v>
      </c>
      <c r="X3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0"/>
      <c r="Z3030" t="s">
        <v>167</v>
      </c>
      <c r="AA3030" t="s">
        <v>354</v>
      </c>
      <c r="AB3030" t="s">
        <v>5</v>
      </c>
      <c r="AC3030" s="21">
        <v>10598444</v>
      </c>
      <c r="AD3030" s="21" t="s">
        <v>368</v>
      </c>
      <c r="AE3030" t="str">
        <f>VLOOKUP(Table_Query_from_Actuarial___Production3[[#This Row],[Kor1]],$AI$3:$AK$105,3,FALSE)</f>
        <v>Recoupment</v>
      </c>
      <c r="AF3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031" spans="18:32" x14ac:dyDescent="0.2">
      <c r="R3031" t="s">
        <v>49</v>
      </c>
      <c r="S3031" t="s">
        <v>241</v>
      </c>
      <c r="T3031" t="s">
        <v>7</v>
      </c>
      <c r="U3031" s="21">
        <v>68777.279999999999</v>
      </c>
      <c r="V3031" s="21" t="s">
        <v>368</v>
      </c>
      <c r="W3031" t="str">
        <f>VLOOKUP(Table_Query_from_Actuarial___Production[[#This Row],[Kor1]],$AI$3:$AK$105,3,FALSE)</f>
        <v>ALAE Paid</v>
      </c>
      <c r="X3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1"/>
      <c r="Z3031" t="s">
        <v>43</v>
      </c>
      <c r="AA3031" t="s">
        <v>225</v>
      </c>
      <c r="AB3031" t="s">
        <v>8</v>
      </c>
      <c r="AC3031" s="21">
        <v>-6664.65</v>
      </c>
      <c r="AD3031" s="21" t="s">
        <v>368</v>
      </c>
      <c r="AE3031" t="str">
        <f>VLOOKUP(Table_Query_from_Actuarial___Production3[[#This Row],[Kor1]],$AI$3:$AK$105,3,FALSE)</f>
        <v>Charge-offs</v>
      </c>
      <c r="AF3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032" spans="18:32" x14ac:dyDescent="0.2">
      <c r="R3032" t="s">
        <v>46</v>
      </c>
      <c r="S3032" t="s">
        <v>224</v>
      </c>
      <c r="T3032" t="s">
        <v>9</v>
      </c>
      <c r="U3032" s="21">
        <v>12670.92</v>
      </c>
      <c r="V3032" s="21" t="s">
        <v>370</v>
      </c>
      <c r="W3032" t="str">
        <f>VLOOKUP(Table_Query_from_Actuarial___Production[[#This Row],[Kor1]],$AI$3:$AK$105,3,FALSE)</f>
        <v>Investment Income</v>
      </c>
      <c r="X3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032"/>
      <c r="Z3032" t="s">
        <v>38</v>
      </c>
      <c r="AA3032" t="s">
        <v>225</v>
      </c>
      <c r="AB3032" t="s">
        <v>443</v>
      </c>
      <c r="AC3032" s="21">
        <v>540.76</v>
      </c>
      <c r="AD3032" s="21" t="s">
        <v>369</v>
      </c>
      <c r="AE3032" t="str">
        <f>VLOOKUP(Table_Query_from_Actuarial___Production3[[#This Row],[Kor1]],$AI$3:$AK$105,3,FALSE)</f>
        <v>Misc. Income</v>
      </c>
      <c r="AF3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033" spans="18:32" x14ac:dyDescent="0.2">
      <c r="R3033" t="s">
        <v>20</v>
      </c>
      <c r="S3033" t="s">
        <v>236</v>
      </c>
      <c r="T3033" t="s">
        <v>427</v>
      </c>
      <c r="U3033" s="21">
        <v>170.21</v>
      </c>
      <c r="V3033" s="21" t="s">
        <v>368</v>
      </c>
      <c r="W3033" t="str">
        <f>VLOOKUP(Table_Query_from_Actuarial___Production[[#This Row],[Kor1]],$AI$3:$AK$105,3,FALSE)</f>
        <v>Misc. Expense</v>
      </c>
      <c r="X3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3"/>
      <c r="Z3033" t="s">
        <v>3</v>
      </c>
      <c r="AA3033" t="s">
        <v>234</v>
      </c>
      <c r="AB3033" t="s">
        <v>351</v>
      </c>
      <c r="AC3033" s="21">
        <v>584276</v>
      </c>
      <c r="AD3033" s="21" t="s">
        <v>368</v>
      </c>
      <c r="AE3033" t="str">
        <f>VLOOKUP(Table_Query_from_Actuarial___Production3[[#This Row],[Kor1]],$AI$3:$AK$105,3,FALSE)</f>
        <v>Premiums Written</v>
      </c>
      <c r="AF3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4" spans="18:32" x14ac:dyDescent="0.2">
      <c r="R3034" t="s">
        <v>40</v>
      </c>
      <c r="S3034" t="s">
        <v>239</v>
      </c>
      <c r="T3034" t="s">
        <v>351</v>
      </c>
      <c r="U3034" s="21">
        <v>205.98</v>
      </c>
      <c r="V3034" s="21" t="s">
        <v>368</v>
      </c>
      <c r="W3034" t="str">
        <f>VLOOKUP(Table_Query_from_Actuarial___Production[[#This Row],[Kor1]],$AI$3:$AK$105,3,FALSE)</f>
        <v>Misc. Income</v>
      </c>
      <c r="X3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4"/>
      <c r="Z3034" t="s">
        <v>20</v>
      </c>
      <c r="AA3034" t="s">
        <v>253</v>
      </c>
      <c r="AB3034" t="s">
        <v>427</v>
      </c>
      <c r="AC3034" s="21">
        <v>85.11</v>
      </c>
      <c r="AD3034" s="21" t="s">
        <v>368</v>
      </c>
      <c r="AE3034" t="str">
        <f>VLOOKUP(Table_Query_from_Actuarial___Production3[[#This Row],[Kor1]],$AI$3:$AK$105,3,FALSE)</f>
        <v>Misc. Expense</v>
      </c>
      <c r="AF3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5" spans="18:32" x14ac:dyDescent="0.2">
      <c r="R3035" t="s">
        <v>43</v>
      </c>
      <c r="S3035" t="s">
        <v>238</v>
      </c>
      <c r="T3035" t="s">
        <v>8</v>
      </c>
      <c r="U3035" s="21">
        <v>-20.05</v>
      </c>
      <c r="V3035" s="21" t="s">
        <v>368</v>
      </c>
      <c r="W3035" t="str">
        <f>VLOOKUP(Table_Query_from_Actuarial___Production[[#This Row],[Kor1]],$AI$3:$AK$105,3,FALSE)</f>
        <v>Charge-offs</v>
      </c>
      <c r="X3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5"/>
      <c r="Z3035" t="s">
        <v>48</v>
      </c>
      <c r="AA3035" t="s">
        <v>232</v>
      </c>
      <c r="AB3035" t="s">
        <v>443</v>
      </c>
      <c r="AC3035" s="21">
        <v>2372.61</v>
      </c>
      <c r="AD3035" s="21" t="s">
        <v>368</v>
      </c>
      <c r="AE3035" t="str">
        <f>VLOOKUP(Table_Query_from_Actuarial___Production3[[#This Row],[Kor1]],$AI$3:$AK$105,3,FALSE)</f>
        <v>Anticipated Salvage</v>
      </c>
      <c r="AF3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6" spans="18:32" x14ac:dyDescent="0.2">
      <c r="R3036" t="s">
        <v>41</v>
      </c>
      <c r="S3036" t="s">
        <v>254</v>
      </c>
      <c r="T3036" t="s">
        <v>351</v>
      </c>
      <c r="U3036" s="21">
        <v>300.02</v>
      </c>
      <c r="V3036" s="21" t="s">
        <v>368</v>
      </c>
      <c r="W3036" t="str">
        <f>VLOOKUP(Table_Query_from_Actuarial___Production[[#This Row],[Kor1]],$AI$3:$AK$105,3,FALSE)</f>
        <v>Misc. Income</v>
      </c>
      <c r="X3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6"/>
      <c r="Z3036" t="s">
        <v>11</v>
      </c>
      <c r="AA3036" t="s">
        <v>226</v>
      </c>
      <c r="AB3036" t="s">
        <v>6</v>
      </c>
      <c r="AC3036" s="21">
        <v>4623390.93</v>
      </c>
      <c r="AD3036" s="21" t="s">
        <v>368</v>
      </c>
      <c r="AE3036" t="str">
        <f>VLOOKUP(Table_Query_from_Actuarial___Production3[[#This Row],[Kor1]],$AI$3:$AK$105,3,FALSE)</f>
        <v>Losses Paid</v>
      </c>
      <c r="AF3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037" spans="18:32" x14ac:dyDescent="0.2">
      <c r="R3037" t="s">
        <v>31</v>
      </c>
      <c r="S3037" t="s">
        <v>268</v>
      </c>
      <c r="T3037" t="s">
        <v>8</v>
      </c>
      <c r="U3037" s="21">
        <v>557.41999999999996</v>
      </c>
      <c r="V3037" s="21" t="s">
        <v>368</v>
      </c>
      <c r="W3037" t="str">
        <f>VLOOKUP(Table_Query_from_Actuarial___Production[[#This Row],[Kor1]],$AI$3:$AK$105,3,FALSE)</f>
        <v>Misc. Expense</v>
      </c>
      <c r="X3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7"/>
      <c r="Z3037" t="s">
        <v>11</v>
      </c>
      <c r="AA3037" t="s">
        <v>354</v>
      </c>
      <c r="AB3037" t="s">
        <v>443</v>
      </c>
      <c r="AC3037" s="21">
        <v>72494923.090000004</v>
      </c>
      <c r="AD3037" s="21" t="s">
        <v>369</v>
      </c>
      <c r="AE3037" t="str">
        <f>VLOOKUP(Table_Query_from_Actuarial___Production3[[#This Row],[Kor1]],$AI$3:$AK$105,3,FALSE)</f>
        <v>Losses Paid</v>
      </c>
      <c r="AF3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038" spans="18:32" x14ac:dyDescent="0.2">
      <c r="R3038" t="s">
        <v>77</v>
      </c>
      <c r="S3038" t="s">
        <v>246</v>
      </c>
      <c r="T3038" t="s">
        <v>443</v>
      </c>
      <c r="U3038" s="21">
        <v>48204</v>
      </c>
      <c r="V3038" s="21" t="s">
        <v>368</v>
      </c>
      <c r="W3038" t="str">
        <f>VLOOKUP(Table_Query_from_Actuarial___Production[[#This Row],[Kor1]],$AI$3:$AK$105,3,FALSE)</f>
        <v>PDR</v>
      </c>
      <c r="X3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8"/>
      <c r="Z3038" t="s">
        <v>48</v>
      </c>
      <c r="AA3038" t="s">
        <v>230</v>
      </c>
      <c r="AB3038" t="s">
        <v>356</v>
      </c>
      <c r="AC3038" s="21">
        <v>3255.7</v>
      </c>
      <c r="AD3038" s="21" t="s">
        <v>368</v>
      </c>
      <c r="AE3038" t="str">
        <f>VLOOKUP(Table_Query_from_Actuarial___Production3[[#This Row],[Kor1]],$AI$3:$AK$105,3,FALSE)</f>
        <v>Anticipated Salvage</v>
      </c>
      <c r="AF3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39" spans="18:32" x14ac:dyDescent="0.2">
      <c r="R3039" t="s">
        <v>47</v>
      </c>
      <c r="S3039" t="s">
        <v>246</v>
      </c>
      <c r="T3039" t="s">
        <v>442</v>
      </c>
      <c r="U3039" s="21">
        <v>2259.9</v>
      </c>
      <c r="V3039" s="21" t="s">
        <v>368</v>
      </c>
      <c r="W3039" t="str">
        <f>VLOOKUP(Table_Query_from_Actuarial___Production[[#This Row],[Kor1]],$AI$3:$AK$105,3,FALSE)</f>
        <v>Investment Income</v>
      </c>
      <c r="X3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39"/>
      <c r="Z3039" t="s">
        <v>34</v>
      </c>
      <c r="AA3039" t="s">
        <v>237</v>
      </c>
      <c r="AB3039" t="s">
        <v>443</v>
      </c>
      <c r="AC3039" s="21">
        <v>226586.09</v>
      </c>
      <c r="AD3039" s="21" t="s">
        <v>368</v>
      </c>
      <c r="AE3039" t="str">
        <f>VLOOKUP(Table_Query_from_Actuarial___Production3[[#This Row],[Kor1]],$AI$3:$AK$105,3,FALSE)</f>
        <v>Misc. Expense</v>
      </c>
      <c r="AF3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0" spans="18:32" x14ac:dyDescent="0.2">
      <c r="R3040" t="s">
        <v>13</v>
      </c>
      <c r="S3040" t="s">
        <v>225</v>
      </c>
      <c r="T3040" t="s">
        <v>445</v>
      </c>
      <c r="U3040" s="21">
        <v>40260.480000000003</v>
      </c>
      <c r="V3040" s="21" t="s">
        <v>369</v>
      </c>
      <c r="W3040" t="str">
        <f>VLOOKUP(Table_Query_from_Actuarial___Production[[#This Row],[Kor1]],$AI$3:$AK$105,3,FALSE)</f>
        <v>Operating Service Fees</v>
      </c>
      <c r="X3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040"/>
      <c r="Z3040" t="s">
        <v>40</v>
      </c>
      <c r="AA3040" t="s">
        <v>251</v>
      </c>
      <c r="AB3040" t="s">
        <v>5</v>
      </c>
      <c r="AC3040" s="21">
        <v>6</v>
      </c>
      <c r="AD3040" s="21" t="s">
        <v>368</v>
      </c>
      <c r="AE3040" t="str">
        <f>VLOOKUP(Table_Query_from_Actuarial___Production3[[#This Row],[Kor1]],$AI$3:$AK$105,3,FALSE)</f>
        <v>Misc. Income</v>
      </c>
      <c r="AF3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1" spans="18:32" x14ac:dyDescent="0.2">
      <c r="R3041" t="s">
        <v>43</v>
      </c>
      <c r="S3041" t="s">
        <v>227</v>
      </c>
      <c r="T3041" t="s">
        <v>8</v>
      </c>
      <c r="U3041" s="21">
        <v>266.13</v>
      </c>
      <c r="V3041" s="21" t="s">
        <v>368</v>
      </c>
      <c r="W3041" t="str">
        <f>VLOOKUP(Table_Query_from_Actuarial___Production[[#This Row],[Kor1]],$AI$3:$AK$105,3,FALSE)</f>
        <v>Charge-offs</v>
      </c>
      <c r="X3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1"/>
      <c r="Z3041" t="s">
        <v>44</v>
      </c>
      <c r="AA3041" t="s">
        <v>224</v>
      </c>
      <c r="AB3041" t="s">
        <v>427</v>
      </c>
      <c r="AC3041" s="21">
        <v>547.79999999999995</v>
      </c>
      <c r="AD3041" s="21" t="s">
        <v>369</v>
      </c>
      <c r="AE3041" t="str">
        <f>VLOOKUP(Table_Query_from_Actuarial___Production3[[#This Row],[Kor1]],$AI$3:$AK$105,3,FALSE)</f>
        <v>Charge-offs</v>
      </c>
      <c r="AF3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042" spans="18:32" x14ac:dyDescent="0.2">
      <c r="R3042" t="s">
        <v>33</v>
      </c>
      <c r="S3042" t="s">
        <v>266</v>
      </c>
      <c r="T3042" t="s">
        <v>9</v>
      </c>
      <c r="U3042" s="21">
        <v>15749.21</v>
      </c>
      <c r="V3042" s="21" t="s">
        <v>368</v>
      </c>
      <c r="W3042" t="str">
        <f>VLOOKUP(Table_Query_from_Actuarial___Production[[#This Row],[Kor1]],$AI$3:$AK$105,3,FALSE)</f>
        <v>Misc. Expense</v>
      </c>
      <c r="X3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2"/>
      <c r="Z3042" t="s">
        <v>10</v>
      </c>
      <c r="AA3042" t="s">
        <v>227</v>
      </c>
      <c r="AB3042" t="s">
        <v>6</v>
      </c>
      <c r="AC3042" s="21">
        <v>76254.7</v>
      </c>
      <c r="AD3042" s="21" t="s">
        <v>368</v>
      </c>
      <c r="AE3042" t="str">
        <f>VLOOKUP(Table_Query_from_Actuarial___Production3[[#This Row],[Kor1]],$AI$3:$AK$105,3,FALSE)</f>
        <v>Commissions</v>
      </c>
      <c r="AF3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3" spans="18:32" x14ac:dyDescent="0.2">
      <c r="R3043" t="s">
        <v>35</v>
      </c>
      <c r="S3043" t="s">
        <v>4</v>
      </c>
      <c r="T3043" t="s">
        <v>442</v>
      </c>
      <c r="U3043" s="21">
        <v>776.18</v>
      </c>
      <c r="V3043" s="21" t="s">
        <v>368</v>
      </c>
      <c r="W3043" t="str">
        <f>VLOOKUP(Table_Query_from_Actuarial___Production[[#This Row],[Kor1]],$AI$3:$AK$105,3,FALSE)</f>
        <v>Misc. Expense</v>
      </c>
      <c r="X3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3"/>
      <c r="Z3043" t="s">
        <v>29</v>
      </c>
      <c r="AA3043" t="s">
        <v>4</v>
      </c>
      <c r="AB3043" t="s">
        <v>9</v>
      </c>
      <c r="AC3043" s="21">
        <v>466.7</v>
      </c>
      <c r="AD3043" s="21" t="s">
        <v>368</v>
      </c>
      <c r="AE3043" t="str">
        <f>VLOOKUP(Table_Query_from_Actuarial___Production3[[#This Row],[Kor1]],$AI$3:$AK$105,3,FALSE)</f>
        <v>Misc. Expense</v>
      </c>
      <c r="AF3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4" spans="18:32" x14ac:dyDescent="0.2">
      <c r="R3044" t="s">
        <v>11</v>
      </c>
      <c r="S3044" t="s">
        <v>252</v>
      </c>
      <c r="T3044" t="s">
        <v>445</v>
      </c>
      <c r="U3044" s="21">
        <v>64715.8</v>
      </c>
      <c r="V3044" s="21" t="s">
        <v>368</v>
      </c>
      <c r="W3044" t="str">
        <f>VLOOKUP(Table_Query_from_Actuarial___Production[[#This Row],[Kor1]],$AI$3:$AK$105,3,FALSE)</f>
        <v>Losses Paid</v>
      </c>
      <c r="X3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4"/>
      <c r="Z3044" t="s">
        <v>47</v>
      </c>
      <c r="AA3044" t="s">
        <v>248</v>
      </c>
      <c r="AB3044" t="s">
        <v>8</v>
      </c>
      <c r="AC3044" s="21">
        <v>0.08</v>
      </c>
      <c r="AD3044" s="21" t="s">
        <v>368</v>
      </c>
      <c r="AE3044" t="str">
        <f>VLOOKUP(Table_Query_from_Actuarial___Production3[[#This Row],[Kor1]],$AI$3:$AK$105,3,FALSE)</f>
        <v>Investment Income</v>
      </c>
      <c r="AF3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5" spans="18:32" x14ac:dyDescent="0.2">
      <c r="R3045" t="s">
        <v>13</v>
      </c>
      <c r="S3045" t="s">
        <v>255</v>
      </c>
      <c r="T3045" t="s">
        <v>443</v>
      </c>
      <c r="U3045" s="21">
        <v>66899.56</v>
      </c>
      <c r="V3045" s="21" t="s">
        <v>368</v>
      </c>
      <c r="W3045" t="str">
        <f>VLOOKUP(Table_Query_from_Actuarial___Production[[#This Row],[Kor1]],$AI$3:$AK$105,3,FALSE)</f>
        <v>Operating Service Fees</v>
      </c>
      <c r="X3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5"/>
      <c r="Z3045" t="s">
        <v>20</v>
      </c>
      <c r="AA3045" t="s">
        <v>247</v>
      </c>
      <c r="AB3045" t="s">
        <v>6</v>
      </c>
      <c r="AC3045" s="21">
        <v>113.37</v>
      </c>
      <c r="AD3045" s="21" t="s">
        <v>368</v>
      </c>
      <c r="AE3045" t="str">
        <f>VLOOKUP(Table_Query_from_Actuarial___Production3[[#This Row],[Kor1]],$AI$3:$AK$105,3,FALSE)</f>
        <v>Misc. Expense</v>
      </c>
      <c r="AF3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6" spans="18:32" x14ac:dyDescent="0.2">
      <c r="R3046" t="s">
        <v>25</v>
      </c>
      <c r="S3046" t="s">
        <v>250</v>
      </c>
      <c r="T3046" t="s">
        <v>356</v>
      </c>
      <c r="U3046" s="21">
        <v>696.98</v>
      </c>
      <c r="V3046" s="21" t="s">
        <v>368</v>
      </c>
      <c r="W3046" t="str">
        <f>VLOOKUP(Table_Query_from_Actuarial___Production[[#This Row],[Kor1]],$AI$3:$AK$105,3,FALSE)</f>
        <v>Misc. Expense</v>
      </c>
      <c r="X3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6"/>
      <c r="Z3046" t="s">
        <v>12</v>
      </c>
      <c r="AA3046" t="s">
        <v>255</v>
      </c>
      <c r="AB3046" t="s">
        <v>7</v>
      </c>
      <c r="AC3046" s="21">
        <v>3209.63</v>
      </c>
      <c r="AD3046" s="21" t="s">
        <v>368</v>
      </c>
      <c r="AE3046" t="str">
        <f>VLOOKUP(Table_Query_from_Actuarial___Production3[[#This Row],[Kor1]],$AI$3:$AK$105,3,FALSE)</f>
        <v>Premium Tax</v>
      </c>
      <c r="AF3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7" spans="18:32" x14ac:dyDescent="0.2">
      <c r="R3047" t="s">
        <v>47</v>
      </c>
      <c r="S3047" t="s">
        <v>257</v>
      </c>
      <c r="T3047" t="s">
        <v>433</v>
      </c>
      <c r="U3047" s="21">
        <v>11307.5</v>
      </c>
      <c r="V3047" s="21" t="s">
        <v>368</v>
      </c>
      <c r="W3047" t="str">
        <f>VLOOKUP(Table_Query_from_Actuarial___Production[[#This Row],[Kor1]],$AI$3:$AK$105,3,FALSE)</f>
        <v>Investment Income</v>
      </c>
      <c r="X3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7"/>
      <c r="Z3047" t="s">
        <v>10</v>
      </c>
      <c r="AA3047" t="s">
        <v>253</v>
      </c>
      <c r="AB3047" t="s">
        <v>8</v>
      </c>
      <c r="AC3047" s="21">
        <v>560.79999999999995</v>
      </c>
      <c r="AD3047" s="21" t="s">
        <v>368</v>
      </c>
      <c r="AE3047" t="str">
        <f>VLOOKUP(Table_Query_from_Actuarial___Production3[[#This Row],[Kor1]],$AI$3:$AK$105,3,FALSE)</f>
        <v>Commissions</v>
      </c>
      <c r="AF3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8" spans="18:32" x14ac:dyDescent="0.2">
      <c r="R3048" t="s">
        <v>14</v>
      </c>
      <c r="S3048" t="s">
        <v>249</v>
      </c>
      <c r="T3048" t="s">
        <v>445</v>
      </c>
      <c r="U3048" s="21">
        <v>3099.04</v>
      </c>
      <c r="V3048" s="21" t="s">
        <v>368</v>
      </c>
      <c r="W3048" t="str">
        <f>VLOOKUP(Table_Query_from_Actuarial___Production[[#This Row],[Kor1]],$AI$3:$AK$105,3,FALSE)</f>
        <v>Claims Expense</v>
      </c>
      <c r="X3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8"/>
      <c r="Z3048" t="s">
        <v>19</v>
      </c>
      <c r="AA3048" t="s">
        <v>248</v>
      </c>
      <c r="AB3048" t="s">
        <v>427</v>
      </c>
      <c r="AC3048" s="21">
        <v>92</v>
      </c>
      <c r="AD3048" s="21" t="s">
        <v>368</v>
      </c>
      <c r="AE3048" t="str">
        <f>VLOOKUP(Table_Query_from_Actuarial___Production3[[#This Row],[Kor1]],$AI$3:$AK$105,3,FALSE)</f>
        <v>Misc. Expense for Insolvent Companies</v>
      </c>
      <c r="AF3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49" spans="18:32" x14ac:dyDescent="0.2">
      <c r="R3049" t="s">
        <v>50</v>
      </c>
      <c r="S3049" t="s">
        <v>257</v>
      </c>
      <c r="T3049" t="s">
        <v>441</v>
      </c>
      <c r="U3049" s="21">
        <v>88623.91</v>
      </c>
      <c r="V3049" s="21" t="s">
        <v>368</v>
      </c>
      <c r="W3049" t="str">
        <f>VLOOKUP(Table_Query_from_Actuarial___Production[[#This Row],[Kor1]],$AI$3:$AK$105,3,FALSE)</f>
        <v>ALAE Reserve</v>
      </c>
      <c r="X3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49"/>
      <c r="Z3049" t="s">
        <v>37</v>
      </c>
      <c r="AA3049" t="s">
        <v>266</v>
      </c>
      <c r="AB3049" t="s">
        <v>433</v>
      </c>
      <c r="AC3049" s="21">
        <v>2669.91</v>
      </c>
      <c r="AD3049" s="21" t="s">
        <v>368</v>
      </c>
      <c r="AE3049" t="str">
        <f>VLOOKUP(Table_Query_from_Actuarial___Production3[[#This Row],[Kor1]],$AI$3:$AK$105,3,FALSE)</f>
        <v>Misc. Expense</v>
      </c>
      <c r="AF3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0" spans="18:32" x14ac:dyDescent="0.2">
      <c r="R3050" t="s">
        <v>13</v>
      </c>
      <c r="S3050" t="s">
        <v>224</v>
      </c>
      <c r="T3050" t="s">
        <v>6</v>
      </c>
      <c r="U3050" s="21">
        <v>12116.68</v>
      </c>
      <c r="V3050" s="21" t="s">
        <v>369</v>
      </c>
      <c r="W3050" t="str">
        <f>VLOOKUP(Table_Query_from_Actuarial___Production[[#This Row],[Kor1]],$AI$3:$AK$105,3,FALSE)</f>
        <v>Operating Service Fees</v>
      </c>
      <c r="X3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050"/>
      <c r="Z3050" t="s">
        <v>11</v>
      </c>
      <c r="AA3050" t="s">
        <v>239</v>
      </c>
      <c r="AB3050" t="s">
        <v>356</v>
      </c>
      <c r="AC3050" s="21">
        <v>507451.34</v>
      </c>
      <c r="AD3050" s="21" t="s">
        <v>368</v>
      </c>
      <c r="AE3050" t="str">
        <f>VLOOKUP(Table_Query_from_Actuarial___Production3[[#This Row],[Kor1]],$AI$3:$AK$105,3,FALSE)</f>
        <v>Losses Paid</v>
      </c>
      <c r="AF3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1" spans="18:32" x14ac:dyDescent="0.2">
      <c r="R3051" t="s">
        <v>12</v>
      </c>
      <c r="S3051" t="s">
        <v>253</v>
      </c>
      <c r="T3051" t="s">
        <v>8</v>
      </c>
      <c r="U3051" s="21">
        <v>112.16</v>
      </c>
      <c r="V3051" s="21" t="s">
        <v>368</v>
      </c>
      <c r="W3051" t="str">
        <f>VLOOKUP(Table_Query_from_Actuarial___Production[[#This Row],[Kor1]],$AI$3:$AK$105,3,FALSE)</f>
        <v>Premium Tax</v>
      </c>
      <c r="X3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1"/>
      <c r="Z3051" t="s">
        <v>21</v>
      </c>
      <c r="AA3051" t="s">
        <v>257</v>
      </c>
      <c r="AB3051" t="s">
        <v>441</v>
      </c>
      <c r="AC3051" s="21">
        <v>2497.73</v>
      </c>
      <c r="AD3051" s="21" t="s">
        <v>368</v>
      </c>
      <c r="AE3051" t="str">
        <f>VLOOKUP(Table_Query_from_Actuarial___Production3[[#This Row],[Kor1]],$AI$3:$AK$105,3,FALSE)</f>
        <v>Misc. Expense</v>
      </c>
      <c r="AF3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2" spans="18:32" x14ac:dyDescent="0.2">
      <c r="R3052" t="s">
        <v>14</v>
      </c>
      <c r="S3052" t="s">
        <v>247</v>
      </c>
      <c r="T3052" t="s">
        <v>8</v>
      </c>
      <c r="U3052" s="21">
        <v>229.17</v>
      </c>
      <c r="V3052" s="21" t="s">
        <v>368</v>
      </c>
      <c r="W3052" t="str">
        <f>VLOOKUP(Table_Query_from_Actuarial___Production[[#This Row],[Kor1]],$AI$3:$AK$105,3,FALSE)</f>
        <v>Claims Expense</v>
      </c>
      <c r="X3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2"/>
      <c r="Z3052" t="s">
        <v>39</v>
      </c>
      <c r="AA3052" t="s">
        <v>249</v>
      </c>
      <c r="AB3052" t="s">
        <v>8</v>
      </c>
      <c r="AC3052" s="21">
        <v>2063.0100000000002</v>
      </c>
      <c r="AD3052" s="21" t="s">
        <v>368</v>
      </c>
      <c r="AE3052" t="str">
        <f>VLOOKUP(Table_Query_from_Actuarial___Production3[[#This Row],[Kor1]],$AI$3:$AK$105,3,FALSE)</f>
        <v>Misc. Income for Insolvent Companies</v>
      </c>
      <c r="AF3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3" spans="18:32" x14ac:dyDescent="0.2">
      <c r="R3053" t="s">
        <v>33</v>
      </c>
      <c r="S3053" t="s">
        <v>267</v>
      </c>
      <c r="T3053" t="s">
        <v>6</v>
      </c>
      <c r="U3053" s="21">
        <v>16036.5</v>
      </c>
      <c r="V3053" s="21" t="s">
        <v>368</v>
      </c>
      <c r="W3053" t="str">
        <f>VLOOKUP(Table_Query_from_Actuarial___Production[[#This Row],[Kor1]],$AI$3:$AK$105,3,FALSE)</f>
        <v>Misc. Expense</v>
      </c>
      <c r="X3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3"/>
      <c r="Z3053" t="s">
        <v>14</v>
      </c>
      <c r="AA3053" t="s">
        <v>263</v>
      </c>
      <c r="AB3053" t="s">
        <v>443</v>
      </c>
      <c r="AC3053" s="21">
        <v>738.4</v>
      </c>
      <c r="AD3053" s="21" t="s">
        <v>368</v>
      </c>
      <c r="AE3053" t="str">
        <f>VLOOKUP(Table_Query_from_Actuarial___Production3[[#This Row],[Kor1]],$AI$3:$AK$105,3,FALSE)</f>
        <v>Claims Expense</v>
      </c>
      <c r="AF3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4" spans="18:32" x14ac:dyDescent="0.2">
      <c r="R3054" t="s">
        <v>39</v>
      </c>
      <c r="S3054" t="s">
        <v>242</v>
      </c>
      <c r="T3054" t="s">
        <v>7</v>
      </c>
      <c r="U3054" s="21">
        <v>15671</v>
      </c>
      <c r="V3054" s="21" t="s">
        <v>368</v>
      </c>
      <c r="W3054" t="str">
        <f>VLOOKUP(Table_Query_from_Actuarial___Production[[#This Row],[Kor1]],$AI$3:$AK$105,3,FALSE)</f>
        <v>Misc. Income for Insolvent Companies</v>
      </c>
      <c r="X3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4"/>
      <c r="Z3054" t="s">
        <v>10</v>
      </c>
      <c r="AA3054" t="s">
        <v>228</v>
      </c>
      <c r="AB3054" t="s">
        <v>351</v>
      </c>
      <c r="AC3054" s="21">
        <v>18213.75</v>
      </c>
      <c r="AD3054" s="21" t="s">
        <v>368</v>
      </c>
      <c r="AE3054" t="str">
        <f>VLOOKUP(Table_Query_from_Actuarial___Production3[[#This Row],[Kor1]],$AI$3:$AK$105,3,FALSE)</f>
        <v>Commissions</v>
      </c>
      <c r="AF3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5" spans="18:32" x14ac:dyDescent="0.2">
      <c r="R3055" t="s">
        <v>17</v>
      </c>
      <c r="S3055" t="s">
        <v>247</v>
      </c>
      <c r="T3055" t="s">
        <v>442</v>
      </c>
      <c r="U3055" s="21">
        <v>1555.31</v>
      </c>
      <c r="V3055" s="21" t="s">
        <v>368</v>
      </c>
      <c r="W3055" t="str">
        <f>VLOOKUP(Table_Query_from_Actuarial___Production[[#This Row],[Kor1]],$AI$3:$AK$105,3,FALSE)</f>
        <v>IBNR</v>
      </c>
      <c r="X3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5"/>
      <c r="Z3055" t="s">
        <v>21</v>
      </c>
      <c r="AA3055" t="s">
        <v>237</v>
      </c>
      <c r="AB3055" t="s">
        <v>6</v>
      </c>
      <c r="AC3055" s="21">
        <v>3537.94</v>
      </c>
      <c r="AD3055" s="21" t="s">
        <v>368</v>
      </c>
      <c r="AE3055" t="str">
        <f>VLOOKUP(Table_Query_from_Actuarial___Production3[[#This Row],[Kor1]],$AI$3:$AK$105,3,FALSE)</f>
        <v>Misc. Expense</v>
      </c>
      <c r="AF3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6" spans="18:32" x14ac:dyDescent="0.2">
      <c r="R3056" t="s">
        <v>40</v>
      </c>
      <c r="S3056" t="s">
        <v>263</v>
      </c>
      <c r="T3056" t="s">
        <v>356</v>
      </c>
      <c r="U3056" s="21">
        <v>101</v>
      </c>
      <c r="V3056" s="21" t="s">
        <v>368</v>
      </c>
      <c r="W3056" t="str">
        <f>VLOOKUP(Table_Query_from_Actuarial___Production[[#This Row],[Kor1]],$AI$3:$AK$105,3,FALSE)</f>
        <v>Misc. Income</v>
      </c>
      <c r="X3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6"/>
      <c r="Z3056" t="s">
        <v>23</v>
      </c>
      <c r="AA3056" t="s">
        <v>259</v>
      </c>
      <c r="AB3056" t="s">
        <v>443</v>
      </c>
      <c r="AC3056" s="21">
        <v>659.16</v>
      </c>
      <c r="AD3056" s="21" t="s">
        <v>368</v>
      </c>
      <c r="AE3056" t="str">
        <f>VLOOKUP(Table_Query_from_Actuarial___Production3[[#This Row],[Kor1]],$AI$3:$AK$105,3,FALSE)</f>
        <v>Misc. Expense</v>
      </c>
      <c r="AF3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7" spans="18:32" x14ac:dyDescent="0.2">
      <c r="R3057" t="s">
        <v>10</v>
      </c>
      <c r="S3057" t="s">
        <v>228</v>
      </c>
      <c r="T3057" t="s">
        <v>441</v>
      </c>
      <c r="U3057" s="21">
        <v>31266.55</v>
      </c>
      <c r="V3057" s="21" t="s">
        <v>368</v>
      </c>
      <c r="W3057" t="str">
        <f>VLOOKUP(Table_Query_from_Actuarial___Production[[#This Row],[Kor1]],$AI$3:$AK$105,3,FALSE)</f>
        <v>Commissions</v>
      </c>
      <c r="X3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7"/>
      <c r="Z3057" t="s">
        <v>43</v>
      </c>
      <c r="AA3057" t="s">
        <v>242</v>
      </c>
      <c r="AB3057" t="s">
        <v>9</v>
      </c>
      <c r="AC3057" s="21">
        <v>0.02</v>
      </c>
      <c r="AD3057" s="21" t="s">
        <v>368</v>
      </c>
      <c r="AE3057" t="str">
        <f>VLOOKUP(Table_Query_from_Actuarial___Production3[[#This Row],[Kor1]],$AI$3:$AK$105,3,FALSE)</f>
        <v>Charge-offs</v>
      </c>
      <c r="AF3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58" spans="18:32" x14ac:dyDescent="0.2">
      <c r="R3058" t="s">
        <v>10</v>
      </c>
      <c r="S3058" t="s">
        <v>236</v>
      </c>
      <c r="T3058" t="s">
        <v>8</v>
      </c>
      <c r="U3058" s="21">
        <v>4236.8500000000004</v>
      </c>
      <c r="V3058" s="21" t="s">
        <v>368</v>
      </c>
      <c r="W3058" t="str">
        <f>VLOOKUP(Table_Query_from_Actuarial___Production[[#This Row],[Kor1]],$AI$3:$AK$105,3,FALSE)</f>
        <v>Commissions</v>
      </c>
      <c r="X3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8"/>
      <c r="Z3058" t="s">
        <v>44</v>
      </c>
      <c r="AA3058" t="s">
        <v>225</v>
      </c>
      <c r="AB3058" t="s">
        <v>8</v>
      </c>
      <c r="AC3058" s="21">
        <v>1108.74</v>
      </c>
      <c r="AD3058" s="21" t="s">
        <v>369</v>
      </c>
      <c r="AE3058" t="str">
        <f>VLOOKUP(Table_Query_from_Actuarial___Production3[[#This Row],[Kor1]],$AI$3:$AK$105,3,FALSE)</f>
        <v>Charge-offs</v>
      </c>
      <c r="AF3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059" spans="18:32" x14ac:dyDescent="0.2">
      <c r="R3059" t="s">
        <v>16</v>
      </c>
      <c r="S3059" t="s">
        <v>259</v>
      </c>
      <c r="T3059" t="s">
        <v>443</v>
      </c>
      <c r="U3059" s="21">
        <v>19879.78</v>
      </c>
      <c r="V3059" s="21" t="s">
        <v>368</v>
      </c>
      <c r="W3059" t="str">
        <f>VLOOKUP(Table_Query_from_Actuarial___Production[[#This Row],[Kor1]],$AI$3:$AK$105,3,FALSE)</f>
        <v>Losses Outstanding</v>
      </c>
      <c r="X3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59"/>
      <c r="Z3059" t="s">
        <v>20</v>
      </c>
      <c r="AA3059" t="s">
        <v>231</v>
      </c>
      <c r="AB3059" t="s">
        <v>9</v>
      </c>
      <c r="AC3059" s="21">
        <v>48.11</v>
      </c>
      <c r="AD3059" s="21" t="s">
        <v>368</v>
      </c>
      <c r="AE3059" t="str">
        <f>VLOOKUP(Table_Query_from_Actuarial___Production3[[#This Row],[Kor1]],$AI$3:$AK$105,3,FALSE)</f>
        <v>Misc. Expense</v>
      </c>
      <c r="AF3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0" spans="18:32" x14ac:dyDescent="0.2">
      <c r="R3060" t="s">
        <v>37</v>
      </c>
      <c r="S3060" t="s">
        <v>242</v>
      </c>
      <c r="T3060" t="s">
        <v>442</v>
      </c>
      <c r="U3060" s="21">
        <v>-824.22</v>
      </c>
      <c r="V3060" s="21" t="s">
        <v>368</v>
      </c>
      <c r="W3060" t="str">
        <f>VLOOKUP(Table_Query_from_Actuarial___Production[[#This Row],[Kor1]],$AI$3:$AK$105,3,FALSE)</f>
        <v>Misc. Expense</v>
      </c>
      <c r="X3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0"/>
      <c r="Z3060" t="s">
        <v>17</v>
      </c>
      <c r="AA3060" t="s">
        <v>246</v>
      </c>
      <c r="AB3060" t="s">
        <v>433</v>
      </c>
      <c r="AC3060" s="21">
        <v>298769.07</v>
      </c>
      <c r="AD3060" s="21" t="s">
        <v>368</v>
      </c>
      <c r="AE3060" t="str">
        <f>VLOOKUP(Table_Query_from_Actuarial___Production3[[#This Row],[Kor1]],$AI$3:$AK$105,3,FALSE)</f>
        <v>IBNR</v>
      </c>
      <c r="AF3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1" spans="18:32" x14ac:dyDescent="0.2">
      <c r="R3061" t="s">
        <v>33</v>
      </c>
      <c r="S3061" t="s">
        <v>247</v>
      </c>
      <c r="T3061" t="s">
        <v>8</v>
      </c>
      <c r="U3061" s="21">
        <v>16104.33</v>
      </c>
      <c r="V3061" s="21" t="s">
        <v>368</v>
      </c>
      <c r="W3061" t="str">
        <f>VLOOKUP(Table_Query_from_Actuarial___Production[[#This Row],[Kor1]],$AI$3:$AK$105,3,FALSE)</f>
        <v>Misc. Expense</v>
      </c>
      <c r="X3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1"/>
      <c r="Z3061" t="s">
        <v>46</v>
      </c>
      <c r="AA3061" t="s">
        <v>352</v>
      </c>
      <c r="AB3061" t="s">
        <v>427</v>
      </c>
      <c r="AC3061" s="21">
        <v>69.75</v>
      </c>
      <c r="AD3061" s="21" t="s">
        <v>368</v>
      </c>
      <c r="AE3061" t="str">
        <f>VLOOKUP(Table_Query_from_Actuarial___Production3[[#This Row],[Kor1]],$AI$3:$AK$105,3,FALSE)</f>
        <v>Investment Income</v>
      </c>
      <c r="AF3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062" spans="18:32" x14ac:dyDescent="0.2">
      <c r="R3062" t="s">
        <v>11</v>
      </c>
      <c r="S3062" t="s">
        <v>226</v>
      </c>
      <c r="T3062" t="s">
        <v>445</v>
      </c>
      <c r="U3062" s="21">
        <v>12602.55</v>
      </c>
      <c r="V3062" s="21" t="s">
        <v>368</v>
      </c>
      <c r="W3062" t="str">
        <f>VLOOKUP(Table_Query_from_Actuarial___Production[[#This Row],[Kor1]],$AI$3:$AK$105,3,FALSE)</f>
        <v>Losses Paid</v>
      </c>
      <c r="X3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062"/>
      <c r="Z3062" t="s">
        <v>14</v>
      </c>
      <c r="AA3062" t="s">
        <v>261</v>
      </c>
      <c r="AB3062" t="s">
        <v>443</v>
      </c>
      <c r="AC3062" s="21">
        <v>287.83999999999997</v>
      </c>
      <c r="AD3062" s="21" t="s">
        <v>368</v>
      </c>
      <c r="AE3062" t="str">
        <f>VLOOKUP(Table_Query_from_Actuarial___Production3[[#This Row],[Kor1]],$AI$3:$AK$105,3,FALSE)</f>
        <v>Claims Expense</v>
      </c>
      <c r="AF3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3" spans="18:32" x14ac:dyDescent="0.2">
      <c r="R3063" t="s">
        <v>33</v>
      </c>
      <c r="S3063" t="s">
        <v>246</v>
      </c>
      <c r="T3063" t="s">
        <v>445</v>
      </c>
      <c r="U3063" s="21">
        <v>8752.48</v>
      </c>
      <c r="V3063" s="21" t="s">
        <v>368</v>
      </c>
      <c r="W3063" t="str">
        <f>VLOOKUP(Table_Query_from_Actuarial___Production[[#This Row],[Kor1]],$AI$3:$AK$105,3,FALSE)</f>
        <v>Misc. Expense</v>
      </c>
      <c r="X3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3"/>
      <c r="Z3063" t="s">
        <v>20</v>
      </c>
      <c r="AA3063" t="s">
        <v>260</v>
      </c>
      <c r="AB3063" t="s">
        <v>9</v>
      </c>
      <c r="AC3063" s="21">
        <v>24.06</v>
      </c>
      <c r="AD3063" s="21" t="s">
        <v>368</v>
      </c>
      <c r="AE3063" t="str">
        <f>VLOOKUP(Table_Query_from_Actuarial___Production3[[#This Row],[Kor1]],$AI$3:$AK$105,3,FALSE)</f>
        <v>Misc. Expense</v>
      </c>
      <c r="AF3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4" spans="18:32" x14ac:dyDescent="0.2">
      <c r="R3064" t="s">
        <v>10</v>
      </c>
      <c r="S3064" t="s">
        <v>238</v>
      </c>
      <c r="T3064" t="s">
        <v>7</v>
      </c>
      <c r="U3064" s="21">
        <v>3292.53</v>
      </c>
      <c r="V3064" s="21" t="s">
        <v>368</v>
      </c>
      <c r="W3064" t="str">
        <f>VLOOKUP(Table_Query_from_Actuarial___Production[[#This Row],[Kor1]],$AI$3:$AK$105,3,FALSE)</f>
        <v>Commissions</v>
      </c>
      <c r="X3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4"/>
      <c r="Z3064" t="s">
        <v>33</v>
      </c>
      <c r="AA3064" t="s">
        <v>233</v>
      </c>
      <c r="AB3064" t="s">
        <v>8</v>
      </c>
      <c r="AC3064" s="21">
        <v>15232.19</v>
      </c>
      <c r="AD3064" s="21" t="s">
        <v>368</v>
      </c>
      <c r="AE3064" t="str">
        <f>VLOOKUP(Table_Query_from_Actuarial___Production3[[#This Row],[Kor1]],$AI$3:$AK$105,3,FALSE)</f>
        <v>Misc. Expense</v>
      </c>
      <c r="AF3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5" spans="18:32" x14ac:dyDescent="0.2">
      <c r="R3065" t="s">
        <v>38</v>
      </c>
      <c r="S3065" t="s">
        <v>225</v>
      </c>
      <c r="T3065" t="s">
        <v>7</v>
      </c>
      <c r="U3065" s="21">
        <v>492054.17</v>
      </c>
      <c r="V3065" s="21" t="s">
        <v>369</v>
      </c>
      <c r="W3065" t="str">
        <f>VLOOKUP(Table_Query_from_Actuarial___Production[[#This Row],[Kor1]],$AI$3:$AK$105,3,FALSE)</f>
        <v>Misc. Income</v>
      </c>
      <c r="X3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065"/>
      <c r="Z3065" t="s">
        <v>13</v>
      </c>
      <c r="AA3065" t="s">
        <v>224</v>
      </c>
      <c r="AB3065" t="s">
        <v>433</v>
      </c>
      <c r="AC3065" s="21">
        <v>2997.5</v>
      </c>
      <c r="AD3065" s="21" t="s">
        <v>425</v>
      </c>
      <c r="AE3065" t="str">
        <f>VLOOKUP(Table_Query_from_Actuarial___Production3[[#This Row],[Kor1]],$AI$3:$AK$105,3,FALSE)</f>
        <v>Operating Service Fees</v>
      </c>
      <c r="AF3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066" spans="18:32" x14ac:dyDescent="0.2">
      <c r="R3066" t="s">
        <v>14</v>
      </c>
      <c r="S3066" t="s">
        <v>257</v>
      </c>
      <c r="T3066" t="s">
        <v>443</v>
      </c>
      <c r="U3066" s="21">
        <v>201550.12</v>
      </c>
      <c r="V3066" s="21" t="s">
        <v>368</v>
      </c>
      <c r="W3066" t="str">
        <f>VLOOKUP(Table_Query_from_Actuarial___Production[[#This Row],[Kor1]],$AI$3:$AK$105,3,FALSE)</f>
        <v>Claims Expense</v>
      </c>
      <c r="X3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6"/>
      <c r="Z3066" t="s">
        <v>19</v>
      </c>
      <c r="AA3066" t="s">
        <v>240</v>
      </c>
      <c r="AB3066" t="s">
        <v>356</v>
      </c>
      <c r="AC3066" s="21">
        <v>1886</v>
      </c>
      <c r="AD3066" s="21" t="s">
        <v>368</v>
      </c>
      <c r="AE3066" t="str">
        <f>VLOOKUP(Table_Query_from_Actuarial___Production3[[#This Row],[Kor1]],$AI$3:$AK$105,3,FALSE)</f>
        <v>Misc. Expense for Insolvent Companies</v>
      </c>
      <c r="AF3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7" spans="18:32" x14ac:dyDescent="0.2">
      <c r="R3067" t="s">
        <v>19</v>
      </c>
      <c r="S3067" t="s">
        <v>241</v>
      </c>
      <c r="T3067" t="s">
        <v>6</v>
      </c>
      <c r="U3067" s="21">
        <v>1577</v>
      </c>
      <c r="V3067" s="21" t="s">
        <v>368</v>
      </c>
      <c r="W3067" t="str">
        <f>VLOOKUP(Table_Query_from_Actuarial___Production[[#This Row],[Kor1]],$AI$3:$AK$105,3,FALSE)</f>
        <v>Misc. Expense for Insolvent Companies</v>
      </c>
      <c r="X3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7"/>
      <c r="Z3067" t="s">
        <v>37</v>
      </c>
      <c r="AA3067" t="s">
        <v>267</v>
      </c>
      <c r="AB3067" t="s">
        <v>5</v>
      </c>
      <c r="AC3067" s="21">
        <v>6656.99</v>
      </c>
      <c r="AD3067" s="21" t="s">
        <v>368</v>
      </c>
      <c r="AE3067" t="str">
        <f>VLOOKUP(Table_Query_from_Actuarial___Production3[[#This Row],[Kor1]],$AI$3:$AK$105,3,FALSE)</f>
        <v>Misc. Expense</v>
      </c>
      <c r="AF3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8" spans="18:32" x14ac:dyDescent="0.2">
      <c r="R3068" t="s">
        <v>31</v>
      </c>
      <c r="S3068" t="s">
        <v>265</v>
      </c>
      <c r="T3068" t="s">
        <v>445</v>
      </c>
      <c r="U3068" s="21">
        <v>1090.78</v>
      </c>
      <c r="V3068" s="21" t="s">
        <v>368</v>
      </c>
      <c r="W3068" t="str">
        <f>VLOOKUP(Table_Query_from_Actuarial___Production[[#This Row],[Kor1]],$AI$3:$AK$105,3,FALSE)</f>
        <v>Misc. Expense</v>
      </c>
      <c r="X3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8"/>
      <c r="Z3068" t="s">
        <v>43</v>
      </c>
      <c r="AA3068" t="s">
        <v>233</v>
      </c>
      <c r="AB3068" t="s">
        <v>7</v>
      </c>
      <c r="AC3068" s="21">
        <v>1070.97</v>
      </c>
      <c r="AD3068" s="21" t="s">
        <v>368</v>
      </c>
      <c r="AE3068" t="str">
        <f>VLOOKUP(Table_Query_from_Actuarial___Production3[[#This Row],[Kor1]],$AI$3:$AK$105,3,FALSE)</f>
        <v>Charge-offs</v>
      </c>
      <c r="AF3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69" spans="18:32" x14ac:dyDescent="0.2">
      <c r="R3069" t="s">
        <v>41</v>
      </c>
      <c r="S3069" t="s">
        <v>258</v>
      </c>
      <c r="T3069" t="s">
        <v>9</v>
      </c>
      <c r="U3069" s="21">
        <v>747.01</v>
      </c>
      <c r="V3069" s="21" t="s">
        <v>368</v>
      </c>
      <c r="W3069" t="str">
        <f>VLOOKUP(Table_Query_from_Actuarial___Production[[#This Row],[Kor1]],$AI$3:$AK$105,3,FALSE)</f>
        <v>Misc. Income</v>
      </c>
      <c r="X3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69"/>
      <c r="Z3069" t="s">
        <v>3</v>
      </c>
      <c r="AA3069" t="s">
        <v>230</v>
      </c>
      <c r="AB3069" t="s">
        <v>356</v>
      </c>
      <c r="AC3069" s="21">
        <v>27265700</v>
      </c>
      <c r="AD3069" s="21" t="s">
        <v>368</v>
      </c>
      <c r="AE3069" t="str">
        <f>VLOOKUP(Table_Query_from_Actuarial___Production3[[#This Row],[Kor1]],$AI$3:$AK$105,3,FALSE)</f>
        <v>Premiums Written</v>
      </c>
      <c r="AF3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0" spans="18:32" x14ac:dyDescent="0.2">
      <c r="R3070" t="s">
        <v>3</v>
      </c>
      <c r="S3070" t="s">
        <v>224</v>
      </c>
      <c r="T3070" t="s">
        <v>351</v>
      </c>
      <c r="U3070" s="21">
        <v>2135403.17</v>
      </c>
      <c r="V3070" s="21" t="s">
        <v>370</v>
      </c>
      <c r="W3070" t="str">
        <f>VLOOKUP(Table_Query_from_Actuarial___Production[[#This Row],[Kor1]],$AI$3:$AK$105,3,FALSE)</f>
        <v>Premiums Written</v>
      </c>
      <c r="X3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070"/>
      <c r="Z3070" t="s">
        <v>3</v>
      </c>
      <c r="AA3070" t="s">
        <v>225</v>
      </c>
      <c r="AB3070" t="s">
        <v>8</v>
      </c>
      <c r="AC3070" s="21">
        <v>538443.71</v>
      </c>
      <c r="AD3070" s="21" t="s">
        <v>369</v>
      </c>
      <c r="AE3070" t="str">
        <f>VLOOKUP(Table_Query_from_Actuarial___Production3[[#This Row],[Kor1]],$AI$3:$AK$105,3,FALSE)</f>
        <v>Premiums Written</v>
      </c>
      <c r="AF3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071" spans="18:32" x14ac:dyDescent="0.2">
      <c r="R3071" t="s">
        <v>3</v>
      </c>
      <c r="S3071" t="s">
        <v>236</v>
      </c>
      <c r="T3071" t="s">
        <v>445</v>
      </c>
      <c r="U3071" s="21">
        <v>32709</v>
      </c>
      <c r="V3071" s="21" t="s">
        <v>368</v>
      </c>
      <c r="W3071" t="str">
        <f>VLOOKUP(Table_Query_from_Actuarial___Production[[#This Row],[Kor1]],$AI$3:$AK$105,3,FALSE)</f>
        <v>Premiums Written</v>
      </c>
      <c r="X3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1"/>
      <c r="Z3071" t="s">
        <v>33</v>
      </c>
      <c r="AA3071" t="s">
        <v>235</v>
      </c>
      <c r="AB3071" t="s">
        <v>442</v>
      </c>
      <c r="AC3071" s="21">
        <v>16527.189999999999</v>
      </c>
      <c r="AD3071" s="21" t="s">
        <v>368</v>
      </c>
      <c r="AE3071" t="str">
        <f>VLOOKUP(Table_Query_from_Actuarial___Production3[[#This Row],[Kor1]],$AI$3:$AK$105,3,FALSE)</f>
        <v>Misc. Expense</v>
      </c>
      <c r="AF3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2" spans="18:32" x14ac:dyDescent="0.2">
      <c r="R3072" t="s">
        <v>43</v>
      </c>
      <c r="S3072" t="s">
        <v>266</v>
      </c>
      <c r="T3072" t="s">
        <v>6</v>
      </c>
      <c r="U3072" s="21">
        <v>0.01</v>
      </c>
      <c r="V3072" s="21" t="s">
        <v>368</v>
      </c>
      <c r="W3072" t="str">
        <f>VLOOKUP(Table_Query_from_Actuarial___Production[[#This Row],[Kor1]],$AI$3:$AK$105,3,FALSE)</f>
        <v>Charge-offs</v>
      </c>
      <c r="X3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2"/>
      <c r="Z3072" t="s">
        <v>43</v>
      </c>
      <c r="AA3072" t="s">
        <v>258</v>
      </c>
      <c r="AB3072" t="s">
        <v>5</v>
      </c>
      <c r="AC3072" s="21">
        <v>-35.22</v>
      </c>
      <c r="AD3072" s="21" t="s">
        <v>368</v>
      </c>
      <c r="AE3072" t="str">
        <f>VLOOKUP(Table_Query_from_Actuarial___Production3[[#This Row],[Kor1]],$AI$3:$AK$105,3,FALSE)</f>
        <v>Charge-offs</v>
      </c>
      <c r="AF3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3" spans="18:32" x14ac:dyDescent="0.2">
      <c r="R3073" t="s">
        <v>14</v>
      </c>
      <c r="S3073" t="s">
        <v>267</v>
      </c>
      <c r="T3073" t="s">
        <v>427</v>
      </c>
      <c r="U3073" s="21">
        <v>25143.47</v>
      </c>
      <c r="V3073" s="21" t="s">
        <v>368</v>
      </c>
      <c r="W3073" t="str">
        <f>VLOOKUP(Table_Query_from_Actuarial___Production[[#This Row],[Kor1]],$AI$3:$AK$105,3,FALSE)</f>
        <v>Claims Expense</v>
      </c>
      <c r="X3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3"/>
      <c r="Z3073" t="s">
        <v>33</v>
      </c>
      <c r="AA3073" t="s">
        <v>259</v>
      </c>
      <c r="AB3073" t="s">
        <v>7</v>
      </c>
      <c r="AC3073" s="21">
        <v>18414.490000000002</v>
      </c>
      <c r="AD3073" s="21" t="s">
        <v>368</v>
      </c>
      <c r="AE3073" t="str">
        <f>VLOOKUP(Table_Query_from_Actuarial___Production3[[#This Row],[Kor1]],$AI$3:$AK$105,3,FALSE)</f>
        <v>Misc. Expense</v>
      </c>
      <c r="AF3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4" spans="18:32" x14ac:dyDescent="0.2">
      <c r="R3074" t="s">
        <v>20</v>
      </c>
      <c r="S3074" t="s">
        <v>233</v>
      </c>
      <c r="T3074" t="s">
        <v>7</v>
      </c>
      <c r="U3074" s="21">
        <v>226.74</v>
      </c>
      <c r="V3074" s="21" t="s">
        <v>368</v>
      </c>
      <c r="W3074" t="str">
        <f>VLOOKUP(Table_Query_from_Actuarial___Production[[#This Row],[Kor1]],$AI$3:$AK$105,3,FALSE)</f>
        <v>Misc. Expense</v>
      </c>
      <c r="X3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4"/>
      <c r="Z3074" t="s">
        <v>47</v>
      </c>
      <c r="AA3074" t="s">
        <v>264</v>
      </c>
      <c r="AB3074" t="s">
        <v>6</v>
      </c>
      <c r="AC3074" s="21">
        <v>0.19</v>
      </c>
      <c r="AD3074" s="21" t="s">
        <v>368</v>
      </c>
      <c r="AE3074" t="str">
        <f>VLOOKUP(Table_Query_from_Actuarial___Production3[[#This Row],[Kor1]],$AI$3:$AK$105,3,FALSE)</f>
        <v>Investment Income</v>
      </c>
      <c r="AF3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5" spans="18:32" x14ac:dyDescent="0.2">
      <c r="R3075" t="s">
        <v>40</v>
      </c>
      <c r="S3075" t="s">
        <v>255</v>
      </c>
      <c r="T3075" t="s">
        <v>8</v>
      </c>
      <c r="U3075" s="21">
        <v>64.010000000000005</v>
      </c>
      <c r="V3075" s="21" t="s">
        <v>368</v>
      </c>
      <c r="W3075" t="str">
        <f>VLOOKUP(Table_Query_from_Actuarial___Production[[#This Row],[Kor1]],$AI$3:$AK$105,3,FALSE)</f>
        <v>Misc. Income</v>
      </c>
      <c r="X3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5"/>
      <c r="Z3075" t="s">
        <v>49</v>
      </c>
      <c r="AA3075" t="s">
        <v>241</v>
      </c>
      <c r="AB3075" t="s">
        <v>7</v>
      </c>
      <c r="AC3075" s="21">
        <v>68777.279999999999</v>
      </c>
      <c r="AD3075" s="21" t="s">
        <v>368</v>
      </c>
      <c r="AE3075" t="str">
        <f>VLOOKUP(Table_Query_from_Actuarial___Production3[[#This Row],[Kor1]],$AI$3:$AK$105,3,FALSE)</f>
        <v>ALAE Paid</v>
      </c>
      <c r="AF3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6" spans="18:32" x14ac:dyDescent="0.2">
      <c r="R3076" t="s">
        <v>33</v>
      </c>
      <c r="S3076" t="s">
        <v>241</v>
      </c>
      <c r="T3076" t="s">
        <v>8</v>
      </c>
      <c r="U3076" s="21">
        <v>15426.39</v>
      </c>
      <c r="V3076" s="21" t="s">
        <v>368</v>
      </c>
      <c r="W3076" t="str">
        <f>VLOOKUP(Table_Query_from_Actuarial___Production[[#This Row],[Kor1]],$AI$3:$AK$105,3,FALSE)</f>
        <v>Misc. Expense</v>
      </c>
      <c r="X3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6"/>
      <c r="Z3076" t="s">
        <v>46</v>
      </c>
      <c r="AA3076" t="s">
        <v>224</v>
      </c>
      <c r="AB3076" t="s">
        <v>9</v>
      </c>
      <c r="AC3076" s="21">
        <v>12670.92</v>
      </c>
      <c r="AD3076" s="21" t="s">
        <v>370</v>
      </c>
      <c r="AE3076" t="str">
        <f>VLOOKUP(Table_Query_from_Actuarial___Production3[[#This Row],[Kor1]],$AI$3:$AK$105,3,FALSE)</f>
        <v>Investment Income</v>
      </c>
      <c r="AF3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077" spans="18:32" x14ac:dyDescent="0.2">
      <c r="R3077" t="s">
        <v>37</v>
      </c>
      <c r="S3077" t="s">
        <v>246</v>
      </c>
      <c r="T3077" t="s">
        <v>356</v>
      </c>
      <c r="U3077" s="21">
        <v>3039.07</v>
      </c>
      <c r="V3077" s="21" t="s">
        <v>368</v>
      </c>
      <c r="W3077" t="str">
        <f>VLOOKUP(Table_Query_from_Actuarial___Production[[#This Row],[Kor1]],$AI$3:$AK$105,3,FALSE)</f>
        <v>Misc. Expense</v>
      </c>
      <c r="X3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7"/>
      <c r="Z3077" t="s">
        <v>20</v>
      </c>
      <c r="AA3077" t="s">
        <v>236</v>
      </c>
      <c r="AB3077" t="s">
        <v>427</v>
      </c>
      <c r="AC3077" s="21">
        <v>170.21</v>
      </c>
      <c r="AD3077" s="21" t="s">
        <v>368</v>
      </c>
      <c r="AE3077" t="str">
        <f>VLOOKUP(Table_Query_from_Actuarial___Production3[[#This Row],[Kor1]],$AI$3:$AK$105,3,FALSE)</f>
        <v>Misc. Expense</v>
      </c>
      <c r="AF3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8" spans="18:32" x14ac:dyDescent="0.2">
      <c r="R3078" t="s">
        <v>14</v>
      </c>
      <c r="S3078" t="s">
        <v>233</v>
      </c>
      <c r="T3078" t="s">
        <v>9</v>
      </c>
      <c r="U3078" s="21">
        <v>50076.66</v>
      </c>
      <c r="V3078" s="21" t="s">
        <v>368</v>
      </c>
      <c r="W3078" t="str">
        <f>VLOOKUP(Table_Query_from_Actuarial___Production[[#This Row],[Kor1]],$AI$3:$AK$105,3,FALSE)</f>
        <v>Claims Expense</v>
      </c>
      <c r="X3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78"/>
      <c r="Z3078" t="s">
        <v>40</v>
      </c>
      <c r="AA3078" t="s">
        <v>239</v>
      </c>
      <c r="AB3078" t="s">
        <v>351</v>
      </c>
      <c r="AC3078" s="21">
        <v>205.98</v>
      </c>
      <c r="AD3078" s="21" t="s">
        <v>368</v>
      </c>
      <c r="AE3078" t="str">
        <f>VLOOKUP(Table_Query_from_Actuarial___Production3[[#This Row],[Kor1]],$AI$3:$AK$105,3,FALSE)</f>
        <v>Misc. Income</v>
      </c>
      <c r="AF3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79" spans="18:32" x14ac:dyDescent="0.2">
      <c r="R3079" t="s">
        <v>49</v>
      </c>
      <c r="S3079" t="s">
        <v>226</v>
      </c>
      <c r="T3079" t="s">
        <v>8</v>
      </c>
      <c r="U3079" s="21">
        <v>1078469.53</v>
      </c>
      <c r="V3079" s="21" t="s">
        <v>368</v>
      </c>
      <c r="W3079" t="str">
        <f>VLOOKUP(Table_Query_from_Actuarial___Production[[#This Row],[Kor1]],$AI$3:$AK$105,3,FALSE)</f>
        <v>ALAE Paid</v>
      </c>
      <c r="X3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079"/>
      <c r="Z3079" t="s">
        <v>43</v>
      </c>
      <c r="AA3079" t="s">
        <v>238</v>
      </c>
      <c r="AB3079" t="s">
        <v>8</v>
      </c>
      <c r="AC3079" s="21">
        <v>-20.05</v>
      </c>
      <c r="AD3079" s="21" t="s">
        <v>368</v>
      </c>
      <c r="AE3079" t="str">
        <f>VLOOKUP(Table_Query_from_Actuarial___Production3[[#This Row],[Kor1]],$AI$3:$AK$105,3,FALSE)</f>
        <v>Charge-offs</v>
      </c>
      <c r="AF3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0" spans="18:32" x14ac:dyDescent="0.2">
      <c r="R3080" t="s">
        <v>14</v>
      </c>
      <c r="S3080" t="s">
        <v>234</v>
      </c>
      <c r="T3080" t="s">
        <v>445</v>
      </c>
      <c r="U3080" s="21">
        <v>4275.09</v>
      </c>
      <c r="V3080" s="21" t="s">
        <v>368</v>
      </c>
      <c r="W3080" t="str">
        <f>VLOOKUP(Table_Query_from_Actuarial___Production[[#This Row],[Kor1]],$AI$3:$AK$105,3,FALSE)</f>
        <v>Claims Expense</v>
      </c>
      <c r="X3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0"/>
      <c r="Z3080" t="s">
        <v>41</v>
      </c>
      <c r="AA3080" t="s">
        <v>254</v>
      </c>
      <c r="AB3080" t="s">
        <v>351</v>
      </c>
      <c r="AC3080" s="21">
        <v>300.02</v>
      </c>
      <c r="AD3080" s="21" t="s">
        <v>368</v>
      </c>
      <c r="AE3080" t="str">
        <f>VLOOKUP(Table_Query_from_Actuarial___Production3[[#This Row],[Kor1]],$AI$3:$AK$105,3,FALSE)</f>
        <v>Misc. Income</v>
      </c>
      <c r="AF3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1" spans="18:32" x14ac:dyDescent="0.2">
      <c r="R3081" t="s">
        <v>38</v>
      </c>
      <c r="S3081" t="s">
        <v>224</v>
      </c>
      <c r="T3081" t="s">
        <v>356</v>
      </c>
      <c r="U3081" s="21">
        <v>182057.53</v>
      </c>
      <c r="V3081" s="21" t="s">
        <v>368</v>
      </c>
      <c r="W3081" t="str">
        <f>VLOOKUP(Table_Query_from_Actuarial___Production[[#This Row],[Kor1]],$AI$3:$AK$105,3,FALSE)</f>
        <v>Misc. Income</v>
      </c>
      <c r="X3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081"/>
      <c r="Z3081" t="s">
        <v>31</v>
      </c>
      <c r="AA3081" t="s">
        <v>268</v>
      </c>
      <c r="AB3081" t="s">
        <v>8</v>
      </c>
      <c r="AC3081" s="21">
        <v>557.41999999999996</v>
      </c>
      <c r="AD3081" s="21" t="s">
        <v>368</v>
      </c>
      <c r="AE3081" t="str">
        <f>VLOOKUP(Table_Query_from_Actuarial___Production3[[#This Row],[Kor1]],$AI$3:$AK$105,3,FALSE)</f>
        <v>Misc. Expense</v>
      </c>
      <c r="AF3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2" spans="18:32" x14ac:dyDescent="0.2">
      <c r="R3082" t="s">
        <v>36</v>
      </c>
      <c r="S3082" t="s">
        <v>230</v>
      </c>
      <c r="T3082" t="s">
        <v>445</v>
      </c>
      <c r="U3082" s="21">
        <v>11442.19</v>
      </c>
      <c r="V3082" s="21" t="s">
        <v>368</v>
      </c>
      <c r="W3082" t="str">
        <f>VLOOKUP(Table_Query_from_Actuarial___Production[[#This Row],[Kor1]],$AI$3:$AK$105,3,FALSE)</f>
        <v>Misc. Expense</v>
      </c>
      <c r="X3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2"/>
      <c r="Z3082" t="s">
        <v>77</v>
      </c>
      <c r="AA3082" t="s">
        <v>246</v>
      </c>
      <c r="AB3082" t="s">
        <v>443</v>
      </c>
      <c r="AC3082" s="21">
        <v>68750</v>
      </c>
      <c r="AD3082" s="21" t="s">
        <v>368</v>
      </c>
      <c r="AE3082" t="str">
        <f>VLOOKUP(Table_Query_from_Actuarial___Production3[[#This Row],[Kor1]],$AI$3:$AK$105,3,FALSE)</f>
        <v>PDR</v>
      </c>
      <c r="AF3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3" spans="18:32" x14ac:dyDescent="0.2">
      <c r="R3083" t="s">
        <v>47</v>
      </c>
      <c r="S3083" t="s">
        <v>256</v>
      </c>
      <c r="T3083" t="s">
        <v>8</v>
      </c>
      <c r="U3083" s="21">
        <v>7.0000000000000007E-2</v>
      </c>
      <c r="V3083" s="21" t="s">
        <v>368</v>
      </c>
      <c r="W3083" t="str">
        <f>VLOOKUP(Table_Query_from_Actuarial___Production[[#This Row],[Kor1]],$AI$3:$AK$105,3,FALSE)</f>
        <v>Investment Income</v>
      </c>
      <c r="X3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3"/>
      <c r="Z3083" t="s">
        <v>47</v>
      </c>
      <c r="AA3083" t="s">
        <v>246</v>
      </c>
      <c r="AB3083" t="s">
        <v>442</v>
      </c>
      <c r="AC3083" s="21">
        <v>2259.9</v>
      </c>
      <c r="AD3083" s="21" t="s">
        <v>368</v>
      </c>
      <c r="AE3083" t="str">
        <f>VLOOKUP(Table_Query_from_Actuarial___Production3[[#This Row],[Kor1]],$AI$3:$AK$105,3,FALSE)</f>
        <v>Investment Income</v>
      </c>
      <c r="AF3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4" spans="18:32" x14ac:dyDescent="0.2">
      <c r="R3084" t="s">
        <v>13</v>
      </c>
      <c r="S3084" t="s">
        <v>4</v>
      </c>
      <c r="T3084" t="s">
        <v>6</v>
      </c>
      <c r="U3084" s="21">
        <v>940212.4</v>
      </c>
      <c r="V3084" s="21" t="s">
        <v>368</v>
      </c>
      <c r="W3084" t="str">
        <f>VLOOKUP(Table_Query_from_Actuarial___Production[[#This Row],[Kor1]],$AI$3:$AK$105,3,FALSE)</f>
        <v>Operating Service Fees</v>
      </c>
      <c r="X3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4"/>
      <c r="Z3084" t="s">
        <v>43</v>
      </c>
      <c r="AA3084" t="s">
        <v>227</v>
      </c>
      <c r="AB3084" t="s">
        <v>8</v>
      </c>
      <c r="AC3084" s="21">
        <v>266.13</v>
      </c>
      <c r="AD3084" s="21" t="s">
        <v>368</v>
      </c>
      <c r="AE3084" t="str">
        <f>VLOOKUP(Table_Query_from_Actuarial___Production3[[#This Row],[Kor1]],$AI$3:$AK$105,3,FALSE)</f>
        <v>Charge-offs</v>
      </c>
      <c r="AF3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5" spans="18:32" x14ac:dyDescent="0.2">
      <c r="R3085" t="s">
        <v>3</v>
      </c>
      <c r="S3085" t="s">
        <v>243</v>
      </c>
      <c r="T3085" t="s">
        <v>6</v>
      </c>
      <c r="U3085" s="21">
        <v>207886</v>
      </c>
      <c r="V3085" s="21" t="s">
        <v>368</v>
      </c>
      <c r="W3085" t="str">
        <f>VLOOKUP(Table_Query_from_Actuarial___Production[[#This Row],[Kor1]],$AI$3:$AK$105,3,FALSE)</f>
        <v>Premiums Written</v>
      </c>
      <c r="X3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5"/>
      <c r="Z3085" t="s">
        <v>48</v>
      </c>
      <c r="AA3085" t="s">
        <v>246</v>
      </c>
      <c r="AB3085" t="s">
        <v>356</v>
      </c>
      <c r="AC3085" s="21">
        <v>1043</v>
      </c>
      <c r="AD3085" s="21" t="s">
        <v>368</v>
      </c>
      <c r="AE3085" t="str">
        <f>VLOOKUP(Table_Query_from_Actuarial___Production3[[#This Row],[Kor1]],$AI$3:$AK$105,3,FALSE)</f>
        <v>Anticipated Salvage</v>
      </c>
      <c r="AF3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6" spans="18:32" x14ac:dyDescent="0.2">
      <c r="R3086" t="s">
        <v>49</v>
      </c>
      <c r="S3086" t="s">
        <v>258</v>
      </c>
      <c r="T3086" t="s">
        <v>8</v>
      </c>
      <c r="U3086" s="21">
        <v>62553.23</v>
      </c>
      <c r="V3086" s="21" t="s">
        <v>368</v>
      </c>
      <c r="W3086" t="str">
        <f>VLOOKUP(Table_Query_from_Actuarial___Production[[#This Row],[Kor1]],$AI$3:$AK$105,3,FALSE)</f>
        <v>ALAE Paid</v>
      </c>
      <c r="X3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6"/>
      <c r="Z3086" t="s">
        <v>33</v>
      </c>
      <c r="AA3086" t="s">
        <v>266</v>
      </c>
      <c r="AB3086" t="s">
        <v>9</v>
      </c>
      <c r="AC3086" s="21">
        <v>15749.21</v>
      </c>
      <c r="AD3086" s="21" t="s">
        <v>368</v>
      </c>
      <c r="AE3086" t="str">
        <f>VLOOKUP(Table_Query_from_Actuarial___Production3[[#This Row],[Kor1]],$AI$3:$AK$105,3,FALSE)</f>
        <v>Misc. Expense</v>
      </c>
      <c r="AF3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7" spans="18:32" x14ac:dyDescent="0.2">
      <c r="R3087" t="s">
        <v>19</v>
      </c>
      <c r="S3087" t="s">
        <v>230</v>
      </c>
      <c r="T3087" t="s">
        <v>7</v>
      </c>
      <c r="U3087" s="21">
        <v>90026.94</v>
      </c>
      <c r="V3087" s="21" t="s">
        <v>368</v>
      </c>
      <c r="W3087" t="str">
        <f>VLOOKUP(Table_Query_from_Actuarial___Production[[#This Row],[Kor1]],$AI$3:$AK$105,3,FALSE)</f>
        <v>Misc. Expense for Insolvent Companies</v>
      </c>
      <c r="X3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7"/>
      <c r="Z3087" t="s">
        <v>47</v>
      </c>
      <c r="AA3087" t="s">
        <v>233</v>
      </c>
      <c r="AB3087" t="s">
        <v>5</v>
      </c>
      <c r="AC3087" s="21">
        <v>1.02</v>
      </c>
      <c r="AD3087" s="21" t="s">
        <v>368</v>
      </c>
      <c r="AE3087" t="str">
        <f>VLOOKUP(Table_Query_from_Actuarial___Production3[[#This Row],[Kor1]],$AI$3:$AK$105,3,FALSE)</f>
        <v>Investment Income</v>
      </c>
      <c r="AF3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8" spans="18:32" x14ac:dyDescent="0.2">
      <c r="R3088" t="s">
        <v>17</v>
      </c>
      <c r="S3088" t="s">
        <v>237</v>
      </c>
      <c r="T3088" t="s">
        <v>445</v>
      </c>
      <c r="U3088" s="21">
        <v>3561398.08</v>
      </c>
      <c r="V3088" s="21" t="s">
        <v>368</v>
      </c>
      <c r="W3088" t="str">
        <f>VLOOKUP(Table_Query_from_Actuarial___Production[[#This Row],[Kor1]],$AI$3:$AK$105,3,FALSE)</f>
        <v>IBNR</v>
      </c>
      <c r="X3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88"/>
      <c r="Z3088" t="s">
        <v>13</v>
      </c>
      <c r="AA3088" t="s">
        <v>255</v>
      </c>
      <c r="AB3088" t="s">
        <v>443</v>
      </c>
      <c r="AC3088" s="21">
        <v>29967.49</v>
      </c>
      <c r="AD3088" s="21" t="s">
        <v>368</v>
      </c>
      <c r="AE3088" t="str">
        <f>VLOOKUP(Table_Query_from_Actuarial___Production3[[#This Row],[Kor1]],$AI$3:$AK$105,3,FALSE)</f>
        <v>Operating Service Fees</v>
      </c>
      <c r="AF3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89" spans="18:32" x14ac:dyDescent="0.2">
      <c r="R3089" t="s">
        <v>43</v>
      </c>
      <c r="S3089" t="s">
        <v>226</v>
      </c>
      <c r="T3089" t="s">
        <v>443</v>
      </c>
      <c r="U3089" s="21">
        <v>3373.25</v>
      </c>
      <c r="V3089" s="21" t="s">
        <v>368</v>
      </c>
      <c r="W3089" t="str">
        <f>VLOOKUP(Table_Query_from_Actuarial___Production[[#This Row],[Kor1]],$AI$3:$AK$105,3,FALSE)</f>
        <v>Charge-offs</v>
      </c>
      <c r="X3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089"/>
      <c r="Z3089" t="s">
        <v>25</v>
      </c>
      <c r="AA3089" t="s">
        <v>250</v>
      </c>
      <c r="AB3089" t="s">
        <v>356</v>
      </c>
      <c r="AC3089" s="21">
        <v>696.98</v>
      </c>
      <c r="AD3089" s="21" t="s">
        <v>368</v>
      </c>
      <c r="AE3089" t="str">
        <f>VLOOKUP(Table_Query_from_Actuarial___Production3[[#This Row],[Kor1]],$AI$3:$AK$105,3,FALSE)</f>
        <v>Misc. Expense</v>
      </c>
      <c r="AF3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0" spans="18:32" x14ac:dyDescent="0.2">
      <c r="R3090" t="s">
        <v>11</v>
      </c>
      <c r="S3090" t="s">
        <v>242</v>
      </c>
      <c r="T3090" t="s">
        <v>9</v>
      </c>
      <c r="U3090" s="21">
        <v>1131500</v>
      </c>
      <c r="V3090" s="21" t="s">
        <v>368</v>
      </c>
      <c r="W3090" t="str">
        <f>VLOOKUP(Table_Query_from_Actuarial___Production[[#This Row],[Kor1]],$AI$3:$AK$105,3,FALSE)</f>
        <v>Losses Paid</v>
      </c>
      <c r="X3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0"/>
      <c r="Z3090" t="s">
        <v>47</v>
      </c>
      <c r="AA3090" t="s">
        <v>257</v>
      </c>
      <c r="AB3090" t="s">
        <v>433</v>
      </c>
      <c r="AC3090" s="21">
        <v>11307.5</v>
      </c>
      <c r="AD3090" s="21" t="s">
        <v>368</v>
      </c>
      <c r="AE3090" t="str">
        <f>VLOOKUP(Table_Query_from_Actuarial___Production3[[#This Row],[Kor1]],$AI$3:$AK$105,3,FALSE)</f>
        <v>Investment Income</v>
      </c>
      <c r="AF3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1" spans="18:32" x14ac:dyDescent="0.2">
      <c r="R3091" t="s">
        <v>21</v>
      </c>
      <c r="S3091" t="s">
        <v>230</v>
      </c>
      <c r="T3091" t="s">
        <v>433</v>
      </c>
      <c r="U3091" s="21">
        <v>218.1</v>
      </c>
      <c r="V3091" s="21" t="s">
        <v>368</v>
      </c>
      <c r="W3091" t="str">
        <f>VLOOKUP(Table_Query_from_Actuarial___Production[[#This Row],[Kor1]],$AI$3:$AK$105,3,FALSE)</f>
        <v>Misc. Expense</v>
      </c>
      <c r="X3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1"/>
      <c r="Z3091" t="s">
        <v>50</v>
      </c>
      <c r="AA3091" t="s">
        <v>257</v>
      </c>
      <c r="AB3091" t="s">
        <v>441</v>
      </c>
      <c r="AC3091" s="21">
        <v>75019.88</v>
      </c>
      <c r="AD3091" s="21" t="s">
        <v>368</v>
      </c>
      <c r="AE3091" t="str">
        <f>VLOOKUP(Table_Query_from_Actuarial___Production3[[#This Row],[Kor1]],$AI$3:$AK$105,3,FALSE)</f>
        <v>ALAE Reserve</v>
      </c>
      <c r="AF3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2" spans="18:32" x14ac:dyDescent="0.2">
      <c r="R3092" t="s">
        <v>41</v>
      </c>
      <c r="S3092" t="s">
        <v>236</v>
      </c>
      <c r="T3092" t="s">
        <v>8</v>
      </c>
      <c r="U3092" s="21">
        <v>450</v>
      </c>
      <c r="V3092" s="21" t="s">
        <v>368</v>
      </c>
      <c r="W3092" t="str">
        <f>VLOOKUP(Table_Query_from_Actuarial___Production[[#This Row],[Kor1]],$AI$3:$AK$105,3,FALSE)</f>
        <v>Misc. Income</v>
      </c>
      <c r="X3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2"/>
      <c r="Z3092" t="s">
        <v>13</v>
      </c>
      <c r="AA3092" t="s">
        <v>224</v>
      </c>
      <c r="AB3092" t="s">
        <v>6</v>
      </c>
      <c r="AC3092" s="21">
        <v>12116.68</v>
      </c>
      <c r="AD3092" s="21" t="s">
        <v>369</v>
      </c>
      <c r="AE3092" t="str">
        <f>VLOOKUP(Table_Query_from_Actuarial___Production3[[#This Row],[Kor1]],$AI$3:$AK$105,3,FALSE)</f>
        <v>Operating Service Fees</v>
      </c>
      <c r="AF3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093" spans="18:32" x14ac:dyDescent="0.2">
      <c r="R3093" t="s">
        <v>46</v>
      </c>
      <c r="S3093" t="s">
        <v>352</v>
      </c>
      <c r="T3093" t="s">
        <v>6</v>
      </c>
      <c r="U3093" s="21">
        <v>20.73</v>
      </c>
      <c r="V3093" s="21" t="s">
        <v>369</v>
      </c>
      <c r="W3093" t="str">
        <f>VLOOKUP(Table_Query_from_Actuarial___Production[[#This Row],[Kor1]],$AI$3:$AK$105,3,FALSE)</f>
        <v>Investment Income</v>
      </c>
      <c r="X3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093"/>
      <c r="Z3093" t="s">
        <v>12</v>
      </c>
      <c r="AA3093" t="s">
        <v>253</v>
      </c>
      <c r="AB3093" t="s">
        <v>8</v>
      </c>
      <c r="AC3093" s="21">
        <v>112.16</v>
      </c>
      <c r="AD3093" s="21" t="s">
        <v>368</v>
      </c>
      <c r="AE3093" t="str">
        <f>VLOOKUP(Table_Query_from_Actuarial___Production3[[#This Row],[Kor1]],$AI$3:$AK$105,3,FALSE)</f>
        <v>Premium Tax</v>
      </c>
      <c r="AF3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4" spans="18:32" x14ac:dyDescent="0.2">
      <c r="R3094" t="s">
        <v>13</v>
      </c>
      <c r="S3094" t="s">
        <v>260</v>
      </c>
      <c r="T3094" t="s">
        <v>356</v>
      </c>
      <c r="U3094" s="21">
        <v>10592.26</v>
      </c>
      <c r="V3094" s="21" t="s">
        <v>368</v>
      </c>
      <c r="W3094" t="str">
        <f>VLOOKUP(Table_Query_from_Actuarial___Production[[#This Row],[Kor1]],$AI$3:$AK$105,3,FALSE)</f>
        <v>Operating Service Fees</v>
      </c>
      <c r="X3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4"/>
      <c r="Z3094" t="s">
        <v>14</v>
      </c>
      <c r="AA3094" t="s">
        <v>247</v>
      </c>
      <c r="AB3094" t="s">
        <v>8</v>
      </c>
      <c r="AC3094" s="21">
        <v>229.17</v>
      </c>
      <c r="AD3094" s="21" t="s">
        <v>368</v>
      </c>
      <c r="AE3094" t="str">
        <f>VLOOKUP(Table_Query_from_Actuarial___Production3[[#This Row],[Kor1]],$AI$3:$AK$105,3,FALSE)</f>
        <v>Claims Expense</v>
      </c>
      <c r="AF3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5" spans="18:32" x14ac:dyDescent="0.2">
      <c r="R3095" t="s">
        <v>3</v>
      </c>
      <c r="S3095" t="s">
        <v>262</v>
      </c>
      <c r="T3095" t="s">
        <v>8</v>
      </c>
      <c r="U3095" s="21">
        <v>135231</v>
      </c>
      <c r="V3095" s="21" t="s">
        <v>368</v>
      </c>
      <c r="W3095" t="str">
        <f>VLOOKUP(Table_Query_from_Actuarial___Production[[#This Row],[Kor1]],$AI$3:$AK$105,3,FALSE)</f>
        <v>Premiums Written</v>
      </c>
      <c r="X3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5"/>
      <c r="Z3095" t="s">
        <v>33</v>
      </c>
      <c r="AA3095" t="s">
        <v>267</v>
      </c>
      <c r="AB3095" t="s">
        <v>6</v>
      </c>
      <c r="AC3095" s="21">
        <v>16036.5</v>
      </c>
      <c r="AD3095" s="21" t="s">
        <v>368</v>
      </c>
      <c r="AE3095" t="str">
        <f>VLOOKUP(Table_Query_from_Actuarial___Production3[[#This Row],[Kor1]],$AI$3:$AK$105,3,FALSE)</f>
        <v>Misc. Expense</v>
      </c>
      <c r="AF3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6" spans="18:32" x14ac:dyDescent="0.2">
      <c r="R3096" t="s">
        <v>13</v>
      </c>
      <c r="S3096" t="s">
        <v>251</v>
      </c>
      <c r="T3096" t="s">
        <v>6</v>
      </c>
      <c r="U3096" s="21">
        <v>12065.95</v>
      </c>
      <c r="V3096" s="21" t="s">
        <v>368</v>
      </c>
      <c r="W3096" t="str">
        <f>VLOOKUP(Table_Query_from_Actuarial___Production[[#This Row],[Kor1]],$AI$3:$AK$105,3,FALSE)</f>
        <v>Operating Service Fees</v>
      </c>
      <c r="X3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6"/>
      <c r="Z3096" t="s">
        <v>39</v>
      </c>
      <c r="AA3096" t="s">
        <v>242</v>
      </c>
      <c r="AB3096" t="s">
        <v>7</v>
      </c>
      <c r="AC3096" s="21">
        <v>15671</v>
      </c>
      <c r="AD3096" s="21" t="s">
        <v>368</v>
      </c>
      <c r="AE3096" t="str">
        <f>VLOOKUP(Table_Query_from_Actuarial___Production3[[#This Row],[Kor1]],$AI$3:$AK$105,3,FALSE)</f>
        <v>Misc. Income for Insolvent Companies</v>
      </c>
      <c r="AF3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7" spans="18:32" x14ac:dyDescent="0.2">
      <c r="R3097" t="s">
        <v>16</v>
      </c>
      <c r="S3097" t="s">
        <v>258</v>
      </c>
      <c r="T3097" t="s">
        <v>442</v>
      </c>
      <c r="U3097" s="21">
        <v>776019.02</v>
      </c>
      <c r="V3097" s="21" t="s">
        <v>368</v>
      </c>
      <c r="W3097" t="str">
        <f>VLOOKUP(Table_Query_from_Actuarial___Production[[#This Row],[Kor1]],$AI$3:$AK$105,3,FALSE)</f>
        <v>Losses Outstanding</v>
      </c>
      <c r="X3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7"/>
      <c r="Z3097" t="s">
        <v>17</v>
      </c>
      <c r="AA3097" t="s">
        <v>247</v>
      </c>
      <c r="AB3097" t="s">
        <v>442</v>
      </c>
      <c r="AC3097" s="21">
        <v>2185.89</v>
      </c>
      <c r="AD3097" s="21" t="s">
        <v>368</v>
      </c>
      <c r="AE3097" t="str">
        <f>VLOOKUP(Table_Query_from_Actuarial___Production3[[#This Row],[Kor1]],$AI$3:$AK$105,3,FALSE)</f>
        <v>IBNR</v>
      </c>
      <c r="AF3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8" spans="18:32" x14ac:dyDescent="0.2">
      <c r="R3098" t="s">
        <v>42</v>
      </c>
      <c r="S3098" t="s">
        <v>4</v>
      </c>
      <c r="T3098" t="s">
        <v>8</v>
      </c>
      <c r="U3098" s="21">
        <v>376.36</v>
      </c>
      <c r="V3098" s="21" t="s">
        <v>368</v>
      </c>
      <c r="W3098" t="str">
        <f>VLOOKUP(Table_Query_from_Actuarial___Production[[#This Row],[Kor1]],$AI$3:$AK$105,3,FALSE)</f>
        <v>Misc. Income</v>
      </c>
      <c r="X3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8"/>
      <c r="Z3098" t="s">
        <v>40</v>
      </c>
      <c r="AA3098" t="s">
        <v>263</v>
      </c>
      <c r="AB3098" t="s">
        <v>356</v>
      </c>
      <c r="AC3098" s="21">
        <v>101</v>
      </c>
      <c r="AD3098" s="21" t="s">
        <v>368</v>
      </c>
      <c r="AE3098" t="str">
        <f>VLOOKUP(Table_Query_from_Actuarial___Production3[[#This Row],[Kor1]],$AI$3:$AK$105,3,FALSE)</f>
        <v>Misc. Income</v>
      </c>
      <c r="AF3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099" spans="18:32" x14ac:dyDescent="0.2">
      <c r="R3099" t="s">
        <v>37</v>
      </c>
      <c r="S3099" t="s">
        <v>248</v>
      </c>
      <c r="T3099" t="s">
        <v>442</v>
      </c>
      <c r="U3099" s="21">
        <v>58.45</v>
      </c>
      <c r="V3099" s="21" t="s">
        <v>368</v>
      </c>
      <c r="W3099" t="str">
        <f>VLOOKUP(Table_Query_from_Actuarial___Production[[#This Row],[Kor1]],$AI$3:$AK$105,3,FALSE)</f>
        <v>Misc. Expense</v>
      </c>
      <c r="X3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099"/>
      <c r="Z3099" t="s">
        <v>10</v>
      </c>
      <c r="AA3099" t="s">
        <v>228</v>
      </c>
      <c r="AB3099" t="s">
        <v>441</v>
      </c>
      <c r="AC3099" s="21">
        <v>31266.55</v>
      </c>
      <c r="AD3099" s="21" t="s">
        <v>368</v>
      </c>
      <c r="AE3099" t="str">
        <f>VLOOKUP(Table_Query_from_Actuarial___Production3[[#This Row],[Kor1]],$AI$3:$AK$105,3,FALSE)</f>
        <v>Commissions</v>
      </c>
      <c r="AF3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0" spans="18:32" x14ac:dyDescent="0.2">
      <c r="R3100" t="s">
        <v>39</v>
      </c>
      <c r="S3100" t="s">
        <v>245</v>
      </c>
      <c r="T3100" t="s">
        <v>6</v>
      </c>
      <c r="U3100" s="21">
        <v>1850.01</v>
      </c>
      <c r="V3100" s="21" t="s">
        <v>368</v>
      </c>
      <c r="W3100" t="str">
        <f>VLOOKUP(Table_Query_from_Actuarial___Production[[#This Row],[Kor1]],$AI$3:$AK$105,3,FALSE)</f>
        <v>Misc. Income for Insolvent Companies</v>
      </c>
      <c r="X3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0"/>
      <c r="Z3100" t="s">
        <v>10</v>
      </c>
      <c r="AA3100" t="s">
        <v>236</v>
      </c>
      <c r="AB3100" t="s">
        <v>8</v>
      </c>
      <c r="AC3100" s="21">
        <v>4236.8500000000004</v>
      </c>
      <c r="AD3100" s="21" t="s">
        <v>368</v>
      </c>
      <c r="AE3100" t="str">
        <f>VLOOKUP(Table_Query_from_Actuarial___Production3[[#This Row],[Kor1]],$AI$3:$AK$105,3,FALSE)</f>
        <v>Commissions</v>
      </c>
      <c r="AF3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1" spans="18:32" x14ac:dyDescent="0.2">
      <c r="R3101" t="s">
        <v>49</v>
      </c>
      <c r="S3101" t="s">
        <v>257</v>
      </c>
      <c r="T3101" t="s">
        <v>6</v>
      </c>
      <c r="U3101" s="21">
        <v>110146.53</v>
      </c>
      <c r="V3101" s="21" t="s">
        <v>368</v>
      </c>
      <c r="W3101" t="str">
        <f>VLOOKUP(Table_Query_from_Actuarial___Production[[#This Row],[Kor1]],$AI$3:$AK$105,3,FALSE)</f>
        <v>ALAE Paid</v>
      </c>
      <c r="X3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1"/>
      <c r="Z3101" t="s">
        <v>37</v>
      </c>
      <c r="AA3101" t="s">
        <v>242</v>
      </c>
      <c r="AB3101" t="s">
        <v>442</v>
      </c>
      <c r="AC3101" s="21">
        <v>249.91</v>
      </c>
      <c r="AD3101" s="21" t="s">
        <v>368</v>
      </c>
      <c r="AE3101" t="str">
        <f>VLOOKUP(Table_Query_from_Actuarial___Production3[[#This Row],[Kor1]],$AI$3:$AK$105,3,FALSE)</f>
        <v>Misc. Expense</v>
      </c>
      <c r="AF3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2" spans="18:32" x14ac:dyDescent="0.2">
      <c r="R3102" t="s">
        <v>17</v>
      </c>
      <c r="S3102" t="s">
        <v>256</v>
      </c>
      <c r="T3102" t="s">
        <v>441</v>
      </c>
      <c r="U3102" s="21">
        <v>8597.82</v>
      </c>
      <c r="V3102" s="21" t="s">
        <v>368</v>
      </c>
      <c r="W3102" t="str">
        <f>VLOOKUP(Table_Query_from_Actuarial___Production[[#This Row],[Kor1]],$AI$3:$AK$105,3,FALSE)</f>
        <v>IBNR</v>
      </c>
      <c r="X3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2"/>
      <c r="Z3102" t="s">
        <v>33</v>
      </c>
      <c r="AA3102" t="s">
        <v>247</v>
      </c>
      <c r="AB3102" t="s">
        <v>8</v>
      </c>
      <c r="AC3102" s="21">
        <v>16104.33</v>
      </c>
      <c r="AD3102" s="21" t="s">
        <v>368</v>
      </c>
      <c r="AE3102" t="str">
        <f>VLOOKUP(Table_Query_from_Actuarial___Production3[[#This Row],[Kor1]],$AI$3:$AK$105,3,FALSE)</f>
        <v>Misc. Expense</v>
      </c>
      <c r="AF3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3" spans="18:32" x14ac:dyDescent="0.2">
      <c r="R3103" t="s">
        <v>13</v>
      </c>
      <c r="S3103" t="s">
        <v>250</v>
      </c>
      <c r="T3103" t="s">
        <v>427</v>
      </c>
      <c r="U3103" s="21">
        <v>194055.28</v>
      </c>
      <c r="V3103" s="21" t="s">
        <v>368</v>
      </c>
      <c r="W3103" t="str">
        <f>VLOOKUP(Table_Query_from_Actuarial___Production[[#This Row],[Kor1]],$AI$3:$AK$105,3,FALSE)</f>
        <v>Operating Service Fees</v>
      </c>
      <c r="X3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3"/>
      <c r="Z3103" t="s">
        <v>10</v>
      </c>
      <c r="AA3103" t="s">
        <v>238</v>
      </c>
      <c r="AB3103" t="s">
        <v>7</v>
      </c>
      <c r="AC3103" s="21">
        <v>3292.53</v>
      </c>
      <c r="AD3103" s="21" t="s">
        <v>368</v>
      </c>
      <c r="AE3103" t="str">
        <f>VLOOKUP(Table_Query_from_Actuarial___Production3[[#This Row],[Kor1]],$AI$3:$AK$105,3,FALSE)</f>
        <v>Commissions</v>
      </c>
      <c r="AF3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4" spans="18:32" x14ac:dyDescent="0.2">
      <c r="R3104" t="s">
        <v>32</v>
      </c>
      <c r="S3104" t="s">
        <v>254</v>
      </c>
      <c r="T3104" t="s">
        <v>427</v>
      </c>
      <c r="U3104" s="21">
        <v>110767.95</v>
      </c>
      <c r="V3104" s="21" t="s">
        <v>368</v>
      </c>
      <c r="W3104" t="str">
        <f>VLOOKUP(Table_Query_from_Actuarial___Production[[#This Row],[Kor1]],$AI$3:$AK$105,3,FALSE)</f>
        <v>Misc. Expense</v>
      </c>
      <c r="X3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4"/>
      <c r="Z3104" t="s">
        <v>38</v>
      </c>
      <c r="AA3104" t="s">
        <v>225</v>
      </c>
      <c r="AB3104" t="s">
        <v>7</v>
      </c>
      <c r="AC3104" s="21">
        <v>492054.17</v>
      </c>
      <c r="AD3104" s="21" t="s">
        <v>369</v>
      </c>
      <c r="AE3104" t="str">
        <f>VLOOKUP(Table_Query_from_Actuarial___Production3[[#This Row],[Kor1]],$AI$3:$AK$105,3,FALSE)</f>
        <v>Misc. Income</v>
      </c>
      <c r="AF3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105" spans="18:32" x14ac:dyDescent="0.2">
      <c r="R3105" t="s">
        <v>13</v>
      </c>
      <c r="S3105" t="s">
        <v>251</v>
      </c>
      <c r="T3105" t="s">
        <v>445</v>
      </c>
      <c r="U3105" s="21">
        <v>93169.98</v>
      </c>
      <c r="V3105" s="21" t="s">
        <v>368</v>
      </c>
      <c r="W3105" t="str">
        <f>VLOOKUP(Table_Query_from_Actuarial___Production[[#This Row],[Kor1]],$AI$3:$AK$105,3,FALSE)</f>
        <v>Operating Service Fees</v>
      </c>
      <c r="X3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5"/>
      <c r="Z3105" t="s">
        <v>14</v>
      </c>
      <c r="AA3105" t="s">
        <v>257</v>
      </c>
      <c r="AB3105" t="s">
        <v>443</v>
      </c>
      <c r="AC3105" s="21">
        <v>24607.03</v>
      </c>
      <c r="AD3105" s="21" t="s">
        <v>368</v>
      </c>
      <c r="AE3105" t="str">
        <f>VLOOKUP(Table_Query_from_Actuarial___Production3[[#This Row],[Kor1]],$AI$3:$AK$105,3,FALSE)</f>
        <v>Claims Expense</v>
      </c>
      <c r="AF3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6" spans="18:32" x14ac:dyDescent="0.2">
      <c r="R3106" t="s">
        <v>37</v>
      </c>
      <c r="S3106" t="s">
        <v>229</v>
      </c>
      <c r="T3106" t="s">
        <v>427</v>
      </c>
      <c r="U3106" s="21">
        <v>95.08</v>
      </c>
      <c r="V3106" s="21" t="s">
        <v>368</v>
      </c>
      <c r="W3106" t="str">
        <f>VLOOKUP(Table_Query_from_Actuarial___Production[[#This Row],[Kor1]],$AI$3:$AK$105,3,FALSE)</f>
        <v>Misc. Expense</v>
      </c>
      <c r="X3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6"/>
      <c r="Z3106" t="s">
        <v>19</v>
      </c>
      <c r="AA3106" t="s">
        <v>241</v>
      </c>
      <c r="AB3106" t="s">
        <v>6</v>
      </c>
      <c r="AC3106" s="21">
        <v>1577</v>
      </c>
      <c r="AD3106" s="21" t="s">
        <v>368</v>
      </c>
      <c r="AE3106" t="str">
        <f>VLOOKUP(Table_Query_from_Actuarial___Production3[[#This Row],[Kor1]],$AI$3:$AK$105,3,FALSE)</f>
        <v>Misc. Expense for Insolvent Companies</v>
      </c>
      <c r="AF3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7" spans="18:32" x14ac:dyDescent="0.2">
      <c r="R3107" t="s">
        <v>34</v>
      </c>
      <c r="S3107" t="s">
        <v>227</v>
      </c>
      <c r="T3107" t="s">
        <v>9</v>
      </c>
      <c r="U3107" s="21">
        <v>151.24</v>
      </c>
      <c r="V3107" s="21" t="s">
        <v>368</v>
      </c>
      <c r="W3107" t="str">
        <f>VLOOKUP(Table_Query_from_Actuarial___Production[[#This Row],[Kor1]],$AI$3:$AK$105,3,FALSE)</f>
        <v>Misc. Expense</v>
      </c>
      <c r="X3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7"/>
      <c r="Z3107" t="s">
        <v>41</v>
      </c>
      <c r="AA3107" t="s">
        <v>258</v>
      </c>
      <c r="AB3107" t="s">
        <v>9</v>
      </c>
      <c r="AC3107" s="21">
        <v>747.01</v>
      </c>
      <c r="AD3107" s="21" t="s">
        <v>368</v>
      </c>
      <c r="AE3107" t="str">
        <f>VLOOKUP(Table_Query_from_Actuarial___Production3[[#This Row],[Kor1]],$AI$3:$AK$105,3,FALSE)</f>
        <v>Misc. Income</v>
      </c>
      <c r="AF3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08" spans="18:32" x14ac:dyDescent="0.2">
      <c r="R3108" t="s">
        <v>41</v>
      </c>
      <c r="S3108" t="s">
        <v>4</v>
      </c>
      <c r="T3108" t="s">
        <v>356</v>
      </c>
      <c r="U3108" s="21">
        <v>546.9</v>
      </c>
      <c r="V3108" s="21" t="s">
        <v>368</v>
      </c>
      <c r="W3108" t="str">
        <f>VLOOKUP(Table_Query_from_Actuarial___Production[[#This Row],[Kor1]],$AI$3:$AK$105,3,FALSE)</f>
        <v>Misc. Income</v>
      </c>
      <c r="X3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08"/>
      <c r="Z3108" t="s">
        <v>3</v>
      </c>
      <c r="AA3108" t="s">
        <v>224</v>
      </c>
      <c r="AB3108" t="s">
        <v>351</v>
      </c>
      <c r="AC3108" s="21">
        <v>2135403.17</v>
      </c>
      <c r="AD3108" s="21" t="s">
        <v>370</v>
      </c>
      <c r="AE3108" t="str">
        <f>VLOOKUP(Table_Query_from_Actuarial___Production3[[#This Row],[Kor1]],$AI$3:$AK$105,3,FALSE)</f>
        <v>Premiums Written</v>
      </c>
      <c r="AF3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109" spans="18:32" x14ac:dyDescent="0.2">
      <c r="R3109" t="s">
        <v>48</v>
      </c>
      <c r="S3109" t="s">
        <v>225</v>
      </c>
      <c r="T3109" t="s">
        <v>433</v>
      </c>
      <c r="U3109" s="21">
        <v>337.55</v>
      </c>
      <c r="V3109" s="21" t="s">
        <v>369</v>
      </c>
      <c r="W3109" t="str">
        <f>VLOOKUP(Table_Query_from_Actuarial___Production[[#This Row],[Kor1]],$AI$3:$AK$105,3,FALSE)</f>
        <v>Anticipated Salvage</v>
      </c>
      <c r="X3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109"/>
      <c r="Z3109" t="s">
        <v>43</v>
      </c>
      <c r="AA3109" t="s">
        <v>266</v>
      </c>
      <c r="AB3109" t="s">
        <v>6</v>
      </c>
      <c r="AC3109" s="21">
        <v>0.01</v>
      </c>
      <c r="AD3109" s="21" t="s">
        <v>368</v>
      </c>
      <c r="AE3109" t="str">
        <f>VLOOKUP(Table_Query_from_Actuarial___Production3[[#This Row],[Kor1]],$AI$3:$AK$105,3,FALSE)</f>
        <v>Charge-offs</v>
      </c>
      <c r="AF3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0" spans="18:32" x14ac:dyDescent="0.2">
      <c r="R3110" t="s">
        <v>50</v>
      </c>
      <c r="S3110" t="s">
        <v>4</v>
      </c>
      <c r="T3110" t="s">
        <v>433</v>
      </c>
      <c r="U3110" s="21">
        <v>461918.35</v>
      </c>
      <c r="V3110" s="21" t="s">
        <v>368</v>
      </c>
      <c r="W3110" t="str">
        <f>VLOOKUP(Table_Query_from_Actuarial___Production[[#This Row],[Kor1]],$AI$3:$AK$105,3,FALSE)</f>
        <v>ALAE Reserve</v>
      </c>
      <c r="X3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0"/>
      <c r="Z3110" t="s">
        <v>15</v>
      </c>
      <c r="AA3110" t="s">
        <v>267</v>
      </c>
      <c r="AB3110" t="s">
        <v>442</v>
      </c>
      <c r="AC3110" s="21">
        <v>99362.9</v>
      </c>
      <c r="AD3110" s="21" t="s">
        <v>368</v>
      </c>
      <c r="AE3110" t="str">
        <f>VLOOKUP(Table_Query_from_Actuarial___Production3[[#This Row],[Kor1]],$AI$3:$AK$105,3,FALSE)</f>
        <v>Unearned Premiums</v>
      </c>
      <c r="AF3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1" spans="18:32" x14ac:dyDescent="0.2">
      <c r="R3111" t="s">
        <v>12</v>
      </c>
      <c r="S3111" t="s">
        <v>261</v>
      </c>
      <c r="T3111" t="s">
        <v>356</v>
      </c>
      <c r="U3111" s="21">
        <v>14679.35</v>
      </c>
      <c r="V3111" s="21" t="s">
        <v>368</v>
      </c>
      <c r="W3111" t="str">
        <f>VLOOKUP(Table_Query_from_Actuarial___Production[[#This Row],[Kor1]],$AI$3:$AK$105,3,FALSE)</f>
        <v>Premium Tax</v>
      </c>
      <c r="X3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1"/>
      <c r="Z3111" t="s">
        <v>14</v>
      </c>
      <c r="AA3111" t="s">
        <v>267</v>
      </c>
      <c r="AB3111" t="s">
        <v>427</v>
      </c>
      <c r="AC3111" s="21">
        <v>25143.47</v>
      </c>
      <c r="AD3111" s="21" t="s">
        <v>368</v>
      </c>
      <c r="AE3111" t="str">
        <f>VLOOKUP(Table_Query_from_Actuarial___Production3[[#This Row],[Kor1]],$AI$3:$AK$105,3,FALSE)</f>
        <v>Claims Expense</v>
      </c>
      <c r="AF3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2" spans="18:32" x14ac:dyDescent="0.2">
      <c r="R3112" t="s">
        <v>14</v>
      </c>
      <c r="S3112" t="s">
        <v>243</v>
      </c>
      <c r="T3112" t="s">
        <v>8</v>
      </c>
      <c r="U3112" s="21">
        <v>52469.45</v>
      </c>
      <c r="V3112" s="21" t="s">
        <v>368</v>
      </c>
      <c r="W3112" t="str">
        <f>VLOOKUP(Table_Query_from_Actuarial___Production[[#This Row],[Kor1]],$AI$3:$AK$105,3,FALSE)</f>
        <v>Claims Expense</v>
      </c>
      <c r="X3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2"/>
      <c r="Z3112" t="s">
        <v>20</v>
      </c>
      <c r="AA3112" t="s">
        <v>233</v>
      </c>
      <c r="AB3112" t="s">
        <v>7</v>
      </c>
      <c r="AC3112" s="21">
        <v>226.74</v>
      </c>
      <c r="AD3112" s="21" t="s">
        <v>368</v>
      </c>
      <c r="AE3112" t="str">
        <f>VLOOKUP(Table_Query_from_Actuarial___Production3[[#This Row],[Kor1]],$AI$3:$AK$105,3,FALSE)</f>
        <v>Misc. Expense</v>
      </c>
      <c r="AF3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3" spans="18:32" x14ac:dyDescent="0.2">
      <c r="R3113" t="s">
        <v>12</v>
      </c>
      <c r="S3113" t="s">
        <v>259</v>
      </c>
      <c r="T3113" t="s">
        <v>356</v>
      </c>
      <c r="U3113" s="21">
        <v>16137.98</v>
      </c>
      <c r="V3113" s="21" t="s">
        <v>368</v>
      </c>
      <c r="W3113" t="str">
        <f>VLOOKUP(Table_Query_from_Actuarial___Production[[#This Row],[Kor1]],$AI$3:$AK$105,3,FALSE)</f>
        <v>Premium Tax</v>
      </c>
      <c r="X3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3"/>
      <c r="Z3113" t="s">
        <v>40</v>
      </c>
      <c r="AA3113" t="s">
        <v>255</v>
      </c>
      <c r="AB3113" t="s">
        <v>8</v>
      </c>
      <c r="AC3113" s="21">
        <v>64.010000000000005</v>
      </c>
      <c r="AD3113" s="21" t="s">
        <v>368</v>
      </c>
      <c r="AE3113" t="str">
        <f>VLOOKUP(Table_Query_from_Actuarial___Production3[[#This Row],[Kor1]],$AI$3:$AK$105,3,FALSE)</f>
        <v>Misc. Income</v>
      </c>
      <c r="AF3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4" spans="18:32" x14ac:dyDescent="0.2">
      <c r="R3114" t="s">
        <v>16</v>
      </c>
      <c r="S3114" t="s">
        <v>246</v>
      </c>
      <c r="T3114" t="s">
        <v>442</v>
      </c>
      <c r="U3114" s="21">
        <v>1687219.15</v>
      </c>
      <c r="V3114" s="21" t="s">
        <v>368</v>
      </c>
      <c r="W3114" t="str">
        <f>VLOOKUP(Table_Query_from_Actuarial___Production[[#This Row],[Kor1]],$AI$3:$AK$105,3,FALSE)</f>
        <v>Losses Outstanding</v>
      </c>
      <c r="X3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4"/>
      <c r="Z3114" t="s">
        <v>33</v>
      </c>
      <c r="AA3114" t="s">
        <v>241</v>
      </c>
      <c r="AB3114" t="s">
        <v>8</v>
      </c>
      <c r="AC3114" s="21">
        <v>15426.39</v>
      </c>
      <c r="AD3114" s="21" t="s">
        <v>368</v>
      </c>
      <c r="AE3114" t="str">
        <f>VLOOKUP(Table_Query_from_Actuarial___Production3[[#This Row],[Kor1]],$AI$3:$AK$105,3,FALSE)</f>
        <v>Misc. Expense</v>
      </c>
      <c r="AF3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5" spans="18:32" x14ac:dyDescent="0.2">
      <c r="R3115" t="s">
        <v>41</v>
      </c>
      <c r="S3115" t="s">
        <v>265</v>
      </c>
      <c r="T3115" t="s">
        <v>356</v>
      </c>
      <c r="U3115" s="21">
        <v>300</v>
      </c>
      <c r="V3115" s="21" t="s">
        <v>368</v>
      </c>
      <c r="W3115" t="str">
        <f>VLOOKUP(Table_Query_from_Actuarial___Production[[#This Row],[Kor1]],$AI$3:$AK$105,3,FALSE)</f>
        <v>Misc. Income</v>
      </c>
      <c r="X3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5"/>
      <c r="Z3115" t="s">
        <v>37</v>
      </c>
      <c r="AA3115" t="s">
        <v>246</v>
      </c>
      <c r="AB3115" t="s">
        <v>356</v>
      </c>
      <c r="AC3115" s="21">
        <v>3039.07</v>
      </c>
      <c r="AD3115" s="21" t="s">
        <v>368</v>
      </c>
      <c r="AE3115" t="str">
        <f>VLOOKUP(Table_Query_from_Actuarial___Production3[[#This Row],[Kor1]],$AI$3:$AK$105,3,FALSE)</f>
        <v>Misc. Expense</v>
      </c>
      <c r="AF3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6" spans="18:32" x14ac:dyDescent="0.2">
      <c r="R3116" t="s">
        <v>47</v>
      </c>
      <c r="S3116" t="s">
        <v>254</v>
      </c>
      <c r="T3116" t="s">
        <v>356</v>
      </c>
      <c r="U3116" s="21">
        <v>6273.14</v>
      </c>
      <c r="V3116" s="21" t="s">
        <v>368</v>
      </c>
      <c r="W3116" t="str">
        <f>VLOOKUP(Table_Query_from_Actuarial___Production[[#This Row],[Kor1]],$AI$3:$AK$105,3,FALSE)</f>
        <v>Investment Income</v>
      </c>
      <c r="X3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6"/>
      <c r="Z3116" t="s">
        <v>48</v>
      </c>
      <c r="AA3116" t="s">
        <v>263</v>
      </c>
      <c r="AB3116" t="s">
        <v>356</v>
      </c>
      <c r="AC3116" s="21">
        <v>420</v>
      </c>
      <c r="AD3116" s="21" t="s">
        <v>368</v>
      </c>
      <c r="AE3116" t="str">
        <f>VLOOKUP(Table_Query_from_Actuarial___Production3[[#This Row],[Kor1]],$AI$3:$AK$105,3,FALSE)</f>
        <v>Anticipated Salvage</v>
      </c>
      <c r="AF3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7" spans="18:32" x14ac:dyDescent="0.2">
      <c r="R3117" t="s">
        <v>13</v>
      </c>
      <c r="S3117" t="s">
        <v>258</v>
      </c>
      <c r="T3117" t="s">
        <v>433</v>
      </c>
      <c r="U3117" s="21">
        <v>579019.5</v>
      </c>
      <c r="V3117" s="21" t="s">
        <v>368</v>
      </c>
      <c r="W3117" t="str">
        <f>VLOOKUP(Table_Query_from_Actuarial___Production[[#This Row],[Kor1]],$AI$3:$AK$105,3,FALSE)</f>
        <v>Operating Service Fees</v>
      </c>
      <c r="X3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7"/>
      <c r="Z3117" t="s">
        <v>14</v>
      </c>
      <c r="AA3117" t="s">
        <v>233</v>
      </c>
      <c r="AB3117" t="s">
        <v>9</v>
      </c>
      <c r="AC3117" s="21">
        <v>50076.66</v>
      </c>
      <c r="AD3117" s="21" t="s">
        <v>368</v>
      </c>
      <c r="AE3117" t="str">
        <f>VLOOKUP(Table_Query_from_Actuarial___Production3[[#This Row],[Kor1]],$AI$3:$AK$105,3,FALSE)</f>
        <v>Claims Expense</v>
      </c>
      <c r="AF3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18" spans="18:32" x14ac:dyDescent="0.2">
      <c r="R3118" t="s">
        <v>19</v>
      </c>
      <c r="S3118" t="s">
        <v>248</v>
      </c>
      <c r="T3118" t="s">
        <v>7</v>
      </c>
      <c r="U3118" s="21">
        <v>5</v>
      </c>
      <c r="V3118" s="21" t="s">
        <v>368</v>
      </c>
      <c r="W3118" t="str">
        <f>VLOOKUP(Table_Query_from_Actuarial___Production[[#This Row],[Kor1]],$AI$3:$AK$105,3,FALSE)</f>
        <v>Misc. Expense for Insolvent Companies</v>
      </c>
      <c r="X3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8"/>
      <c r="Z3118" t="s">
        <v>49</v>
      </c>
      <c r="AA3118" t="s">
        <v>226</v>
      </c>
      <c r="AB3118" t="s">
        <v>8</v>
      </c>
      <c r="AC3118" s="21">
        <v>1060017.53</v>
      </c>
      <c r="AD3118" s="21" t="s">
        <v>368</v>
      </c>
      <c r="AE3118" t="str">
        <f>VLOOKUP(Table_Query_from_Actuarial___Production3[[#This Row],[Kor1]],$AI$3:$AK$105,3,FALSE)</f>
        <v>ALAE Paid</v>
      </c>
      <c r="AF3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119" spans="18:32" x14ac:dyDescent="0.2">
      <c r="R3119" t="s">
        <v>34</v>
      </c>
      <c r="S3119" t="s">
        <v>240</v>
      </c>
      <c r="T3119" t="s">
        <v>427</v>
      </c>
      <c r="U3119" s="21">
        <v>1247.8900000000001</v>
      </c>
      <c r="V3119" s="21" t="s">
        <v>368</v>
      </c>
      <c r="W3119" t="str">
        <f>VLOOKUP(Table_Query_from_Actuarial___Production[[#This Row],[Kor1]],$AI$3:$AK$105,3,FALSE)</f>
        <v>Misc. Expense</v>
      </c>
      <c r="X3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19"/>
      <c r="Z3119" t="s">
        <v>38</v>
      </c>
      <c r="AA3119" t="s">
        <v>224</v>
      </c>
      <c r="AB3119" t="s">
        <v>356</v>
      </c>
      <c r="AC3119" s="21">
        <v>182057.53</v>
      </c>
      <c r="AD3119" s="21" t="s">
        <v>368</v>
      </c>
      <c r="AE3119" t="str">
        <f>VLOOKUP(Table_Query_from_Actuarial___Production3[[#This Row],[Kor1]],$AI$3:$AK$105,3,FALSE)</f>
        <v>Misc. Income</v>
      </c>
      <c r="AF3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120" spans="18:32" x14ac:dyDescent="0.2">
      <c r="R3120" t="s">
        <v>21</v>
      </c>
      <c r="S3120" t="s">
        <v>249</v>
      </c>
      <c r="T3120" t="s">
        <v>7</v>
      </c>
      <c r="U3120" s="21">
        <v>1410.01</v>
      </c>
      <c r="V3120" s="21" t="s">
        <v>368</v>
      </c>
      <c r="W3120" t="str">
        <f>VLOOKUP(Table_Query_from_Actuarial___Production[[#This Row],[Kor1]],$AI$3:$AK$105,3,FALSE)</f>
        <v>Misc. Expense</v>
      </c>
      <c r="X3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0"/>
      <c r="Z3120" t="s">
        <v>47</v>
      </c>
      <c r="AA3120" t="s">
        <v>256</v>
      </c>
      <c r="AB3120" t="s">
        <v>8</v>
      </c>
      <c r="AC3120" s="21">
        <v>7.0000000000000007E-2</v>
      </c>
      <c r="AD3120" s="21" t="s">
        <v>368</v>
      </c>
      <c r="AE3120" t="str">
        <f>VLOOKUP(Table_Query_from_Actuarial___Production3[[#This Row],[Kor1]],$AI$3:$AK$105,3,FALSE)</f>
        <v>Investment Income</v>
      </c>
      <c r="AF3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1" spans="18:32" x14ac:dyDescent="0.2">
      <c r="R3121" t="s">
        <v>44</v>
      </c>
      <c r="S3121" t="s">
        <v>244</v>
      </c>
      <c r="T3121" t="s">
        <v>443</v>
      </c>
      <c r="U3121" s="21">
        <v>8569.36</v>
      </c>
      <c r="V3121" s="21" t="s">
        <v>368</v>
      </c>
      <c r="W3121" t="str">
        <f>VLOOKUP(Table_Query_from_Actuarial___Production[[#This Row],[Kor1]],$AI$3:$AK$105,3,FALSE)</f>
        <v>Charge-offs</v>
      </c>
      <c r="X3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1"/>
      <c r="Z3121" t="s">
        <v>13</v>
      </c>
      <c r="AA3121" t="s">
        <v>4</v>
      </c>
      <c r="AB3121" t="s">
        <v>6</v>
      </c>
      <c r="AC3121" s="21">
        <v>940212.4</v>
      </c>
      <c r="AD3121" s="21" t="s">
        <v>368</v>
      </c>
      <c r="AE3121" t="str">
        <f>VLOOKUP(Table_Query_from_Actuarial___Production3[[#This Row],[Kor1]],$AI$3:$AK$105,3,FALSE)</f>
        <v>Operating Service Fees</v>
      </c>
      <c r="AF3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2" spans="18:32" x14ac:dyDescent="0.2">
      <c r="R3122" t="s">
        <v>10</v>
      </c>
      <c r="S3122" t="s">
        <v>225</v>
      </c>
      <c r="T3122" t="s">
        <v>433</v>
      </c>
      <c r="U3122" s="21">
        <v>44238.71</v>
      </c>
      <c r="V3122" s="21" t="s">
        <v>369</v>
      </c>
      <c r="W3122" t="str">
        <f>VLOOKUP(Table_Query_from_Actuarial___Production[[#This Row],[Kor1]],$AI$3:$AK$105,3,FALSE)</f>
        <v>Commissions</v>
      </c>
      <c r="X3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122"/>
      <c r="Z3122" t="s">
        <v>3</v>
      </c>
      <c r="AA3122" t="s">
        <v>243</v>
      </c>
      <c r="AB3122" t="s">
        <v>6</v>
      </c>
      <c r="AC3122" s="21">
        <v>207886</v>
      </c>
      <c r="AD3122" s="21" t="s">
        <v>368</v>
      </c>
      <c r="AE3122" t="str">
        <f>VLOOKUP(Table_Query_from_Actuarial___Production3[[#This Row],[Kor1]],$AI$3:$AK$105,3,FALSE)</f>
        <v>Premiums Written</v>
      </c>
      <c r="AF3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3" spans="18:32" x14ac:dyDescent="0.2">
      <c r="R3123" t="s">
        <v>11</v>
      </c>
      <c r="S3123" t="s">
        <v>238</v>
      </c>
      <c r="T3123" t="s">
        <v>8</v>
      </c>
      <c r="U3123" s="21">
        <v>288439.89</v>
      </c>
      <c r="V3123" s="21" t="s">
        <v>368</v>
      </c>
      <c r="W3123" t="str">
        <f>VLOOKUP(Table_Query_from_Actuarial___Production[[#This Row],[Kor1]],$AI$3:$AK$105,3,FALSE)</f>
        <v>Losses Paid</v>
      </c>
      <c r="X3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3"/>
      <c r="Z3123" t="s">
        <v>17</v>
      </c>
      <c r="AA3123" t="s">
        <v>264</v>
      </c>
      <c r="AB3123" t="s">
        <v>427</v>
      </c>
      <c r="AC3123" s="21">
        <v>553542.75</v>
      </c>
      <c r="AD3123" s="21" t="s">
        <v>368</v>
      </c>
      <c r="AE3123" t="str">
        <f>VLOOKUP(Table_Query_from_Actuarial___Production3[[#This Row],[Kor1]],$AI$3:$AK$105,3,FALSE)</f>
        <v>IBNR</v>
      </c>
      <c r="AF3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4" spans="18:32" x14ac:dyDescent="0.2">
      <c r="R3124" t="s">
        <v>3</v>
      </c>
      <c r="S3124" t="s">
        <v>255</v>
      </c>
      <c r="T3124" t="s">
        <v>442</v>
      </c>
      <c r="U3124" s="21">
        <v>397492</v>
      </c>
      <c r="V3124" s="21" t="s">
        <v>368</v>
      </c>
      <c r="W3124" t="str">
        <f>VLOOKUP(Table_Query_from_Actuarial___Production[[#This Row],[Kor1]],$AI$3:$AK$105,3,FALSE)</f>
        <v>Premiums Written</v>
      </c>
      <c r="X3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4"/>
      <c r="Z3124" t="s">
        <v>49</v>
      </c>
      <c r="AA3124" t="s">
        <v>258</v>
      </c>
      <c r="AB3124" t="s">
        <v>8</v>
      </c>
      <c r="AC3124" s="21">
        <v>62553.23</v>
      </c>
      <c r="AD3124" s="21" t="s">
        <v>368</v>
      </c>
      <c r="AE3124" t="str">
        <f>VLOOKUP(Table_Query_from_Actuarial___Production3[[#This Row],[Kor1]],$AI$3:$AK$105,3,FALSE)</f>
        <v>ALAE Paid</v>
      </c>
      <c r="AF3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5" spans="18:32" x14ac:dyDescent="0.2">
      <c r="R3125" t="s">
        <v>39</v>
      </c>
      <c r="S3125" t="s">
        <v>240</v>
      </c>
      <c r="T3125" t="s">
        <v>433</v>
      </c>
      <c r="U3125" s="21">
        <v>8676</v>
      </c>
      <c r="V3125" s="21" t="s">
        <v>368</v>
      </c>
      <c r="W3125" t="str">
        <f>VLOOKUP(Table_Query_from_Actuarial___Production[[#This Row],[Kor1]],$AI$3:$AK$105,3,FALSE)</f>
        <v>Misc. Income for Insolvent Companies</v>
      </c>
      <c r="X3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5"/>
      <c r="Z3125" t="s">
        <v>19</v>
      </c>
      <c r="AA3125" t="s">
        <v>230</v>
      </c>
      <c r="AB3125" t="s">
        <v>7</v>
      </c>
      <c r="AC3125" s="21">
        <v>90026.94</v>
      </c>
      <c r="AD3125" s="21" t="s">
        <v>368</v>
      </c>
      <c r="AE3125" t="str">
        <f>VLOOKUP(Table_Query_from_Actuarial___Production3[[#This Row],[Kor1]],$AI$3:$AK$105,3,FALSE)</f>
        <v>Misc. Expense for Insolvent Companies</v>
      </c>
      <c r="AF3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6" spans="18:32" x14ac:dyDescent="0.2">
      <c r="R3126" t="s">
        <v>10</v>
      </c>
      <c r="S3126" t="s">
        <v>265</v>
      </c>
      <c r="T3126" t="s">
        <v>7</v>
      </c>
      <c r="U3126" s="21">
        <v>28517.9</v>
      </c>
      <c r="V3126" s="21" t="s">
        <v>368</v>
      </c>
      <c r="W3126" t="str">
        <f>VLOOKUP(Table_Query_from_Actuarial___Production[[#This Row],[Kor1]],$AI$3:$AK$105,3,FALSE)</f>
        <v>Commissions</v>
      </c>
      <c r="X3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6"/>
      <c r="Z3126" t="s">
        <v>43</v>
      </c>
      <c r="AA3126" t="s">
        <v>226</v>
      </c>
      <c r="AB3126" t="s">
        <v>443</v>
      </c>
      <c r="AC3126" s="21">
        <v>3373.25</v>
      </c>
      <c r="AD3126" s="21" t="s">
        <v>368</v>
      </c>
      <c r="AE3126" t="str">
        <f>VLOOKUP(Table_Query_from_Actuarial___Production3[[#This Row],[Kor1]],$AI$3:$AK$105,3,FALSE)</f>
        <v>Charge-offs</v>
      </c>
      <c r="AF3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127" spans="18:32" x14ac:dyDescent="0.2">
      <c r="R3127" t="s">
        <v>44</v>
      </c>
      <c r="S3127" t="s">
        <v>234</v>
      </c>
      <c r="T3127" t="s">
        <v>433</v>
      </c>
      <c r="U3127" s="21">
        <v>4640.7299999999996</v>
      </c>
      <c r="V3127" s="21" t="s">
        <v>368</v>
      </c>
      <c r="W3127" t="str">
        <f>VLOOKUP(Table_Query_from_Actuarial___Production[[#This Row],[Kor1]],$AI$3:$AK$105,3,FALSE)</f>
        <v>Charge-offs</v>
      </c>
      <c r="X3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27"/>
      <c r="Z3127" t="s">
        <v>11</v>
      </c>
      <c r="AA3127" t="s">
        <v>242</v>
      </c>
      <c r="AB3127" t="s">
        <v>9</v>
      </c>
      <c r="AC3127" s="21">
        <v>1131500</v>
      </c>
      <c r="AD3127" s="21" t="s">
        <v>368</v>
      </c>
      <c r="AE3127" t="str">
        <f>VLOOKUP(Table_Query_from_Actuarial___Production3[[#This Row],[Kor1]],$AI$3:$AK$105,3,FALSE)</f>
        <v>Losses Paid</v>
      </c>
      <c r="AF3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8" spans="18:32" x14ac:dyDescent="0.2">
      <c r="R3128" t="s">
        <v>13</v>
      </c>
      <c r="S3128" t="s">
        <v>225</v>
      </c>
      <c r="T3128" t="s">
        <v>6</v>
      </c>
      <c r="U3128" s="21">
        <v>281886.7</v>
      </c>
      <c r="V3128" s="21" t="s">
        <v>369</v>
      </c>
      <c r="W3128" t="str">
        <f>VLOOKUP(Table_Query_from_Actuarial___Production[[#This Row],[Kor1]],$AI$3:$AK$105,3,FALSE)</f>
        <v>Operating Service Fees</v>
      </c>
      <c r="X3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128"/>
      <c r="Z3128" t="s">
        <v>21</v>
      </c>
      <c r="AA3128" t="s">
        <v>230</v>
      </c>
      <c r="AB3128" t="s">
        <v>433</v>
      </c>
      <c r="AC3128" s="21">
        <v>218.1</v>
      </c>
      <c r="AD3128" s="21" t="s">
        <v>368</v>
      </c>
      <c r="AE3128" t="str">
        <f>VLOOKUP(Table_Query_from_Actuarial___Production3[[#This Row],[Kor1]],$AI$3:$AK$105,3,FALSE)</f>
        <v>Misc. Expense</v>
      </c>
      <c r="AF3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29" spans="18:32" x14ac:dyDescent="0.2">
      <c r="R3129" t="s">
        <v>49</v>
      </c>
      <c r="S3129" t="s">
        <v>225</v>
      </c>
      <c r="T3129" t="s">
        <v>445</v>
      </c>
      <c r="U3129" s="21">
        <v>55.05</v>
      </c>
      <c r="V3129" s="21" t="s">
        <v>368</v>
      </c>
      <c r="W3129" t="str">
        <f>VLOOKUP(Table_Query_from_Actuarial___Production[[#This Row],[Kor1]],$AI$3:$AK$105,3,FALSE)</f>
        <v>ALAE Paid</v>
      </c>
      <c r="X3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129"/>
      <c r="Z3129" t="s">
        <v>41</v>
      </c>
      <c r="AA3129" t="s">
        <v>236</v>
      </c>
      <c r="AB3129" t="s">
        <v>8</v>
      </c>
      <c r="AC3129" s="21">
        <v>450</v>
      </c>
      <c r="AD3129" s="21" t="s">
        <v>368</v>
      </c>
      <c r="AE3129" t="str">
        <f>VLOOKUP(Table_Query_from_Actuarial___Production3[[#This Row],[Kor1]],$AI$3:$AK$105,3,FALSE)</f>
        <v>Misc. Income</v>
      </c>
      <c r="AF3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0" spans="18:32" x14ac:dyDescent="0.2">
      <c r="R3130" t="s">
        <v>3</v>
      </c>
      <c r="S3130" t="s">
        <v>228</v>
      </c>
      <c r="T3130" t="s">
        <v>8</v>
      </c>
      <c r="U3130" s="21">
        <v>97956</v>
      </c>
      <c r="V3130" s="21" t="s">
        <v>368</v>
      </c>
      <c r="W3130" t="str">
        <f>VLOOKUP(Table_Query_from_Actuarial___Production[[#This Row],[Kor1]],$AI$3:$AK$105,3,FALSE)</f>
        <v>Premiums Written</v>
      </c>
      <c r="X3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0"/>
      <c r="Z3130" t="s">
        <v>46</v>
      </c>
      <c r="AA3130" t="s">
        <v>352</v>
      </c>
      <c r="AB3130" t="s">
        <v>6</v>
      </c>
      <c r="AC3130" s="21">
        <v>20.73</v>
      </c>
      <c r="AD3130" s="21" t="s">
        <v>369</v>
      </c>
      <c r="AE3130" t="str">
        <f>VLOOKUP(Table_Query_from_Actuarial___Production3[[#This Row],[Kor1]],$AI$3:$AK$105,3,FALSE)</f>
        <v>Investment Income</v>
      </c>
      <c r="AF3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131" spans="18:32" x14ac:dyDescent="0.2">
      <c r="R3131" t="s">
        <v>49</v>
      </c>
      <c r="S3131" t="s">
        <v>242</v>
      </c>
      <c r="T3131" t="s">
        <v>8</v>
      </c>
      <c r="U3131" s="21">
        <v>89104.16</v>
      </c>
      <c r="V3131" s="21" t="s">
        <v>368</v>
      </c>
      <c r="W3131" t="str">
        <f>VLOOKUP(Table_Query_from_Actuarial___Production[[#This Row],[Kor1]],$AI$3:$AK$105,3,FALSE)</f>
        <v>ALAE Paid</v>
      </c>
      <c r="X3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1"/>
      <c r="Z3131" t="s">
        <v>13</v>
      </c>
      <c r="AA3131" t="s">
        <v>260</v>
      </c>
      <c r="AB3131" t="s">
        <v>356</v>
      </c>
      <c r="AC3131" s="21">
        <v>10592.26</v>
      </c>
      <c r="AD3131" s="21" t="s">
        <v>368</v>
      </c>
      <c r="AE3131" t="str">
        <f>VLOOKUP(Table_Query_from_Actuarial___Production3[[#This Row],[Kor1]],$AI$3:$AK$105,3,FALSE)</f>
        <v>Operating Service Fees</v>
      </c>
      <c r="AF3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2" spans="18:32" x14ac:dyDescent="0.2">
      <c r="R3132" t="s">
        <v>38</v>
      </c>
      <c r="S3132" t="s">
        <v>226</v>
      </c>
      <c r="T3132" t="s">
        <v>441</v>
      </c>
      <c r="U3132" s="21">
        <v>14672.57</v>
      </c>
      <c r="V3132" s="21" t="s">
        <v>368</v>
      </c>
      <c r="W3132" t="str">
        <f>VLOOKUP(Table_Query_from_Actuarial___Production[[#This Row],[Kor1]],$AI$3:$AK$105,3,FALSE)</f>
        <v>Misc. Income</v>
      </c>
      <c r="X3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132"/>
      <c r="Z3132" t="s">
        <v>3</v>
      </c>
      <c r="AA3132" t="s">
        <v>262</v>
      </c>
      <c r="AB3132" t="s">
        <v>8</v>
      </c>
      <c r="AC3132" s="21">
        <v>135231</v>
      </c>
      <c r="AD3132" s="21" t="s">
        <v>368</v>
      </c>
      <c r="AE3132" t="str">
        <f>VLOOKUP(Table_Query_from_Actuarial___Production3[[#This Row],[Kor1]],$AI$3:$AK$105,3,FALSE)</f>
        <v>Premiums Written</v>
      </c>
      <c r="AF3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3" spans="18:32" x14ac:dyDescent="0.2">
      <c r="R3133" t="s">
        <v>12</v>
      </c>
      <c r="S3133" t="s">
        <v>234</v>
      </c>
      <c r="T3133" t="s">
        <v>356</v>
      </c>
      <c r="U3133" s="21">
        <v>9742.5300000000007</v>
      </c>
      <c r="V3133" s="21" t="s">
        <v>368</v>
      </c>
      <c r="W3133" t="str">
        <f>VLOOKUP(Table_Query_from_Actuarial___Production[[#This Row],[Kor1]],$AI$3:$AK$105,3,FALSE)</f>
        <v>Premium Tax</v>
      </c>
      <c r="X3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3"/>
      <c r="Z3133" t="s">
        <v>13</v>
      </c>
      <c r="AA3133" t="s">
        <v>251</v>
      </c>
      <c r="AB3133" t="s">
        <v>6</v>
      </c>
      <c r="AC3133" s="21">
        <v>12065.95</v>
      </c>
      <c r="AD3133" s="21" t="s">
        <v>368</v>
      </c>
      <c r="AE3133" t="str">
        <f>VLOOKUP(Table_Query_from_Actuarial___Production3[[#This Row],[Kor1]],$AI$3:$AK$105,3,FALSE)</f>
        <v>Operating Service Fees</v>
      </c>
      <c r="AF3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4" spans="18:32" x14ac:dyDescent="0.2">
      <c r="R3134" t="s">
        <v>41</v>
      </c>
      <c r="S3134" t="s">
        <v>237</v>
      </c>
      <c r="T3134" t="s">
        <v>351</v>
      </c>
      <c r="U3134" s="21">
        <v>1684.48</v>
      </c>
      <c r="V3134" s="21" t="s">
        <v>368</v>
      </c>
      <c r="W3134" t="str">
        <f>VLOOKUP(Table_Query_from_Actuarial___Production[[#This Row],[Kor1]],$AI$3:$AK$105,3,FALSE)</f>
        <v>Misc. Income</v>
      </c>
      <c r="X3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4"/>
      <c r="Z3134" t="s">
        <v>16</v>
      </c>
      <c r="AA3134" t="s">
        <v>258</v>
      </c>
      <c r="AB3134" t="s">
        <v>442</v>
      </c>
      <c r="AC3134" s="21">
        <v>2344765.81</v>
      </c>
      <c r="AD3134" s="21" t="s">
        <v>368</v>
      </c>
      <c r="AE3134" t="str">
        <f>VLOOKUP(Table_Query_from_Actuarial___Production3[[#This Row],[Kor1]],$AI$3:$AK$105,3,FALSE)</f>
        <v>Losses Outstanding</v>
      </c>
      <c r="AF3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5" spans="18:32" x14ac:dyDescent="0.2">
      <c r="R3135" t="s">
        <v>40</v>
      </c>
      <c r="S3135" t="s">
        <v>239</v>
      </c>
      <c r="T3135" t="s">
        <v>7</v>
      </c>
      <c r="U3135" s="21">
        <v>106</v>
      </c>
      <c r="V3135" s="21" t="s">
        <v>368</v>
      </c>
      <c r="W3135" t="str">
        <f>VLOOKUP(Table_Query_from_Actuarial___Production[[#This Row],[Kor1]],$AI$3:$AK$105,3,FALSE)</f>
        <v>Misc. Income</v>
      </c>
      <c r="X3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5"/>
      <c r="Z3135" t="s">
        <v>42</v>
      </c>
      <c r="AA3135" t="s">
        <v>4</v>
      </c>
      <c r="AB3135" t="s">
        <v>8</v>
      </c>
      <c r="AC3135" s="21">
        <v>377.86</v>
      </c>
      <c r="AD3135" s="21" t="s">
        <v>368</v>
      </c>
      <c r="AE3135" t="str">
        <f>VLOOKUP(Table_Query_from_Actuarial___Production3[[#This Row],[Kor1]],$AI$3:$AK$105,3,FALSE)</f>
        <v>Misc. Income</v>
      </c>
      <c r="AF3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6" spans="18:32" x14ac:dyDescent="0.2">
      <c r="R3136" t="s">
        <v>31</v>
      </c>
      <c r="S3136" t="s">
        <v>243</v>
      </c>
      <c r="T3136" t="s">
        <v>433</v>
      </c>
      <c r="U3136" s="21">
        <v>927.25</v>
      </c>
      <c r="V3136" s="21" t="s">
        <v>368</v>
      </c>
      <c r="W3136" t="str">
        <f>VLOOKUP(Table_Query_from_Actuarial___Production[[#This Row],[Kor1]],$AI$3:$AK$105,3,FALSE)</f>
        <v>Misc. Expense</v>
      </c>
      <c r="X3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6"/>
      <c r="Z3136" t="s">
        <v>37</v>
      </c>
      <c r="AA3136" t="s">
        <v>248</v>
      </c>
      <c r="AB3136" t="s">
        <v>442</v>
      </c>
      <c r="AC3136" s="21">
        <v>55.71</v>
      </c>
      <c r="AD3136" s="21" t="s">
        <v>368</v>
      </c>
      <c r="AE3136" t="str">
        <f>VLOOKUP(Table_Query_from_Actuarial___Production3[[#This Row],[Kor1]],$AI$3:$AK$105,3,FALSE)</f>
        <v>Misc. Expense</v>
      </c>
      <c r="AF3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7" spans="18:32" x14ac:dyDescent="0.2">
      <c r="R3137" t="s">
        <v>33</v>
      </c>
      <c r="S3137" t="s">
        <v>255</v>
      </c>
      <c r="T3137" t="s">
        <v>8</v>
      </c>
      <c r="U3137" s="21">
        <v>19416.04</v>
      </c>
      <c r="V3137" s="21" t="s">
        <v>368</v>
      </c>
      <c r="W3137" t="str">
        <f>VLOOKUP(Table_Query_from_Actuarial___Production[[#This Row],[Kor1]],$AI$3:$AK$105,3,FALSE)</f>
        <v>Misc. Expense</v>
      </c>
      <c r="X3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7"/>
      <c r="Z3137" t="s">
        <v>39</v>
      </c>
      <c r="AA3137" t="s">
        <v>245</v>
      </c>
      <c r="AB3137" t="s">
        <v>6</v>
      </c>
      <c r="AC3137" s="21">
        <v>1850.01</v>
      </c>
      <c r="AD3137" s="21" t="s">
        <v>368</v>
      </c>
      <c r="AE3137" t="str">
        <f>VLOOKUP(Table_Query_from_Actuarial___Production3[[#This Row],[Kor1]],$AI$3:$AK$105,3,FALSE)</f>
        <v>Misc. Income for Insolvent Companies</v>
      </c>
      <c r="AF3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8" spans="18:32" x14ac:dyDescent="0.2">
      <c r="R3138" t="s">
        <v>31</v>
      </c>
      <c r="S3138" t="s">
        <v>261</v>
      </c>
      <c r="T3138" t="s">
        <v>445</v>
      </c>
      <c r="U3138" s="21">
        <v>696.88</v>
      </c>
      <c r="V3138" s="21" t="s">
        <v>368</v>
      </c>
      <c r="W3138" t="str">
        <f>VLOOKUP(Table_Query_from_Actuarial___Production[[#This Row],[Kor1]],$AI$3:$AK$105,3,FALSE)</f>
        <v>Misc. Expense</v>
      </c>
      <c r="X3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8"/>
      <c r="Z3138" t="s">
        <v>49</v>
      </c>
      <c r="AA3138" t="s">
        <v>257</v>
      </c>
      <c r="AB3138" t="s">
        <v>6</v>
      </c>
      <c r="AC3138" s="21">
        <v>110146.53</v>
      </c>
      <c r="AD3138" s="21" t="s">
        <v>368</v>
      </c>
      <c r="AE3138" t="str">
        <f>VLOOKUP(Table_Query_from_Actuarial___Production3[[#This Row],[Kor1]],$AI$3:$AK$105,3,FALSE)</f>
        <v>ALAE Paid</v>
      </c>
      <c r="AF3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39" spans="18:32" x14ac:dyDescent="0.2">
      <c r="R3139" t="s">
        <v>49</v>
      </c>
      <c r="S3139" t="s">
        <v>265</v>
      </c>
      <c r="T3139" t="s">
        <v>8</v>
      </c>
      <c r="U3139" s="21">
        <v>9348.51</v>
      </c>
      <c r="V3139" s="21" t="s">
        <v>368</v>
      </c>
      <c r="W3139" t="str">
        <f>VLOOKUP(Table_Query_from_Actuarial___Production[[#This Row],[Kor1]],$AI$3:$AK$105,3,FALSE)</f>
        <v>ALAE Paid</v>
      </c>
      <c r="X3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39"/>
      <c r="Z3139" t="s">
        <v>17</v>
      </c>
      <c r="AA3139" t="s">
        <v>256</v>
      </c>
      <c r="AB3139" t="s">
        <v>441</v>
      </c>
      <c r="AC3139" s="21">
        <v>12324.6</v>
      </c>
      <c r="AD3139" s="21" t="s">
        <v>368</v>
      </c>
      <c r="AE3139" t="str">
        <f>VLOOKUP(Table_Query_from_Actuarial___Production3[[#This Row],[Kor1]],$AI$3:$AK$105,3,FALSE)</f>
        <v>IBNR</v>
      </c>
      <c r="AF3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0" spans="18:32" x14ac:dyDescent="0.2">
      <c r="R3140" t="s">
        <v>15</v>
      </c>
      <c r="S3140" t="s">
        <v>259</v>
      </c>
      <c r="T3140" t="s">
        <v>443</v>
      </c>
      <c r="U3140" s="21">
        <v>18258.7</v>
      </c>
      <c r="V3140" s="21" t="s">
        <v>368</v>
      </c>
      <c r="W3140" t="str">
        <f>VLOOKUP(Table_Query_from_Actuarial___Production[[#This Row],[Kor1]],$AI$3:$AK$105,3,FALSE)</f>
        <v>Unearned Premiums</v>
      </c>
      <c r="X3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0"/>
      <c r="Z3140" t="s">
        <v>13</v>
      </c>
      <c r="AA3140" t="s">
        <v>250</v>
      </c>
      <c r="AB3140" t="s">
        <v>427</v>
      </c>
      <c r="AC3140" s="21">
        <v>194055.28</v>
      </c>
      <c r="AD3140" s="21" t="s">
        <v>368</v>
      </c>
      <c r="AE3140" t="str">
        <f>VLOOKUP(Table_Query_from_Actuarial___Production3[[#This Row],[Kor1]],$AI$3:$AK$105,3,FALSE)</f>
        <v>Operating Service Fees</v>
      </c>
      <c r="AF3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1" spans="18:32" x14ac:dyDescent="0.2">
      <c r="R3141" t="s">
        <v>39</v>
      </c>
      <c r="S3141" t="s">
        <v>260</v>
      </c>
      <c r="T3141" t="s">
        <v>8</v>
      </c>
      <c r="U3141" s="21">
        <v>31</v>
      </c>
      <c r="V3141" s="21" t="s">
        <v>368</v>
      </c>
      <c r="W3141" t="str">
        <f>VLOOKUP(Table_Query_from_Actuarial___Production[[#This Row],[Kor1]],$AI$3:$AK$105,3,FALSE)</f>
        <v>Misc. Income for Insolvent Companies</v>
      </c>
      <c r="X3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1"/>
      <c r="Z3141" t="s">
        <v>32</v>
      </c>
      <c r="AA3141" t="s">
        <v>254</v>
      </c>
      <c r="AB3141" t="s">
        <v>427</v>
      </c>
      <c r="AC3141" s="21">
        <v>110767.95</v>
      </c>
      <c r="AD3141" s="21" t="s">
        <v>368</v>
      </c>
      <c r="AE3141" t="str">
        <f>VLOOKUP(Table_Query_from_Actuarial___Production3[[#This Row],[Kor1]],$AI$3:$AK$105,3,FALSE)</f>
        <v>Misc. Expense</v>
      </c>
      <c r="AF3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2" spans="18:32" x14ac:dyDescent="0.2">
      <c r="R3142" t="s">
        <v>11</v>
      </c>
      <c r="S3142" t="s">
        <v>267</v>
      </c>
      <c r="T3142" t="s">
        <v>6</v>
      </c>
      <c r="U3142" s="21">
        <v>708702.82</v>
      </c>
      <c r="V3142" s="21" t="s">
        <v>368</v>
      </c>
      <c r="W3142" t="str">
        <f>VLOOKUP(Table_Query_from_Actuarial___Production[[#This Row],[Kor1]],$AI$3:$AK$105,3,FALSE)</f>
        <v>Losses Paid</v>
      </c>
      <c r="X3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2"/>
      <c r="Z3142" t="s">
        <v>37</v>
      </c>
      <c r="AA3142" t="s">
        <v>229</v>
      </c>
      <c r="AB3142" t="s">
        <v>427</v>
      </c>
      <c r="AC3142" s="21">
        <v>95.08</v>
      </c>
      <c r="AD3142" s="21" t="s">
        <v>368</v>
      </c>
      <c r="AE3142" t="str">
        <f>VLOOKUP(Table_Query_from_Actuarial___Production3[[#This Row],[Kor1]],$AI$3:$AK$105,3,FALSE)</f>
        <v>Misc. Expense</v>
      </c>
      <c r="AF3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3" spans="18:32" x14ac:dyDescent="0.2">
      <c r="R3143" t="s">
        <v>44</v>
      </c>
      <c r="S3143" t="s">
        <v>256</v>
      </c>
      <c r="T3143" t="s">
        <v>351</v>
      </c>
      <c r="U3143" s="21">
        <v>7712</v>
      </c>
      <c r="V3143" s="21" t="s">
        <v>368</v>
      </c>
      <c r="W3143" t="str">
        <f>VLOOKUP(Table_Query_from_Actuarial___Production[[#This Row],[Kor1]],$AI$3:$AK$105,3,FALSE)</f>
        <v>Charge-offs</v>
      </c>
      <c r="X3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3"/>
      <c r="Z3143" t="s">
        <v>34</v>
      </c>
      <c r="AA3143" t="s">
        <v>227</v>
      </c>
      <c r="AB3143" t="s">
        <v>9</v>
      </c>
      <c r="AC3143" s="21">
        <v>151.24</v>
      </c>
      <c r="AD3143" s="21" t="s">
        <v>368</v>
      </c>
      <c r="AE3143" t="str">
        <f>VLOOKUP(Table_Query_from_Actuarial___Production3[[#This Row],[Kor1]],$AI$3:$AK$105,3,FALSE)</f>
        <v>Misc. Expense</v>
      </c>
      <c r="AF3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4" spans="18:32" x14ac:dyDescent="0.2">
      <c r="R3144" t="s">
        <v>130</v>
      </c>
      <c r="S3144" t="s">
        <v>224</v>
      </c>
      <c r="T3144" t="s">
        <v>442</v>
      </c>
      <c r="U3144" s="21">
        <v>1119990.3899999999</v>
      </c>
      <c r="V3144" s="21" t="s">
        <v>370</v>
      </c>
      <c r="W3144" t="str">
        <f>VLOOKUP(Table_Query_from_Actuarial___Production[[#This Row],[Kor1]],$AI$3:$AK$105,3,FALSE)</f>
        <v>CPAI Charge-offs</v>
      </c>
      <c r="X3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144"/>
      <c r="Z3144" t="s">
        <v>41</v>
      </c>
      <c r="AA3144" t="s">
        <v>4</v>
      </c>
      <c r="AB3144" t="s">
        <v>356</v>
      </c>
      <c r="AC3144" s="21">
        <v>546.9</v>
      </c>
      <c r="AD3144" s="21" t="s">
        <v>368</v>
      </c>
      <c r="AE3144" t="str">
        <f>VLOOKUP(Table_Query_from_Actuarial___Production3[[#This Row],[Kor1]],$AI$3:$AK$105,3,FALSE)</f>
        <v>Misc. Income</v>
      </c>
      <c r="AF3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5" spans="18:32" x14ac:dyDescent="0.2">
      <c r="R3145" t="s">
        <v>13</v>
      </c>
      <c r="S3145" t="s">
        <v>252</v>
      </c>
      <c r="T3145" t="s">
        <v>7</v>
      </c>
      <c r="U3145" s="21">
        <v>2293973.62</v>
      </c>
      <c r="V3145" s="21" t="s">
        <v>368</v>
      </c>
      <c r="W3145" t="str">
        <f>VLOOKUP(Table_Query_from_Actuarial___Production[[#This Row],[Kor1]],$AI$3:$AK$105,3,FALSE)</f>
        <v>Operating Service Fees</v>
      </c>
      <c r="X3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5"/>
      <c r="Z3145" t="s">
        <v>48</v>
      </c>
      <c r="AA3145" t="s">
        <v>225</v>
      </c>
      <c r="AB3145" t="s">
        <v>433</v>
      </c>
      <c r="AC3145" s="21">
        <v>832.77</v>
      </c>
      <c r="AD3145" s="21" t="s">
        <v>369</v>
      </c>
      <c r="AE3145" t="str">
        <f>VLOOKUP(Table_Query_from_Actuarial___Production3[[#This Row],[Kor1]],$AI$3:$AK$105,3,FALSE)</f>
        <v>Anticipated Salvage</v>
      </c>
      <c r="AF3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146" spans="18:32" x14ac:dyDescent="0.2">
      <c r="R3146" t="s">
        <v>14</v>
      </c>
      <c r="S3146" t="s">
        <v>244</v>
      </c>
      <c r="T3146" t="s">
        <v>6</v>
      </c>
      <c r="U3146" s="21">
        <v>76424.850000000006</v>
      </c>
      <c r="V3146" s="21" t="s">
        <v>368</v>
      </c>
      <c r="W3146" t="str">
        <f>VLOOKUP(Table_Query_from_Actuarial___Production[[#This Row],[Kor1]],$AI$3:$AK$105,3,FALSE)</f>
        <v>Claims Expense</v>
      </c>
      <c r="X3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6"/>
      <c r="Z3146" t="s">
        <v>50</v>
      </c>
      <c r="AA3146" t="s">
        <v>4</v>
      </c>
      <c r="AB3146" t="s">
        <v>433</v>
      </c>
      <c r="AC3146" s="21">
        <v>962821.16</v>
      </c>
      <c r="AD3146" s="21" t="s">
        <v>368</v>
      </c>
      <c r="AE3146" t="str">
        <f>VLOOKUP(Table_Query_from_Actuarial___Production3[[#This Row],[Kor1]],$AI$3:$AK$105,3,FALSE)</f>
        <v>ALAE Reserve</v>
      </c>
      <c r="AF3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7" spans="18:32" x14ac:dyDescent="0.2">
      <c r="R3147" t="s">
        <v>47</v>
      </c>
      <c r="S3147" t="s">
        <v>230</v>
      </c>
      <c r="T3147" t="s">
        <v>6</v>
      </c>
      <c r="U3147" s="21">
        <v>1.7</v>
      </c>
      <c r="V3147" s="21" t="s">
        <v>368</v>
      </c>
      <c r="W3147" t="str">
        <f>VLOOKUP(Table_Query_from_Actuarial___Production[[#This Row],[Kor1]],$AI$3:$AK$105,3,FALSE)</f>
        <v>Investment Income</v>
      </c>
      <c r="X3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7"/>
      <c r="Z3147" t="s">
        <v>12</v>
      </c>
      <c r="AA3147" t="s">
        <v>261</v>
      </c>
      <c r="AB3147" t="s">
        <v>356</v>
      </c>
      <c r="AC3147" s="21">
        <v>14679.35</v>
      </c>
      <c r="AD3147" s="21" t="s">
        <v>368</v>
      </c>
      <c r="AE3147" t="str">
        <f>VLOOKUP(Table_Query_from_Actuarial___Production3[[#This Row],[Kor1]],$AI$3:$AK$105,3,FALSE)</f>
        <v>Premium Tax</v>
      </c>
      <c r="AF3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8" spans="18:32" x14ac:dyDescent="0.2">
      <c r="R3148" t="s">
        <v>11</v>
      </c>
      <c r="S3148" t="s">
        <v>242</v>
      </c>
      <c r="T3148" t="s">
        <v>427</v>
      </c>
      <c r="U3148" s="21">
        <v>1051370.77</v>
      </c>
      <c r="V3148" s="21" t="s">
        <v>368</v>
      </c>
      <c r="W3148" t="str">
        <f>VLOOKUP(Table_Query_from_Actuarial___Production[[#This Row],[Kor1]],$AI$3:$AK$105,3,FALSE)</f>
        <v>Losses Paid</v>
      </c>
      <c r="X3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8"/>
      <c r="Z3148" t="s">
        <v>14</v>
      </c>
      <c r="AA3148" t="s">
        <v>243</v>
      </c>
      <c r="AB3148" t="s">
        <v>8</v>
      </c>
      <c r="AC3148" s="21">
        <v>52469.45</v>
      </c>
      <c r="AD3148" s="21" t="s">
        <v>368</v>
      </c>
      <c r="AE3148" t="str">
        <f>VLOOKUP(Table_Query_from_Actuarial___Production3[[#This Row],[Kor1]],$AI$3:$AK$105,3,FALSE)</f>
        <v>Claims Expense</v>
      </c>
      <c r="AF3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49" spans="18:32" x14ac:dyDescent="0.2">
      <c r="R3149" t="s">
        <v>17</v>
      </c>
      <c r="S3149" t="s">
        <v>229</v>
      </c>
      <c r="T3149" t="s">
        <v>442</v>
      </c>
      <c r="U3149" s="21">
        <v>9427.5499999999993</v>
      </c>
      <c r="V3149" s="21" t="s">
        <v>368</v>
      </c>
      <c r="W3149" t="str">
        <f>VLOOKUP(Table_Query_from_Actuarial___Production[[#This Row],[Kor1]],$AI$3:$AK$105,3,FALSE)</f>
        <v>IBNR</v>
      </c>
      <c r="X3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49"/>
      <c r="Z3149" t="s">
        <v>12</v>
      </c>
      <c r="AA3149" t="s">
        <v>259</v>
      </c>
      <c r="AB3149" t="s">
        <v>356</v>
      </c>
      <c r="AC3149" s="21">
        <v>16137.98</v>
      </c>
      <c r="AD3149" s="21" t="s">
        <v>368</v>
      </c>
      <c r="AE3149" t="str">
        <f>VLOOKUP(Table_Query_from_Actuarial___Production3[[#This Row],[Kor1]],$AI$3:$AK$105,3,FALSE)</f>
        <v>Premium Tax</v>
      </c>
      <c r="AF3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0" spans="18:32" x14ac:dyDescent="0.2">
      <c r="R3150" t="s">
        <v>41</v>
      </c>
      <c r="S3150" t="s">
        <v>267</v>
      </c>
      <c r="T3150" t="s">
        <v>9</v>
      </c>
      <c r="U3150" s="21">
        <v>900</v>
      </c>
      <c r="V3150" s="21" t="s">
        <v>368</v>
      </c>
      <c r="W3150" t="str">
        <f>VLOOKUP(Table_Query_from_Actuarial___Production[[#This Row],[Kor1]],$AI$3:$AK$105,3,FALSE)</f>
        <v>Misc. Income</v>
      </c>
      <c r="X3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0"/>
      <c r="Z3150" t="s">
        <v>16</v>
      </c>
      <c r="AA3150" t="s">
        <v>246</v>
      </c>
      <c r="AB3150" t="s">
        <v>442</v>
      </c>
      <c r="AC3150" s="21">
        <v>1325278.97</v>
      </c>
      <c r="AD3150" s="21" t="s">
        <v>368</v>
      </c>
      <c r="AE3150" t="str">
        <f>VLOOKUP(Table_Query_from_Actuarial___Production3[[#This Row],[Kor1]],$AI$3:$AK$105,3,FALSE)</f>
        <v>Losses Outstanding</v>
      </c>
      <c r="AF3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1" spans="18:32" x14ac:dyDescent="0.2">
      <c r="R3151" t="s">
        <v>39</v>
      </c>
      <c r="S3151" t="s">
        <v>251</v>
      </c>
      <c r="T3151" t="s">
        <v>433</v>
      </c>
      <c r="U3151" s="21">
        <v>2225</v>
      </c>
      <c r="V3151" s="21" t="s">
        <v>368</v>
      </c>
      <c r="W3151" t="str">
        <f>VLOOKUP(Table_Query_from_Actuarial___Production[[#This Row],[Kor1]],$AI$3:$AK$105,3,FALSE)</f>
        <v>Misc. Income for Insolvent Companies</v>
      </c>
      <c r="X3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1"/>
      <c r="Z3151" t="s">
        <v>19</v>
      </c>
      <c r="AA3151" t="s">
        <v>254</v>
      </c>
      <c r="AB3151" t="s">
        <v>5</v>
      </c>
      <c r="AC3151" s="21">
        <v>419</v>
      </c>
      <c r="AD3151" s="21" t="s">
        <v>368</v>
      </c>
      <c r="AE3151" t="str">
        <f>VLOOKUP(Table_Query_from_Actuarial___Production3[[#This Row],[Kor1]],$AI$3:$AK$105,3,FALSE)</f>
        <v>Misc. Expense for Insolvent Companies</v>
      </c>
      <c r="AF3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2" spans="18:32" x14ac:dyDescent="0.2">
      <c r="R3152" t="s">
        <v>43</v>
      </c>
      <c r="S3152" t="s">
        <v>232</v>
      </c>
      <c r="T3152" t="s">
        <v>7</v>
      </c>
      <c r="U3152" s="21">
        <v>-211.68</v>
      </c>
      <c r="V3152" s="21" t="s">
        <v>368</v>
      </c>
      <c r="W3152" t="str">
        <f>VLOOKUP(Table_Query_from_Actuarial___Production[[#This Row],[Kor1]],$AI$3:$AK$105,3,FALSE)</f>
        <v>Charge-offs</v>
      </c>
      <c r="X3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2"/>
      <c r="Z3152" t="s">
        <v>41</v>
      </c>
      <c r="AA3152" t="s">
        <v>265</v>
      </c>
      <c r="AB3152" t="s">
        <v>356</v>
      </c>
      <c r="AC3152" s="21">
        <v>300</v>
      </c>
      <c r="AD3152" s="21" t="s">
        <v>368</v>
      </c>
      <c r="AE3152" t="str">
        <f>VLOOKUP(Table_Query_from_Actuarial___Production3[[#This Row],[Kor1]],$AI$3:$AK$105,3,FALSE)</f>
        <v>Misc. Income</v>
      </c>
      <c r="AF3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3" spans="18:32" x14ac:dyDescent="0.2">
      <c r="R3153" t="s">
        <v>44</v>
      </c>
      <c r="S3153" t="s">
        <v>264</v>
      </c>
      <c r="T3153" t="s">
        <v>443</v>
      </c>
      <c r="U3153" s="21">
        <v>18100.28</v>
      </c>
      <c r="V3153" s="21" t="s">
        <v>368</v>
      </c>
      <c r="W3153" t="str">
        <f>VLOOKUP(Table_Query_from_Actuarial___Production[[#This Row],[Kor1]],$AI$3:$AK$105,3,FALSE)</f>
        <v>Charge-offs</v>
      </c>
      <c r="X3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3"/>
      <c r="Z3153" t="s">
        <v>47</v>
      </c>
      <c r="AA3153" t="s">
        <v>254</v>
      </c>
      <c r="AB3153" t="s">
        <v>356</v>
      </c>
      <c r="AC3153" s="21">
        <v>6273.14</v>
      </c>
      <c r="AD3153" s="21" t="s">
        <v>368</v>
      </c>
      <c r="AE3153" t="str">
        <f>VLOOKUP(Table_Query_from_Actuarial___Production3[[#This Row],[Kor1]],$AI$3:$AK$105,3,FALSE)</f>
        <v>Investment Income</v>
      </c>
      <c r="AF3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4" spans="18:32" x14ac:dyDescent="0.2">
      <c r="R3154" t="s">
        <v>17</v>
      </c>
      <c r="S3154" t="s">
        <v>268</v>
      </c>
      <c r="T3154" t="s">
        <v>441</v>
      </c>
      <c r="U3154" s="21">
        <v>17590.11</v>
      </c>
      <c r="V3154" s="21" t="s">
        <v>368</v>
      </c>
      <c r="W3154" t="str">
        <f>VLOOKUP(Table_Query_from_Actuarial___Production[[#This Row],[Kor1]],$AI$3:$AK$105,3,FALSE)</f>
        <v>IBNR</v>
      </c>
      <c r="X3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4"/>
      <c r="Z3154" t="s">
        <v>13</v>
      </c>
      <c r="AA3154" t="s">
        <v>258</v>
      </c>
      <c r="AB3154" t="s">
        <v>433</v>
      </c>
      <c r="AC3154" s="21">
        <v>579019.5</v>
      </c>
      <c r="AD3154" s="21" t="s">
        <v>368</v>
      </c>
      <c r="AE3154" t="str">
        <f>VLOOKUP(Table_Query_from_Actuarial___Production3[[#This Row],[Kor1]],$AI$3:$AK$105,3,FALSE)</f>
        <v>Operating Service Fees</v>
      </c>
      <c r="AF3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5" spans="18:32" x14ac:dyDescent="0.2">
      <c r="R3155" t="s">
        <v>15</v>
      </c>
      <c r="S3155" t="s">
        <v>268</v>
      </c>
      <c r="T3155" t="s">
        <v>443</v>
      </c>
      <c r="U3155" s="21">
        <v>3636.65</v>
      </c>
      <c r="V3155" s="21" t="s">
        <v>368</v>
      </c>
      <c r="W3155" t="str">
        <f>VLOOKUP(Table_Query_from_Actuarial___Production[[#This Row],[Kor1]],$AI$3:$AK$105,3,FALSE)</f>
        <v>Unearned Premiums</v>
      </c>
      <c r="X3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5"/>
      <c r="Z3155" t="s">
        <v>19</v>
      </c>
      <c r="AA3155" t="s">
        <v>248</v>
      </c>
      <c r="AB3155" t="s">
        <v>7</v>
      </c>
      <c r="AC3155" s="21">
        <v>5</v>
      </c>
      <c r="AD3155" s="21" t="s">
        <v>368</v>
      </c>
      <c r="AE3155" t="str">
        <f>VLOOKUP(Table_Query_from_Actuarial___Production3[[#This Row],[Kor1]],$AI$3:$AK$105,3,FALSE)</f>
        <v>Misc. Expense for Insolvent Companies</v>
      </c>
      <c r="AF3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6" spans="18:32" x14ac:dyDescent="0.2">
      <c r="R3156" t="s">
        <v>18</v>
      </c>
      <c r="S3156" t="s">
        <v>354</v>
      </c>
      <c r="T3156" t="s">
        <v>356</v>
      </c>
      <c r="U3156" s="21">
        <v>6295063.3799999999</v>
      </c>
      <c r="V3156" s="21" t="s">
        <v>369</v>
      </c>
      <c r="W3156" t="str">
        <f>VLOOKUP(Table_Query_from_Actuarial___Production[[#This Row],[Kor1]],$AI$3:$AK$105,3,FALSE)</f>
        <v>Misc. Expense</v>
      </c>
      <c r="X3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156"/>
      <c r="Z3156" t="s">
        <v>34</v>
      </c>
      <c r="AA3156" t="s">
        <v>240</v>
      </c>
      <c r="AB3156" t="s">
        <v>427</v>
      </c>
      <c r="AC3156" s="21">
        <v>1247.8900000000001</v>
      </c>
      <c r="AD3156" s="21" t="s">
        <v>368</v>
      </c>
      <c r="AE3156" t="str">
        <f>VLOOKUP(Table_Query_from_Actuarial___Production3[[#This Row],[Kor1]],$AI$3:$AK$105,3,FALSE)</f>
        <v>Misc. Expense</v>
      </c>
      <c r="AF3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7" spans="18:32" x14ac:dyDescent="0.2">
      <c r="R3157" t="s">
        <v>36</v>
      </c>
      <c r="S3157" t="s">
        <v>262</v>
      </c>
      <c r="T3157" t="s">
        <v>443</v>
      </c>
      <c r="U3157" s="21">
        <v>60.01</v>
      </c>
      <c r="V3157" s="21" t="s">
        <v>368</v>
      </c>
      <c r="W3157" t="str">
        <f>VLOOKUP(Table_Query_from_Actuarial___Production[[#This Row],[Kor1]],$AI$3:$AK$105,3,FALSE)</f>
        <v>Misc. Expense</v>
      </c>
      <c r="X3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7"/>
      <c r="Z3157" t="s">
        <v>21</v>
      </c>
      <c r="AA3157" t="s">
        <v>249</v>
      </c>
      <c r="AB3157" t="s">
        <v>7</v>
      </c>
      <c r="AC3157" s="21">
        <v>1410.01</v>
      </c>
      <c r="AD3157" s="21" t="s">
        <v>368</v>
      </c>
      <c r="AE3157" t="str">
        <f>VLOOKUP(Table_Query_from_Actuarial___Production3[[#This Row],[Kor1]],$AI$3:$AK$105,3,FALSE)</f>
        <v>Misc. Expense</v>
      </c>
      <c r="AF3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58" spans="18:32" x14ac:dyDescent="0.2">
      <c r="R3158" t="s">
        <v>11</v>
      </c>
      <c r="S3158" t="s">
        <v>352</v>
      </c>
      <c r="T3158" t="s">
        <v>433</v>
      </c>
      <c r="U3158" s="21">
        <v>19841.080000000002</v>
      </c>
      <c r="V3158" s="21" t="s">
        <v>369</v>
      </c>
      <c r="W3158" t="str">
        <f>VLOOKUP(Table_Query_from_Actuarial___Production[[#This Row],[Kor1]],$AI$3:$AK$105,3,FALSE)</f>
        <v>Losses Paid</v>
      </c>
      <c r="X3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158"/>
      <c r="Z3158" t="s">
        <v>10</v>
      </c>
      <c r="AA3158" t="s">
        <v>225</v>
      </c>
      <c r="AB3158" t="s">
        <v>433</v>
      </c>
      <c r="AC3158" s="21">
        <v>44498.720000000001</v>
      </c>
      <c r="AD3158" s="21" t="s">
        <v>369</v>
      </c>
      <c r="AE3158" t="str">
        <f>VLOOKUP(Table_Query_from_Actuarial___Production3[[#This Row],[Kor1]],$AI$3:$AK$105,3,FALSE)</f>
        <v>Commissions</v>
      </c>
      <c r="AF3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159" spans="18:32" x14ac:dyDescent="0.2">
      <c r="R3159" t="s">
        <v>10</v>
      </c>
      <c r="S3159" t="s">
        <v>266</v>
      </c>
      <c r="T3159" t="s">
        <v>351</v>
      </c>
      <c r="U3159" s="21">
        <v>23542.720000000001</v>
      </c>
      <c r="V3159" s="21" t="s">
        <v>368</v>
      </c>
      <c r="W3159" t="str">
        <f>VLOOKUP(Table_Query_from_Actuarial___Production[[#This Row],[Kor1]],$AI$3:$AK$105,3,FALSE)</f>
        <v>Commissions</v>
      </c>
      <c r="X3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59"/>
      <c r="Z3159" t="s">
        <v>11</v>
      </c>
      <c r="AA3159" t="s">
        <v>238</v>
      </c>
      <c r="AB3159" t="s">
        <v>8</v>
      </c>
      <c r="AC3159" s="21">
        <v>288439.89</v>
      </c>
      <c r="AD3159" s="21" t="s">
        <v>368</v>
      </c>
      <c r="AE3159" t="str">
        <f>VLOOKUP(Table_Query_from_Actuarial___Production3[[#This Row],[Kor1]],$AI$3:$AK$105,3,FALSE)</f>
        <v>Losses Paid</v>
      </c>
      <c r="AF3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0" spans="18:32" x14ac:dyDescent="0.2">
      <c r="R3160" t="s">
        <v>11</v>
      </c>
      <c r="S3160" t="s">
        <v>234</v>
      </c>
      <c r="T3160" t="s">
        <v>8</v>
      </c>
      <c r="U3160" s="21">
        <v>339700.28</v>
      </c>
      <c r="V3160" s="21" t="s">
        <v>368</v>
      </c>
      <c r="W3160" t="str">
        <f>VLOOKUP(Table_Query_from_Actuarial___Production[[#This Row],[Kor1]],$AI$3:$AK$105,3,FALSE)</f>
        <v>Losses Paid</v>
      </c>
      <c r="X3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0"/>
      <c r="Z3160" t="s">
        <v>3</v>
      </c>
      <c r="AA3160" t="s">
        <v>249</v>
      </c>
      <c r="AB3160" t="s">
        <v>5</v>
      </c>
      <c r="AC3160" s="21">
        <v>98562</v>
      </c>
      <c r="AD3160" s="21" t="s">
        <v>368</v>
      </c>
      <c r="AE3160" t="str">
        <f>VLOOKUP(Table_Query_from_Actuarial___Production3[[#This Row],[Kor1]],$AI$3:$AK$105,3,FALSE)</f>
        <v>Premiums Written</v>
      </c>
      <c r="AF3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1" spans="18:32" x14ac:dyDescent="0.2">
      <c r="R3161" t="s">
        <v>19</v>
      </c>
      <c r="S3161" t="s">
        <v>239</v>
      </c>
      <c r="T3161" t="s">
        <v>356</v>
      </c>
      <c r="U3161" s="21">
        <v>213</v>
      </c>
      <c r="V3161" s="21" t="s">
        <v>368</v>
      </c>
      <c r="W3161" t="str">
        <f>VLOOKUP(Table_Query_from_Actuarial___Production[[#This Row],[Kor1]],$AI$3:$AK$105,3,FALSE)</f>
        <v>Misc. Expense for Insolvent Companies</v>
      </c>
      <c r="X3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1"/>
      <c r="Z3161" t="s">
        <v>3</v>
      </c>
      <c r="AA3161" t="s">
        <v>255</v>
      </c>
      <c r="AB3161" t="s">
        <v>442</v>
      </c>
      <c r="AC3161" s="21">
        <v>397232</v>
      </c>
      <c r="AD3161" s="21" t="s">
        <v>368</v>
      </c>
      <c r="AE3161" t="str">
        <f>VLOOKUP(Table_Query_from_Actuarial___Production3[[#This Row],[Kor1]],$AI$3:$AK$105,3,FALSE)</f>
        <v>Premiums Written</v>
      </c>
      <c r="AF3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2" spans="18:32" x14ac:dyDescent="0.2">
      <c r="R3162" t="s">
        <v>33</v>
      </c>
      <c r="S3162" t="s">
        <v>246</v>
      </c>
      <c r="T3162" t="s">
        <v>6</v>
      </c>
      <c r="U3162" s="21">
        <v>15772.46</v>
      </c>
      <c r="V3162" s="21" t="s">
        <v>368</v>
      </c>
      <c r="W3162" t="str">
        <f>VLOOKUP(Table_Query_from_Actuarial___Production[[#This Row],[Kor1]],$AI$3:$AK$105,3,FALSE)</f>
        <v>Misc. Expense</v>
      </c>
      <c r="X3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2"/>
      <c r="Z3162" t="s">
        <v>39</v>
      </c>
      <c r="AA3162" t="s">
        <v>240</v>
      </c>
      <c r="AB3162" t="s">
        <v>433</v>
      </c>
      <c r="AC3162" s="21">
        <v>8676</v>
      </c>
      <c r="AD3162" s="21" t="s">
        <v>368</v>
      </c>
      <c r="AE3162" t="str">
        <f>VLOOKUP(Table_Query_from_Actuarial___Production3[[#This Row],[Kor1]],$AI$3:$AK$105,3,FALSE)</f>
        <v>Misc. Income for Insolvent Companies</v>
      </c>
      <c r="AF3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3" spans="18:32" x14ac:dyDescent="0.2">
      <c r="R3163" t="s">
        <v>34</v>
      </c>
      <c r="S3163" t="s">
        <v>240</v>
      </c>
      <c r="T3163" t="s">
        <v>443</v>
      </c>
      <c r="U3163" s="21">
        <v>17912.71</v>
      </c>
      <c r="V3163" s="21" t="s">
        <v>368</v>
      </c>
      <c r="W3163" t="str">
        <f>VLOOKUP(Table_Query_from_Actuarial___Production[[#This Row],[Kor1]],$AI$3:$AK$105,3,FALSE)</f>
        <v>Misc. Expense</v>
      </c>
      <c r="X3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3"/>
      <c r="Z3163" t="s">
        <v>10</v>
      </c>
      <c r="AA3163" t="s">
        <v>265</v>
      </c>
      <c r="AB3163" t="s">
        <v>7</v>
      </c>
      <c r="AC3163" s="21">
        <v>28517.9</v>
      </c>
      <c r="AD3163" s="21" t="s">
        <v>368</v>
      </c>
      <c r="AE3163" t="str">
        <f>VLOOKUP(Table_Query_from_Actuarial___Production3[[#This Row],[Kor1]],$AI$3:$AK$105,3,FALSE)</f>
        <v>Commissions</v>
      </c>
      <c r="AF3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4" spans="18:32" x14ac:dyDescent="0.2">
      <c r="R3164" t="s">
        <v>43</v>
      </c>
      <c r="S3164" t="s">
        <v>264</v>
      </c>
      <c r="T3164" t="s">
        <v>427</v>
      </c>
      <c r="U3164" s="21">
        <v>-3073.4</v>
      </c>
      <c r="V3164" s="21" t="s">
        <v>368</v>
      </c>
      <c r="W3164" t="str">
        <f>VLOOKUP(Table_Query_from_Actuarial___Production[[#This Row],[Kor1]],$AI$3:$AK$105,3,FALSE)</f>
        <v>Charge-offs</v>
      </c>
      <c r="X3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4"/>
      <c r="Z3164" t="s">
        <v>44</v>
      </c>
      <c r="AA3164" t="s">
        <v>234</v>
      </c>
      <c r="AB3164" t="s">
        <v>433</v>
      </c>
      <c r="AC3164" s="21">
        <v>4640.7299999999996</v>
      </c>
      <c r="AD3164" s="21" t="s">
        <v>368</v>
      </c>
      <c r="AE3164" t="str">
        <f>VLOOKUP(Table_Query_from_Actuarial___Production3[[#This Row],[Kor1]],$AI$3:$AK$105,3,FALSE)</f>
        <v>Charge-offs</v>
      </c>
      <c r="AF3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5" spans="18:32" x14ac:dyDescent="0.2">
      <c r="R3165" t="s">
        <v>20</v>
      </c>
      <c r="S3165" t="s">
        <v>255</v>
      </c>
      <c r="T3165" t="s">
        <v>351</v>
      </c>
      <c r="U3165" s="21">
        <v>96.91</v>
      </c>
      <c r="V3165" s="21" t="s">
        <v>368</v>
      </c>
      <c r="W3165" t="str">
        <f>VLOOKUP(Table_Query_from_Actuarial___Production[[#This Row],[Kor1]],$AI$3:$AK$105,3,FALSE)</f>
        <v>Misc. Expense</v>
      </c>
      <c r="X3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5"/>
      <c r="Z3165" t="s">
        <v>13</v>
      </c>
      <c r="AA3165" t="s">
        <v>225</v>
      </c>
      <c r="AB3165" t="s">
        <v>6</v>
      </c>
      <c r="AC3165" s="21">
        <v>281886.7</v>
      </c>
      <c r="AD3165" s="21" t="s">
        <v>369</v>
      </c>
      <c r="AE3165" t="str">
        <f>VLOOKUP(Table_Query_from_Actuarial___Production3[[#This Row],[Kor1]],$AI$3:$AK$105,3,FALSE)</f>
        <v>Operating Service Fees</v>
      </c>
      <c r="AF3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166" spans="18:32" x14ac:dyDescent="0.2">
      <c r="R3166" t="s">
        <v>41</v>
      </c>
      <c r="S3166" t="s">
        <v>237</v>
      </c>
      <c r="T3166" t="s">
        <v>441</v>
      </c>
      <c r="U3166" s="21">
        <v>1917.72</v>
      </c>
      <c r="V3166" s="21" t="s">
        <v>368</v>
      </c>
      <c r="W3166" t="str">
        <f>VLOOKUP(Table_Query_from_Actuarial___Production[[#This Row],[Kor1]],$AI$3:$AK$105,3,FALSE)</f>
        <v>Misc. Income</v>
      </c>
      <c r="X3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6"/>
      <c r="Z3166" t="s">
        <v>3</v>
      </c>
      <c r="AA3166" t="s">
        <v>228</v>
      </c>
      <c r="AB3166" t="s">
        <v>8</v>
      </c>
      <c r="AC3166" s="21">
        <v>97956</v>
      </c>
      <c r="AD3166" s="21" t="s">
        <v>368</v>
      </c>
      <c r="AE3166" t="str">
        <f>VLOOKUP(Table_Query_from_Actuarial___Production3[[#This Row],[Kor1]],$AI$3:$AK$105,3,FALSE)</f>
        <v>Premiums Written</v>
      </c>
      <c r="AF3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7" spans="18:32" x14ac:dyDescent="0.2">
      <c r="R3167" t="s">
        <v>14</v>
      </c>
      <c r="S3167" t="s">
        <v>242</v>
      </c>
      <c r="T3167" t="s">
        <v>9</v>
      </c>
      <c r="U3167" s="21">
        <v>33252.42</v>
      </c>
      <c r="V3167" s="21" t="s">
        <v>368</v>
      </c>
      <c r="W3167" t="str">
        <f>VLOOKUP(Table_Query_from_Actuarial___Production[[#This Row],[Kor1]],$AI$3:$AK$105,3,FALSE)</f>
        <v>Claims Expense</v>
      </c>
      <c r="X3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7"/>
      <c r="Z3167" t="s">
        <v>12</v>
      </c>
      <c r="AA3167" t="s">
        <v>266</v>
      </c>
      <c r="AB3167" t="s">
        <v>5</v>
      </c>
      <c r="AC3167" s="21">
        <v>3705.45</v>
      </c>
      <c r="AD3167" s="21" t="s">
        <v>368</v>
      </c>
      <c r="AE3167" t="str">
        <f>VLOOKUP(Table_Query_from_Actuarial___Production3[[#This Row],[Kor1]],$AI$3:$AK$105,3,FALSE)</f>
        <v>Premium Tax</v>
      </c>
      <c r="AF3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8" spans="18:32" x14ac:dyDescent="0.2">
      <c r="R3168" t="s">
        <v>39</v>
      </c>
      <c r="S3168" t="s">
        <v>245</v>
      </c>
      <c r="T3168" t="s">
        <v>445</v>
      </c>
      <c r="U3168" s="21">
        <v>54.95</v>
      </c>
      <c r="V3168" s="21" t="s">
        <v>368</v>
      </c>
      <c r="W3168" t="str">
        <f>VLOOKUP(Table_Query_from_Actuarial___Production[[#This Row],[Kor1]],$AI$3:$AK$105,3,FALSE)</f>
        <v>Misc. Income for Insolvent Companies</v>
      </c>
      <c r="X3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8"/>
      <c r="Z3168" t="s">
        <v>49</v>
      </c>
      <c r="AA3168" t="s">
        <v>242</v>
      </c>
      <c r="AB3168" t="s">
        <v>8</v>
      </c>
      <c r="AC3168" s="21">
        <v>89104.16</v>
      </c>
      <c r="AD3168" s="21" t="s">
        <v>368</v>
      </c>
      <c r="AE3168" t="str">
        <f>VLOOKUP(Table_Query_from_Actuarial___Production3[[#This Row],[Kor1]],$AI$3:$AK$105,3,FALSE)</f>
        <v>ALAE Paid</v>
      </c>
      <c r="AF3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69" spans="18:32" x14ac:dyDescent="0.2">
      <c r="R3169" t="s">
        <v>12</v>
      </c>
      <c r="S3169" t="s">
        <v>242</v>
      </c>
      <c r="T3169" t="s">
        <v>356</v>
      </c>
      <c r="U3169" s="21">
        <v>17183.169999999998</v>
      </c>
      <c r="V3169" s="21" t="s">
        <v>368</v>
      </c>
      <c r="W3169" t="str">
        <f>VLOOKUP(Table_Query_from_Actuarial___Production[[#This Row],[Kor1]],$AI$3:$AK$105,3,FALSE)</f>
        <v>Premium Tax</v>
      </c>
      <c r="X3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69"/>
      <c r="Z3169" t="s">
        <v>38</v>
      </c>
      <c r="AA3169" t="s">
        <v>226</v>
      </c>
      <c r="AB3169" t="s">
        <v>441</v>
      </c>
      <c r="AC3169" s="21">
        <v>14672.57</v>
      </c>
      <c r="AD3169" s="21" t="s">
        <v>368</v>
      </c>
      <c r="AE3169" t="str">
        <f>VLOOKUP(Table_Query_from_Actuarial___Production3[[#This Row],[Kor1]],$AI$3:$AK$105,3,FALSE)</f>
        <v>Misc. Income</v>
      </c>
      <c r="AF3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170" spans="18:32" x14ac:dyDescent="0.2">
      <c r="R3170" t="s">
        <v>50</v>
      </c>
      <c r="S3170" t="s">
        <v>244</v>
      </c>
      <c r="T3170" t="s">
        <v>442</v>
      </c>
      <c r="U3170" s="21">
        <v>50313.33</v>
      </c>
      <c r="V3170" s="21" t="s">
        <v>368</v>
      </c>
      <c r="W3170" t="str">
        <f>VLOOKUP(Table_Query_from_Actuarial___Production[[#This Row],[Kor1]],$AI$3:$AK$105,3,FALSE)</f>
        <v>ALAE Reserve</v>
      </c>
      <c r="X3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0"/>
      <c r="Z3170" t="s">
        <v>12</v>
      </c>
      <c r="AA3170" t="s">
        <v>234</v>
      </c>
      <c r="AB3170" t="s">
        <v>356</v>
      </c>
      <c r="AC3170" s="21">
        <v>9742.5300000000007</v>
      </c>
      <c r="AD3170" s="21" t="s">
        <v>368</v>
      </c>
      <c r="AE3170" t="str">
        <f>VLOOKUP(Table_Query_from_Actuarial___Production3[[#This Row],[Kor1]],$AI$3:$AK$105,3,FALSE)</f>
        <v>Premium Tax</v>
      </c>
      <c r="AF3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1" spans="18:32" x14ac:dyDescent="0.2">
      <c r="R3171" t="s">
        <v>13</v>
      </c>
      <c r="S3171" t="s">
        <v>236</v>
      </c>
      <c r="T3171" t="s">
        <v>441</v>
      </c>
      <c r="U3171" s="21">
        <v>6408.44</v>
      </c>
      <c r="V3171" s="21" t="s">
        <v>368</v>
      </c>
      <c r="W3171" t="str">
        <f>VLOOKUP(Table_Query_from_Actuarial___Production[[#This Row],[Kor1]],$AI$3:$AK$105,3,FALSE)</f>
        <v>Operating Service Fees</v>
      </c>
      <c r="X3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1"/>
      <c r="Z3171" t="s">
        <v>41</v>
      </c>
      <c r="AA3171" t="s">
        <v>237</v>
      </c>
      <c r="AB3171" t="s">
        <v>351</v>
      </c>
      <c r="AC3171" s="21">
        <v>1684.48</v>
      </c>
      <c r="AD3171" s="21" t="s">
        <v>368</v>
      </c>
      <c r="AE3171" t="str">
        <f>VLOOKUP(Table_Query_from_Actuarial___Production3[[#This Row],[Kor1]],$AI$3:$AK$105,3,FALSE)</f>
        <v>Misc. Income</v>
      </c>
      <c r="AF3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2" spans="18:32" x14ac:dyDescent="0.2">
      <c r="R3172" t="s">
        <v>3</v>
      </c>
      <c r="S3172" t="s">
        <v>251</v>
      </c>
      <c r="T3172" t="s">
        <v>445</v>
      </c>
      <c r="U3172" s="21">
        <v>519826</v>
      </c>
      <c r="V3172" s="21" t="s">
        <v>368</v>
      </c>
      <c r="W3172" t="str">
        <f>VLOOKUP(Table_Query_from_Actuarial___Production[[#This Row],[Kor1]],$AI$3:$AK$105,3,FALSE)</f>
        <v>Premiums Written</v>
      </c>
      <c r="X3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2"/>
      <c r="Z3172" t="s">
        <v>40</v>
      </c>
      <c r="AA3172" t="s">
        <v>239</v>
      </c>
      <c r="AB3172" t="s">
        <v>7</v>
      </c>
      <c r="AC3172" s="21">
        <v>106</v>
      </c>
      <c r="AD3172" s="21" t="s">
        <v>368</v>
      </c>
      <c r="AE3172" t="str">
        <f>VLOOKUP(Table_Query_from_Actuarial___Production3[[#This Row],[Kor1]],$AI$3:$AK$105,3,FALSE)</f>
        <v>Misc. Income</v>
      </c>
      <c r="AF3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3" spans="18:32" x14ac:dyDescent="0.2">
      <c r="R3173" t="s">
        <v>3</v>
      </c>
      <c r="S3173" t="s">
        <v>253</v>
      </c>
      <c r="T3173" t="s">
        <v>427</v>
      </c>
      <c r="U3173" s="21">
        <v>2402</v>
      </c>
      <c r="V3173" s="21" t="s">
        <v>368</v>
      </c>
      <c r="W3173" t="str">
        <f>VLOOKUP(Table_Query_from_Actuarial___Production[[#This Row],[Kor1]],$AI$3:$AK$105,3,FALSE)</f>
        <v>Premiums Written</v>
      </c>
      <c r="X3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3"/>
      <c r="Z3173" t="s">
        <v>31</v>
      </c>
      <c r="AA3173" t="s">
        <v>243</v>
      </c>
      <c r="AB3173" t="s">
        <v>433</v>
      </c>
      <c r="AC3173" s="21">
        <v>927.25</v>
      </c>
      <c r="AD3173" s="21" t="s">
        <v>368</v>
      </c>
      <c r="AE3173" t="str">
        <f>VLOOKUP(Table_Query_from_Actuarial___Production3[[#This Row],[Kor1]],$AI$3:$AK$105,3,FALSE)</f>
        <v>Misc. Expense</v>
      </c>
      <c r="AF3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4" spans="18:32" x14ac:dyDescent="0.2">
      <c r="R3174" t="s">
        <v>19</v>
      </c>
      <c r="S3174" t="s">
        <v>261</v>
      </c>
      <c r="T3174" t="s">
        <v>351</v>
      </c>
      <c r="U3174" s="21">
        <v>3066</v>
      </c>
      <c r="V3174" s="21" t="s">
        <v>368</v>
      </c>
      <c r="W3174" t="str">
        <f>VLOOKUP(Table_Query_from_Actuarial___Production[[#This Row],[Kor1]],$AI$3:$AK$105,3,FALSE)</f>
        <v>Misc. Expense for Insolvent Companies</v>
      </c>
      <c r="X3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4"/>
      <c r="Z3174" t="s">
        <v>33</v>
      </c>
      <c r="AA3174" t="s">
        <v>255</v>
      </c>
      <c r="AB3174" t="s">
        <v>8</v>
      </c>
      <c r="AC3174" s="21">
        <v>19416.04</v>
      </c>
      <c r="AD3174" s="21" t="s">
        <v>368</v>
      </c>
      <c r="AE3174" t="str">
        <f>VLOOKUP(Table_Query_from_Actuarial___Production3[[#This Row],[Kor1]],$AI$3:$AK$105,3,FALSE)</f>
        <v>Misc. Expense</v>
      </c>
      <c r="AF3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5" spans="18:32" x14ac:dyDescent="0.2">
      <c r="R3175" t="s">
        <v>13</v>
      </c>
      <c r="S3175" t="s">
        <v>252</v>
      </c>
      <c r="T3175" t="s">
        <v>427</v>
      </c>
      <c r="U3175" s="21">
        <v>5902375.1200000001</v>
      </c>
      <c r="V3175" s="21" t="s">
        <v>368</v>
      </c>
      <c r="W3175" t="str">
        <f>VLOOKUP(Table_Query_from_Actuarial___Production[[#This Row],[Kor1]],$AI$3:$AK$105,3,FALSE)</f>
        <v>Operating Service Fees</v>
      </c>
      <c r="X3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5"/>
      <c r="Z3175" t="s">
        <v>49</v>
      </c>
      <c r="AA3175" t="s">
        <v>265</v>
      </c>
      <c r="AB3175" t="s">
        <v>8</v>
      </c>
      <c r="AC3175" s="21">
        <v>9348.51</v>
      </c>
      <c r="AD3175" s="21" t="s">
        <v>368</v>
      </c>
      <c r="AE3175" t="str">
        <f>VLOOKUP(Table_Query_from_Actuarial___Production3[[#This Row],[Kor1]],$AI$3:$AK$105,3,FALSE)</f>
        <v>ALAE Paid</v>
      </c>
      <c r="AF3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6" spans="18:32" x14ac:dyDescent="0.2">
      <c r="R3176" t="s">
        <v>11</v>
      </c>
      <c r="S3176" t="s">
        <v>240</v>
      </c>
      <c r="T3176" t="s">
        <v>356</v>
      </c>
      <c r="U3176" s="21">
        <v>2697015.22</v>
      </c>
      <c r="V3176" s="21" t="s">
        <v>368</v>
      </c>
      <c r="W3176" t="str">
        <f>VLOOKUP(Table_Query_from_Actuarial___Production[[#This Row],[Kor1]],$AI$3:$AK$105,3,FALSE)</f>
        <v>Losses Paid</v>
      </c>
      <c r="X3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6"/>
      <c r="Z3176" t="s">
        <v>36</v>
      </c>
      <c r="AA3176" t="s">
        <v>241</v>
      </c>
      <c r="AB3176" t="s">
        <v>5</v>
      </c>
      <c r="AC3176" s="21">
        <v>139.18</v>
      </c>
      <c r="AD3176" s="21" t="s">
        <v>368</v>
      </c>
      <c r="AE3176" t="str">
        <f>VLOOKUP(Table_Query_from_Actuarial___Production3[[#This Row],[Kor1]],$AI$3:$AK$105,3,FALSE)</f>
        <v>Misc. Expense</v>
      </c>
      <c r="AF3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7" spans="18:32" x14ac:dyDescent="0.2">
      <c r="R3177" t="s">
        <v>20</v>
      </c>
      <c r="S3177" t="s">
        <v>243</v>
      </c>
      <c r="T3177" t="s">
        <v>442</v>
      </c>
      <c r="U3177" s="21">
        <v>142.6</v>
      </c>
      <c r="V3177" s="21" t="s">
        <v>368</v>
      </c>
      <c r="W3177" t="str">
        <f>VLOOKUP(Table_Query_from_Actuarial___Production[[#This Row],[Kor1]],$AI$3:$AK$105,3,FALSE)</f>
        <v>Misc. Expense</v>
      </c>
      <c r="X3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7"/>
      <c r="Z3177" t="s">
        <v>103</v>
      </c>
      <c r="AA3177" t="s">
        <v>259</v>
      </c>
      <c r="AB3177" t="s">
        <v>5</v>
      </c>
      <c r="AC3177" s="21">
        <v>309.93</v>
      </c>
      <c r="AD3177" s="21" t="s">
        <v>368</v>
      </c>
      <c r="AE3177" t="str">
        <f>VLOOKUP(Table_Query_from_Actuarial___Production3[[#This Row],[Kor1]],$AI$3:$AK$105,3,FALSE)</f>
        <v>Misc. Expense</v>
      </c>
      <c r="AF3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8" spans="18:32" x14ac:dyDescent="0.2">
      <c r="R3178" t="s">
        <v>14</v>
      </c>
      <c r="S3178" t="s">
        <v>257</v>
      </c>
      <c r="T3178" t="s">
        <v>427</v>
      </c>
      <c r="U3178" s="21">
        <v>183366.54</v>
      </c>
      <c r="V3178" s="21" t="s">
        <v>368</v>
      </c>
      <c r="W3178" t="str">
        <f>VLOOKUP(Table_Query_from_Actuarial___Production[[#This Row],[Kor1]],$AI$3:$AK$105,3,FALSE)</f>
        <v>Claims Expense</v>
      </c>
      <c r="X3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8"/>
      <c r="Z3178" t="s">
        <v>39</v>
      </c>
      <c r="AA3178" t="s">
        <v>260</v>
      </c>
      <c r="AB3178" t="s">
        <v>8</v>
      </c>
      <c r="AC3178" s="21">
        <v>16</v>
      </c>
      <c r="AD3178" s="21" t="s">
        <v>368</v>
      </c>
      <c r="AE3178" t="str">
        <f>VLOOKUP(Table_Query_from_Actuarial___Production3[[#This Row],[Kor1]],$AI$3:$AK$105,3,FALSE)</f>
        <v>Misc. Income for Insolvent Companies</v>
      </c>
      <c r="AF3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79" spans="18:32" x14ac:dyDescent="0.2">
      <c r="R3179" t="s">
        <v>14</v>
      </c>
      <c r="S3179" t="s">
        <v>259</v>
      </c>
      <c r="T3179" t="s">
        <v>445</v>
      </c>
      <c r="U3179" s="21">
        <v>77.34</v>
      </c>
      <c r="V3179" s="21" t="s">
        <v>368</v>
      </c>
      <c r="W3179" t="str">
        <f>VLOOKUP(Table_Query_from_Actuarial___Production[[#This Row],[Kor1]],$AI$3:$AK$105,3,FALSE)</f>
        <v>Claims Expense</v>
      </c>
      <c r="X3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79"/>
      <c r="Z3179" t="s">
        <v>11</v>
      </c>
      <c r="AA3179" t="s">
        <v>267</v>
      </c>
      <c r="AB3179" t="s">
        <v>6</v>
      </c>
      <c r="AC3179" s="21">
        <v>708702.82</v>
      </c>
      <c r="AD3179" s="21" t="s">
        <v>368</v>
      </c>
      <c r="AE3179" t="str">
        <f>VLOOKUP(Table_Query_from_Actuarial___Production3[[#This Row],[Kor1]],$AI$3:$AK$105,3,FALSE)</f>
        <v>Losses Paid</v>
      </c>
      <c r="AF3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0" spans="18:32" x14ac:dyDescent="0.2">
      <c r="R3180" t="s">
        <v>31</v>
      </c>
      <c r="S3180" t="s">
        <v>263</v>
      </c>
      <c r="T3180" t="s">
        <v>6</v>
      </c>
      <c r="U3180" s="21">
        <v>5</v>
      </c>
      <c r="V3180" s="21" t="s">
        <v>368</v>
      </c>
      <c r="W3180" t="str">
        <f>VLOOKUP(Table_Query_from_Actuarial___Production[[#This Row],[Kor1]],$AI$3:$AK$105,3,FALSE)</f>
        <v>Misc. Expense</v>
      </c>
      <c r="X3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0"/>
      <c r="Z3180" t="s">
        <v>44</v>
      </c>
      <c r="AA3180" t="s">
        <v>256</v>
      </c>
      <c r="AB3180" t="s">
        <v>351</v>
      </c>
      <c r="AC3180" s="21">
        <v>7712</v>
      </c>
      <c r="AD3180" s="21" t="s">
        <v>368</v>
      </c>
      <c r="AE3180" t="str">
        <f>VLOOKUP(Table_Query_from_Actuarial___Production3[[#This Row],[Kor1]],$AI$3:$AK$105,3,FALSE)</f>
        <v>Charge-offs</v>
      </c>
      <c r="AF3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1" spans="18:32" x14ac:dyDescent="0.2">
      <c r="R3181" t="s">
        <v>12</v>
      </c>
      <c r="S3181" t="s">
        <v>264</v>
      </c>
      <c r="T3181" t="s">
        <v>351</v>
      </c>
      <c r="U3181" s="21">
        <v>45443.16</v>
      </c>
      <c r="V3181" s="21" t="s">
        <v>368</v>
      </c>
      <c r="W3181" t="str">
        <f>VLOOKUP(Table_Query_from_Actuarial___Production[[#This Row],[Kor1]],$AI$3:$AK$105,3,FALSE)</f>
        <v>Premium Tax</v>
      </c>
      <c r="X3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1"/>
      <c r="Z3181" t="s">
        <v>130</v>
      </c>
      <c r="AA3181" t="s">
        <v>224</v>
      </c>
      <c r="AB3181" t="s">
        <v>442</v>
      </c>
      <c r="AC3181" s="21">
        <v>1120214.3899999999</v>
      </c>
      <c r="AD3181" s="21" t="s">
        <v>370</v>
      </c>
      <c r="AE3181" t="str">
        <f>VLOOKUP(Table_Query_from_Actuarial___Production3[[#This Row],[Kor1]],$AI$3:$AK$105,3,FALSE)</f>
        <v>CPAI Charge-offs</v>
      </c>
      <c r="AF3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182" spans="18:32" x14ac:dyDescent="0.2">
      <c r="R3182" t="s">
        <v>10</v>
      </c>
      <c r="S3182" t="s">
        <v>266</v>
      </c>
      <c r="T3182" t="s">
        <v>441</v>
      </c>
      <c r="U3182" s="21">
        <v>134129.87</v>
      </c>
      <c r="V3182" s="21" t="s">
        <v>368</v>
      </c>
      <c r="W3182" t="str">
        <f>VLOOKUP(Table_Query_from_Actuarial___Production[[#This Row],[Kor1]],$AI$3:$AK$105,3,FALSE)</f>
        <v>Commissions</v>
      </c>
      <c r="X3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2"/>
      <c r="Z3182" t="s">
        <v>13</v>
      </c>
      <c r="AA3182" t="s">
        <v>252</v>
      </c>
      <c r="AB3182" t="s">
        <v>7</v>
      </c>
      <c r="AC3182" s="21">
        <v>2293973.62</v>
      </c>
      <c r="AD3182" s="21" t="s">
        <v>368</v>
      </c>
      <c r="AE3182" t="str">
        <f>VLOOKUP(Table_Query_from_Actuarial___Production3[[#This Row],[Kor1]],$AI$3:$AK$105,3,FALSE)</f>
        <v>Operating Service Fees</v>
      </c>
      <c r="AF3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3" spans="18:32" x14ac:dyDescent="0.2">
      <c r="R3183" t="s">
        <v>44</v>
      </c>
      <c r="S3183" t="s">
        <v>266</v>
      </c>
      <c r="T3183" t="s">
        <v>6</v>
      </c>
      <c r="U3183" s="21">
        <v>-1.19</v>
      </c>
      <c r="V3183" s="21" t="s">
        <v>368</v>
      </c>
      <c r="W3183" t="str">
        <f>VLOOKUP(Table_Query_from_Actuarial___Production[[#This Row],[Kor1]],$AI$3:$AK$105,3,FALSE)</f>
        <v>Charge-offs</v>
      </c>
      <c r="X3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3"/>
      <c r="Z3183" t="s">
        <v>14</v>
      </c>
      <c r="AA3183" t="s">
        <v>244</v>
      </c>
      <c r="AB3183" t="s">
        <v>6</v>
      </c>
      <c r="AC3183" s="21">
        <v>76424.850000000006</v>
      </c>
      <c r="AD3183" s="21" t="s">
        <v>368</v>
      </c>
      <c r="AE3183" t="str">
        <f>VLOOKUP(Table_Query_from_Actuarial___Production3[[#This Row],[Kor1]],$AI$3:$AK$105,3,FALSE)</f>
        <v>Claims Expense</v>
      </c>
      <c r="AF3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4" spans="18:32" x14ac:dyDescent="0.2">
      <c r="R3184" t="s">
        <v>3</v>
      </c>
      <c r="S3184" t="s">
        <v>244</v>
      </c>
      <c r="T3184" t="s">
        <v>441</v>
      </c>
      <c r="U3184" s="21">
        <v>3917883</v>
      </c>
      <c r="V3184" s="21" t="s">
        <v>368</v>
      </c>
      <c r="W3184" t="str">
        <f>VLOOKUP(Table_Query_from_Actuarial___Production[[#This Row],[Kor1]],$AI$3:$AK$105,3,FALSE)</f>
        <v>Premiums Written</v>
      </c>
      <c r="X3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4"/>
      <c r="Z3184" t="s">
        <v>47</v>
      </c>
      <c r="AA3184" t="s">
        <v>230</v>
      </c>
      <c r="AB3184" t="s">
        <v>6</v>
      </c>
      <c r="AC3184" s="21">
        <v>1.7</v>
      </c>
      <c r="AD3184" s="21" t="s">
        <v>368</v>
      </c>
      <c r="AE3184" t="str">
        <f>VLOOKUP(Table_Query_from_Actuarial___Production3[[#This Row],[Kor1]],$AI$3:$AK$105,3,FALSE)</f>
        <v>Investment Income</v>
      </c>
      <c r="AF3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5" spans="18:32" x14ac:dyDescent="0.2">
      <c r="R3185" t="s">
        <v>14</v>
      </c>
      <c r="S3185" t="s">
        <v>259</v>
      </c>
      <c r="T3185" t="s">
        <v>6</v>
      </c>
      <c r="U3185" s="21">
        <v>19166.84</v>
      </c>
      <c r="V3185" s="21" t="s">
        <v>368</v>
      </c>
      <c r="W3185" t="str">
        <f>VLOOKUP(Table_Query_from_Actuarial___Production[[#This Row],[Kor1]],$AI$3:$AK$105,3,FALSE)</f>
        <v>Claims Expense</v>
      </c>
      <c r="X3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5"/>
      <c r="Z3185" t="s">
        <v>11</v>
      </c>
      <c r="AA3185" t="s">
        <v>242</v>
      </c>
      <c r="AB3185" t="s">
        <v>427</v>
      </c>
      <c r="AC3185" s="21">
        <v>1051370.77</v>
      </c>
      <c r="AD3185" s="21" t="s">
        <v>368</v>
      </c>
      <c r="AE3185" t="str">
        <f>VLOOKUP(Table_Query_from_Actuarial___Production3[[#This Row],[Kor1]],$AI$3:$AK$105,3,FALSE)</f>
        <v>Losses Paid</v>
      </c>
      <c r="AF3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6" spans="18:32" x14ac:dyDescent="0.2">
      <c r="R3186" t="s">
        <v>11</v>
      </c>
      <c r="S3186" t="s">
        <v>259</v>
      </c>
      <c r="T3186" t="s">
        <v>9</v>
      </c>
      <c r="U3186" s="21">
        <v>54270.07</v>
      </c>
      <c r="V3186" s="21" t="s">
        <v>368</v>
      </c>
      <c r="W3186" t="str">
        <f>VLOOKUP(Table_Query_from_Actuarial___Production[[#This Row],[Kor1]],$AI$3:$AK$105,3,FALSE)</f>
        <v>Losses Paid</v>
      </c>
      <c r="X3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6"/>
      <c r="Z3186" t="s">
        <v>17</v>
      </c>
      <c r="AA3186" t="s">
        <v>229</v>
      </c>
      <c r="AB3186" t="s">
        <v>442</v>
      </c>
      <c r="AC3186" s="21">
        <v>16192.8</v>
      </c>
      <c r="AD3186" s="21" t="s">
        <v>368</v>
      </c>
      <c r="AE3186" t="str">
        <f>VLOOKUP(Table_Query_from_Actuarial___Production3[[#This Row],[Kor1]],$AI$3:$AK$105,3,FALSE)</f>
        <v>IBNR</v>
      </c>
      <c r="AF3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7" spans="18:32" x14ac:dyDescent="0.2">
      <c r="R3187" t="s">
        <v>17</v>
      </c>
      <c r="S3187" t="s">
        <v>256</v>
      </c>
      <c r="T3187" t="s">
        <v>433</v>
      </c>
      <c r="U3187" s="21">
        <v>11727.52</v>
      </c>
      <c r="V3187" s="21" t="s">
        <v>368</v>
      </c>
      <c r="W3187" t="str">
        <f>VLOOKUP(Table_Query_from_Actuarial___Production[[#This Row],[Kor1]],$AI$3:$AK$105,3,FALSE)</f>
        <v>IBNR</v>
      </c>
      <c r="X3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7"/>
      <c r="Z3187" t="s">
        <v>41</v>
      </c>
      <c r="AA3187" t="s">
        <v>267</v>
      </c>
      <c r="AB3187" t="s">
        <v>9</v>
      </c>
      <c r="AC3187" s="21">
        <v>900</v>
      </c>
      <c r="AD3187" s="21" t="s">
        <v>368</v>
      </c>
      <c r="AE3187" t="str">
        <f>VLOOKUP(Table_Query_from_Actuarial___Production3[[#This Row],[Kor1]],$AI$3:$AK$105,3,FALSE)</f>
        <v>Misc. Income</v>
      </c>
      <c r="AF3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8" spans="18:32" x14ac:dyDescent="0.2">
      <c r="R3188" t="s">
        <v>39</v>
      </c>
      <c r="S3188" t="s">
        <v>267</v>
      </c>
      <c r="T3188" t="s">
        <v>356</v>
      </c>
      <c r="U3188" s="21">
        <v>4</v>
      </c>
      <c r="V3188" s="21" t="s">
        <v>368</v>
      </c>
      <c r="W3188" t="str">
        <f>VLOOKUP(Table_Query_from_Actuarial___Production[[#This Row],[Kor1]],$AI$3:$AK$105,3,FALSE)</f>
        <v>Misc. Income for Insolvent Companies</v>
      </c>
      <c r="X3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8"/>
      <c r="Z3188" t="s">
        <v>39</v>
      </c>
      <c r="AA3188" t="s">
        <v>251</v>
      </c>
      <c r="AB3188" t="s">
        <v>433</v>
      </c>
      <c r="AC3188" s="21">
        <v>2225</v>
      </c>
      <c r="AD3188" s="21" t="s">
        <v>368</v>
      </c>
      <c r="AE3188" t="str">
        <f>VLOOKUP(Table_Query_from_Actuarial___Production3[[#This Row],[Kor1]],$AI$3:$AK$105,3,FALSE)</f>
        <v>Misc. Income for Insolvent Companies</v>
      </c>
      <c r="AF3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89" spans="18:32" x14ac:dyDescent="0.2">
      <c r="R3189" t="s">
        <v>12</v>
      </c>
      <c r="S3189" t="s">
        <v>255</v>
      </c>
      <c r="T3189" t="s">
        <v>427</v>
      </c>
      <c r="U3189" s="21">
        <v>9040.18</v>
      </c>
      <c r="V3189" s="21" t="s">
        <v>368</v>
      </c>
      <c r="W3189" t="str">
        <f>VLOOKUP(Table_Query_from_Actuarial___Production[[#This Row],[Kor1]],$AI$3:$AK$105,3,FALSE)</f>
        <v>Premium Tax</v>
      </c>
      <c r="X3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89"/>
      <c r="Z3189" t="s">
        <v>43</v>
      </c>
      <c r="AA3189" t="s">
        <v>232</v>
      </c>
      <c r="AB3189" t="s">
        <v>7</v>
      </c>
      <c r="AC3189" s="21">
        <v>-211.68</v>
      </c>
      <c r="AD3189" s="21" t="s">
        <v>368</v>
      </c>
      <c r="AE3189" t="str">
        <f>VLOOKUP(Table_Query_from_Actuarial___Production3[[#This Row],[Kor1]],$AI$3:$AK$105,3,FALSE)</f>
        <v>Charge-offs</v>
      </c>
      <c r="AF3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0" spans="18:32" x14ac:dyDescent="0.2">
      <c r="R3190" t="s">
        <v>43</v>
      </c>
      <c r="S3190" t="s">
        <v>224</v>
      </c>
      <c r="T3190" t="s">
        <v>351</v>
      </c>
      <c r="U3190" s="21">
        <v>228.08</v>
      </c>
      <c r="V3190" s="21" t="s">
        <v>368</v>
      </c>
      <c r="W3190" t="str">
        <f>VLOOKUP(Table_Query_from_Actuarial___Production[[#This Row],[Kor1]],$AI$3:$AK$105,3,FALSE)</f>
        <v>Charge-offs</v>
      </c>
      <c r="X3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190"/>
      <c r="Z3190" t="s">
        <v>44</v>
      </c>
      <c r="AA3190" t="s">
        <v>264</v>
      </c>
      <c r="AB3190" t="s">
        <v>443</v>
      </c>
      <c r="AC3190" s="21">
        <v>2300</v>
      </c>
      <c r="AD3190" s="21" t="s">
        <v>368</v>
      </c>
      <c r="AE3190" t="str">
        <f>VLOOKUP(Table_Query_from_Actuarial___Production3[[#This Row],[Kor1]],$AI$3:$AK$105,3,FALSE)</f>
        <v>Charge-offs</v>
      </c>
      <c r="AF3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1" spans="18:32" x14ac:dyDescent="0.2">
      <c r="R3191" t="s">
        <v>13</v>
      </c>
      <c r="S3191" t="s">
        <v>239</v>
      </c>
      <c r="T3191" t="s">
        <v>445</v>
      </c>
      <c r="U3191" s="21">
        <v>758304.07</v>
      </c>
      <c r="V3191" s="21" t="s">
        <v>368</v>
      </c>
      <c r="W3191" t="str">
        <f>VLOOKUP(Table_Query_from_Actuarial___Production[[#This Row],[Kor1]],$AI$3:$AK$105,3,FALSE)</f>
        <v>Operating Service Fees</v>
      </c>
      <c r="X3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1"/>
      <c r="Z3191" t="s">
        <v>17</v>
      </c>
      <c r="AA3191" t="s">
        <v>268</v>
      </c>
      <c r="AB3191" t="s">
        <v>441</v>
      </c>
      <c r="AC3191" s="21">
        <v>23857.71</v>
      </c>
      <c r="AD3191" s="21" t="s">
        <v>368</v>
      </c>
      <c r="AE3191" t="str">
        <f>VLOOKUP(Table_Query_from_Actuarial___Production3[[#This Row],[Kor1]],$AI$3:$AK$105,3,FALSE)</f>
        <v>IBNR</v>
      </c>
      <c r="AF3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2" spans="18:32" x14ac:dyDescent="0.2">
      <c r="R3192" t="s">
        <v>19</v>
      </c>
      <c r="S3192" t="s">
        <v>235</v>
      </c>
      <c r="T3192" t="s">
        <v>8</v>
      </c>
      <c r="U3192" s="21">
        <v>1</v>
      </c>
      <c r="V3192" s="21" t="s">
        <v>368</v>
      </c>
      <c r="W3192" t="str">
        <f>VLOOKUP(Table_Query_from_Actuarial___Production[[#This Row],[Kor1]],$AI$3:$AK$105,3,FALSE)</f>
        <v>Misc. Expense for Insolvent Companies</v>
      </c>
      <c r="X3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2"/>
      <c r="Z3192" t="s">
        <v>18</v>
      </c>
      <c r="AA3192" t="s">
        <v>354</v>
      </c>
      <c r="AB3192" t="s">
        <v>356</v>
      </c>
      <c r="AC3192" s="21">
        <v>6295063.3799999999</v>
      </c>
      <c r="AD3192" s="21" t="s">
        <v>369</v>
      </c>
      <c r="AE3192" t="str">
        <f>VLOOKUP(Table_Query_from_Actuarial___Production3[[#This Row],[Kor1]],$AI$3:$AK$105,3,FALSE)</f>
        <v>Misc. Expense</v>
      </c>
      <c r="AF3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193" spans="18:32" x14ac:dyDescent="0.2">
      <c r="R3193" t="s">
        <v>13</v>
      </c>
      <c r="S3193" t="s">
        <v>230</v>
      </c>
      <c r="T3193" t="s">
        <v>8</v>
      </c>
      <c r="U3193" s="21">
        <v>4761589.09</v>
      </c>
      <c r="V3193" s="21" t="s">
        <v>368</v>
      </c>
      <c r="W3193" t="str">
        <f>VLOOKUP(Table_Query_from_Actuarial___Production[[#This Row],[Kor1]],$AI$3:$AK$105,3,FALSE)</f>
        <v>Operating Service Fees</v>
      </c>
      <c r="X3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3"/>
      <c r="Z3193" t="s">
        <v>11</v>
      </c>
      <c r="AA3193" t="s">
        <v>352</v>
      </c>
      <c r="AB3193" t="s">
        <v>433</v>
      </c>
      <c r="AC3193" s="21">
        <v>19841.080000000002</v>
      </c>
      <c r="AD3193" s="21" t="s">
        <v>369</v>
      </c>
      <c r="AE3193" t="str">
        <f>VLOOKUP(Table_Query_from_Actuarial___Production3[[#This Row],[Kor1]],$AI$3:$AK$105,3,FALSE)</f>
        <v>Losses Paid</v>
      </c>
      <c r="AF3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194" spans="18:32" x14ac:dyDescent="0.2">
      <c r="R3194" t="s">
        <v>21</v>
      </c>
      <c r="S3194" t="s">
        <v>263</v>
      </c>
      <c r="T3194" t="s">
        <v>8</v>
      </c>
      <c r="U3194" s="21">
        <v>377.99</v>
      </c>
      <c r="V3194" s="21" t="s">
        <v>368</v>
      </c>
      <c r="W3194" t="str">
        <f>VLOOKUP(Table_Query_from_Actuarial___Production[[#This Row],[Kor1]],$AI$3:$AK$105,3,FALSE)</f>
        <v>Misc. Expense</v>
      </c>
      <c r="X3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4"/>
      <c r="Z3194" t="s">
        <v>10</v>
      </c>
      <c r="AA3194" t="s">
        <v>266</v>
      </c>
      <c r="AB3194" t="s">
        <v>351</v>
      </c>
      <c r="AC3194" s="21">
        <v>23542.720000000001</v>
      </c>
      <c r="AD3194" s="21" t="s">
        <v>368</v>
      </c>
      <c r="AE3194" t="str">
        <f>VLOOKUP(Table_Query_from_Actuarial___Production3[[#This Row],[Kor1]],$AI$3:$AK$105,3,FALSE)</f>
        <v>Commissions</v>
      </c>
      <c r="AF3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5" spans="18:32" x14ac:dyDescent="0.2">
      <c r="R3195" t="s">
        <v>33</v>
      </c>
      <c r="S3195" t="s">
        <v>258</v>
      </c>
      <c r="T3195" t="s">
        <v>433</v>
      </c>
      <c r="U3195" s="21">
        <v>14632.8</v>
      </c>
      <c r="V3195" s="21" t="s">
        <v>368</v>
      </c>
      <c r="W3195" t="str">
        <f>VLOOKUP(Table_Query_from_Actuarial___Production[[#This Row],[Kor1]],$AI$3:$AK$105,3,FALSE)</f>
        <v>Misc. Expense</v>
      </c>
      <c r="X3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5"/>
      <c r="Z3195" t="s">
        <v>11</v>
      </c>
      <c r="AA3195" t="s">
        <v>234</v>
      </c>
      <c r="AB3195" t="s">
        <v>8</v>
      </c>
      <c r="AC3195" s="21">
        <v>339700.28</v>
      </c>
      <c r="AD3195" s="21" t="s">
        <v>368</v>
      </c>
      <c r="AE3195" t="str">
        <f>VLOOKUP(Table_Query_from_Actuarial___Production3[[#This Row],[Kor1]],$AI$3:$AK$105,3,FALSE)</f>
        <v>Losses Paid</v>
      </c>
      <c r="AF3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6" spans="18:32" x14ac:dyDescent="0.2">
      <c r="R3196" t="s">
        <v>47</v>
      </c>
      <c r="S3196" t="s">
        <v>260</v>
      </c>
      <c r="T3196" t="s">
        <v>443</v>
      </c>
      <c r="U3196" s="21">
        <v>1772.09</v>
      </c>
      <c r="V3196" s="21" t="s">
        <v>368</v>
      </c>
      <c r="W3196" t="str">
        <f>VLOOKUP(Table_Query_from_Actuarial___Production[[#This Row],[Kor1]],$AI$3:$AK$105,3,FALSE)</f>
        <v>Investment Income</v>
      </c>
      <c r="X3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6"/>
      <c r="Z3196" t="s">
        <v>19</v>
      </c>
      <c r="AA3196" t="s">
        <v>239</v>
      </c>
      <c r="AB3196" t="s">
        <v>356</v>
      </c>
      <c r="AC3196" s="21">
        <v>213</v>
      </c>
      <c r="AD3196" s="21" t="s">
        <v>368</v>
      </c>
      <c r="AE3196" t="str">
        <f>VLOOKUP(Table_Query_from_Actuarial___Production3[[#This Row],[Kor1]],$AI$3:$AK$105,3,FALSE)</f>
        <v>Misc. Expense for Insolvent Companies</v>
      </c>
      <c r="AF3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7" spans="18:32" x14ac:dyDescent="0.2">
      <c r="R3197" t="s">
        <v>17</v>
      </c>
      <c r="S3197" t="s">
        <v>238</v>
      </c>
      <c r="T3197" t="s">
        <v>443</v>
      </c>
      <c r="U3197" s="21">
        <v>632429.93999999994</v>
      </c>
      <c r="V3197" s="21" t="s">
        <v>368</v>
      </c>
      <c r="W3197" t="str">
        <f>VLOOKUP(Table_Query_from_Actuarial___Production[[#This Row],[Kor1]],$AI$3:$AK$105,3,FALSE)</f>
        <v>IBNR</v>
      </c>
      <c r="X3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7"/>
      <c r="Z3197" t="s">
        <v>33</v>
      </c>
      <c r="AA3197" t="s">
        <v>246</v>
      </c>
      <c r="AB3197" t="s">
        <v>6</v>
      </c>
      <c r="AC3197" s="21">
        <v>15772.46</v>
      </c>
      <c r="AD3197" s="21" t="s">
        <v>368</v>
      </c>
      <c r="AE3197" t="str">
        <f>VLOOKUP(Table_Query_from_Actuarial___Production3[[#This Row],[Kor1]],$AI$3:$AK$105,3,FALSE)</f>
        <v>Misc. Expense</v>
      </c>
      <c r="AF3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8" spans="18:32" x14ac:dyDescent="0.2">
      <c r="R3198" t="s">
        <v>44</v>
      </c>
      <c r="S3198" t="s">
        <v>264</v>
      </c>
      <c r="T3198" t="s">
        <v>427</v>
      </c>
      <c r="U3198" s="21">
        <v>245871.31</v>
      </c>
      <c r="V3198" s="21" t="s">
        <v>368</v>
      </c>
      <c r="W3198" t="str">
        <f>VLOOKUP(Table_Query_from_Actuarial___Production[[#This Row],[Kor1]],$AI$3:$AK$105,3,FALSE)</f>
        <v>Charge-offs</v>
      </c>
      <c r="X3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8"/>
      <c r="Z3198" t="s">
        <v>34</v>
      </c>
      <c r="AA3198" t="s">
        <v>240</v>
      </c>
      <c r="AB3198" t="s">
        <v>443</v>
      </c>
      <c r="AC3198" s="21">
        <v>8878.18</v>
      </c>
      <c r="AD3198" s="21" t="s">
        <v>368</v>
      </c>
      <c r="AE3198" t="str">
        <f>VLOOKUP(Table_Query_from_Actuarial___Production3[[#This Row],[Kor1]],$AI$3:$AK$105,3,FALSE)</f>
        <v>Misc. Expense</v>
      </c>
      <c r="AF3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199" spans="18:32" x14ac:dyDescent="0.2">
      <c r="R3199" t="s">
        <v>37</v>
      </c>
      <c r="S3199" t="s">
        <v>254</v>
      </c>
      <c r="T3199" t="s">
        <v>356</v>
      </c>
      <c r="U3199" s="21">
        <v>10705.08</v>
      </c>
      <c r="V3199" s="21" t="s">
        <v>368</v>
      </c>
      <c r="W3199" t="str">
        <f>VLOOKUP(Table_Query_from_Actuarial___Production[[#This Row],[Kor1]],$AI$3:$AK$105,3,FALSE)</f>
        <v>Misc. Expense</v>
      </c>
      <c r="X3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199"/>
      <c r="Z3199" t="s">
        <v>43</v>
      </c>
      <c r="AA3199" t="s">
        <v>264</v>
      </c>
      <c r="AB3199" t="s">
        <v>427</v>
      </c>
      <c r="AC3199" s="21">
        <v>-3073.4</v>
      </c>
      <c r="AD3199" s="21" t="s">
        <v>368</v>
      </c>
      <c r="AE3199" t="str">
        <f>VLOOKUP(Table_Query_from_Actuarial___Production3[[#This Row],[Kor1]],$AI$3:$AK$105,3,FALSE)</f>
        <v>Charge-offs</v>
      </c>
      <c r="AF3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0" spans="18:32" x14ac:dyDescent="0.2">
      <c r="R3200" t="s">
        <v>18</v>
      </c>
      <c r="S3200" t="s">
        <v>225</v>
      </c>
      <c r="T3200" t="s">
        <v>6</v>
      </c>
      <c r="U3200" s="21">
        <v>766830.33</v>
      </c>
      <c r="V3200" s="21" t="s">
        <v>369</v>
      </c>
      <c r="W3200" t="str">
        <f>VLOOKUP(Table_Query_from_Actuarial___Production[[#This Row],[Kor1]],$AI$3:$AK$105,3,FALSE)</f>
        <v>Misc. Expense</v>
      </c>
      <c r="X3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200"/>
      <c r="Z3200" t="s">
        <v>20</v>
      </c>
      <c r="AA3200" t="s">
        <v>255</v>
      </c>
      <c r="AB3200" t="s">
        <v>351</v>
      </c>
      <c r="AC3200" s="21">
        <v>96.91</v>
      </c>
      <c r="AD3200" s="21" t="s">
        <v>368</v>
      </c>
      <c r="AE3200" t="str">
        <f>VLOOKUP(Table_Query_from_Actuarial___Production3[[#This Row],[Kor1]],$AI$3:$AK$105,3,FALSE)</f>
        <v>Misc. Expense</v>
      </c>
      <c r="AF3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1" spans="18:32" x14ac:dyDescent="0.2">
      <c r="R3201" t="s">
        <v>19</v>
      </c>
      <c r="S3201" t="s">
        <v>261</v>
      </c>
      <c r="T3201" t="s">
        <v>441</v>
      </c>
      <c r="U3201" s="21">
        <v>123</v>
      </c>
      <c r="V3201" s="21" t="s">
        <v>368</v>
      </c>
      <c r="W3201" t="str">
        <f>VLOOKUP(Table_Query_from_Actuarial___Production[[#This Row],[Kor1]],$AI$3:$AK$105,3,FALSE)</f>
        <v>Misc. Expense for Insolvent Companies</v>
      </c>
      <c r="X3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1"/>
      <c r="Z3201" t="s">
        <v>41</v>
      </c>
      <c r="AA3201" t="s">
        <v>237</v>
      </c>
      <c r="AB3201" t="s">
        <v>441</v>
      </c>
      <c r="AC3201" s="21">
        <v>1917.72</v>
      </c>
      <c r="AD3201" s="21" t="s">
        <v>368</v>
      </c>
      <c r="AE3201" t="str">
        <f>VLOOKUP(Table_Query_from_Actuarial___Production3[[#This Row],[Kor1]],$AI$3:$AK$105,3,FALSE)</f>
        <v>Misc. Income</v>
      </c>
      <c r="AF3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2" spans="18:32" x14ac:dyDescent="0.2">
      <c r="R3202" t="s">
        <v>3</v>
      </c>
      <c r="S3202" t="s">
        <v>224</v>
      </c>
      <c r="T3202" t="s">
        <v>433</v>
      </c>
      <c r="U3202" s="21">
        <v>1405833.84</v>
      </c>
      <c r="V3202" s="21" t="s">
        <v>370</v>
      </c>
      <c r="W3202" t="str">
        <f>VLOOKUP(Table_Query_from_Actuarial___Production[[#This Row],[Kor1]],$AI$3:$AK$105,3,FALSE)</f>
        <v>Premiums Written</v>
      </c>
      <c r="X3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202"/>
      <c r="Z3202" t="s">
        <v>14</v>
      </c>
      <c r="AA3202" t="s">
        <v>242</v>
      </c>
      <c r="AB3202" t="s">
        <v>9</v>
      </c>
      <c r="AC3202" s="21">
        <v>33252.42</v>
      </c>
      <c r="AD3202" s="21" t="s">
        <v>368</v>
      </c>
      <c r="AE3202" t="str">
        <f>VLOOKUP(Table_Query_from_Actuarial___Production3[[#This Row],[Kor1]],$AI$3:$AK$105,3,FALSE)</f>
        <v>Claims Expense</v>
      </c>
      <c r="AF3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3" spans="18:32" x14ac:dyDescent="0.2">
      <c r="R3203" t="s">
        <v>48</v>
      </c>
      <c r="S3203" t="s">
        <v>252</v>
      </c>
      <c r="T3203" t="s">
        <v>442</v>
      </c>
      <c r="U3203" s="21">
        <v>130076.45</v>
      </c>
      <c r="V3203" s="21" t="s">
        <v>368</v>
      </c>
      <c r="W3203" t="str">
        <f>VLOOKUP(Table_Query_from_Actuarial___Production[[#This Row],[Kor1]],$AI$3:$AK$105,3,FALSE)</f>
        <v>Anticipated Salvage</v>
      </c>
      <c r="X3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3"/>
      <c r="Z3203" t="s">
        <v>12</v>
      </c>
      <c r="AA3203" t="s">
        <v>242</v>
      </c>
      <c r="AB3203" t="s">
        <v>356</v>
      </c>
      <c r="AC3203" s="21">
        <v>17183.169999999998</v>
      </c>
      <c r="AD3203" s="21" t="s">
        <v>368</v>
      </c>
      <c r="AE3203" t="str">
        <f>VLOOKUP(Table_Query_from_Actuarial___Production3[[#This Row],[Kor1]],$AI$3:$AK$105,3,FALSE)</f>
        <v>Premium Tax</v>
      </c>
      <c r="AF3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4" spans="18:32" x14ac:dyDescent="0.2">
      <c r="R3204" t="s">
        <v>10</v>
      </c>
      <c r="S3204" t="s">
        <v>264</v>
      </c>
      <c r="T3204" t="s">
        <v>445</v>
      </c>
      <c r="U3204" s="21">
        <v>107819.3</v>
      </c>
      <c r="V3204" s="21" t="s">
        <v>368</v>
      </c>
      <c r="W3204" t="str">
        <f>VLOOKUP(Table_Query_from_Actuarial___Production[[#This Row],[Kor1]],$AI$3:$AK$105,3,FALSE)</f>
        <v>Commissions</v>
      </c>
      <c r="X3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4"/>
      <c r="Z3204" t="s">
        <v>50</v>
      </c>
      <c r="AA3204" t="s">
        <v>244</v>
      </c>
      <c r="AB3204" t="s">
        <v>442</v>
      </c>
      <c r="AC3204" s="21">
        <v>79898.429999999993</v>
      </c>
      <c r="AD3204" s="21" t="s">
        <v>368</v>
      </c>
      <c r="AE3204" t="str">
        <f>VLOOKUP(Table_Query_from_Actuarial___Production3[[#This Row],[Kor1]],$AI$3:$AK$105,3,FALSE)</f>
        <v>ALAE Reserve</v>
      </c>
      <c r="AF3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5" spans="18:32" x14ac:dyDescent="0.2">
      <c r="R3205" t="s">
        <v>12</v>
      </c>
      <c r="S3205" t="s">
        <v>266</v>
      </c>
      <c r="T3205" t="s">
        <v>441</v>
      </c>
      <c r="U3205" s="21">
        <v>78391.13</v>
      </c>
      <c r="V3205" s="21" t="s">
        <v>368</v>
      </c>
      <c r="W3205" t="str">
        <f>VLOOKUP(Table_Query_from_Actuarial___Production[[#This Row],[Kor1]],$AI$3:$AK$105,3,FALSE)</f>
        <v>Premium Tax</v>
      </c>
      <c r="X3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5"/>
      <c r="Z3205" t="s">
        <v>13</v>
      </c>
      <c r="AA3205" t="s">
        <v>236</v>
      </c>
      <c r="AB3205" t="s">
        <v>441</v>
      </c>
      <c r="AC3205" s="21">
        <v>6408.44</v>
      </c>
      <c r="AD3205" s="21" t="s">
        <v>368</v>
      </c>
      <c r="AE3205" t="str">
        <f>VLOOKUP(Table_Query_from_Actuarial___Production3[[#This Row],[Kor1]],$AI$3:$AK$105,3,FALSE)</f>
        <v>Operating Service Fees</v>
      </c>
      <c r="AF3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6" spans="18:32" x14ac:dyDescent="0.2">
      <c r="R3206" t="s">
        <v>3</v>
      </c>
      <c r="S3206" t="s">
        <v>249</v>
      </c>
      <c r="T3206" t="s">
        <v>441</v>
      </c>
      <c r="U3206" s="21">
        <v>1215274</v>
      </c>
      <c r="V3206" s="21" t="s">
        <v>368</v>
      </c>
      <c r="W3206" t="str">
        <f>VLOOKUP(Table_Query_from_Actuarial___Production[[#This Row],[Kor1]],$AI$3:$AK$105,3,FALSE)</f>
        <v>Premiums Written</v>
      </c>
      <c r="X3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6"/>
      <c r="Z3206" t="s">
        <v>3</v>
      </c>
      <c r="AA3206" t="s">
        <v>253</v>
      </c>
      <c r="AB3206" t="s">
        <v>427</v>
      </c>
      <c r="AC3206" s="21">
        <v>2402</v>
      </c>
      <c r="AD3206" s="21" t="s">
        <v>368</v>
      </c>
      <c r="AE3206" t="str">
        <f>VLOOKUP(Table_Query_from_Actuarial___Production3[[#This Row],[Kor1]],$AI$3:$AK$105,3,FALSE)</f>
        <v>Premiums Written</v>
      </c>
      <c r="AF3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7" spans="18:32" x14ac:dyDescent="0.2">
      <c r="R3207" t="s">
        <v>19</v>
      </c>
      <c r="S3207" t="s">
        <v>234</v>
      </c>
      <c r="T3207" t="s">
        <v>9</v>
      </c>
      <c r="U3207" s="21">
        <v>325</v>
      </c>
      <c r="V3207" s="21" t="s">
        <v>368</v>
      </c>
      <c r="W3207" t="str">
        <f>VLOOKUP(Table_Query_from_Actuarial___Production[[#This Row],[Kor1]],$AI$3:$AK$105,3,FALSE)</f>
        <v>Misc. Expense for Insolvent Companies</v>
      </c>
      <c r="X3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07"/>
      <c r="Z3207" t="s">
        <v>19</v>
      </c>
      <c r="AA3207" t="s">
        <v>261</v>
      </c>
      <c r="AB3207" t="s">
        <v>351</v>
      </c>
      <c r="AC3207" s="21">
        <v>3066</v>
      </c>
      <c r="AD3207" s="21" t="s">
        <v>368</v>
      </c>
      <c r="AE3207" t="str">
        <f>VLOOKUP(Table_Query_from_Actuarial___Production3[[#This Row],[Kor1]],$AI$3:$AK$105,3,FALSE)</f>
        <v>Misc. Expense for Insolvent Companies</v>
      </c>
      <c r="AF3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8" spans="18:32" x14ac:dyDescent="0.2">
      <c r="R3208" t="s">
        <v>46</v>
      </c>
      <c r="S3208" t="s">
        <v>354</v>
      </c>
      <c r="T3208" t="s">
        <v>6</v>
      </c>
      <c r="U3208" s="21">
        <v>18964447.120000001</v>
      </c>
      <c r="V3208" s="21" t="s">
        <v>369</v>
      </c>
      <c r="W3208" t="str">
        <f>VLOOKUP(Table_Query_from_Actuarial___Production[[#This Row],[Kor1]],$AI$3:$AK$105,3,FALSE)</f>
        <v>Investment Income</v>
      </c>
      <c r="X3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208"/>
      <c r="Z3208" t="s">
        <v>13</v>
      </c>
      <c r="AA3208" t="s">
        <v>252</v>
      </c>
      <c r="AB3208" t="s">
        <v>427</v>
      </c>
      <c r="AC3208" s="21">
        <v>5902375.1200000001</v>
      </c>
      <c r="AD3208" s="21" t="s">
        <v>368</v>
      </c>
      <c r="AE3208" t="str">
        <f>VLOOKUP(Table_Query_from_Actuarial___Production3[[#This Row],[Kor1]],$AI$3:$AK$105,3,FALSE)</f>
        <v>Operating Service Fees</v>
      </c>
      <c r="AF3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09" spans="18:32" x14ac:dyDescent="0.2">
      <c r="R3209" t="s">
        <v>48</v>
      </c>
      <c r="S3209" t="s">
        <v>354</v>
      </c>
      <c r="T3209" t="s">
        <v>9</v>
      </c>
      <c r="U3209" s="21">
        <v>112727.29</v>
      </c>
      <c r="V3209" s="21" t="s">
        <v>369</v>
      </c>
      <c r="W3209" t="str">
        <f>VLOOKUP(Table_Query_from_Actuarial___Production[[#This Row],[Kor1]],$AI$3:$AK$105,3,FALSE)</f>
        <v>Anticipated Salvage</v>
      </c>
      <c r="X3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209"/>
      <c r="Z3209" t="s">
        <v>11</v>
      </c>
      <c r="AA3209" t="s">
        <v>240</v>
      </c>
      <c r="AB3209" t="s">
        <v>356</v>
      </c>
      <c r="AC3209" s="21">
        <v>2682015.2200000002</v>
      </c>
      <c r="AD3209" s="21" t="s">
        <v>368</v>
      </c>
      <c r="AE3209" t="str">
        <f>VLOOKUP(Table_Query_from_Actuarial___Production3[[#This Row],[Kor1]],$AI$3:$AK$105,3,FALSE)</f>
        <v>Losses Paid</v>
      </c>
      <c r="AF3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0" spans="18:32" x14ac:dyDescent="0.2">
      <c r="R3210" t="s">
        <v>12</v>
      </c>
      <c r="S3210" t="s">
        <v>267</v>
      </c>
      <c r="T3210" t="s">
        <v>8</v>
      </c>
      <c r="U3210" s="21">
        <v>9166.86</v>
      </c>
      <c r="V3210" s="21" t="s">
        <v>368</v>
      </c>
      <c r="W3210" t="str">
        <f>VLOOKUP(Table_Query_from_Actuarial___Production[[#This Row],[Kor1]],$AI$3:$AK$105,3,FALSE)</f>
        <v>Premium Tax</v>
      </c>
      <c r="X3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0"/>
      <c r="Z3210" t="s">
        <v>20</v>
      </c>
      <c r="AA3210" t="s">
        <v>243</v>
      </c>
      <c r="AB3210" t="s">
        <v>442</v>
      </c>
      <c r="AC3210" s="21">
        <v>142.6</v>
      </c>
      <c r="AD3210" s="21" t="s">
        <v>368</v>
      </c>
      <c r="AE3210" t="str">
        <f>VLOOKUP(Table_Query_from_Actuarial___Production3[[#This Row],[Kor1]],$AI$3:$AK$105,3,FALSE)</f>
        <v>Misc. Expense</v>
      </c>
      <c r="AF3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1" spans="18:32" x14ac:dyDescent="0.2">
      <c r="R3211" t="s">
        <v>3</v>
      </c>
      <c r="S3211" t="s">
        <v>253</v>
      </c>
      <c r="T3211" t="s">
        <v>443</v>
      </c>
      <c r="U3211" s="21">
        <v>1005</v>
      </c>
      <c r="V3211" s="21" t="s">
        <v>368</v>
      </c>
      <c r="W3211" t="str">
        <f>VLOOKUP(Table_Query_from_Actuarial___Production[[#This Row],[Kor1]],$AI$3:$AK$105,3,FALSE)</f>
        <v>Premiums Written</v>
      </c>
      <c r="X3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1"/>
      <c r="Z3211" t="s">
        <v>14</v>
      </c>
      <c r="AA3211" t="s">
        <v>257</v>
      </c>
      <c r="AB3211" t="s">
        <v>427</v>
      </c>
      <c r="AC3211" s="21">
        <v>183366.54</v>
      </c>
      <c r="AD3211" s="21" t="s">
        <v>368</v>
      </c>
      <c r="AE3211" t="str">
        <f>VLOOKUP(Table_Query_from_Actuarial___Production3[[#This Row],[Kor1]],$AI$3:$AK$105,3,FALSE)</f>
        <v>Claims Expense</v>
      </c>
      <c r="AF3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2" spans="18:32" x14ac:dyDescent="0.2">
      <c r="R3212" t="s">
        <v>17</v>
      </c>
      <c r="S3212" t="s">
        <v>239</v>
      </c>
      <c r="T3212" t="s">
        <v>442</v>
      </c>
      <c r="U3212" s="21">
        <v>1322444.24</v>
      </c>
      <c r="V3212" s="21" t="s">
        <v>368</v>
      </c>
      <c r="W3212" t="str">
        <f>VLOOKUP(Table_Query_from_Actuarial___Production[[#This Row],[Kor1]],$AI$3:$AK$105,3,FALSE)</f>
        <v>IBNR</v>
      </c>
      <c r="X3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2"/>
      <c r="Z3212" t="s">
        <v>47</v>
      </c>
      <c r="AA3212" t="s">
        <v>256</v>
      </c>
      <c r="AB3212" t="s">
        <v>5</v>
      </c>
      <c r="AC3212" s="21">
        <v>1.1399999999999999</v>
      </c>
      <c r="AD3212" s="21" t="s">
        <v>368</v>
      </c>
      <c r="AE3212" t="str">
        <f>VLOOKUP(Table_Query_from_Actuarial___Production3[[#This Row],[Kor1]],$AI$3:$AK$105,3,FALSE)</f>
        <v>Investment Income</v>
      </c>
      <c r="AF3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3" spans="18:32" x14ac:dyDescent="0.2">
      <c r="R3213" t="s">
        <v>40</v>
      </c>
      <c r="S3213" t="s">
        <v>262</v>
      </c>
      <c r="T3213" t="s">
        <v>427</v>
      </c>
      <c r="U3213" s="21">
        <v>18</v>
      </c>
      <c r="V3213" s="21" t="s">
        <v>368</v>
      </c>
      <c r="W3213" t="str">
        <f>VLOOKUP(Table_Query_from_Actuarial___Production[[#This Row],[Kor1]],$AI$3:$AK$105,3,FALSE)</f>
        <v>Misc. Income</v>
      </c>
      <c r="X3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3"/>
      <c r="Z3213" t="s">
        <v>31</v>
      </c>
      <c r="AA3213" t="s">
        <v>263</v>
      </c>
      <c r="AB3213" t="s">
        <v>6</v>
      </c>
      <c r="AC3213" s="21">
        <v>5</v>
      </c>
      <c r="AD3213" s="21" t="s">
        <v>368</v>
      </c>
      <c r="AE3213" t="str">
        <f>VLOOKUP(Table_Query_from_Actuarial___Production3[[#This Row],[Kor1]],$AI$3:$AK$105,3,FALSE)</f>
        <v>Misc. Expense</v>
      </c>
      <c r="AF3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4" spans="18:32" x14ac:dyDescent="0.2">
      <c r="R3214" t="s">
        <v>38</v>
      </c>
      <c r="S3214" t="s">
        <v>352</v>
      </c>
      <c r="T3214" t="s">
        <v>356</v>
      </c>
      <c r="U3214" s="21">
        <v>136.91999999999999</v>
      </c>
      <c r="V3214" s="21" t="s">
        <v>368</v>
      </c>
      <c r="W3214" t="str">
        <f>VLOOKUP(Table_Query_from_Actuarial___Production[[#This Row],[Kor1]],$AI$3:$AK$105,3,FALSE)</f>
        <v>Misc. Income</v>
      </c>
      <c r="X3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214"/>
      <c r="Z3214" t="s">
        <v>12</v>
      </c>
      <c r="AA3214" t="s">
        <v>264</v>
      </c>
      <c r="AB3214" t="s">
        <v>351</v>
      </c>
      <c r="AC3214" s="21">
        <v>45443.16</v>
      </c>
      <c r="AD3214" s="21" t="s">
        <v>368</v>
      </c>
      <c r="AE3214" t="str">
        <f>VLOOKUP(Table_Query_from_Actuarial___Production3[[#This Row],[Kor1]],$AI$3:$AK$105,3,FALSE)</f>
        <v>Premium Tax</v>
      </c>
      <c r="AF3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5" spans="18:32" x14ac:dyDescent="0.2">
      <c r="R3215" t="s">
        <v>34</v>
      </c>
      <c r="S3215" t="s">
        <v>241</v>
      </c>
      <c r="T3215" t="s">
        <v>441</v>
      </c>
      <c r="U3215" s="21">
        <v>142.18</v>
      </c>
      <c r="V3215" s="21" t="s">
        <v>368</v>
      </c>
      <c r="W3215" t="str">
        <f>VLOOKUP(Table_Query_from_Actuarial___Production[[#This Row],[Kor1]],$AI$3:$AK$105,3,FALSE)</f>
        <v>Misc. Expense</v>
      </c>
      <c r="X3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5"/>
      <c r="Z3215" t="s">
        <v>3</v>
      </c>
      <c r="AA3215" t="s">
        <v>228</v>
      </c>
      <c r="AB3215" t="s">
        <v>5</v>
      </c>
      <c r="AC3215" s="21">
        <v>400919</v>
      </c>
      <c r="AD3215" s="21" t="s">
        <v>368</v>
      </c>
      <c r="AE3215" t="str">
        <f>VLOOKUP(Table_Query_from_Actuarial___Production3[[#This Row],[Kor1]],$AI$3:$AK$105,3,FALSE)</f>
        <v>Premiums Written</v>
      </c>
      <c r="AF3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6" spans="18:32" x14ac:dyDescent="0.2">
      <c r="R3216" t="s">
        <v>21</v>
      </c>
      <c r="S3216" t="s">
        <v>4</v>
      </c>
      <c r="T3216" t="s">
        <v>7</v>
      </c>
      <c r="U3216" s="21">
        <v>75.16</v>
      </c>
      <c r="V3216" s="21" t="s">
        <v>368</v>
      </c>
      <c r="W3216" t="str">
        <f>VLOOKUP(Table_Query_from_Actuarial___Production[[#This Row],[Kor1]],$AI$3:$AK$105,3,FALSE)</f>
        <v>Misc. Expense</v>
      </c>
      <c r="X3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6"/>
      <c r="Z3216" t="s">
        <v>10</v>
      </c>
      <c r="AA3216" t="s">
        <v>266</v>
      </c>
      <c r="AB3216" t="s">
        <v>441</v>
      </c>
      <c r="AC3216" s="21">
        <v>134129.87</v>
      </c>
      <c r="AD3216" s="21" t="s">
        <v>368</v>
      </c>
      <c r="AE3216" t="str">
        <f>VLOOKUP(Table_Query_from_Actuarial___Production3[[#This Row],[Kor1]],$AI$3:$AK$105,3,FALSE)</f>
        <v>Commissions</v>
      </c>
      <c r="AF3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7" spans="18:32" x14ac:dyDescent="0.2">
      <c r="R3217" t="s">
        <v>44</v>
      </c>
      <c r="S3217" t="s">
        <v>264</v>
      </c>
      <c r="T3217" t="s">
        <v>7</v>
      </c>
      <c r="U3217" s="21">
        <v>14609.6</v>
      </c>
      <c r="V3217" s="21" t="s">
        <v>368</v>
      </c>
      <c r="W3217" t="str">
        <f>VLOOKUP(Table_Query_from_Actuarial___Production[[#This Row],[Kor1]],$AI$3:$AK$105,3,FALSE)</f>
        <v>Charge-offs</v>
      </c>
      <c r="X3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7"/>
      <c r="Z3217" t="s">
        <v>44</v>
      </c>
      <c r="AA3217" t="s">
        <v>266</v>
      </c>
      <c r="AB3217" t="s">
        <v>6</v>
      </c>
      <c r="AC3217" s="21">
        <v>-1.19</v>
      </c>
      <c r="AD3217" s="21" t="s">
        <v>368</v>
      </c>
      <c r="AE3217" t="str">
        <f>VLOOKUP(Table_Query_from_Actuarial___Production3[[#This Row],[Kor1]],$AI$3:$AK$105,3,FALSE)</f>
        <v>Charge-offs</v>
      </c>
      <c r="AF3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8" spans="18:32" x14ac:dyDescent="0.2">
      <c r="R3218" t="s">
        <v>44</v>
      </c>
      <c r="S3218" t="s">
        <v>249</v>
      </c>
      <c r="T3218" t="s">
        <v>356</v>
      </c>
      <c r="U3218" s="21">
        <v>52278.14</v>
      </c>
      <c r="V3218" s="21" t="s">
        <v>368</v>
      </c>
      <c r="W3218" t="str">
        <f>VLOOKUP(Table_Query_from_Actuarial___Production[[#This Row],[Kor1]],$AI$3:$AK$105,3,FALSE)</f>
        <v>Charge-offs</v>
      </c>
      <c r="X3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8"/>
      <c r="Z3218" t="s">
        <v>3</v>
      </c>
      <c r="AA3218" t="s">
        <v>244</v>
      </c>
      <c r="AB3218" t="s">
        <v>441</v>
      </c>
      <c r="AC3218" s="21">
        <v>3917883</v>
      </c>
      <c r="AD3218" s="21" t="s">
        <v>368</v>
      </c>
      <c r="AE3218" t="str">
        <f>VLOOKUP(Table_Query_from_Actuarial___Production3[[#This Row],[Kor1]],$AI$3:$AK$105,3,FALSE)</f>
        <v>Premiums Written</v>
      </c>
      <c r="AF3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19" spans="18:32" x14ac:dyDescent="0.2">
      <c r="R3219" t="s">
        <v>12</v>
      </c>
      <c r="S3219" t="s">
        <v>266</v>
      </c>
      <c r="T3219" t="s">
        <v>433</v>
      </c>
      <c r="U3219" s="21">
        <v>49887.73</v>
      </c>
      <c r="V3219" s="21" t="s">
        <v>368</v>
      </c>
      <c r="W3219" t="str">
        <f>VLOOKUP(Table_Query_from_Actuarial___Production[[#This Row],[Kor1]],$AI$3:$AK$105,3,FALSE)</f>
        <v>Premium Tax</v>
      </c>
      <c r="X3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19"/>
      <c r="Z3219" t="s">
        <v>14</v>
      </c>
      <c r="AA3219" t="s">
        <v>259</v>
      </c>
      <c r="AB3219" t="s">
        <v>6</v>
      </c>
      <c r="AC3219" s="21">
        <v>19166.84</v>
      </c>
      <c r="AD3219" s="21" t="s">
        <v>368</v>
      </c>
      <c r="AE3219" t="str">
        <f>VLOOKUP(Table_Query_from_Actuarial___Production3[[#This Row],[Kor1]],$AI$3:$AK$105,3,FALSE)</f>
        <v>Claims Expense</v>
      </c>
      <c r="AF3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0" spans="18:32" x14ac:dyDescent="0.2">
      <c r="R3220" t="s">
        <v>13</v>
      </c>
      <c r="S3220" t="s">
        <v>229</v>
      </c>
      <c r="T3220" t="s">
        <v>8</v>
      </c>
      <c r="U3220" s="21">
        <v>3788.56</v>
      </c>
      <c r="V3220" s="21" t="s">
        <v>368</v>
      </c>
      <c r="W3220" t="str">
        <f>VLOOKUP(Table_Query_from_Actuarial___Production[[#This Row],[Kor1]],$AI$3:$AK$105,3,FALSE)</f>
        <v>Operating Service Fees</v>
      </c>
      <c r="X3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0"/>
      <c r="Z3220" t="s">
        <v>11</v>
      </c>
      <c r="AA3220" t="s">
        <v>259</v>
      </c>
      <c r="AB3220" t="s">
        <v>9</v>
      </c>
      <c r="AC3220" s="21">
        <v>54270.07</v>
      </c>
      <c r="AD3220" s="21" t="s">
        <v>368</v>
      </c>
      <c r="AE3220" t="str">
        <f>VLOOKUP(Table_Query_from_Actuarial___Production3[[#This Row],[Kor1]],$AI$3:$AK$105,3,FALSE)</f>
        <v>Losses Paid</v>
      </c>
      <c r="AF3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1" spans="18:32" x14ac:dyDescent="0.2">
      <c r="R3221" t="s">
        <v>10</v>
      </c>
      <c r="S3221" t="s">
        <v>224</v>
      </c>
      <c r="T3221" t="s">
        <v>356</v>
      </c>
      <c r="U3221" s="21">
        <v>1610.56</v>
      </c>
      <c r="V3221" s="21" t="s">
        <v>369</v>
      </c>
      <c r="W3221" t="str">
        <f>VLOOKUP(Table_Query_from_Actuarial___Production[[#This Row],[Kor1]],$AI$3:$AK$105,3,FALSE)</f>
        <v>Commissions</v>
      </c>
      <c r="X3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221"/>
      <c r="Z3221" t="s">
        <v>17</v>
      </c>
      <c r="AA3221" t="s">
        <v>256</v>
      </c>
      <c r="AB3221" t="s">
        <v>433</v>
      </c>
      <c r="AC3221" s="21">
        <v>12235.36</v>
      </c>
      <c r="AD3221" s="21" t="s">
        <v>368</v>
      </c>
      <c r="AE3221" t="str">
        <f>VLOOKUP(Table_Query_from_Actuarial___Production3[[#This Row],[Kor1]],$AI$3:$AK$105,3,FALSE)</f>
        <v>IBNR</v>
      </c>
      <c r="AF3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2" spans="18:32" x14ac:dyDescent="0.2">
      <c r="R3222" t="s">
        <v>10</v>
      </c>
      <c r="S3222" t="s">
        <v>224</v>
      </c>
      <c r="T3222" t="s">
        <v>8</v>
      </c>
      <c r="U3222" s="21">
        <v>132132.82</v>
      </c>
      <c r="V3222" s="21" t="s">
        <v>368</v>
      </c>
      <c r="W3222" t="str">
        <f>VLOOKUP(Table_Query_from_Actuarial___Production[[#This Row],[Kor1]],$AI$3:$AK$105,3,FALSE)</f>
        <v>Commissions</v>
      </c>
      <c r="X3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222"/>
      <c r="Z3222" t="s">
        <v>12</v>
      </c>
      <c r="AA3222" t="s">
        <v>255</v>
      </c>
      <c r="AB3222" t="s">
        <v>427</v>
      </c>
      <c r="AC3222" s="21">
        <v>9040.18</v>
      </c>
      <c r="AD3222" s="21" t="s">
        <v>368</v>
      </c>
      <c r="AE3222" t="str">
        <f>VLOOKUP(Table_Query_from_Actuarial___Production3[[#This Row],[Kor1]],$AI$3:$AK$105,3,FALSE)</f>
        <v>Premium Tax</v>
      </c>
      <c r="AF3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3" spans="18:32" x14ac:dyDescent="0.2">
      <c r="R3223" t="s">
        <v>10</v>
      </c>
      <c r="S3223" t="s">
        <v>250</v>
      </c>
      <c r="T3223" t="s">
        <v>6</v>
      </c>
      <c r="U3223" s="21">
        <v>62754.95</v>
      </c>
      <c r="V3223" s="21" t="s">
        <v>368</v>
      </c>
      <c r="W3223" t="str">
        <f>VLOOKUP(Table_Query_from_Actuarial___Production[[#This Row],[Kor1]],$AI$3:$AK$105,3,FALSE)</f>
        <v>Commissions</v>
      </c>
      <c r="X3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3"/>
      <c r="Z3223" t="s">
        <v>43</v>
      </c>
      <c r="AA3223" t="s">
        <v>224</v>
      </c>
      <c r="AB3223" t="s">
        <v>351</v>
      </c>
      <c r="AC3223" s="21">
        <v>228.08</v>
      </c>
      <c r="AD3223" s="21" t="s">
        <v>368</v>
      </c>
      <c r="AE3223" t="str">
        <f>VLOOKUP(Table_Query_from_Actuarial___Production3[[#This Row],[Kor1]],$AI$3:$AK$105,3,FALSE)</f>
        <v>Charge-offs</v>
      </c>
      <c r="AF3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224" spans="18:32" x14ac:dyDescent="0.2">
      <c r="R3224" t="s">
        <v>32</v>
      </c>
      <c r="S3224" t="s">
        <v>252</v>
      </c>
      <c r="T3224" t="s">
        <v>445</v>
      </c>
      <c r="U3224" s="21">
        <v>20673.439999999999</v>
      </c>
      <c r="V3224" s="21" t="s">
        <v>368</v>
      </c>
      <c r="W3224" t="str">
        <f>VLOOKUP(Table_Query_from_Actuarial___Production[[#This Row],[Kor1]],$AI$3:$AK$105,3,FALSE)</f>
        <v>Misc. Expense</v>
      </c>
      <c r="X3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4"/>
      <c r="Z3224" t="s">
        <v>19</v>
      </c>
      <c r="AA3224" t="s">
        <v>235</v>
      </c>
      <c r="AB3224" t="s">
        <v>8</v>
      </c>
      <c r="AC3224" s="21">
        <v>1</v>
      </c>
      <c r="AD3224" s="21" t="s">
        <v>368</v>
      </c>
      <c r="AE3224" t="str">
        <f>VLOOKUP(Table_Query_from_Actuarial___Production3[[#This Row],[Kor1]],$AI$3:$AK$105,3,FALSE)</f>
        <v>Misc. Expense for Insolvent Companies</v>
      </c>
      <c r="AF3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5" spans="18:32" x14ac:dyDescent="0.2">
      <c r="R3225" t="s">
        <v>47</v>
      </c>
      <c r="S3225" t="s">
        <v>265</v>
      </c>
      <c r="T3225" t="s">
        <v>8</v>
      </c>
      <c r="U3225" s="21">
        <v>0.03</v>
      </c>
      <c r="V3225" s="21" t="s">
        <v>368</v>
      </c>
      <c r="W3225" t="str">
        <f>VLOOKUP(Table_Query_from_Actuarial___Production[[#This Row],[Kor1]],$AI$3:$AK$105,3,FALSE)</f>
        <v>Investment Income</v>
      </c>
      <c r="X3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5"/>
      <c r="Z3225" t="s">
        <v>39</v>
      </c>
      <c r="AA3225" t="s">
        <v>260</v>
      </c>
      <c r="AB3225" t="s">
        <v>5</v>
      </c>
      <c r="AC3225" s="21">
        <v>69</v>
      </c>
      <c r="AD3225" s="21" t="s">
        <v>368</v>
      </c>
      <c r="AE3225" t="str">
        <f>VLOOKUP(Table_Query_from_Actuarial___Production3[[#This Row],[Kor1]],$AI$3:$AK$105,3,FALSE)</f>
        <v>Misc. Income for Insolvent Companies</v>
      </c>
      <c r="AF3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6" spans="18:32" x14ac:dyDescent="0.2">
      <c r="R3226" t="s">
        <v>13</v>
      </c>
      <c r="S3226" t="s">
        <v>236</v>
      </c>
      <c r="T3226" t="s">
        <v>427</v>
      </c>
      <c r="U3226" s="21">
        <v>8557.26</v>
      </c>
      <c r="V3226" s="21" t="s">
        <v>368</v>
      </c>
      <c r="W3226" t="str">
        <f>VLOOKUP(Table_Query_from_Actuarial___Production[[#This Row],[Kor1]],$AI$3:$AK$105,3,FALSE)</f>
        <v>Operating Service Fees</v>
      </c>
      <c r="X3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6"/>
      <c r="Z3226" t="s">
        <v>13</v>
      </c>
      <c r="AA3226" t="s">
        <v>230</v>
      </c>
      <c r="AB3226" t="s">
        <v>8</v>
      </c>
      <c r="AC3226" s="21">
        <v>4761589.09</v>
      </c>
      <c r="AD3226" s="21" t="s">
        <v>368</v>
      </c>
      <c r="AE3226" t="str">
        <f>VLOOKUP(Table_Query_from_Actuarial___Production3[[#This Row],[Kor1]],$AI$3:$AK$105,3,FALSE)</f>
        <v>Operating Service Fees</v>
      </c>
      <c r="AF3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7" spans="18:32" x14ac:dyDescent="0.2">
      <c r="R3227" t="s">
        <v>46</v>
      </c>
      <c r="S3227" t="s">
        <v>354</v>
      </c>
      <c r="T3227" t="s">
        <v>443</v>
      </c>
      <c r="U3227" s="21">
        <v>1852127.01</v>
      </c>
      <c r="V3227" s="21" t="s">
        <v>368</v>
      </c>
      <c r="W3227" t="str">
        <f>VLOOKUP(Table_Query_from_Actuarial___Production[[#This Row],[Kor1]],$AI$3:$AK$105,3,FALSE)</f>
        <v>Investment Income</v>
      </c>
      <c r="X3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227"/>
      <c r="Z3227" t="s">
        <v>21</v>
      </c>
      <c r="AA3227" t="s">
        <v>263</v>
      </c>
      <c r="AB3227" t="s">
        <v>8</v>
      </c>
      <c r="AC3227" s="21">
        <v>377.99</v>
      </c>
      <c r="AD3227" s="21" t="s">
        <v>368</v>
      </c>
      <c r="AE3227" t="str">
        <f>VLOOKUP(Table_Query_from_Actuarial___Production3[[#This Row],[Kor1]],$AI$3:$AK$105,3,FALSE)</f>
        <v>Misc. Expense</v>
      </c>
      <c r="AF3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8" spans="18:32" x14ac:dyDescent="0.2">
      <c r="R3228" t="s">
        <v>13</v>
      </c>
      <c r="S3228" t="s">
        <v>246</v>
      </c>
      <c r="T3228" t="s">
        <v>9</v>
      </c>
      <c r="U3228" s="21">
        <v>58996.71</v>
      </c>
      <c r="V3228" s="21" t="s">
        <v>368</v>
      </c>
      <c r="W3228" t="str">
        <f>VLOOKUP(Table_Query_from_Actuarial___Production[[#This Row],[Kor1]],$AI$3:$AK$105,3,FALSE)</f>
        <v>Operating Service Fees</v>
      </c>
      <c r="X3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8"/>
      <c r="Z3228" t="s">
        <v>33</v>
      </c>
      <c r="AA3228" t="s">
        <v>258</v>
      </c>
      <c r="AB3228" t="s">
        <v>433</v>
      </c>
      <c r="AC3228" s="21">
        <v>14632.8</v>
      </c>
      <c r="AD3228" s="21" t="s">
        <v>368</v>
      </c>
      <c r="AE3228" t="str">
        <f>VLOOKUP(Table_Query_from_Actuarial___Production3[[#This Row],[Kor1]],$AI$3:$AK$105,3,FALSE)</f>
        <v>Misc. Expense</v>
      </c>
      <c r="AF3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29" spans="18:32" x14ac:dyDescent="0.2">
      <c r="R3229" t="s">
        <v>13</v>
      </c>
      <c r="S3229" t="s">
        <v>257</v>
      </c>
      <c r="T3229" t="s">
        <v>8</v>
      </c>
      <c r="U3229" s="21">
        <v>271019.84000000003</v>
      </c>
      <c r="V3229" s="21" t="s">
        <v>368</v>
      </c>
      <c r="W3229" t="str">
        <f>VLOOKUP(Table_Query_from_Actuarial___Production[[#This Row],[Kor1]],$AI$3:$AK$105,3,FALSE)</f>
        <v>Operating Service Fees</v>
      </c>
      <c r="X3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29"/>
      <c r="Z3229" t="s">
        <v>47</v>
      </c>
      <c r="AA3229" t="s">
        <v>260</v>
      </c>
      <c r="AB3229" t="s">
        <v>443</v>
      </c>
      <c r="AC3229" s="21">
        <v>276.27999999999997</v>
      </c>
      <c r="AD3229" s="21" t="s">
        <v>368</v>
      </c>
      <c r="AE3229" t="str">
        <f>VLOOKUP(Table_Query_from_Actuarial___Production3[[#This Row],[Kor1]],$AI$3:$AK$105,3,FALSE)</f>
        <v>Investment Income</v>
      </c>
      <c r="AF3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0" spans="18:32" x14ac:dyDescent="0.2">
      <c r="R3230" t="s">
        <v>19</v>
      </c>
      <c r="S3230" t="s">
        <v>254</v>
      </c>
      <c r="T3230" t="s">
        <v>351</v>
      </c>
      <c r="U3230" s="21">
        <v>7587</v>
      </c>
      <c r="V3230" s="21" t="s">
        <v>368</v>
      </c>
      <c r="W3230" t="str">
        <f>VLOOKUP(Table_Query_from_Actuarial___Production[[#This Row],[Kor1]],$AI$3:$AK$105,3,FALSE)</f>
        <v>Misc. Expense for Insolvent Companies</v>
      </c>
      <c r="X3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0"/>
      <c r="Z3230" t="s">
        <v>12</v>
      </c>
      <c r="AA3230" t="s">
        <v>233</v>
      </c>
      <c r="AB3230" t="s">
        <v>5</v>
      </c>
      <c r="AC3230" s="21">
        <v>4579.0200000000004</v>
      </c>
      <c r="AD3230" s="21" t="s">
        <v>368</v>
      </c>
      <c r="AE3230" t="str">
        <f>VLOOKUP(Table_Query_from_Actuarial___Production3[[#This Row],[Kor1]],$AI$3:$AK$105,3,FALSE)</f>
        <v>Premium Tax</v>
      </c>
      <c r="AF3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1" spans="18:32" x14ac:dyDescent="0.2">
      <c r="R3231" t="s">
        <v>33</v>
      </c>
      <c r="S3231" t="s">
        <v>256</v>
      </c>
      <c r="T3231" t="s">
        <v>433</v>
      </c>
      <c r="U3231" s="21">
        <v>17925.669999999998</v>
      </c>
      <c r="V3231" s="21" t="s">
        <v>368</v>
      </c>
      <c r="W3231" t="str">
        <f>VLOOKUP(Table_Query_from_Actuarial___Production[[#This Row],[Kor1]],$AI$3:$AK$105,3,FALSE)</f>
        <v>Misc. Expense</v>
      </c>
      <c r="X3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1"/>
      <c r="Z3231" t="s">
        <v>17</v>
      </c>
      <c r="AA3231" t="s">
        <v>238</v>
      </c>
      <c r="AB3231" t="s">
        <v>443</v>
      </c>
      <c r="AC3231" s="21">
        <v>84788.81</v>
      </c>
      <c r="AD3231" s="21" t="s">
        <v>368</v>
      </c>
      <c r="AE3231" t="str">
        <f>VLOOKUP(Table_Query_from_Actuarial___Production3[[#This Row],[Kor1]],$AI$3:$AK$105,3,FALSE)</f>
        <v>IBNR</v>
      </c>
      <c r="AF3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2" spans="18:32" x14ac:dyDescent="0.2">
      <c r="R3232" t="s">
        <v>49</v>
      </c>
      <c r="S3232" t="s">
        <v>232</v>
      </c>
      <c r="T3232" t="s">
        <v>6</v>
      </c>
      <c r="U3232" s="21">
        <v>25827.040000000001</v>
      </c>
      <c r="V3232" s="21" t="s">
        <v>368</v>
      </c>
      <c r="W3232" t="str">
        <f>VLOOKUP(Table_Query_from_Actuarial___Production[[#This Row],[Kor1]],$AI$3:$AK$105,3,FALSE)</f>
        <v>ALAE Paid</v>
      </c>
      <c r="X3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2"/>
      <c r="Z3232" t="s">
        <v>44</v>
      </c>
      <c r="AA3232" t="s">
        <v>264</v>
      </c>
      <c r="AB3232" t="s">
        <v>427</v>
      </c>
      <c r="AC3232" s="21">
        <v>245871.31</v>
      </c>
      <c r="AD3232" s="21" t="s">
        <v>368</v>
      </c>
      <c r="AE3232" t="str">
        <f>VLOOKUP(Table_Query_from_Actuarial___Production3[[#This Row],[Kor1]],$AI$3:$AK$105,3,FALSE)</f>
        <v>Charge-offs</v>
      </c>
      <c r="AF3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3" spans="18:32" x14ac:dyDescent="0.2">
      <c r="R3233" t="s">
        <v>12</v>
      </c>
      <c r="S3233" t="s">
        <v>233</v>
      </c>
      <c r="T3233" t="s">
        <v>351</v>
      </c>
      <c r="U3233" s="21">
        <v>13371.94</v>
      </c>
      <c r="V3233" s="21" t="s">
        <v>368</v>
      </c>
      <c r="W3233" t="str">
        <f>VLOOKUP(Table_Query_from_Actuarial___Production[[#This Row],[Kor1]],$AI$3:$AK$105,3,FALSE)</f>
        <v>Premium Tax</v>
      </c>
      <c r="X3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3"/>
      <c r="Z3233" t="s">
        <v>37</v>
      </c>
      <c r="AA3233" t="s">
        <v>254</v>
      </c>
      <c r="AB3233" t="s">
        <v>356</v>
      </c>
      <c r="AC3233" s="21">
        <v>10705.08</v>
      </c>
      <c r="AD3233" s="21" t="s">
        <v>368</v>
      </c>
      <c r="AE3233" t="str">
        <f>VLOOKUP(Table_Query_from_Actuarial___Production3[[#This Row],[Kor1]],$AI$3:$AK$105,3,FALSE)</f>
        <v>Misc. Expense</v>
      </c>
      <c r="AF3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4" spans="18:32" x14ac:dyDescent="0.2">
      <c r="R3234" t="s">
        <v>19</v>
      </c>
      <c r="S3234" t="s">
        <v>246</v>
      </c>
      <c r="T3234" t="s">
        <v>443</v>
      </c>
      <c r="U3234" s="21">
        <v>1160.99</v>
      </c>
      <c r="V3234" s="21" t="s">
        <v>368</v>
      </c>
      <c r="W3234" t="str">
        <f>VLOOKUP(Table_Query_from_Actuarial___Production[[#This Row],[Kor1]],$AI$3:$AK$105,3,FALSE)</f>
        <v>Misc. Expense for Insolvent Companies</v>
      </c>
      <c r="X3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4"/>
      <c r="Z3234" t="s">
        <v>18</v>
      </c>
      <c r="AA3234" t="s">
        <v>225</v>
      </c>
      <c r="AB3234" t="s">
        <v>6</v>
      </c>
      <c r="AC3234" s="21">
        <v>766830.33</v>
      </c>
      <c r="AD3234" s="21" t="s">
        <v>369</v>
      </c>
      <c r="AE3234" t="str">
        <f>VLOOKUP(Table_Query_from_Actuarial___Production3[[#This Row],[Kor1]],$AI$3:$AK$105,3,FALSE)</f>
        <v>Misc. Expense</v>
      </c>
      <c r="AF3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235" spans="18:32" x14ac:dyDescent="0.2">
      <c r="R3235" t="s">
        <v>3</v>
      </c>
      <c r="S3235" t="s">
        <v>250</v>
      </c>
      <c r="T3235" t="s">
        <v>351</v>
      </c>
      <c r="U3235" s="21">
        <v>1174351</v>
      </c>
      <c r="V3235" s="21" t="s">
        <v>368</v>
      </c>
      <c r="W3235" t="str">
        <f>VLOOKUP(Table_Query_from_Actuarial___Production[[#This Row],[Kor1]],$AI$3:$AK$105,3,FALSE)</f>
        <v>Premiums Written</v>
      </c>
      <c r="X3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5"/>
      <c r="Z3235" t="s">
        <v>19</v>
      </c>
      <c r="AA3235" t="s">
        <v>261</v>
      </c>
      <c r="AB3235" t="s">
        <v>441</v>
      </c>
      <c r="AC3235" s="21">
        <v>123</v>
      </c>
      <c r="AD3235" s="21" t="s">
        <v>368</v>
      </c>
      <c r="AE3235" t="str">
        <f>VLOOKUP(Table_Query_from_Actuarial___Production3[[#This Row],[Kor1]],$AI$3:$AK$105,3,FALSE)</f>
        <v>Misc. Expense for Insolvent Companies</v>
      </c>
      <c r="AF3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6" spans="18:32" x14ac:dyDescent="0.2">
      <c r="R3236" t="s">
        <v>46</v>
      </c>
      <c r="S3236" t="s">
        <v>225</v>
      </c>
      <c r="T3236" t="s">
        <v>433</v>
      </c>
      <c r="U3236" s="21">
        <v>61417.42</v>
      </c>
      <c r="V3236" s="21" t="s">
        <v>368</v>
      </c>
      <c r="W3236" t="str">
        <f>VLOOKUP(Table_Query_from_Actuarial___Production[[#This Row],[Kor1]],$AI$3:$AK$105,3,FALSE)</f>
        <v>Investment Income</v>
      </c>
      <c r="X3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236"/>
      <c r="Z3236" t="s">
        <v>3</v>
      </c>
      <c r="AA3236" t="s">
        <v>224</v>
      </c>
      <c r="AB3236" t="s">
        <v>433</v>
      </c>
      <c r="AC3236" s="21">
        <v>1405833.84</v>
      </c>
      <c r="AD3236" s="21" t="s">
        <v>370</v>
      </c>
      <c r="AE3236" t="str">
        <f>VLOOKUP(Table_Query_from_Actuarial___Production3[[#This Row],[Kor1]],$AI$3:$AK$105,3,FALSE)</f>
        <v>Premiums Written</v>
      </c>
      <c r="AF3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237" spans="18:32" x14ac:dyDescent="0.2">
      <c r="R3237" t="s">
        <v>40</v>
      </c>
      <c r="S3237" t="s">
        <v>4</v>
      </c>
      <c r="T3237" t="s">
        <v>356</v>
      </c>
      <c r="U3237" s="21">
        <v>272.23</v>
      </c>
      <c r="V3237" s="21" t="s">
        <v>368</v>
      </c>
      <c r="W3237" t="str">
        <f>VLOOKUP(Table_Query_from_Actuarial___Production[[#This Row],[Kor1]],$AI$3:$AK$105,3,FALSE)</f>
        <v>Misc. Income</v>
      </c>
      <c r="X3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7"/>
      <c r="Z3237" t="s">
        <v>40</v>
      </c>
      <c r="AA3237" t="s">
        <v>255</v>
      </c>
      <c r="AB3237" t="s">
        <v>5</v>
      </c>
      <c r="AC3237" s="21">
        <v>69</v>
      </c>
      <c r="AD3237" s="21" t="s">
        <v>368</v>
      </c>
      <c r="AE3237" t="str">
        <f>VLOOKUP(Table_Query_from_Actuarial___Production3[[#This Row],[Kor1]],$AI$3:$AK$105,3,FALSE)</f>
        <v>Misc. Income</v>
      </c>
      <c r="AF3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8" spans="18:32" x14ac:dyDescent="0.2">
      <c r="R3238" t="s">
        <v>40</v>
      </c>
      <c r="S3238" t="s">
        <v>264</v>
      </c>
      <c r="T3238" t="s">
        <v>351</v>
      </c>
      <c r="U3238" s="21">
        <v>10</v>
      </c>
      <c r="V3238" s="21" t="s">
        <v>368</v>
      </c>
      <c r="W3238" t="str">
        <f>VLOOKUP(Table_Query_from_Actuarial___Production[[#This Row],[Kor1]],$AI$3:$AK$105,3,FALSE)</f>
        <v>Misc. Income</v>
      </c>
      <c r="X3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8"/>
      <c r="Z3238" t="s">
        <v>48</v>
      </c>
      <c r="AA3238" t="s">
        <v>252</v>
      </c>
      <c r="AB3238" t="s">
        <v>442</v>
      </c>
      <c r="AC3238" s="21">
        <v>130638.22</v>
      </c>
      <c r="AD3238" s="21" t="s">
        <v>368</v>
      </c>
      <c r="AE3238" t="str">
        <f>VLOOKUP(Table_Query_from_Actuarial___Production3[[#This Row],[Kor1]],$AI$3:$AK$105,3,FALSE)</f>
        <v>Anticipated Salvage</v>
      </c>
      <c r="AF3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39" spans="18:32" x14ac:dyDescent="0.2">
      <c r="R3239" t="s">
        <v>3</v>
      </c>
      <c r="S3239" t="s">
        <v>4</v>
      </c>
      <c r="T3239" t="s">
        <v>433</v>
      </c>
      <c r="U3239" s="21">
        <v>52999978</v>
      </c>
      <c r="V3239" s="21" t="s">
        <v>368</v>
      </c>
      <c r="W3239" t="str">
        <f>VLOOKUP(Table_Query_from_Actuarial___Production[[#This Row],[Kor1]],$AI$3:$AK$105,3,FALSE)</f>
        <v>Premiums Written</v>
      </c>
      <c r="X3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39"/>
      <c r="Z3239" t="s">
        <v>12</v>
      </c>
      <c r="AA3239" t="s">
        <v>266</v>
      </c>
      <c r="AB3239" t="s">
        <v>441</v>
      </c>
      <c r="AC3239" s="21">
        <v>78391.13</v>
      </c>
      <c r="AD3239" s="21" t="s">
        <v>368</v>
      </c>
      <c r="AE3239" t="str">
        <f>VLOOKUP(Table_Query_from_Actuarial___Production3[[#This Row],[Kor1]],$AI$3:$AK$105,3,FALSE)</f>
        <v>Premium Tax</v>
      </c>
      <c r="AF3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0" spans="18:32" x14ac:dyDescent="0.2">
      <c r="R3240" t="s">
        <v>10</v>
      </c>
      <c r="S3240" t="s">
        <v>251</v>
      </c>
      <c r="T3240" t="s">
        <v>445</v>
      </c>
      <c r="U3240" s="21">
        <v>27629.65</v>
      </c>
      <c r="V3240" s="21" t="s">
        <v>368</v>
      </c>
      <c r="W3240" t="str">
        <f>VLOOKUP(Table_Query_from_Actuarial___Production[[#This Row],[Kor1]],$AI$3:$AK$105,3,FALSE)</f>
        <v>Commissions</v>
      </c>
      <c r="X3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0"/>
      <c r="Z3240" t="s">
        <v>3</v>
      </c>
      <c r="AA3240" t="s">
        <v>249</v>
      </c>
      <c r="AB3240" t="s">
        <v>441</v>
      </c>
      <c r="AC3240" s="21">
        <v>1215274</v>
      </c>
      <c r="AD3240" s="21" t="s">
        <v>368</v>
      </c>
      <c r="AE3240" t="str">
        <f>VLOOKUP(Table_Query_from_Actuarial___Production3[[#This Row],[Kor1]],$AI$3:$AK$105,3,FALSE)</f>
        <v>Premiums Written</v>
      </c>
      <c r="AF3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1" spans="18:32" x14ac:dyDescent="0.2">
      <c r="R3241" t="s">
        <v>46</v>
      </c>
      <c r="S3241" t="s">
        <v>226</v>
      </c>
      <c r="T3241" t="s">
        <v>8</v>
      </c>
      <c r="U3241" s="21">
        <v>233.19</v>
      </c>
      <c r="V3241" s="21" t="s">
        <v>368</v>
      </c>
      <c r="W3241" t="str">
        <f>VLOOKUP(Table_Query_from_Actuarial___Production[[#This Row],[Kor1]],$AI$3:$AK$105,3,FALSE)</f>
        <v>Investment Income</v>
      </c>
      <c r="X3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241"/>
      <c r="Z3241" t="s">
        <v>19</v>
      </c>
      <c r="AA3241" t="s">
        <v>234</v>
      </c>
      <c r="AB3241" t="s">
        <v>9</v>
      </c>
      <c r="AC3241" s="21">
        <v>325</v>
      </c>
      <c r="AD3241" s="21" t="s">
        <v>368</v>
      </c>
      <c r="AE3241" t="str">
        <f>VLOOKUP(Table_Query_from_Actuarial___Production3[[#This Row],[Kor1]],$AI$3:$AK$105,3,FALSE)</f>
        <v>Misc. Expense for Insolvent Companies</v>
      </c>
      <c r="AF3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2" spans="18:32" x14ac:dyDescent="0.2">
      <c r="R3242" t="s">
        <v>11</v>
      </c>
      <c r="S3242" t="s">
        <v>230</v>
      </c>
      <c r="T3242" t="s">
        <v>356</v>
      </c>
      <c r="U3242" s="21">
        <v>21770297.16</v>
      </c>
      <c r="V3242" s="21" t="s">
        <v>368</v>
      </c>
      <c r="W3242" t="str">
        <f>VLOOKUP(Table_Query_from_Actuarial___Production[[#This Row],[Kor1]],$AI$3:$AK$105,3,FALSE)</f>
        <v>Losses Paid</v>
      </c>
      <c r="X3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2"/>
      <c r="Z3242" t="s">
        <v>46</v>
      </c>
      <c r="AA3242" t="s">
        <v>354</v>
      </c>
      <c r="AB3242" t="s">
        <v>6</v>
      </c>
      <c r="AC3242" s="21">
        <v>18964447.120000001</v>
      </c>
      <c r="AD3242" s="21" t="s">
        <v>369</v>
      </c>
      <c r="AE3242" t="str">
        <f>VLOOKUP(Table_Query_from_Actuarial___Production3[[#This Row],[Kor1]],$AI$3:$AK$105,3,FALSE)</f>
        <v>Investment Income</v>
      </c>
      <c r="AF3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243" spans="18:32" x14ac:dyDescent="0.2">
      <c r="R3243" t="s">
        <v>11</v>
      </c>
      <c r="S3243" t="s">
        <v>259</v>
      </c>
      <c r="T3243" t="s">
        <v>427</v>
      </c>
      <c r="U3243" s="21">
        <v>176395.57</v>
      </c>
      <c r="V3243" s="21" t="s">
        <v>368</v>
      </c>
      <c r="W3243" t="str">
        <f>VLOOKUP(Table_Query_from_Actuarial___Production[[#This Row],[Kor1]],$AI$3:$AK$105,3,FALSE)</f>
        <v>Losses Paid</v>
      </c>
      <c r="X3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3"/>
      <c r="Z3243" t="s">
        <v>48</v>
      </c>
      <c r="AA3243" t="s">
        <v>354</v>
      </c>
      <c r="AB3243" t="s">
        <v>9</v>
      </c>
      <c r="AC3243" s="21">
        <v>123592.32000000001</v>
      </c>
      <c r="AD3243" s="21" t="s">
        <v>369</v>
      </c>
      <c r="AE3243" t="str">
        <f>VLOOKUP(Table_Query_from_Actuarial___Production3[[#This Row],[Kor1]],$AI$3:$AK$105,3,FALSE)</f>
        <v>Anticipated Salvage</v>
      </c>
      <c r="AF3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244" spans="18:32" x14ac:dyDescent="0.2">
      <c r="R3244" t="s">
        <v>19</v>
      </c>
      <c r="S3244" t="s">
        <v>259</v>
      </c>
      <c r="T3244" t="s">
        <v>9</v>
      </c>
      <c r="U3244" s="21">
        <v>1320</v>
      </c>
      <c r="V3244" s="21" t="s">
        <v>368</v>
      </c>
      <c r="W3244" t="str">
        <f>VLOOKUP(Table_Query_from_Actuarial___Production[[#This Row],[Kor1]],$AI$3:$AK$105,3,FALSE)</f>
        <v>Misc. Expense for Insolvent Companies</v>
      </c>
      <c r="X3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4"/>
      <c r="Z3244" t="s">
        <v>12</v>
      </c>
      <c r="AA3244" t="s">
        <v>267</v>
      </c>
      <c r="AB3244" t="s">
        <v>8</v>
      </c>
      <c r="AC3244" s="21">
        <v>9166.86</v>
      </c>
      <c r="AD3244" s="21" t="s">
        <v>368</v>
      </c>
      <c r="AE3244" t="str">
        <f>VLOOKUP(Table_Query_from_Actuarial___Production3[[#This Row],[Kor1]],$AI$3:$AK$105,3,FALSE)</f>
        <v>Premium Tax</v>
      </c>
      <c r="AF3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5" spans="18:32" x14ac:dyDescent="0.2">
      <c r="R3245" t="s">
        <v>31</v>
      </c>
      <c r="S3245" t="s">
        <v>246</v>
      </c>
      <c r="T3245" t="s">
        <v>445</v>
      </c>
      <c r="U3245" s="21">
        <v>738.97</v>
      </c>
      <c r="V3245" s="21" t="s">
        <v>368</v>
      </c>
      <c r="W3245" t="str">
        <f>VLOOKUP(Table_Query_from_Actuarial___Production[[#This Row],[Kor1]],$AI$3:$AK$105,3,FALSE)</f>
        <v>Misc. Expense</v>
      </c>
      <c r="X3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5"/>
      <c r="Z3245" t="s">
        <v>17</v>
      </c>
      <c r="AA3245" t="s">
        <v>239</v>
      </c>
      <c r="AB3245" t="s">
        <v>442</v>
      </c>
      <c r="AC3245" s="21">
        <v>2187492.27</v>
      </c>
      <c r="AD3245" s="21" t="s">
        <v>368</v>
      </c>
      <c r="AE3245" t="str">
        <f>VLOOKUP(Table_Query_from_Actuarial___Production3[[#This Row],[Kor1]],$AI$3:$AK$105,3,FALSE)</f>
        <v>IBNR</v>
      </c>
      <c r="AF3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6" spans="18:32" x14ac:dyDescent="0.2">
      <c r="R3246" t="s">
        <v>31</v>
      </c>
      <c r="S3246" t="s">
        <v>263</v>
      </c>
      <c r="T3246" t="s">
        <v>445</v>
      </c>
      <c r="U3246" s="21">
        <v>323.04000000000002</v>
      </c>
      <c r="V3246" s="21" t="s">
        <v>368</v>
      </c>
      <c r="W3246" t="str">
        <f>VLOOKUP(Table_Query_from_Actuarial___Production[[#This Row],[Kor1]],$AI$3:$AK$105,3,FALSE)</f>
        <v>Misc. Expense</v>
      </c>
      <c r="X3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6"/>
      <c r="Z3246" t="s">
        <v>40</v>
      </c>
      <c r="AA3246" t="s">
        <v>262</v>
      </c>
      <c r="AB3246" t="s">
        <v>427</v>
      </c>
      <c r="AC3246" s="21">
        <v>18</v>
      </c>
      <c r="AD3246" s="21" t="s">
        <v>368</v>
      </c>
      <c r="AE3246" t="str">
        <f>VLOOKUP(Table_Query_from_Actuarial___Production3[[#This Row],[Kor1]],$AI$3:$AK$105,3,FALSE)</f>
        <v>Misc. Income</v>
      </c>
      <c r="AF3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7" spans="18:32" x14ac:dyDescent="0.2">
      <c r="R3247" t="s">
        <v>32</v>
      </c>
      <c r="S3247" t="s">
        <v>230</v>
      </c>
      <c r="T3247" t="s">
        <v>9</v>
      </c>
      <c r="U3247" s="21">
        <v>31821.73</v>
      </c>
      <c r="V3247" s="21" t="s">
        <v>368</v>
      </c>
      <c r="W3247" t="str">
        <f>VLOOKUP(Table_Query_from_Actuarial___Production[[#This Row],[Kor1]],$AI$3:$AK$105,3,FALSE)</f>
        <v>Misc. Expense</v>
      </c>
      <c r="X3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7"/>
      <c r="Z3247" t="s">
        <v>38</v>
      </c>
      <c r="AA3247" t="s">
        <v>352</v>
      </c>
      <c r="AB3247" t="s">
        <v>356</v>
      </c>
      <c r="AC3247" s="21">
        <v>136.91999999999999</v>
      </c>
      <c r="AD3247" s="21" t="s">
        <v>368</v>
      </c>
      <c r="AE3247" t="str">
        <f>VLOOKUP(Table_Query_from_Actuarial___Production3[[#This Row],[Kor1]],$AI$3:$AK$105,3,FALSE)</f>
        <v>Misc. Income</v>
      </c>
      <c r="AF3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248" spans="18:32" x14ac:dyDescent="0.2">
      <c r="R3248" t="s">
        <v>12</v>
      </c>
      <c r="S3248" t="s">
        <v>243</v>
      </c>
      <c r="T3248" t="s">
        <v>441</v>
      </c>
      <c r="U3248" s="21">
        <v>10972.96</v>
      </c>
      <c r="V3248" s="21" t="s">
        <v>368</v>
      </c>
      <c r="W3248" t="str">
        <f>VLOOKUP(Table_Query_from_Actuarial___Production[[#This Row],[Kor1]],$AI$3:$AK$105,3,FALSE)</f>
        <v>Premium Tax</v>
      </c>
      <c r="X3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48"/>
      <c r="Z3248" t="s">
        <v>34</v>
      </c>
      <c r="AA3248" t="s">
        <v>241</v>
      </c>
      <c r="AB3248" t="s">
        <v>441</v>
      </c>
      <c r="AC3248" s="21">
        <v>142.18</v>
      </c>
      <c r="AD3248" s="21" t="s">
        <v>368</v>
      </c>
      <c r="AE3248" t="str">
        <f>VLOOKUP(Table_Query_from_Actuarial___Production3[[#This Row],[Kor1]],$AI$3:$AK$105,3,FALSE)</f>
        <v>Misc. Expense</v>
      </c>
      <c r="AF3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49" spans="18:32" x14ac:dyDescent="0.2">
      <c r="R3249" t="s">
        <v>10</v>
      </c>
      <c r="S3249" t="s">
        <v>225</v>
      </c>
      <c r="T3249" t="s">
        <v>356</v>
      </c>
      <c r="U3249" s="21">
        <v>82164.75</v>
      </c>
      <c r="V3249" s="21" t="s">
        <v>368</v>
      </c>
      <c r="W3249" t="str">
        <f>VLOOKUP(Table_Query_from_Actuarial___Production[[#This Row],[Kor1]],$AI$3:$AK$105,3,FALSE)</f>
        <v>Commissions</v>
      </c>
      <c r="X3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249"/>
      <c r="Z3249" t="s">
        <v>48</v>
      </c>
      <c r="AA3249" t="s">
        <v>225</v>
      </c>
      <c r="AB3249" t="s">
        <v>356</v>
      </c>
      <c r="AC3249" s="21">
        <v>171.28</v>
      </c>
      <c r="AD3249" s="21" t="s">
        <v>368</v>
      </c>
      <c r="AE3249" t="str">
        <f>VLOOKUP(Table_Query_from_Actuarial___Production3[[#This Row],[Kor1]],$AI$3:$AK$105,3,FALSE)</f>
        <v>Anticipated Salvage</v>
      </c>
      <c r="AF3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250" spans="18:32" x14ac:dyDescent="0.2">
      <c r="R3250" t="s">
        <v>44</v>
      </c>
      <c r="S3250" t="s">
        <v>233</v>
      </c>
      <c r="T3250" t="s">
        <v>443</v>
      </c>
      <c r="U3250" s="21">
        <v>11620.6</v>
      </c>
      <c r="V3250" s="21" t="s">
        <v>368</v>
      </c>
      <c r="W3250" t="str">
        <f>VLOOKUP(Table_Query_from_Actuarial___Production[[#This Row],[Kor1]],$AI$3:$AK$105,3,FALSE)</f>
        <v>Charge-offs</v>
      </c>
      <c r="X3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0"/>
      <c r="Z3250" t="s">
        <v>21</v>
      </c>
      <c r="AA3250" t="s">
        <v>4</v>
      </c>
      <c r="AB3250" t="s">
        <v>7</v>
      </c>
      <c r="AC3250" s="21">
        <v>75.16</v>
      </c>
      <c r="AD3250" s="21" t="s">
        <v>368</v>
      </c>
      <c r="AE3250" t="str">
        <f>VLOOKUP(Table_Query_from_Actuarial___Production3[[#This Row],[Kor1]],$AI$3:$AK$105,3,FALSE)</f>
        <v>Misc. Expense</v>
      </c>
      <c r="AF3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1" spans="18:32" x14ac:dyDescent="0.2">
      <c r="R3251" t="s">
        <v>48</v>
      </c>
      <c r="S3251" t="s">
        <v>265</v>
      </c>
      <c r="T3251" t="s">
        <v>445</v>
      </c>
      <c r="U3251" s="21">
        <v>232.65</v>
      </c>
      <c r="V3251" s="21" t="s">
        <v>368</v>
      </c>
      <c r="W3251" t="str">
        <f>VLOOKUP(Table_Query_from_Actuarial___Production[[#This Row],[Kor1]],$AI$3:$AK$105,3,FALSE)</f>
        <v>Anticipated Salvage</v>
      </c>
      <c r="X3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1"/>
      <c r="Z3251" t="s">
        <v>44</v>
      </c>
      <c r="AA3251" t="s">
        <v>264</v>
      </c>
      <c r="AB3251" t="s">
        <v>7</v>
      </c>
      <c r="AC3251" s="21">
        <v>14609.6</v>
      </c>
      <c r="AD3251" s="21" t="s">
        <v>368</v>
      </c>
      <c r="AE3251" t="str">
        <f>VLOOKUP(Table_Query_from_Actuarial___Production3[[#This Row],[Kor1]],$AI$3:$AK$105,3,FALSE)</f>
        <v>Charge-offs</v>
      </c>
      <c r="AF3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2" spans="18:32" x14ac:dyDescent="0.2">
      <c r="R3252" t="s">
        <v>38</v>
      </c>
      <c r="S3252" t="s">
        <v>352</v>
      </c>
      <c r="T3252" t="s">
        <v>445</v>
      </c>
      <c r="U3252" s="21">
        <v>26519.39</v>
      </c>
      <c r="V3252" s="21" t="s">
        <v>369</v>
      </c>
      <c r="W3252" t="str">
        <f>VLOOKUP(Table_Query_from_Actuarial___Production[[#This Row],[Kor1]],$AI$3:$AK$105,3,FALSE)</f>
        <v>Misc. Income</v>
      </c>
      <c r="X3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252"/>
      <c r="Z3252" t="s">
        <v>44</v>
      </c>
      <c r="AA3252" t="s">
        <v>249</v>
      </c>
      <c r="AB3252" t="s">
        <v>356</v>
      </c>
      <c r="AC3252" s="21">
        <v>52278.14</v>
      </c>
      <c r="AD3252" s="21" t="s">
        <v>368</v>
      </c>
      <c r="AE3252" t="str">
        <f>VLOOKUP(Table_Query_from_Actuarial___Production3[[#This Row],[Kor1]],$AI$3:$AK$105,3,FALSE)</f>
        <v>Charge-offs</v>
      </c>
      <c r="AF3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3" spans="18:32" x14ac:dyDescent="0.2">
      <c r="R3253" t="s">
        <v>44</v>
      </c>
      <c r="S3253" t="s">
        <v>254</v>
      </c>
      <c r="T3253" t="s">
        <v>356</v>
      </c>
      <c r="U3253" s="21">
        <v>54987</v>
      </c>
      <c r="V3253" s="21" t="s">
        <v>368</v>
      </c>
      <c r="W3253" t="str">
        <f>VLOOKUP(Table_Query_from_Actuarial___Production[[#This Row],[Kor1]],$AI$3:$AK$105,3,FALSE)</f>
        <v>Charge-offs</v>
      </c>
      <c r="X3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3"/>
      <c r="Z3253" t="s">
        <v>12</v>
      </c>
      <c r="AA3253" t="s">
        <v>266</v>
      </c>
      <c r="AB3253" t="s">
        <v>433</v>
      </c>
      <c r="AC3253" s="21">
        <v>49890.47</v>
      </c>
      <c r="AD3253" s="21" t="s">
        <v>368</v>
      </c>
      <c r="AE3253" t="str">
        <f>VLOOKUP(Table_Query_from_Actuarial___Production3[[#This Row],[Kor1]],$AI$3:$AK$105,3,FALSE)</f>
        <v>Premium Tax</v>
      </c>
      <c r="AF3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4" spans="18:32" x14ac:dyDescent="0.2">
      <c r="R3254" t="s">
        <v>17</v>
      </c>
      <c r="S3254" t="s">
        <v>242</v>
      </c>
      <c r="T3254" t="s">
        <v>433</v>
      </c>
      <c r="U3254" s="21">
        <v>42788.480000000003</v>
      </c>
      <c r="V3254" s="21" t="s">
        <v>368</v>
      </c>
      <c r="W3254" t="str">
        <f>VLOOKUP(Table_Query_from_Actuarial___Production[[#This Row],[Kor1]],$AI$3:$AK$105,3,FALSE)</f>
        <v>IBNR</v>
      </c>
      <c r="X3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4"/>
      <c r="Z3254" t="s">
        <v>13</v>
      </c>
      <c r="AA3254" t="s">
        <v>229</v>
      </c>
      <c r="AB3254" t="s">
        <v>8</v>
      </c>
      <c r="AC3254" s="21">
        <v>3788.56</v>
      </c>
      <c r="AD3254" s="21" t="s">
        <v>368</v>
      </c>
      <c r="AE3254" t="str">
        <f>VLOOKUP(Table_Query_from_Actuarial___Production3[[#This Row],[Kor1]],$AI$3:$AK$105,3,FALSE)</f>
        <v>Operating Service Fees</v>
      </c>
      <c r="AF3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5" spans="18:32" x14ac:dyDescent="0.2">
      <c r="R3255" t="s">
        <v>41</v>
      </c>
      <c r="S3255" t="s">
        <v>264</v>
      </c>
      <c r="T3255" t="s">
        <v>7</v>
      </c>
      <c r="U3255" s="21">
        <v>1001.06</v>
      </c>
      <c r="V3255" s="21" t="s">
        <v>368</v>
      </c>
      <c r="W3255" t="str">
        <f>VLOOKUP(Table_Query_from_Actuarial___Production[[#This Row],[Kor1]],$AI$3:$AK$105,3,FALSE)</f>
        <v>Misc. Income</v>
      </c>
      <c r="X3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5"/>
      <c r="Z3255" t="s">
        <v>10</v>
      </c>
      <c r="AA3255" t="s">
        <v>224</v>
      </c>
      <c r="AB3255" t="s">
        <v>356</v>
      </c>
      <c r="AC3255" s="21">
        <v>1610.56</v>
      </c>
      <c r="AD3255" s="21" t="s">
        <v>369</v>
      </c>
      <c r="AE3255" t="str">
        <f>VLOOKUP(Table_Query_from_Actuarial___Production3[[#This Row],[Kor1]],$AI$3:$AK$105,3,FALSE)</f>
        <v>Commissions</v>
      </c>
      <c r="AF3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256" spans="18:32" x14ac:dyDescent="0.2">
      <c r="R3256" t="s">
        <v>47</v>
      </c>
      <c r="S3256" t="s">
        <v>250</v>
      </c>
      <c r="T3256" t="s">
        <v>433</v>
      </c>
      <c r="U3256" s="21">
        <v>1106.21</v>
      </c>
      <c r="V3256" s="21" t="s">
        <v>368</v>
      </c>
      <c r="W3256" t="str">
        <f>VLOOKUP(Table_Query_from_Actuarial___Production[[#This Row],[Kor1]],$AI$3:$AK$105,3,FALSE)</f>
        <v>Investment Income</v>
      </c>
      <c r="X3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6"/>
      <c r="Z3256" t="s">
        <v>10</v>
      </c>
      <c r="AA3256" t="s">
        <v>224</v>
      </c>
      <c r="AB3256" t="s">
        <v>8</v>
      </c>
      <c r="AC3256" s="21">
        <v>132132.82</v>
      </c>
      <c r="AD3256" s="21" t="s">
        <v>368</v>
      </c>
      <c r="AE3256" t="str">
        <f>VLOOKUP(Table_Query_from_Actuarial___Production3[[#This Row],[Kor1]],$AI$3:$AK$105,3,FALSE)</f>
        <v>Commissions</v>
      </c>
      <c r="AF3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257" spans="18:32" x14ac:dyDescent="0.2">
      <c r="R3257" t="s">
        <v>20</v>
      </c>
      <c r="S3257" t="s">
        <v>240</v>
      </c>
      <c r="T3257" t="s">
        <v>442</v>
      </c>
      <c r="U3257" s="21">
        <v>357.51</v>
      </c>
      <c r="V3257" s="21" t="s">
        <v>368</v>
      </c>
      <c r="W3257" t="str">
        <f>VLOOKUP(Table_Query_from_Actuarial___Production[[#This Row],[Kor1]],$AI$3:$AK$105,3,FALSE)</f>
        <v>Misc. Expense</v>
      </c>
      <c r="X3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7"/>
      <c r="Z3257" t="s">
        <v>10</v>
      </c>
      <c r="AA3257" t="s">
        <v>250</v>
      </c>
      <c r="AB3257" t="s">
        <v>6</v>
      </c>
      <c r="AC3257" s="21">
        <v>62754.95</v>
      </c>
      <c r="AD3257" s="21" t="s">
        <v>368</v>
      </c>
      <c r="AE3257" t="str">
        <f>VLOOKUP(Table_Query_from_Actuarial___Production3[[#This Row],[Kor1]],$AI$3:$AK$105,3,FALSE)</f>
        <v>Commissions</v>
      </c>
      <c r="AF3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8" spans="18:32" x14ac:dyDescent="0.2">
      <c r="R3258" t="s">
        <v>103</v>
      </c>
      <c r="S3258" t="s">
        <v>259</v>
      </c>
      <c r="T3258" t="s">
        <v>351</v>
      </c>
      <c r="U3258" s="21">
        <v>309.74</v>
      </c>
      <c r="V3258" s="21" t="s">
        <v>368</v>
      </c>
      <c r="W3258" t="str">
        <f>VLOOKUP(Table_Query_from_Actuarial___Production[[#This Row],[Kor1]],$AI$3:$AK$105,3,FALSE)</f>
        <v>Misc. Expense</v>
      </c>
      <c r="X3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8"/>
      <c r="Z3258" t="s">
        <v>11</v>
      </c>
      <c r="AA3258" t="s">
        <v>254</v>
      </c>
      <c r="AB3258" t="s">
        <v>5</v>
      </c>
      <c r="AC3258" s="21">
        <v>11231.26</v>
      </c>
      <c r="AD3258" s="21" t="s">
        <v>368</v>
      </c>
      <c r="AE3258" t="str">
        <f>VLOOKUP(Table_Query_from_Actuarial___Production3[[#This Row],[Kor1]],$AI$3:$AK$105,3,FALSE)</f>
        <v>Losses Paid</v>
      </c>
      <c r="AF3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59" spans="18:32" x14ac:dyDescent="0.2">
      <c r="R3259" t="s">
        <v>40</v>
      </c>
      <c r="S3259" t="s">
        <v>256</v>
      </c>
      <c r="T3259" t="s">
        <v>7</v>
      </c>
      <c r="U3259" s="21">
        <v>151</v>
      </c>
      <c r="V3259" s="21" t="s">
        <v>368</v>
      </c>
      <c r="W3259" t="str">
        <f>VLOOKUP(Table_Query_from_Actuarial___Production[[#This Row],[Kor1]],$AI$3:$AK$105,3,FALSE)</f>
        <v>Misc. Income</v>
      </c>
      <c r="X3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59"/>
      <c r="Z3259" t="s">
        <v>47</v>
      </c>
      <c r="AA3259" t="s">
        <v>265</v>
      </c>
      <c r="AB3259" t="s">
        <v>8</v>
      </c>
      <c r="AC3259" s="21">
        <v>0.03</v>
      </c>
      <c r="AD3259" s="21" t="s">
        <v>368</v>
      </c>
      <c r="AE3259" t="str">
        <f>VLOOKUP(Table_Query_from_Actuarial___Production3[[#This Row],[Kor1]],$AI$3:$AK$105,3,FALSE)</f>
        <v>Investment Income</v>
      </c>
      <c r="AF3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0" spans="18:32" x14ac:dyDescent="0.2">
      <c r="R3260" t="s">
        <v>3</v>
      </c>
      <c r="S3260" t="s">
        <v>266</v>
      </c>
      <c r="T3260" t="s">
        <v>433</v>
      </c>
      <c r="U3260" s="21">
        <v>1105245.8899999999</v>
      </c>
      <c r="V3260" s="21" t="s">
        <v>368</v>
      </c>
      <c r="W3260" t="str">
        <f>VLOOKUP(Table_Query_from_Actuarial___Production[[#This Row],[Kor1]],$AI$3:$AK$105,3,FALSE)</f>
        <v>Premiums Written</v>
      </c>
      <c r="X3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0"/>
      <c r="Z3260" t="s">
        <v>13</v>
      </c>
      <c r="AA3260" t="s">
        <v>236</v>
      </c>
      <c r="AB3260" t="s">
        <v>427</v>
      </c>
      <c r="AC3260" s="21">
        <v>8557.26</v>
      </c>
      <c r="AD3260" s="21" t="s">
        <v>368</v>
      </c>
      <c r="AE3260" t="str">
        <f>VLOOKUP(Table_Query_from_Actuarial___Production3[[#This Row],[Kor1]],$AI$3:$AK$105,3,FALSE)</f>
        <v>Operating Service Fees</v>
      </c>
      <c r="AF3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1" spans="18:32" x14ac:dyDescent="0.2">
      <c r="R3261" t="s">
        <v>19</v>
      </c>
      <c r="S3261" t="s">
        <v>242</v>
      </c>
      <c r="T3261" t="s">
        <v>6</v>
      </c>
      <c r="U3261" s="21">
        <v>11856</v>
      </c>
      <c r="V3261" s="21" t="s">
        <v>368</v>
      </c>
      <c r="W3261" t="str">
        <f>VLOOKUP(Table_Query_from_Actuarial___Production[[#This Row],[Kor1]],$AI$3:$AK$105,3,FALSE)</f>
        <v>Misc. Expense for Insolvent Companies</v>
      </c>
      <c r="X3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1"/>
      <c r="Z3261" t="s">
        <v>46</v>
      </c>
      <c r="AA3261" t="s">
        <v>354</v>
      </c>
      <c r="AB3261" t="s">
        <v>443</v>
      </c>
      <c r="AC3261" s="21">
        <v>316608.19</v>
      </c>
      <c r="AD3261" s="21" t="s">
        <v>368</v>
      </c>
      <c r="AE3261" t="str">
        <f>VLOOKUP(Table_Query_from_Actuarial___Production3[[#This Row],[Kor1]],$AI$3:$AK$105,3,FALSE)</f>
        <v>Investment Income</v>
      </c>
      <c r="AF3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262" spans="18:32" x14ac:dyDescent="0.2">
      <c r="R3262" t="s">
        <v>37</v>
      </c>
      <c r="S3262" t="s">
        <v>235</v>
      </c>
      <c r="T3262" t="s">
        <v>6</v>
      </c>
      <c r="U3262" s="21">
        <v>322.35000000000002</v>
      </c>
      <c r="V3262" s="21" t="s">
        <v>368</v>
      </c>
      <c r="W3262" t="str">
        <f>VLOOKUP(Table_Query_from_Actuarial___Production[[#This Row],[Kor1]],$AI$3:$AK$105,3,FALSE)</f>
        <v>Misc. Expense</v>
      </c>
      <c r="X3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2"/>
      <c r="Z3262" t="s">
        <v>12</v>
      </c>
      <c r="AA3262" t="s">
        <v>229</v>
      </c>
      <c r="AB3262" t="s">
        <v>5</v>
      </c>
      <c r="AC3262" s="21">
        <v>879.37</v>
      </c>
      <c r="AD3262" s="21" t="s">
        <v>368</v>
      </c>
      <c r="AE3262" t="str">
        <f>VLOOKUP(Table_Query_from_Actuarial___Production3[[#This Row],[Kor1]],$AI$3:$AK$105,3,FALSE)</f>
        <v>Premium Tax</v>
      </c>
      <c r="AF3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3" spans="18:32" x14ac:dyDescent="0.2">
      <c r="R3263" t="s">
        <v>40</v>
      </c>
      <c r="S3263" t="s">
        <v>235</v>
      </c>
      <c r="T3263" t="s">
        <v>356</v>
      </c>
      <c r="U3263" s="21">
        <v>353.99</v>
      </c>
      <c r="V3263" s="21" t="s">
        <v>368</v>
      </c>
      <c r="W3263" t="str">
        <f>VLOOKUP(Table_Query_from_Actuarial___Production[[#This Row],[Kor1]],$AI$3:$AK$105,3,FALSE)</f>
        <v>Misc. Income</v>
      </c>
      <c r="X3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3"/>
      <c r="Z3263" t="s">
        <v>13</v>
      </c>
      <c r="AA3263" t="s">
        <v>246</v>
      </c>
      <c r="AB3263" t="s">
        <v>9</v>
      </c>
      <c r="AC3263" s="21">
        <v>58996.71</v>
      </c>
      <c r="AD3263" s="21" t="s">
        <v>368</v>
      </c>
      <c r="AE3263" t="str">
        <f>VLOOKUP(Table_Query_from_Actuarial___Production3[[#This Row],[Kor1]],$AI$3:$AK$105,3,FALSE)</f>
        <v>Operating Service Fees</v>
      </c>
      <c r="AF3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4" spans="18:32" x14ac:dyDescent="0.2">
      <c r="R3264" t="s">
        <v>46</v>
      </c>
      <c r="S3264" t="s">
        <v>224</v>
      </c>
      <c r="T3264" t="s">
        <v>8</v>
      </c>
      <c r="U3264" s="21">
        <v>-76.72</v>
      </c>
      <c r="V3264" s="21" t="s">
        <v>425</v>
      </c>
      <c r="W3264" t="str">
        <f>VLOOKUP(Table_Query_from_Actuarial___Production[[#This Row],[Kor1]],$AI$3:$AK$105,3,FALSE)</f>
        <v>Investment Income</v>
      </c>
      <c r="X3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264"/>
      <c r="Z3264" t="s">
        <v>13</v>
      </c>
      <c r="AA3264" t="s">
        <v>257</v>
      </c>
      <c r="AB3264" t="s">
        <v>8</v>
      </c>
      <c r="AC3264" s="21">
        <v>271019.84000000003</v>
      </c>
      <c r="AD3264" s="21" t="s">
        <v>368</v>
      </c>
      <c r="AE3264" t="str">
        <f>VLOOKUP(Table_Query_from_Actuarial___Production3[[#This Row],[Kor1]],$AI$3:$AK$105,3,FALSE)</f>
        <v>Operating Service Fees</v>
      </c>
      <c r="AF3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5" spans="18:32" x14ac:dyDescent="0.2">
      <c r="R3265" t="s">
        <v>14</v>
      </c>
      <c r="S3265" t="s">
        <v>224</v>
      </c>
      <c r="T3265" t="s">
        <v>442</v>
      </c>
      <c r="U3265" s="21">
        <v>234931.51</v>
      </c>
      <c r="V3265" s="21" t="s">
        <v>368</v>
      </c>
      <c r="W3265" t="str">
        <f>VLOOKUP(Table_Query_from_Actuarial___Production[[#This Row],[Kor1]],$AI$3:$AK$105,3,FALSE)</f>
        <v>Claims Expense</v>
      </c>
      <c r="X3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265"/>
      <c r="Z3265" t="s">
        <v>19</v>
      </c>
      <c r="AA3265" t="s">
        <v>254</v>
      </c>
      <c r="AB3265" t="s">
        <v>351</v>
      </c>
      <c r="AC3265" s="21">
        <v>7587</v>
      </c>
      <c r="AD3265" s="21" t="s">
        <v>368</v>
      </c>
      <c r="AE3265" t="str">
        <f>VLOOKUP(Table_Query_from_Actuarial___Production3[[#This Row],[Kor1]],$AI$3:$AK$105,3,FALSE)</f>
        <v>Misc. Expense for Insolvent Companies</v>
      </c>
      <c r="AF3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6" spans="18:32" x14ac:dyDescent="0.2">
      <c r="R3266" t="s">
        <v>20</v>
      </c>
      <c r="S3266" t="s">
        <v>230</v>
      </c>
      <c r="T3266" t="s">
        <v>7</v>
      </c>
      <c r="U3266" s="21">
        <v>18671.810000000001</v>
      </c>
      <c r="V3266" s="21" t="s">
        <v>368</v>
      </c>
      <c r="W3266" t="str">
        <f>VLOOKUP(Table_Query_from_Actuarial___Production[[#This Row],[Kor1]],$AI$3:$AK$105,3,FALSE)</f>
        <v>Misc. Expense</v>
      </c>
      <c r="X3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6"/>
      <c r="Z3266" t="s">
        <v>33</v>
      </c>
      <c r="AA3266" t="s">
        <v>256</v>
      </c>
      <c r="AB3266" t="s">
        <v>433</v>
      </c>
      <c r="AC3266" s="21">
        <v>17925.669999999998</v>
      </c>
      <c r="AD3266" s="21" t="s">
        <v>368</v>
      </c>
      <c r="AE3266" t="str">
        <f>VLOOKUP(Table_Query_from_Actuarial___Production3[[#This Row],[Kor1]],$AI$3:$AK$105,3,FALSE)</f>
        <v>Misc. Expense</v>
      </c>
      <c r="AF3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7" spans="18:32" x14ac:dyDescent="0.2">
      <c r="R3267" t="s">
        <v>50</v>
      </c>
      <c r="S3267" t="s">
        <v>226</v>
      </c>
      <c r="T3267" t="s">
        <v>427</v>
      </c>
      <c r="U3267" s="21">
        <v>137490</v>
      </c>
      <c r="V3267" s="21" t="s">
        <v>368</v>
      </c>
      <c r="W3267" t="str">
        <f>VLOOKUP(Table_Query_from_Actuarial___Production[[#This Row],[Kor1]],$AI$3:$AK$105,3,FALSE)</f>
        <v>ALAE Reserve</v>
      </c>
      <c r="X3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267"/>
      <c r="Z3267" t="s">
        <v>49</v>
      </c>
      <c r="AA3267" t="s">
        <v>232</v>
      </c>
      <c r="AB3267" t="s">
        <v>6</v>
      </c>
      <c r="AC3267" s="21">
        <v>25827.040000000001</v>
      </c>
      <c r="AD3267" s="21" t="s">
        <v>368</v>
      </c>
      <c r="AE3267" t="str">
        <f>VLOOKUP(Table_Query_from_Actuarial___Production3[[#This Row],[Kor1]],$AI$3:$AK$105,3,FALSE)</f>
        <v>ALAE Paid</v>
      </c>
      <c r="AF3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8" spans="18:32" x14ac:dyDescent="0.2">
      <c r="R3268" t="s">
        <v>17</v>
      </c>
      <c r="S3268" t="s">
        <v>250</v>
      </c>
      <c r="T3268" t="s">
        <v>445</v>
      </c>
      <c r="U3268" s="21">
        <v>46059.72</v>
      </c>
      <c r="V3268" s="21" t="s">
        <v>368</v>
      </c>
      <c r="W3268" t="str">
        <f>VLOOKUP(Table_Query_from_Actuarial___Production[[#This Row],[Kor1]],$AI$3:$AK$105,3,FALSE)</f>
        <v>IBNR</v>
      </c>
      <c r="X3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8"/>
      <c r="Z3268" t="s">
        <v>12</v>
      </c>
      <c r="AA3268" t="s">
        <v>233</v>
      </c>
      <c r="AB3268" t="s">
        <v>351</v>
      </c>
      <c r="AC3268" s="21">
        <v>13371.94</v>
      </c>
      <c r="AD3268" s="21" t="s">
        <v>368</v>
      </c>
      <c r="AE3268" t="str">
        <f>VLOOKUP(Table_Query_from_Actuarial___Production3[[#This Row],[Kor1]],$AI$3:$AK$105,3,FALSE)</f>
        <v>Premium Tax</v>
      </c>
      <c r="AF3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69" spans="18:32" x14ac:dyDescent="0.2">
      <c r="R3269" t="s">
        <v>3</v>
      </c>
      <c r="S3269" t="s">
        <v>231</v>
      </c>
      <c r="T3269" t="s">
        <v>8</v>
      </c>
      <c r="U3269" s="21">
        <v>153665</v>
      </c>
      <c r="V3269" s="21" t="s">
        <v>368</v>
      </c>
      <c r="W3269" t="str">
        <f>VLOOKUP(Table_Query_from_Actuarial___Production[[#This Row],[Kor1]],$AI$3:$AK$105,3,FALSE)</f>
        <v>Premiums Written</v>
      </c>
      <c r="X3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69"/>
      <c r="Z3269" t="s">
        <v>3</v>
      </c>
      <c r="AA3269" t="s">
        <v>250</v>
      </c>
      <c r="AB3269" t="s">
        <v>351</v>
      </c>
      <c r="AC3269" s="21">
        <v>1174351</v>
      </c>
      <c r="AD3269" s="21" t="s">
        <v>368</v>
      </c>
      <c r="AE3269" t="str">
        <f>VLOOKUP(Table_Query_from_Actuarial___Production3[[#This Row],[Kor1]],$AI$3:$AK$105,3,FALSE)</f>
        <v>Premiums Written</v>
      </c>
      <c r="AF3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0" spans="18:32" x14ac:dyDescent="0.2">
      <c r="R3270" t="s">
        <v>12</v>
      </c>
      <c r="S3270" t="s">
        <v>250</v>
      </c>
      <c r="T3270" t="s">
        <v>443</v>
      </c>
      <c r="U3270" s="21">
        <v>14586.67</v>
      </c>
      <c r="V3270" s="21" t="s">
        <v>368</v>
      </c>
      <c r="W3270" t="str">
        <f>VLOOKUP(Table_Query_from_Actuarial___Production[[#This Row],[Kor1]],$AI$3:$AK$105,3,FALSE)</f>
        <v>Premium Tax</v>
      </c>
      <c r="X3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0"/>
      <c r="Z3270" t="s">
        <v>46</v>
      </c>
      <c r="AA3270" t="s">
        <v>225</v>
      </c>
      <c r="AB3270" t="s">
        <v>433</v>
      </c>
      <c r="AC3270" s="21">
        <v>61417.42</v>
      </c>
      <c r="AD3270" s="21" t="s">
        <v>368</v>
      </c>
      <c r="AE3270" t="str">
        <f>VLOOKUP(Table_Query_from_Actuarial___Production3[[#This Row],[Kor1]],$AI$3:$AK$105,3,FALSE)</f>
        <v>Investment Income</v>
      </c>
      <c r="AF3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271" spans="18:32" x14ac:dyDescent="0.2">
      <c r="R3271" t="s">
        <v>34</v>
      </c>
      <c r="S3271" t="s">
        <v>246</v>
      </c>
      <c r="T3271" t="s">
        <v>442</v>
      </c>
      <c r="U3271" s="21">
        <v>2972.51</v>
      </c>
      <c r="V3271" s="21" t="s">
        <v>368</v>
      </c>
      <c r="W3271" t="str">
        <f>VLOOKUP(Table_Query_from_Actuarial___Production[[#This Row],[Kor1]],$AI$3:$AK$105,3,FALSE)</f>
        <v>Misc. Expense</v>
      </c>
      <c r="X3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1"/>
      <c r="Z3271" t="s">
        <v>40</v>
      </c>
      <c r="AA3271" t="s">
        <v>4</v>
      </c>
      <c r="AB3271" t="s">
        <v>356</v>
      </c>
      <c r="AC3271" s="21">
        <v>272.23</v>
      </c>
      <c r="AD3271" s="21" t="s">
        <v>368</v>
      </c>
      <c r="AE3271" t="str">
        <f>VLOOKUP(Table_Query_from_Actuarial___Production3[[#This Row],[Kor1]],$AI$3:$AK$105,3,FALSE)</f>
        <v>Misc. Income</v>
      </c>
      <c r="AF3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2" spans="18:32" x14ac:dyDescent="0.2">
      <c r="R3272" t="s">
        <v>37</v>
      </c>
      <c r="S3272" t="s">
        <v>265</v>
      </c>
      <c r="T3272" t="s">
        <v>445</v>
      </c>
      <c r="U3272" s="21">
        <v>1505.85</v>
      </c>
      <c r="V3272" s="21" t="s">
        <v>368</v>
      </c>
      <c r="W3272" t="str">
        <f>VLOOKUP(Table_Query_from_Actuarial___Production[[#This Row],[Kor1]],$AI$3:$AK$105,3,FALSE)</f>
        <v>Misc. Expense</v>
      </c>
      <c r="X3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2"/>
      <c r="Z3272" t="s">
        <v>40</v>
      </c>
      <c r="AA3272" t="s">
        <v>264</v>
      </c>
      <c r="AB3272" t="s">
        <v>351</v>
      </c>
      <c r="AC3272" s="21">
        <v>10</v>
      </c>
      <c r="AD3272" s="21" t="s">
        <v>368</v>
      </c>
      <c r="AE3272" t="str">
        <f>VLOOKUP(Table_Query_from_Actuarial___Production3[[#This Row],[Kor1]],$AI$3:$AK$105,3,FALSE)</f>
        <v>Misc. Income</v>
      </c>
      <c r="AF3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3" spans="18:32" x14ac:dyDescent="0.2">
      <c r="R3273" t="s">
        <v>37</v>
      </c>
      <c r="S3273" t="s">
        <v>241</v>
      </c>
      <c r="T3273" t="s">
        <v>356</v>
      </c>
      <c r="U3273" s="21">
        <v>2936.88</v>
      </c>
      <c r="V3273" s="21" t="s">
        <v>368</v>
      </c>
      <c r="W3273" t="str">
        <f>VLOOKUP(Table_Query_from_Actuarial___Production[[#This Row],[Kor1]],$AI$3:$AK$105,3,FALSE)</f>
        <v>Misc. Expense</v>
      </c>
      <c r="X3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3"/>
      <c r="Z3273" t="s">
        <v>3</v>
      </c>
      <c r="AA3273" t="s">
        <v>4</v>
      </c>
      <c r="AB3273" t="s">
        <v>433</v>
      </c>
      <c r="AC3273" s="21">
        <v>53010412</v>
      </c>
      <c r="AD3273" s="21" t="s">
        <v>368</v>
      </c>
      <c r="AE3273" t="str">
        <f>VLOOKUP(Table_Query_from_Actuarial___Production3[[#This Row],[Kor1]],$AI$3:$AK$105,3,FALSE)</f>
        <v>Premiums Written</v>
      </c>
      <c r="AF3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4" spans="18:32" x14ac:dyDescent="0.2">
      <c r="R3274" t="s">
        <v>48</v>
      </c>
      <c r="S3274" t="s">
        <v>4</v>
      </c>
      <c r="T3274" t="s">
        <v>445</v>
      </c>
      <c r="U3274" s="21">
        <v>17020.7</v>
      </c>
      <c r="V3274" s="21" t="s">
        <v>368</v>
      </c>
      <c r="W3274" t="str">
        <f>VLOOKUP(Table_Query_from_Actuarial___Production[[#This Row],[Kor1]],$AI$3:$AK$105,3,FALSE)</f>
        <v>Anticipated Salvage</v>
      </c>
      <c r="X3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4"/>
      <c r="Z3274" t="s">
        <v>46</v>
      </c>
      <c r="AA3274" t="s">
        <v>226</v>
      </c>
      <c r="AB3274" t="s">
        <v>8</v>
      </c>
      <c r="AC3274" s="21">
        <v>233.19</v>
      </c>
      <c r="AD3274" s="21" t="s">
        <v>368</v>
      </c>
      <c r="AE3274" t="str">
        <f>VLOOKUP(Table_Query_from_Actuarial___Production3[[#This Row],[Kor1]],$AI$3:$AK$105,3,FALSE)</f>
        <v>Investment Income</v>
      </c>
      <c r="AF3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275" spans="18:32" x14ac:dyDescent="0.2">
      <c r="R3275" t="s">
        <v>3</v>
      </c>
      <c r="S3275" t="s">
        <v>352</v>
      </c>
      <c r="T3275" t="s">
        <v>441</v>
      </c>
      <c r="U3275" s="21">
        <v>89013</v>
      </c>
      <c r="V3275" s="21" t="s">
        <v>369</v>
      </c>
      <c r="W3275" t="str">
        <f>VLOOKUP(Table_Query_from_Actuarial___Production[[#This Row],[Kor1]],$AI$3:$AK$105,3,FALSE)</f>
        <v>Premiums Written</v>
      </c>
      <c r="X3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275"/>
      <c r="Z3275" t="s">
        <v>11</v>
      </c>
      <c r="AA3275" t="s">
        <v>230</v>
      </c>
      <c r="AB3275" t="s">
        <v>356</v>
      </c>
      <c r="AC3275" s="21">
        <v>18483176.300000001</v>
      </c>
      <c r="AD3275" s="21" t="s">
        <v>368</v>
      </c>
      <c r="AE3275" t="str">
        <f>VLOOKUP(Table_Query_from_Actuarial___Production3[[#This Row],[Kor1]],$AI$3:$AK$105,3,FALSE)</f>
        <v>Losses Paid</v>
      </c>
      <c r="AF3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6" spans="18:32" x14ac:dyDescent="0.2">
      <c r="R3276" t="s">
        <v>43</v>
      </c>
      <c r="S3276" t="s">
        <v>265</v>
      </c>
      <c r="T3276" t="s">
        <v>442</v>
      </c>
      <c r="U3276" s="21">
        <v>2100.6999999999998</v>
      </c>
      <c r="V3276" s="21" t="s">
        <v>368</v>
      </c>
      <c r="W3276" t="str">
        <f>VLOOKUP(Table_Query_from_Actuarial___Production[[#This Row],[Kor1]],$AI$3:$AK$105,3,FALSE)</f>
        <v>Charge-offs</v>
      </c>
      <c r="X3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6"/>
      <c r="Z3276" t="s">
        <v>11</v>
      </c>
      <c r="AA3276" t="s">
        <v>259</v>
      </c>
      <c r="AB3276" t="s">
        <v>427</v>
      </c>
      <c r="AC3276" s="21">
        <v>176395.57</v>
      </c>
      <c r="AD3276" s="21" t="s">
        <v>368</v>
      </c>
      <c r="AE3276" t="str">
        <f>VLOOKUP(Table_Query_from_Actuarial___Production3[[#This Row],[Kor1]],$AI$3:$AK$105,3,FALSE)</f>
        <v>Losses Paid</v>
      </c>
      <c r="AF3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7" spans="18:32" x14ac:dyDescent="0.2">
      <c r="R3277" t="s">
        <v>14</v>
      </c>
      <c r="S3277" t="s">
        <v>229</v>
      </c>
      <c r="T3277" t="s">
        <v>8</v>
      </c>
      <c r="U3277" s="21">
        <v>1318.68</v>
      </c>
      <c r="V3277" s="21" t="s">
        <v>368</v>
      </c>
      <c r="W3277" t="str">
        <f>VLOOKUP(Table_Query_from_Actuarial___Production[[#This Row],[Kor1]],$AI$3:$AK$105,3,FALSE)</f>
        <v>Claims Expense</v>
      </c>
      <c r="X3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7"/>
      <c r="Z3277" t="s">
        <v>19</v>
      </c>
      <c r="AA3277" t="s">
        <v>259</v>
      </c>
      <c r="AB3277" t="s">
        <v>9</v>
      </c>
      <c r="AC3277" s="21">
        <v>1320</v>
      </c>
      <c r="AD3277" s="21" t="s">
        <v>368</v>
      </c>
      <c r="AE3277" t="str">
        <f>VLOOKUP(Table_Query_from_Actuarial___Production3[[#This Row],[Kor1]],$AI$3:$AK$105,3,FALSE)</f>
        <v>Misc. Expense for Insolvent Companies</v>
      </c>
      <c r="AF3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8" spans="18:32" x14ac:dyDescent="0.2">
      <c r="R3278" t="s">
        <v>44</v>
      </c>
      <c r="S3278" t="s">
        <v>261</v>
      </c>
      <c r="T3278" t="s">
        <v>9</v>
      </c>
      <c r="U3278" s="21">
        <v>2.35</v>
      </c>
      <c r="V3278" s="21" t="s">
        <v>368</v>
      </c>
      <c r="W3278" t="str">
        <f>VLOOKUP(Table_Query_from_Actuarial___Production[[#This Row],[Kor1]],$AI$3:$AK$105,3,FALSE)</f>
        <v>Charge-offs</v>
      </c>
      <c r="X3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78"/>
      <c r="Z3278" t="s">
        <v>32</v>
      </c>
      <c r="AA3278" t="s">
        <v>230</v>
      </c>
      <c r="AB3278" t="s">
        <v>9</v>
      </c>
      <c r="AC3278" s="21">
        <v>31821.73</v>
      </c>
      <c r="AD3278" s="21" t="s">
        <v>368</v>
      </c>
      <c r="AE3278" t="str">
        <f>VLOOKUP(Table_Query_from_Actuarial___Production3[[#This Row],[Kor1]],$AI$3:$AK$105,3,FALSE)</f>
        <v>Misc. Expense</v>
      </c>
      <c r="AF3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79" spans="18:32" x14ac:dyDescent="0.2">
      <c r="R3279" t="s">
        <v>38</v>
      </c>
      <c r="S3279" t="s">
        <v>224</v>
      </c>
      <c r="T3279" t="s">
        <v>6</v>
      </c>
      <c r="U3279" s="21">
        <v>195026.38</v>
      </c>
      <c r="V3279" s="21" t="s">
        <v>370</v>
      </c>
      <c r="W3279" t="str">
        <f>VLOOKUP(Table_Query_from_Actuarial___Production[[#This Row],[Kor1]],$AI$3:$AK$105,3,FALSE)</f>
        <v>Misc. Income</v>
      </c>
      <c r="X3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279"/>
      <c r="Z3279" t="s">
        <v>12</v>
      </c>
      <c r="AA3279" t="s">
        <v>243</v>
      </c>
      <c r="AB3279" t="s">
        <v>441</v>
      </c>
      <c r="AC3279" s="21">
        <v>10972.96</v>
      </c>
      <c r="AD3279" s="21" t="s">
        <v>368</v>
      </c>
      <c r="AE3279" t="str">
        <f>VLOOKUP(Table_Query_from_Actuarial___Production3[[#This Row],[Kor1]],$AI$3:$AK$105,3,FALSE)</f>
        <v>Premium Tax</v>
      </c>
      <c r="AF3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0" spans="18:32" x14ac:dyDescent="0.2">
      <c r="R3280" t="s">
        <v>50</v>
      </c>
      <c r="S3280" t="s">
        <v>225</v>
      </c>
      <c r="T3280" t="s">
        <v>427</v>
      </c>
      <c r="U3280" s="21">
        <v>23109.37</v>
      </c>
      <c r="V3280" s="21" t="s">
        <v>368</v>
      </c>
      <c r="W3280" t="str">
        <f>VLOOKUP(Table_Query_from_Actuarial___Production[[#This Row],[Kor1]],$AI$3:$AK$105,3,FALSE)</f>
        <v>ALAE Reserve</v>
      </c>
      <c r="X3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280"/>
      <c r="Z3280" t="s">
        <v>10</v>
      </c>
      <c r="AA3280" t="s">
        <v>225</v>
      </c>
      <c r="AB3280" t="s">
        <v>356</v>
      </c>
      <c r="AC3280" s="21">
        <v>82164.75</v>
      </c>
      <c r="AD3280" s="21" t="s">
        <v>368</v>
      </c>
      <c r="AE3280" t="str">
        <f>VLOOKUP(Table_Query_from_Actuarial___Production3[[#This Row],[Kor1]],$AI$3:$AK$105,3,FALSE)</f>
        <v>Commissions</v>
      </c>
      <c r="AF3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281" spans="18:32" x14ac:dyDescent="0.2">
      <c r="R3281" t="s">
        <v>32</v>
      </c>
      <c r="S3281" t="s">
        <v>4</v>
      </c>
      <c r="T3281" t="s">
        <v>6</v>
      </c>
      <c r="U3281" s="21">
        <v>-2780.42</v>
      </c>
      <c r="V3281" s="21" t="s">
        <v>368</v>
      </c>
      <c r="W3281" t="str">
        <f>VLOOKUP(Table_Query_from_Actuarial___Production[[#This Row],[Kor1]],$AI$3:$AK$105,3,FALSE)</f>
        <v>Misc. Expense</v>
      </c>
      <c r="X3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1"/>
      <c r="Z3281" t="s">
        <v>44</v>
      </c>
      <c r="AA3281" t="s">
        <v>254</v>
      </c>
      <c r="AB3281" t="s">
        <v>356</v>
      </c>
      <c r="AC3281" s="21">
        <v>54987</v>
      </c>
      <c r="AD3281" s="21" t="s">
        <v>368</v>
      </c>
      <c r="AE3281" t="str">
        <f>VLOOKUP(Table_Query_from_Actuarial___Production3[[#This Row],[Kor1]],$AI$3:$AK$105,3,FALSE)</f>
        <v>Charge-offs</v>
      </c>
      <c r="AF3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2" spans="18:32" x14ac:dyDescent="0.2">
      <c r="R3282" t="s">
        <v>21</v>
      </c>
      <c r="S3282" t="s">
        <v>265</v>
      </c>
      <c r="T3282" t="s">
        <v>7</v>
      </c>
      <c r="U3282" s="21">
        <v>590</v>
      </c>
      <c r="V3282" s="21" t="s">
        <v>368</v>
      </c>
      <c r="W3282" t="str">
        <f>VLOOKUP(Table_Query_from_Actuarial___Production[[#This Row],[Kor1]],$AI$3:$AK$105,3,FALSE)</f>
        <v>Misc. Expense</v>
      </c>
      <c r="X3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2"/>
      <c r="Z3282" t="s">
        <v>17</v>
      </c>
      <c r="AA3282" t="s">
        <v>242</v>
      </c>
      <c r="AB3282" t="s">
        <v>433</v>
      </c>
      <c r="AC3282" s="21">
        <v>23649.97</v>
      </c>
      <c r="AD3282" s="21" t="s">
        <v>368</v>
      </c>
      <c r="AE3282" t="str">
        <f>VLOOKUP(Table_Query_from_Actuarial___Production3[[#This Row],[Kor1]],$AI$3:$AK$105,3,FALSE)</f>
        <v>IBNR</v>
      </c>
      <c r="AF3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3" spans="18:32" x14ac:dyDescent="0.2">
      <c r="R3283" t="s">
        <v>3</v>
      </c>
      <c r="S3283" t="s">
        <v>253</v>
      </c>
      <c r="T3283" t="s">
        <v>7</v>
      </c>
      <c r="U3283" s="21">
        <v>6160</v>
      </c>
      <c r="V3283" s="21" t="s">
        <v>368</v>
      </c>
      <c r="W3283" t="str">
        <f>VLOOKUP(Table_Query_from_Actuarial___Production[[#This Row],[Kor1]],$AI$3:$AK$105,3,FALSE)</f>
        <v>Premiums Written</v>
      </c>
      <c r="X3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3"/>
      <c r="Z3283" t="s">
        <v>41</v>
      </c>
      <c r="AA3283" t="s">
        <v>237</v>
      </c>
      <c r="AB3283" t="s">
        <v>5</v>
      </c>
      <c r="AC3283" s="21">
        <v>963.27</v>
      </c>
      <c r="AD3283" s="21" t="s">
        <v>368</v>
      </c>
      <c r="AE3283" t="str">
        <f>VLOOKUP(Table_Query_from_Actuarial___Production3[[#This Row],[Kor1]],$AI$3:$AK$105,3,FALSE)</f>
        <v>Misc. Income</v>
      </c>
      <c r="AF3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4" spans="18:32" x14ac:dyDescent="0.2">
      <c r="R3284" t="s">
        <v>12</v>
      </c>
      <c r="S3284" t="s">
        <v>262</v>
      </c>
      <c r="T3284" t="s">
        <v>441</v>
      </c>
      <c r="U3284" s="21">
        <v>9602.3799999999992</v>
      </c>
      <c r="V3284" s="21" t="s">
        <v>368</v>
      </c>
      <c r="W3284" t="str">
        <f>VLOOKUP(Table_Query_from_Actuarial___Production[[#This Row],[Kor1]],$AI$3:$AK$105,3,FALSE)</f>
        <v>Premium Tax</v>
      </c>
      <c r="X3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4"/>
      <c r="Z3284" t="s">
        <v>41</v>
      </c>
      <c r="AA3284" t="s">
        <v>264</v>
      </c>
      <c r="AB3284" t="s">
        <v>7</v>
      </c>
      <c r="AC3284" s="21">
        <v>1001.06</v>
      </c>
      <c r="AD3284" s="21" t="s">
        <v>368</v>
      </c>
      <c r="AE3284" t="str">
        <f>VLOOKUP(Table_Query_from_Actuarial___Production3[[#This Row],[Kor1]],$AI$3:$AK$105,3,FALSE)</f>
        <v>Misc. Income</v>
      </c>
      <c r="AF3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5" spans="18:32" x14ac:dyDescent="0.2">
      <c r="R3285" t="s">
        <v>46</v>
      </c>
      <c r="S3285" t="s">
        <v>354</v>
      </c>
      <c r="T3285" t="s">
        <v>427</v>
      </c>
      <c r="U3285" s="21">
        <v>2562736.2999999998</v>
      </c>
      <c r="V3285" s="21" t="s">
        <v>368</v>
      </c>
      <c r="W3285" t="str">
        <f>VLOOKUP(Table_Query_from_Actuarial___Production[[#This Row],[Kor1]],$AI$3:$AK$105,3,FALSE)</f>
        <v>Investment Income</v>
      </c>
      <c r="X3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285"/>
      <c r="Z3285" t="s">
        <v>47</v>
      </c>
      <c r="AA3285" t="s">
        <v>250</v>
      </c>
      <c r="AB3285" t="s">
        <v>433</v>
      </c>
      <c r="AC3285" s="21">
        <v>1106.21</v>
      </c>
      <c r="AD3285" s="21" t="s">
        <v>368</v>
      </c>
      <c r="AE3285" t="str">
        <f>VLOOKUP(Table_Query_from_Actuarial___Production3[[#This Row],[Kor1]],$AI$3:$AK$105,3,FALSE)</f>
        <v>Investment Income</v>
      </c>
      <c r="AF3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6" spans="18:32" x14ac:dyDescent="0.2">
      <c r="R3286" t="s">
        <v>47</v>
      </c>
      <c r="S3286" t="s">
        <v>227</v>
      </c>
      <c r="T3286" t="s">
        <v>442</v>
      </c>
      <c r="U3286" s="21">
        <v>2778.56</v>
      </c>
      <c r="V3286" s="21" t="s">
        <v>368</v>
      </c>
      <c r="W3286" t="str">
        <f>VLOOKUP(Table_Query_from_Actuarial___Production[[#This Row],[Kor1]],$AI$3:$AK$105,3,FALSE)</f>
        <v>Investment Income</v>
      </c>
      <c r="X3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6"/>
      <c r="Z3286" t="s">
        <v>11</v>
      </c>
      <c r="AA3286" t="s">
        <v>234</v>
      </c>
      <c r="AB3286" t="s">
        <v>5</v>
      </c>
      <c r="AC3286" s="21">
        <v>237967.73</v>
      </c>
      <c r="AD3286" s="21" t="s">
        <v>368</v>
      </c>
      <c r="AE3286" t="str">
        <f>VLOOKUP(Table_Query_from_Actuarial___Production3[[#This Row],[Kor1]],$AI$3:$AK$105,3,FALSE)</f>
        <v>Losses Paid</v>
      </c>
      <c r="AF3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7" spans="18:32" x14ac:dyDescent="0.2">
      <c r="R3287" t="s">
        <v>40</v>
      </c>
      <c r="S3287" t="s">
        <v>230</v>
      </c>
      <c r="T3287" t="s">
        <v>356</v>
      </c>
      <c r="U3287" s="21">
        <v>51858.17</v>
      </c>
      <c r="V3287" s="21" t="s">
        <v>368</v>
      </c>
      <c r="W3287" t="str">
        <f>VLOOKUP(Table_Query_from_Actuarial___Production[[#This Row],[Kor1]],$AI$3:$AK$105,3,FALSE)</f>
        <v>Misc. Income</v>
      </c>
      <c r="X3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7"/>
      <c r="Z3287" t="s">
        <v>20</v>
      </c>
      <c r="AA3287" t="s">
        <v>240</v>
      </c>
      <c r="AB3287" t="s">
        <v>442</v>
      </c>
      <c r="AC3287" s="21">
        <v>357.51</v>
      </c>
      <c r="AD3287" s="21" t="s">
        <v>368</v>
      </c>
      <c r="AE3287" t="str">
        <f>VLOOKUP(Table_Query_from_Actuarial___Production3[[#This Row],[Kor1]],$AI$3:$AK$105,3,FALSE)</f>
        <v>Misc. Expense</v>
      </c>
      <c r="AF3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8" spans="18:32" x14ac:dyDescent="0.2">
      <c r="R3288" t="s">
        <v>3</v>
      </c>
      <c r="S3288" t="s">
        <v>226</v>
      </c>
      <c r="T3288" t="s">
        <v>445</v>
      </c>
      <c r="U3288" s="21">
        <v>7799104</v>
      </c>
      <c r="V3288" s="21" t="s">
        <v>368</v>
      </c>
      <c r="W3288" t="str">
        <f>VLOOKUP(Table_Query_from_Actuarial___Production[[#This Row],[Kor1]],$AI$3:$AK$105,3,FALSE)</f>
        <v>Premiums Written</v>
      </c>
      <c r="X3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288"/>
      <c r="Z3288" t="s">
        <v>103</v>
      </c>
      <c r="AA3288" t="s">
        <v>259</v>
      </c>
      <c r="AB3288" t="s">
        <v>351</v>
      </c>
      <c r="AC3288" s="21">
        <v>309.74</v>
      </c>
      <c r="AD3288" s="21" t="s">
        <v>368</v>
      </c>
      <c r="AE3288" t="str">
        <f>VLOOKUP(Table_Query_from_Actuarial___Production3[[#This Row],[Kor1]],$AI$3:$AK$105,3,FALSE)</f>
        <v>Misc. Expense</v>
      </c>
      <c r="AF3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89" spans="18:32" x14ac:dyDescent="0.2">
      <c r="R3289" t="s">
        <v>77</v>
      </c>
      <c r="S3289" t="s">
        <v>239</v>
      </c>
      <c r="T3289" t="s">
        <v>443</v>
      </c>
      <c r="U3289" s="21">
        <v>165764</v>
      </c>
      <c r="V3289" s="21" t="s">
        <v>368</v>
      </c>
      <c r="W3289" t="str">
        <f>VLOOKUP(Table_Query_from_Actuarial___Production[[#This Row],[Kor1]],$AI$3:$AK$105,3,FALSE)</f>
        <v>PDR</v>
      </c>
      <c r="X3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89"/>
      <c r="Z3289" t="s">
        <v>40</v>
      </c>
      <c r="AA3289" t="s">
        <v>256</v>
      </c>
      <c r="AB3289" t="s">
        <v>7</v>
      </c>
      <c r="AC3289" s="21">
        <v>151</v>
      </c>
      <c r="AD3289" s="21" t="s">
        <v>368</v>
      </c>
      <c r="AE3289" t="str">
        <f>VLOOKUP(Table_Query_from_Actuarial___Production3[[#This Row],[Kor1]],$AI$3:$AK$105,3,FALSE)</f>
        <v>Misc. Income</v>
      </c>
      <c r="AF3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0" spans="18:32" x14ac:dyDescent="0.2">
      <c r="R3290" t="s">
        <v>33</v>
      </c>
      <c r="S3290" t="s">
        <v>227</v>
      </c>
      <c r="T3290" t="s">
        <v>8</v>
      </c>
      <c r="U3290" s="21">
        <v>10694.18</v>
      </c>
      <c r="V3290" s="21" t="s">
        <v>368</v>
      </c>
      <c r="W3290" t="str">
        <f>VLOOKUP(Table_Query_from_Actuarial___Production[[#This Row],[Kor1]],$AI$3:$AK$105,3,FALSE)</f>
        <v>Misc. Expense</v>
      </c>
      <c r="X3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0"/>
      <c r="Z3290" t="s">
        <v>3</v>
      </c>
      <c r="AA3290" t="s">
        <v>266</v>
      </c>
      <c r="AB3290" t="s">
        <v>433</v>
      </c>
      <c r="AC3290" s="21">
        <v>1105306</v>
      </c>
      <c r="AD3290" s="21" t="s">
        <v>368</v>
      </c>
      <c r="AE3290" t="str">
        <f>VLOOKUP(Table_Query_from_Actuarial___Production3[[#This Row],[Kor1]],$AI$3:$AK$105,3,FALSE)</f>
        <v>Premiums Written</v>
      </c>
      <c r="AF3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1" spans="18:32" x14ac:dyDescent="0.2">
      <c r="R3291" t="s">
        <v>39</v>
      </c>
      <c r="S3291" t="s">
        <v>240</v>
      </c>
      <c r="T3291" t="s">
        <v>441</v>
      </c>
      <c r="U3291" s="21">
        <v>548.78</v>
      </c>
      <c r="V3291" s="21" t="s">
        <v>368</v>
      </c>
      <c r="W3291" t="str">
        <f>VLOOKUP(Table_Query_from_Actuarial___Production[[#This Row],[Kor1]],$AI$3:$AK$105,3,FALSE)</f>
        <v>Misc. Income for Insolvent Companies</v>
      </c>
      <c r="X3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1"/>
      <c r="Z3291" t="s">
        <v>19</v>
      </c>
      <c r="AA3291" t="s">
        <v>242</v>
      </c>
      <c r="AB3291" t="s">
        <v>6</v>
      </c>
      <c r="AC3291" s="21">
        <v>11856</v>
      </c>
      <c r="AD3291" s="21" t="s">
        <v>368</v>
      </c>
      <c r="AE3291" t="str">
        <f>VLOOKUP(Table_Query_from_Actuarial___Production3[[#This Row],[Kor1]],$AI$3:$AK$105,3,FALSE)</f>
        <v>Misc. Expense for Insolvent Companies</v>
      </c>
      <c r="AF3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2" spans="18:32" x14ac:dyDescent="0.2">
      <c r="R3292" t="s">
        <v>10</v>
      </c>
      <c r="S3292" t="s">
        <v>237</v>
      </c>
      <c r="T3292" t="s">
        <v>442</v>
      </c>
      <c r="U3292" s="21">
        <v>2958627.12</v>
      </c>
      <c r="V3292" s="21" t="s">
        <v>368</v>
      </c>
      <c r="W3292" t="str">
        <f>VLOOKUP(Table_Query_from_Actuarial___Production[[#This Row],[Kor1]],$AI$3:$AK$105,3,FALSE)</f>
        <v>Commissions</v>
      </c>
      <c r="X3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2"/>
      <c r="Z3292" t="s">
        <v>37</v>
      </c>
      <c r="AA3292" t="s">
        <v>235</v>
      </c>
      <c r="AB3292" t="s">
        <v>6</v>
      </c>
      <c r="AC3292" s="21">
        <v>322.35000000000002</v>
      </c>
      <c r="AD3292" s="21" t="s">
        <v>368</v>
      </c>
      <c r="AE3292" t="str">
        <f>VLOOKUP(Table_Query_from_Actuarial___Production3[[#This Row],[Kor1]],$AI$3:$AK$105,3,FALSE)</f>
        <v>Misc. Expense</v>
      </c>
      <c r="AF3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3" spans="18:32" x14ac:dyDescent="0.2">
      <c r="R3293" t="s">
        <v>3</v>
      </c>
      <c r="S3293" t="s">
        <v>227</v>
      </c>
      <c r="T3293" t="s">
        <v>442</v>
      </c>
      <c r="U3293" s="21">
        <v>16250</v>
      </c>
      <c r="V3293" s="21" t="s">
        <v>368</v>
      </c>
      <c r="W3293" t="str">
        <f>VLOOKUP(Table_Query_from_Actuarial___Production[[#This Row],[Kor1]],$AI$3:$AK$105,3,FALSE)</f>
        <v>Premiums Written</v>
      </c>
      <c r="X3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3"/>
      <c r="Z3293" t="s">
        <v>40</v>
      </c>
      <c r="AA3293" t="s">
        <v>235</v>
      </c>
      <c r="AB3293" t="s">
        <v>356</v>
      </c>
      <c r="AC3293" s="21">
        <v>353.99</v>
      </c>
      <c r="AD3293" s="21" t="s">
        <v>368</v>
      </c>
      <c r="AE3293" t="str">
        <f>VLOOKUP(Table_Query_from_Actuarial___Production3[[#This Row],[Kor1]],$AI$3:$AK$105,3,FALSE)</f>
        <v>Misc. Income</v>
      </c>
      <c r="AF3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4" spans="18:32" x14ac:dyDescent="0.2">
      <c r="R3294" t="s">
        <v>37</v>
      </c>
      <c r="S3294" t="s">
        <v>239</v>
      </c>
      <c r="T3294" t="s">
        <v>8</v>
      </c>
      <c r="U3294" s="21">
        <v>-2.33</v>
      </c>
      <c r="V3294" s="21" t="s">
        <v>368</v>
      </c>
      <c r="W3294" t="str">
        <f>VLOOKUP(Table_Query_from_Actuarial___Production[[#This Row],[Kor1]],$AI$3:$AK$105,3,FALSE)</f>
        <v>Misc. Expense</v>
      </c>
      <c r="X3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4"/>
      <c r="Z3294" t="s">
        <v>46</v>
      </c>
      <c r="AA3294" t="s">
        <v>224</v>
      </c>
      <c r="AB3294" t="s">
        <v>8</v>
      </c>
      <c r="AC3294" s="21">
        <v>-76.72</v>
      </c>
      <c r="AD3294" s="21" t="s">
        <v>425</v>
      </c>
      <c r="AE3294" t="str">
        <f>VLOOKUP(Table_Query_from_Actuarial___Production3[[#This Row],[Kor1]],$AI$3:$AK$105,3,FALSE)</f>
        <v>Investment Income</v>
      </c>
      <c r="AF3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295" spans="18:32" x14ac:dyDescent="0.2">
      <c r="R3295" t="s">
        <v>43</v>
      </c>
      <c r="S3295" t="s">
        <v>241</v>
      </c>
      <c r="T3295" t="s">
        <v>9</v>
      </c>
      <c r="U3295" s="21">
        <v>-415.53</v>
      </c>
      <c r="V3295" s="21" t="s">
        <v>368</v>
      </c>
      <c r="W3295" t="str">
        <f>VLOOKUP(Table_Query_from_Actuarial___Production[[#This Row],[Kor1]],$AI$3:$AK$105,3,FALSE)</f>
        <v>Charge-offs</v>
      </c>
      <c r="X3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5"/>
      <c r="Z3295" t="s">
        <v>14</v>
      </c>
      <c r="AA3295" t="s">
        <v>224</v>
      </c>
      <c r="AB3295" t="s">
        <v>442</v>
      </c>
      <c r="AC3295" s="21">
        <v>214706.62</v>
      </c>
      <c r="AD3295" s="21" t="s">
        <v>368</v>
      </c>
      <c r="AE3295" t="str">
        <f>VLOOKUP(Table_Query_from_Actuarial___Production3[[#This Row],[Kor1]],$AI$3:$AK$105,3,FALSE)</f>
        <v>Claims Expense</v>
      </c>
      <c r="AF3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296" spans="18:32" x14ac:dyDescent="0.2">
      <c r="R3296" t="s">
        <v>3</v>
      </c>
      <c r="S3296" t="s">
        <v>249</v>
      </c>
      <c r="T3296" t="s">
        <v>433</v>
      </c>
      <c r="U3296" s="21">
        <v>661947</v>
      </c>
      <c r="V3296" s="21" t="s">
        <v>368</v>
      </c>
      <c r="W3296" t="str">
        <f>VLOOKUP(Table_Query_from_Actuarial___Production[[#This Row],[Kor1]],$AI$3:$AK$105,3,FALSE)</f>
        <v>Premiums Written</v>
      </c>
      <c r="X3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6"/>
      <c r="Z3296" t="s">
        <v>20</v>
      </c>
      <c r="AA3296" t="s">
        <v>230</v>
      </c>
      <c r="AB3296" t="s">
        <v>7</v>
      </c>
      <c r="AC3296" s="21">
        <v>18671.810000000001</v>
      </c>
      <c r="AD3296" s="21" t="s">
        <v>368</v>
      </c>
      <c r="AE3296" t="str">
        <f>VLOOKUP(Table_Query_from_Actuarial___Production3[[#This Row],[Kor1]],$AI$3:$AK$105,3,FALSE)</f>
        <v>Misc. Expense</v>
      </c>
      <c r="AF3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297" spans="18:32" x14ac:dyDescent="0.2">
      <c r="R3297" t="s">
        <v>12</v>
      </c>
      <c r="S3297" t="s">
        <v>252</v>
      </c>
      <c r="T3297" t="s">
        <v>9</v>
      </c>
      <c r="U3297" s="21">
        <v>336085.41</v>
      </c>
      <c r="V3297" s="21" t="s">
        <v>368</v>
      </c>
      <c r="W3297" t="str">
        <f>VLOOKUP(Table_Query_from_Actuarial___Production[[#This Row],[Kor1]],$AI$3:$AK$105,3,FALSE)</f>
        <v>Premium Tax</v>
      </c>
      <c r="X3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7"/>
      <c r="Z3297" t="s">
        <v>50</v>
      </c>
      <c r="AA3297" t="s">
        <v>226</v>
      </c>
      <c r="AB3297" t="s">
        <v>427</v>
      </c>
      <c r="AC3297" s="21">
        <v>39240</v>
      </c>
      <c r="AD3297" s="21" t="s">
        <v>368</v>
      </c>
      <c r="AE3297" t="str">
        <f>VLOOKUP(Table_Query_from_Actuarial___Production3[[#This Row],[Kor1]],$AI$3:$AK$105,3,FALSE)</f>
        <v>ALAE Reserve</v>
      </c>
      <c r="AF3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298" spans="18:32" x14ac:dyDescent="0.2">
      <c r="R3298" t="s">
        <v>12</v>
      </c>
      <c r="S3298" t="s">
        <v>257</v>
      </c>
      <c r="T3298" t="s">
        <v>8</v>
      </c>
      <c r="U3298" s="21">
        <v>33143.99</v>
      </c>
      <c r="V3298" s="21" t="s">
        <v>368</v>
      </c>
      <c r="W3298" t="str">
        <f>VLOOKUP(Table_Query_from_Actuarial___Production[[#This Row],[Kor1]],$AI$3:$AK$105,3,FALSE)</f>
        <v>Premium Tax</v>
      </c>
      <c r="X3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8"/>
      <c r="Z3298" t="s">
        <v>3</v>
      </c>
      <c r="AA3298" t="s">
        <v>224</v>
      </c>
      <c r="AB3298" t="s">
        <v>5</v>
      </c>
      <c r="AC3298" s="21">
        <v>3404245.88</v>
      </c>
      <c r="AD3298" s="21" t="s">
        <v>370</v>
      </c>
      <c r="AE3298" t="str">
        <f>VLOOKUP(Table_Query_from_Actuarial___Production3[[#This Row],[Kor1]],$AI$3:$AK$105,3,FALSE)</f>
        <v>Premiums Written</v>
      </c>
      <c r="AF3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299" spans="18:32" x14ac:dyDescent="0.2">
      <c r="R3299" t="s">
        <v>39</v>
      </c>
      <c r="S3299" t="s">
        <v>251</v>
      </c>
      <c r="T3299" t="s">
        <v>441</v>
      </c>
      <c r="U3299" s="21">
        <v>104.63</v>
      </c>
      <c r="V3299" s="21" t="s">
        <v>368</v>
      </c>
      <c r="W3299" t="str">
        <f>VLOOKUP(Table_Query_from_Actuarial___Production[[#This Row],[Kor1]],$AI$3:$AK$105,3,FALSE)</f>
        <v>Misc. Income for Insolvent Companies</v>
      </c>
      <c r="X3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299"/>
      <c r="Z3299" t="s">
        <v>3</v>
      </c>
      <c r="AA3299" t="s">
        <v>231</v>
      </c>
      <c r="AB3299" t="s">
        <v>8</v>
      </c>
      <c r="AC3299" s="21">
        <v>153665</v>
      </c>
      <c r="AD3299" s="21" t="s">
        <v>368</v>
      </c>
      <c r="AE3299" t="str">
        <f>VLOOKUP(Table_Query_from_Actuarial___Production3[[#This Row],[Kor1]],$AI$3:$AK$105,3,FALSE)</f>
        <v>Premiums Written</v>
      </c>
      <c r="AF3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0" spans="18:32" x14ac:dyDescent="0.2">
      <c r="R3300" t="s">
        <v>44</v>
      </c>
      <c r="S3300" t="s">
        <v>239</v>
      </c>
      <c r="T3300" t="s">
        <v>351</v>
      </c>
      <c r="U3300" s="21">
        <v>7967</v>
      </c>
      <c r="V3300" s="21" t="s">
        <v>368</v>
      </c>
      <c r="W3300" t="str">
        <f>VLOOKUP(Table_Query_from_Actuarial___Production[[#This Row],[Kor1]],$AI$3:$AK$105,3,FALSE)</f>
        <v>Charge-offs</v>
      </c>
      <c r="X3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0"/>
      <c r="Z3300" t="s">
        <v>12</v>
      </c>
      <c r="AA3300" t="s">
        <v>250</v>
      </c>
      <c r="AB3300" t="s">
        <v>443</v>
      </c>
      <c r="AC3300" s="21">
        <v>4955.8</v>
      </c>
      <c r="AD3300" s="21" t="s">
        <v>368</v>
      </c>
      <c r="AE3300" t="str">
        <f>VLOOKUP(Table_Query_from_Actuarial___Production3[[#This Row],[Kor1]],$AI$3:$AK$105,3,FALSE)</f>
        <v>Premium Tax</v>
      </c>
      <c r="AF3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1" spans="18:32" x14ac:dyDescent="0.2">
      <c r="R3301" t="s">
        <v>44</v>
      </c>
      <c r="S3301" t="s">
        <v>233</v>
      </c>
      <c r="T3301" t="s">
        <v>7</v>
      </c>
      <c r="U3301" s="21">
        <v>5604.38</v>
      </c>
      <c r="V3301" s="21" t="s">
        <v>368</v>
      </c>
      <c r="W3301" t="str">
        <f>VLOOKUP(Table_Query_from_Actuarial___Production[[#This Row],[Kor1]],$AI$3:$AK$105,3,FALSE)</f>
        <v>Charge-offs</v>
      </c>
      <c r="X3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1"/>
      <c r="Z3301" t="s">
        <v>34</v>
      </c>
      <c r="AA3301" t="s">
        <v>246</v>
      </c>
      <c r="AB3301" t="s">
        <v>442</v>
      </c>
      <c r="AC3301" s="21">
        <v>2972.51</v>
      </c>
      <c r="AD3301" s="21" t="s">
        <v>368</v>
      </c>
      <c r="AE3301" t="str">
        <f>VLOOKUP(Table_Query_from_Actuarial___Production3[[#This Row],[Kor1]],$AI$3:$AK$105,3,FALSE)</f>
        <v>Misc. Expense</v>
      </c>
      <c r="AF3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2" spans="18:32" x14ac:dyDescent="0.2">
      <c r="R3302" t="s">
        <v>34</v>
      </c>
      <c r="S3302" t="s">
        <v>258</v>
      </c>
      <c r="T3302" t="s">
        <v>445</v>
      </c>
      <c r="U3302" s="21">
        <v>17268.66</v>
      </c>
      <c r="V3302" s="21" t="s">
        <v>368</v>
      </c>
      <c r="W3302" t="str">
        <f>VLOOKUP(Table_Query_from_Actuarial___Production[[#This Row],[Kor1]],$AI$3:$AK$105,3,FALSE)</f>
        <v>Misc. Expense</v>
      </c>
      <c r="X3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2"/>
      <c r="Z3302" t="s">
        <v>42</v>
      </c>
      <c r="AA3302" t="s">
        <v>4</v>
      </c>
      <c r="AB3302" t="s">
        <v>5</v>
      </c>
      <c r="AC3302" s="21">
        <v>134.56</v>
      </c>
      <c r="AD3302" s="21" t="s">
        <v>368</v>
      </c>
      <c r="AE3302" t="str">
        <f>VLOOKUP(Table_Query_from_Actuarial___Production3[[#This Row],[Kor1]],$AI$3:$AK$105,3,FALSE)</f>
        <v>Misc. Income</v>
      </c>
      <c r="AF3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3" spans="18:32" x14ac:dyDescent="0.2">
      <c r="R3303" t="s">
        <v>41</v>
      </c>
      <c r="S3303" t="s">
        <v>229</v>
      </c>
      <c r="T3303" t="s">
        <v>6</v>
      </c>
      <c r="U3303" s="21">
        <v>100</v>
      </c>
      <c r="V3303" s="21" t="s">
        <v>368</v>
      </c>
      <c r="W3303" t="str">
        <f>VLOOKUP(Table_Query_from_Actuarial___Production[[#This Row],[Kor1]],$AI$3:$AK$105,3,FALSE)</f>
        <v>Misc. Income</v>
      </c>
      <c r="X3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3"/>
      <c r="Z3303" t="s">
        <v>12</v>
      </c>
      <c r="AA3303" t="s">
        <v>267</v>
      </c>
      <c r="AB3303" t="s">
        <v>5</v>
      </c>
      <c r="AC3303" s="21">
        <v>8911.06</v>
      </c>
      <c r="AD3303" s="21" t="s">
        <v>368</v>
      </c>
      <c r="AE3303" t="str">
        <f>VLOOKUP(Table_Query_from_Actuarial___Production3[[#This Row],[Kor1]],$AI$3:$AK$105,3,FALSE)</f>
        <v>Premium Tax</v>
      </c>
      <c r="AF3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4" spans="18:32" x14ac:dyDescent="0.2">
      <c r="R3304" t="s">
        <v>44</v>
      </c>
      <c r="S3304" t="s">
        <v>244</v>
      </c>
      <c r="T3304" t="s">
        <v>427</v>
      </c>
      <c r="U3304" s="21">
        <v>29392.31</v>
      </c>
      <c r="V3304" s="21" t="s">
        <v>368</v>
      </c>
      <c r="W3304" t="str">
        <f>VLOOKUP(Table_Query_from_Actuarial___Production[[#This Row],[Kor1]],$AI$3:$AK$105,3,FALSE)</f>
        <v>Charge-offs</v>
      </c>
      <c r="X3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4"/>
      <c r="Z3304" t="s">
        <v>37</v>
      </c>
      <c r="AA3304" t="s">
        <v>241</v>
      </c>
      <c r="AB3304" t="s">
        <v>356</v>
      </c>
      <c r="AC3304" s="21">
        <v>2936.88</v>
      </c>
      <c r="AD3304" s="21" t="s">
        <v>368</v>
      </c>
      <c r="AE3304" t="str">
        <f>VLOOKUP(Table_Query_from_Actuarial___Production3[[#This Row],[Kor1]],$AI$3:$AK$105,3,FALSE)</f>
        <v>Misc. Expense</v>
      </c>
      <c r="AF3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5" spans="18:32" x14ac:dyDescent="0.2">
      <c r="R3305" t="s">
        <v>50</v>
      </c>
      <c r="S3305" t="s">
        <v>226</v>
      </c>
      <c r="T3305" t="s">
        <v>7</v>
      </c>
      <c r="U3305" s="21">
        <v>50220</v>
      </c>
      <c r="V3305" s="21" t="s">
        <v>368</v>
      </c>
      <c r="W3305" t="str">
        <f>VLOOKUP(Table_Query_from_Actuarial___Production[[#This Row],[Kor1]],$AI$3:$AK$105,3,FALSE)</f>
        <v>ALAE Reserve</v>
      </c>
      <c r="X3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305"/>
      <c r="Z3305" t="s">
        <v>3</v>
      </c>
      <c r="AA3305" t="s">
        <v>352</v>
      </c>
      <c r="AB3305" t="s">
        <v>441</v>
      </c>
      <c r="AC3305" s="21">
        <v>88781</v>
      </c>
      <c r="AD3305" s="21" t="s">
        <v>369</v>
      </c>
      <c r="AE3305" t="str">
        <f>VLOOKUP(Table_Query_from_Actuarial___Production3[[#This Row],[Kor1]],$AI$3:$AK$105,3,FALSE)</f>
        <v>Premiums Written</v>
      </c>
      <c r="AF3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306" spans="18:32" x14ac:dyDescent="0.2">
      <c r="R3306" t="s">
        <v>29</v>
      </c>
      <c r="S3306" t="s">
        <v>259</v>
      </c>
      <c r="T3306" t="s">
        <v>9</v>
      </c>
      <c r="U3306" s="21">
        <v>2443.61</v>
      </c>
      <c r="V3306" s="21" t="s">
        <v>368</v>
      </c>
      <c r="W3306" t="str">
        <f>VLOOKUP(Table_Query_from_Actuarial___Production[[#This Row],[Kor1]],$AI$3:$AK$105,3,FALSE)</f>
        <v>Misc. Expense</v>
      </c>
      <c r="X3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6"/>
      <c r="Z3306" t="s">
        <v>16</v>
      </c>
      <c r="AA3306" t="s">
        <v>226</v>
      </c>
      <c r="AB3306" t="s">
        <v>6</v>
      </c>
      <c r="AC3306" s="21">
        <v>398600</v>
      </c>
      <c r="AD3306" s="21" t="s">
        <v>368</v>
      </c>
      <c r="AE3306" t="str">
        <f>VLOOKUP(Table_Query_from_Actuarial___Production3[[#This Row],[Kor1]],$AI$3:$AK$105,3,FALSE)</f>
        <v>Losses Outstanding</v>
      </c>
      <c r="AF3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307" spans="18:32" x14ac:dyDescent="0.2">
      <c r="R3307" t="s">
        <v>3</v>
      </c>
      <c r="S3307" t="s">
        <v>224</v>
      </c>
      <c r="T3307" t="s">
        <v>8</v>
      </c>
      <c r="U3307" s="21">
        <v>2637268.73</v>
      </c>
      <c r="V3307" s="21" t="s">
        <v>368</v>
      </c>
      <c r="W3307" t="str">
        <f>VLOOKUP(Table_Query_from_Actuarial___Production[[#This Row],[Kor1]],$AI$3:$AK$105,3,FALSE)</f>
        <v>Premiums Written</v>
      </c>
      <c r="X3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307"/>
      <c r="Z3307" t="s">
        <v>43</v>
      </c>
      <c r="AA3307" t="s">
        <v>265</v>
      </c>
      <c r="AB3307" t="s">
        <v>442</v>
      </c>
      <c r="AC3307" s="21">
        <v>8859.19</v>
      </c>
      <c r="AD3307" s="21" t="s">
        <v>368</v>
      </c>
      <c r="AE3307" t="str">
        <f>VLOOKUP(Table_Query_from_Actuarial___Production3[[#This Row],[Kor1]],$AI$3:$AK$105,3,FALSE)</f>
        <v>Charge-offs</v>
      </c>
      <c r="AF3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8" spans="18:32" x14ac:dyDescent="0.2">
      <c r="R3308" t="s">
        <v>19</v>
      </c>
      <c r="S3308" t="s">
        <v>255</v>
      </c>
      <c r="T3308" t="s">
        <v>6</v>
      </c>
      <c r="U3308" s="21">
        <v>18</v>
      </c>
      <c r="V3308" s="21" t="s">
        <v>368</v>
      </c>
      <c r="W3308" t="str">
        <f>VLOOKUP(Table_Query_from_Actuarial___Production[[#This Row],[Kor1]],$AI$3:$AK$105,3,FALSE)</f>
        <v>Misc. Expense for Insolvent Companies</v>
      </c>
      <c r="X3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8"/>
      <c r="Z3308" t="s">
        <v>14</v>
      </c>
      <c r="AA3308" t="s">
        <v>229</v>
      </c>
      <c r="AB3308" t="s">
        <v>8</v>
      </c>
      <c r="AC3308" s="21">
        <v>1318.68</v>
      </c>
      <c r="AD3308" s="21" t="s">
        <v>368</v>
      </c>
      <c r="AE3308" t="str">
        <f>VLOOKUP(Table_Query_from_Actuarial___Production3[[#This Row],[Kor1]],$AI$3:$AK$105,3,FALSE)</f>
        <v>Claims Expense</v>
      </c>
      <c r="AF3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09" spans="18:32" x14ac:dyDescent="0.2">
      <c r="R3309" t="s">
        <v>12</v>
      </c>
      <c r="S3309" t="s">
        <v>262</v>
      </c>
      <c r="T3309" t="s">
        <v>351</v>
      </c>
      <c r="U3309" s="21">
        <v>19552.02</v>
      </c>
      <c r="V3309" s="21" t="s">
        <v>368</v>
      </c>
      <c r="W3309" t="str">
        <f>VLOOKUP(Table_Query_from_Actuarial___Production[[#This Row],[Kor1]],$AI$3:$AK$105,3,FALSE)</f>
        <v>Premium Tax</v>
      </c>
      <c r="X3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09"/>
      <c r="Z3309" t="s">
        <v>44</v>
      </c>
      <c r="AA3309" t="s">
        <v>261</v>
      </c>
      <c r="AB3309" t="s">
        <v>9</v>
      </c>
      <c r="AC3309" s="21">
        <v>2.35</v>
      </c>
      <c r="AD3309" s="21" t="s">
        <v>368</v>
      </c>
      <c r="AE3309" t="str">
        <f>VLOOKUP(Table_Query_from_Actuarial___Production3[[#This Row],[Kor1]],$AI$3:$AK$105,3,FALSE)</f>
        <v>Charge-offs</v>
      </c>
      <c r="AF3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0" spans="18:32" x14ac:dyDescent="0.2">
      <c r="R3310" t="s">
        <v>46</v>
      </c>
      <c r="S3310" t="s">
        <v>354</v>
      </c>
      <c r="T3310" t="s">
        <v>7</v>
      </c>
      <c r="U3310" s="21">
        <v>1902935.02</v>
      </c>
      <c r="V3310" s="21" t="s">
        <v>368</v>
      </c>
      <c r="W3310" t="str">
        <f>VLOOKUP(Table_Query_from_Actuarial___Production[[#This Row],[Kor1]],$AI$3:$AK$105,3,FALSE)</f>
        <v>Investment Income</v>
      </c>
      <c r="X3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310"/>
      <c r="Z3310" t="s">
        <v>38</v>
      </c>
      <c r="AA3310" t="s">
        <v>224</v>
      </c>
      <c r="AB3310" t="s">
        <v>6</v>
      </c>
      <c r="AC3310" s="21">
        <v>195026.38</v>
      </c>
      <c r="AD3310" s="21" t="s">
        <v>370</v>
      </c>
      <c r="AE3310" t="str">
        <f>VLOOKUP(Table_Query_from_Actuarial___Production3[[#This Row],[Kor1]],$AI$3:$AK$105,3,FALSE)</f>
        <v>Misc. Income</v>
      </c>
      <c r="AF3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311" spans="18:32" x14ac:dyDescent="0.2">
      <c r="R3311" t="s">
        <v>44</v>
      </c>
      <c r="S3311" t="s">
        <v>225</v>
      </c>
      <c r="T3311" t="s">
        <v>433</v>
      </c>
      <c r="U3311" s="21">
        <v>755.91</v>
      </c>
      <c r="V3311" s="21" t="s">
        <v>369</v>
      </c>
      <c r="W3311" t="str">
        <f>VLOOKUP(Table_Query_from_Actuarial___Production[[#This Row],[Kor1]],$AI$3:$AK$105,3,FALSE)</f>
        <v>Charge-offs</v>
      </c>
      <c r="X3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311"/>
      <c r="Z3311" t="s">
        <v>50</v>
      </c>
      <c r="AA3311" t="s">
        <v>225</v>
      </c>
      <c r="AB3311" t="s">
        <v>427</v>
      </c>
      <c r="AC3311" s="21">
        <v>125468.04</v>
      </c>
      <c r="AD3311" s="21" t="s">
        <v>368</v>
      </c>
      <c r="AE3311" t="str">
        <f>VLOOKUP(Table_Query_from_Actuarial___Production3[[#This Row],[Kor1]],$AI$3:$AK$105,3,FALSE)</f>
        <v>ALAE Reserve</v>
      </c>
      <c r="AF3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312" spans="18:32" x14ac:dyDescent="0.2">
      <c r="R3312" t="s">
        <v>13</v>
      </c>
      <c r="S3312" t="s">
        <v>247</v>
      </c>
      <c r="T3312" t="s">
        <v>443</v>
      </c>
      <c r="U3312" s="21">
        <v>1205.1300000000001</v>
      </c>
      <c r="V3312" s="21" t="s">
        <v>368</v>
      </c>
      <c r="W3312" t="str">
        <f>VLOOKUP(Table_Query_from_Actuarial___Production[[#This Row],[Kor1]],$AI$3:$AK$105,3,FALSE)</f>
        <v>Operating Service Fees</v>
      </c>
      <c r="X3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2"/>
      <c r="Z3312" t="s">
        <v>32</v>
      </c>
      <c r="AA3312" t="s">
        <v>4</v>
      </c>
      <c r="AB3312" t="s">
        <v>6</v>
      </c>
      <c r="AC3312" s="21">
        <v>-2780.42</v>
      </c>
      <c r="AD3312" s="21" t="s">
        <v>368</v>
      </c>
      <c r="AE3312" t="str">
        <f>VLOOKUP(Table_Query_from_Actuarial___Production3[[#This Row],[Kor1]],$AI$3:$AK$105,3,FALSE)</f>
        <v>Misc. Expense</v>
      </c>
      <c r="AF3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3" spans="18:32" x14ac:dyDescent="0.2">
      <c r="R3313" t="s">
        <v>13</v>
      </c>
      <c r="S3313" t="s">
        <v>236</v>
      </c>
      <c r="T3313" t="s">
        <v>7</v>
      </c>
      <c r="U3313" s="21">
        <v>4956.4799999999996</v>
      </c>
      <c r="V3313" s="21" t="s">
        <v>368</v>
      </c>
      <c r="W3313" t="str">
        <f>VLOOKUP(Table_Query_from_Actuarial___Production[[#This Row],[Kor1]],$AI$3:$AK$105,3,FALSE)</f>
        <v>Operating Service Fees</v>
      </c>
      <c r="X3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3"/>
      <c r="Z3313" t="s">
        <v>21</v>
      </c>
      <c r="AA3313" t="s">
        <v>265</v>
      </c>
      <c r="AB3313" t="s">
        <v>7</v>
      </c>
      <c r="AC3313" s="21">
        <v>590</v>
      </c>
      <c r="AD3313" s="21" t="s">
        <v>368</v>
      </c>
      <c r="AE3313" t="str">
        <f>VLOOKUP(Table_Query_from_Actuarial___Production3[[#This Row],[Kor1]],$AI$3:$AK$105,3,FALSE)</f>
        <v>Misc. Expense</v>
      </c>
      <c r="AF3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4" spans="18:32" x14ac:dyDescent="0.2">
      <c r="R3314" t="s">
        <v>19</v>
      </c>
      <c r="S3314" t="s">
        <v>246</v>
      </c>
      <c r="T3314" t="s">
        <v>7</v>
      </c>
      <c r="U3314" s="21">
        <v>1044</v>
      </c>
      <c r="V3314" s="21" t="s">
        <v>368</v>
      </c>
      <c r="W3314" t="str">
        <f>VLOOKUP(Table_Query_from_Actuarial___Production[[#This Row],[Kor1]],$AI$3:$AK$105,3,FALSE)</f>
        <v>Misc. Expense for Insolvent Companies</v>
      </c>
      <c r="X3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4"/>
      <c r="Z3314" t="s">
        <v>3</v>
      </c>
      <c r="AA3314" t="s">
        <v>253</v>
      </c>
      <c r="AB3314" t="s">
        <v>7</v>
      </c>
      <c r="AC3314" s="21">
        <v>6160</v>
      </c>
      <c r="AD3314" s="21" t="s">
        <v>368</v>
      </c>
      <c r="AE3314" t="str">
        <f>VLOOKUP(Table_Query_from_Actuarial___Production3[[#This Row],[Kor1]],$AI$3:$AK$105,3,FALSE)</f>
        <v>Premiums Written</v>
      </c>
      <c r="AF3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5" spans="18:32" x14ac:dyDescent="0.2">
      <c r="R3315" t="s">
        <v>75</v>
      </c>
      <c r="S3315" t="s">
        <v>232</v>
      </c>
      <c r="T3315" t="s">
        <v>443</v>
      </c>
      <c r="U3315" s="21">
        <v>4001</v>
      </c>
      <c r="V3315" s="21" t="s">
        <v>368</v>
      </c>
      <c r="W3315" t="str">
        <f>VLOOKUP(Table_Query_from_Actuarial___Production[[#This Row],[Kor1]],$AI$3:$AK$105,3,FALSE)</f>
        <v>EBUB</v>
      </c>
      <c r="X3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5"/>
      <c r="Z3315" t="s">
        <v>12</v>
      </c>
      <c r="AA3315" t="s">
        <v>262</v>
      </c>
      <c r="AB3315" t="s">
        <v>441</v>
      </c>
      <c r="AC3315" s="21">
        <v>9602.3799999999992</v>
      </c>
      <c r="AD3315" s="21" t="s">
        <v>368</v>
      </c>
      <c r="AE3315" t="str">
        <f>VLOOKUP(Table_Query_from_Actuarial___Production3[[#This Row],[Kor1]],$AI$3:$AK$105,3,FALSE)</f>
        <v>Premium Tax</v>
      </c>
      <c r="AF3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6" spans="18:32" x14ac:dyDescent="0.2">
      <c r="R3316" t="s">
        <v>3</v>
      </c>
      <c r="S3316" t="s">
        <v>232</v>
      </c>
      <c r="T3316" t="s">
        <v>356</v>
      </c>
      <c r="U3316" s="21">
        <v>770622</v>
      </c>
      <c r="V3316" s="21" t="s">
        <v>368</v>
      </c>
      <c r="W3316" t="str">
        <f>VLOOKUP(Table_Query_from_Actuarial___Production[[#This Row],[Kor1]],$AI$3:$AK$105,3,FALSE)</f>
        <v>Premiums Written</v>
      </c>
      <c r="X3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6"/>
      <c r="Z3316" t="s">
        <v>46</v>
      </c>
      <c r="AA3316" t="s">
        <v>354</v>
      </c>
      <c r="AB3316" t="s">
        <v>427</v>
      </c>
      <c r="AC3316" s="21">
        <v>2562736.2999999998</v>
      </c>
      <c r="AD3316" s="21" t="s">
        <v>368</v>
      </c>
      <c r="AE3316" t="str">
        <f>VLOOKUP(Table_Query_from_Actuarial___Production3[[#This Row],[Kor1]],$AI$3:$AK$105,3,FALSE)</f>
        <v>Investment Income</v>
      </c>
      <c r="AF3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317" spans="18:32" x14ac:dyDescent="0.2">
      <c r="R3317" t="s">
        <v>34</v>
      </c>
      <c r="S3317" t="s">
        <v>231</v>
      </c>
      <c r="T3317" t="s">
        <v>442</v>
      </c>
      <c r="U3317" s="21">
        <v>3422.67</v>
      </c>
      <c r="V3317" s="21" t="s">
        <v>368</v>
      </c>
      <c r="W3317" t="str">
        <f>VLOOKUP(Table_Query_from_Actuarial___Production[[#This Row],[Kor1]],$AI$3:$AK$105,3,FALSE)</f>
        <v>Misc. Expense</v>
      </c>
      <c r="X3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7"/>
      <c r="Z3317" t="s">
        <v>47</v>
      </c>
      <c r="AA3317" t="s">
        <v>227</v>
      </c>
      <c r="AB3317" t="s">
        <v>442</v>
      </c>
      <c r="AC3317" s="21">
        <v>2778.56</v>
      </c>
      <c r="AD3317" s="21" t="s">
        <v>368</v>
      </c>
      <c r="AE3317" t="str">
        <f>VLOOKUP(Table_Query_from_Actuarial___Production3[[#This Row],[Kor1]],$AI$3:$AK$105,3,FALSE)</f>
        <v>Investment Income</v>
      </c>
      <c r="AF3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8" spans="18:32" x14ac:dyDescent="0.2">
      <c r="R3318" t="s">
        <v>33</v>
      </c>
      <c r="S3318" t="s">
        <v>233</v>
      </c>
      <c r="T3318" t="s">
        <v>442</v>
      </c>
      <c r="U3318" s="21">
        <v>15962.98</v>
      </c>
      <c r="V3318" s="21" t="s">
        <v>368</v>
      </c>
      <c r="W3318" t="str">
        <f>VLOOKUP(Table_Query_from_Actuarial___Production[[#This Row],[Kor1]],$AI$3:$AK$105,3,FALSE)</f>
        <v>Misc. Expense</v>
      </c>
      <c r="X3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8"/>
      <c r="Z3318" t="s">
        <v>40</v>
      </c>
      <c r="AA3318" t="s">
        <v>230</v>
      </c>
      <c r="AB3318" t="s">
        <v>356</v>
      </c>
      <c r="AC3318" s="21">
        <v>51858.17</v>
      </c>
      <c r="AD3318" s="21" t="s">
        <v>368</v>
      </c>
      <c r="AE3318" t="str">
        <f>VLOOKUP(Table_Query_from_Actuarial___Production3[[#This Row],[Kor1]],$AI$3:$AK$105,3,FALSE)</f>
        <v>Misc. Income</v>
      </c>
      <c r="AF3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19" spans="18:32" x14ac:dyDescent="0.2">
      <c r="R3319" t="s">
        <v>10</v>
      </c>
      <c r="S3319" t="s">
        <v>263</v>
      </c>
      <c r="T3319" t="s">
        <v>8</v>
      </c>
      <c r="U3319" s="21">
        <v>38260.85</v>
      </c>
      <c r="V3319" s="21" t="s">
        <v>368</v>
      </c>
      <c r="W3319" t="str">
        <f>VLOOKUP(Table_Query_from_Actuarial___Production[[#This Row],[Kor1]],$AI$3:$AK$105,3,FALSE)</f>
        <v>Commissions</v>
      </c>
      <c r="X3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19"/>
      <c r="Z3319" t="s">
        <v>77</v>
      </c>
      <c r="AA3319" t="s">
        <v>239</v>
      </c>
      <c r="AB3319" t="s">
        <v>443</v>
      </c>
      <c r="AC3319" s="21">
        <v>487913</v>
      </c>
      <c r="AD3319" s="21" t="s">
        <v>368</v>
      </c>
      <c r="AE3319" t="str">
        <f>VLOOKUP(Table_Query_from_Actuarial___Production3[[#This Row],[Kor1]],$AI$3:$AK$105,3,FALSE)</f>
        <v>PDR</v>
      </c>
      <c r="AF3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0" spans="18:32" x14ac:dyDescent="0.2">
      <c r="R3320" t="s">
        <v>19</v>
      </c>
      <c r="S3320" t="s">
        <v>230</v>
      </c>
      <c r="T3320" t="s">
        <v>443</v>
      </c>
      <c r="U3320" s="21">
        <v>526.89</v>
      </c>
      <c r="V3320" s="21" t="s">
        <v>368</v>
      </c>
      <c r="W3320" t="str">
        <f>VLOOKUP(Table_Query_from_Actuarial___Production[[#This Row],[Kor1]],$AI$3:$AK$105,3,FALSE)</f>
        <v>Misc. Expense for Insolvent Companies</v>
      </c>
      <c r="X3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0"/>
      <c r="Z3320" t="s">
        <v>33</v>
      </c>
      <c r="AA3320" t="s">
        <v>227</v>
      </c>
      <c r="AB3320" t="s">
        <v>8</v>
      </c>
      <c r="AC3320" s="21">
        <v>10694.18</v>
      </c>
      <c r="AD3320" s="21" t="s">
        <v>368</v>
      </c>
      <c r="AE3320" t="str">
        <f>VLOOKUP(Table_Query_from_Actuarial___Production3[[#This Row],[Kor1]],$AI$3:$AK$105,3,FALSE)</f>
        <v>Misc. Expense</v>
      </c>
      <c r="AF3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1" spans="18:32" x14ac:dyDescent="0.2">
      <c r="R3321" t="s">
        <v>31</v>
      </c>
      <c r="S3321" t="s">
        <v>256</v>
      </c>
      <c r="T3321" t="s">
        <v>356</v>
      </c>
      <c r="U3321" s="21">
        <v>694.04</v>
      </c>
      <c r="V3321" s="21" t="s">
        <v>368</v>
      </c>
      <c r="W3321" t="str">
        <f>VLOOKUP(Table_Query_from_Actuarial___Production[[#This Row],[Kor1]],$AI$3:$AK$105,3,FALSE)</f>
        <v>Misc. Expense</v>
      </c>
      <c r="X3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1"/>
      <c r="Z3321" t="s">
        <v>39</v>
      </c>
      <c r="AA3321" t="s">
        <v>240</v>
      </c>
      <c r="AB3321" t="s">
        <v>441</v>
      </c>
      <c r="AC3321" s="21">
        <v>548.78</v>
      </c>
      <c r="AD3321" s="21" t="s">
        <v>368</v>
      </c>
      <c r="AE3321" t="str">
        <f>VLOOKUP(Table_Query_from_Actuarial___Production3[[#This Row],[Kor1]],$AI$3:$AK$105,3,FALSE)</f>
        <v>Misc. Income for Insolvent Companies</v>
      </c>
      <c r="AF3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2" spans="18:32" x14ac:dyDescent="0.2">
      <c r="R3322" t="s">
        <v>41</v>
      </c>
      <c r="S3322" t="s">
        <v>235</v>
      </c>
      <c r="T3322" t="s">
        <v>356</v>
      </c>
      <c r="U3322" s="21">
        <v>900.01</v>
      </c>
      <c r="V3322" s="21" t="s">
        <v>368</v>
      </c>
      <c r="W3322" t="str">
        <f>VLOOKUP(Table_Query_from_Actuarial___Production[[#This Row],[Kor1]],$AI$3:$AK$105,3,FALSE)</f>
        <v>Misc. Income</v>
      </c>
      <c r="X3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2"/>
      <c r="Z3322" t="s">
        <v>10</v>
      </c>
      <c r="AA3322" t="s">
        <v>237</v>
      </c>
      <c r="AB3322" t="s">
        <v>442</v>
      </c>
      <c r="AC3322" s="21">
        <v>3229011.37</v>
      </c>
      <c r="AD3322" s="21" t="s">
        <v>368</v>
      </c>
      <c r="AE3322" t="str">
        <f>VLOOKUP(Table_Query_from_Actuarial___Production3[[#This Row],[Kor1]],$AI$3:$AK$105,3,FALSE)</f>
        <v>Commissions</v>
      </c>
      <c r="AF3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3" spans="18:32" x14ac:dyDescent="0.2">
      <c r="R3323" t="s">
        <v>21</v>
      </c>
      <c r="S3323" t="s">
        <v>261</v>
      </c>
      <c r="T3323" t="s">
        <v>8</v>
      </c>
      <c r="U3323" s="21">
        <v>1425</v>
      </c>
      <c r="V3323" s="21" t="s">
        <v>368</v>
      </c>
      <c r="W3323" t="str">
        <f>VLOOKUP(Table_Query_from_Actuarial___Production[[#This Row],[Kor1]],$AI$3:$AK$105,3,FALSE)</f>
        <v>Misc. Expense</v>
      </c>
      <c r="X3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3"/>
      <c r="Z3323" t="s">
        <v>3</v>
      </c>
      <c r="AA3323" t="s">
        <v>227</v>
      </c>
      <c r="AB3323" t="s">
        <v>442</v>
      </c>
      <c r="AC3323" s="21">
        <v>16250</v>
      </c>
      <c r="AD3323" s="21" t="s">
        <v>368</v>
      </c>
      <c r="AE3323" t="str">
        <f>VLOOKUP(Table_Query_from_Actuarial___Production3[[#This Row],[Kor1]],$AI$3:$AK$105,3,FALSE)</f>
        <v>Premiums Written</v>
      </c>
      <c r="AF3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4" spans="18:32" x14ac:dyDescent="0.2">
      <c r="R3324" t="s">
        <v>33</v>
      </c>
      <c r="S3324" t="s">
        <v>231</v>
      </c>
      <c r="T3324" t="s">
        <v>8</v>
      </c>
      <c r="U3324" s="21">
        <v>14894.72</v>
      </c>
      <c r="V3324" s="21" t="s">
        <v>368</v>
      </c>
      <c r="W3324" t="str">
        <f>VLOOKUP(Table_Query_from_Actuarial___Production[[#This Row],[Kor1]],$AI$3:$AK$105,3,FALSE)</f>
        <v>Misc. Expense</v>
      </c>
      <c r="X3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4"/>
      <c r="Z3324" t="s">
        <v>37</v>
      </c>
      <c r="AA3324" t="s">
        <v>239</v>
      </c>
      <c r="AB3324" t="s">
        <v>8</v>
      </c>
      <c r="AC3324" s="21">
        <v>-2.33</v>
      </c>
      <c r="AD3324" s="21" t="s">
        <v>368</v>
      </c>
      <c r="AE3324" t="str">
        <f>VLOOKUP(Table_Query_from_Actuarial___Production3[[#This Row],[Kor1]],$AI$3:$AK$105,3,FALSE)</f>
        <v>Misc. Expense</v>
      </c>
      <c r="AF3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5" spans="18:32" x14ac:dyDescent="0.2">
      <c r="R3325" t="s">
        <v>48</v>
      </c>
      <c r="S3325" t="s">
        <v>237</v>
      </c>
      <c r="T3325" t="s">
        <v>427</v>
      </c>
      <c r="U3325" s="21">
        <v>15632.5</v>
      </c>
      <c r="V3325" s="21" t="s">
        <v>368</v>
      </c>
      <c r="W3325" t="str">
        <f>VLOOKUP(Table_Query_from_Actuarial___Production[[#This Row],[Kor1]],$AI$3:$AK$105,3,FALSE)</f>
        <v>Anticipated Salvage</v>
      </c>
      <c r="X3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5"/>
      <c r="Z3325" t="s">
        <v>43</v>
      </c>
      <c r="AA3325" t="s">
        <v>241</v>
      </c>
      <c r="AB3325" t="s">
        <v>9</v>
      </c>
      <c r="AC3325" s="21">
        <v>-415.53</v>
      </c>
      <c r="AD3325" s="21" t="s">
        <v>368</v>
      </c>
      <c r="AE3325" t="str">
        <f>VLOOKUP(Table_Query_from_Actuarial___Production3[[#This Row],[Kor1]],$AI$3:$AK$105,3,FALSE)</f>
        <v>Charge-offs</v>
      </c>
      <c r="AF3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6" spans="18:32" x14ac:dyDescent="0.2">
      <c r="R3326" t="s">
        <v>41</v>
      </c>
      <c r="S3326" t="s">
        <v>242</v>
      </c>
      <c r="T3326" t="s">
        <v>442</v>
      </c>
      <c r="U3326" s="21">
        <v>290.83</v>
      </c>
      <c r="V3326" s="21" t="s">
        <v>368</v>
      </c>
      <c r="W3326" t="str">
        <f>VLOOKUP(Table_Query_from_Actuarial___Production[[#This Row],[Kor1]],$AI$3:$AK$105,3,FALSE)</f>
        <v>Misc. Income</v>
      </c>
      <c r="X3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6"/>
      <c r="Z3326" t="s">
        <v>3</v>
      </c>
      <c r="AA3326" t="s">
        <v>249</v>
      </c>
      <c r="AB3326" t="s">
        <v>433</v>
      </c>
      <c r="AC3326" s="21">
        <v>661947</v>
      </c>
      <c r="AD3326" s="21" t="s">
        <v>368</v>
      </c>
      <c r="AE3326" t="str">
        <f>VLOOKUP(Table_Query_from_Actuarial___Production3[[#This Row],[Kor1]],$AI$3:$AK$105,3,FALSE)</f>
        <v>Premiums Written</v>
      </c>
      <c r="AF3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7" spans="18:32" x14ac:dyDescent="0.2">
      <c r="R3327" t="s">
        <v>14</v>
      </c>
      <c r="S3327" t="s">
        <v>250</v>
      </c>
      <c r="T3327" t="s">
        <v>442</v>
      </c>
      <c r="U3327" s="21">
        <v>124740.99</v>
      </c>
      <c r="V3327" s="21" t="s">
        <v>368</v>
      </c>
      <c r="W3327" t="str">
        <f>VLOOKUP(Table_Query_from_Actuarial___Production[[#This Row],[Kor1]],$AI$3:$AK$105,3,FALSE)</f>
        <v>Claims Expense</v>
      </c>
      <c r="X3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7"/>
      <c r="Z3327" t="s">
        <v>12</v>
      </c>
      <c r="AA3327" t="s">
        <v>252</v>
      </c>
      <c r="AB3327" t="s">
        <v>9</v>
      </c>
      <c r="AC3327" s="21">
        <v>336085.41</v>
      </c>
      <c r="AD3327" s="21" t="s">
        <v>368</v>
      </c>
      <c r="AE3327" t="str">
        <f>VLOOKUP(Table_Query_from_Actuarial___Production3[[#This Row],[Kor1]],$AI$3:$AK$105,3,FALSE)</f>
        <v>Premium Tax</v>
      </c>
      <c r="AF3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8" spans="18:32" x14ac:dyDescent="0.2">
      <c r="R3328" t="s">
        <v>20</v>
      </c>
      <c r="S3328" t="s">
        <v>259</v>
      </c>
      <c r="T3328" t="s">
        <v>9</v>
      </c>
      <c r="U3328" s="21">
        <v>2101.63</v>
      </c>
      <c r="V3328" s="21" t="s">
        <v>368</v>
      </c>
      <c r="W3328" t="str">
        <f>VLOOKUP(Table_Query_from_Actuarial___Production[[#This Row],[Kor1]],$AI$3:$AK$105,3,FALSE)</f>
        <v>Misc. Expense</v>
      </c>
      <c r="X3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8"/>
      <c r="Z3328" t="s">
        <v>12</v>
      </c>
      <c r="AA3328" t="s">
        <v>243</v>
      </c>
      <c r="AB3328" t="s">
        <v>5</v>
      </c>
      <c r="AC3328" s="21">
        <v>2201.88</v>
      </c>
      <c r="AD3328" s="21" t="s">
        <v>368</v>
      </c>
      <c r="AE3328" t="str">
        <f>VLOOKUP(Table_Query_from_Actuarial___Production3[[#This Row],[Kor1]],$AI$3:$AK$105,3,FALSE)</f>
        <v>Premium Tax</v>
      </c>
      <c r="AF3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29" spans="18:32" x14ac:dyDescent="0.2">
      <c r="R3329" t="s">
        <v>36</v>
      </c>
      <c r="S3329" t="s">
        <v>234</v>
      </c>
      <c r="T3329" t="s">
        <v>427</v>
      </c>
      <c r="U3329" s="21">
        <v>250</v>
      </c>
      <c r="V3329" s="21" t="s">
        <v>368</v>
      </c>
      <c r="W3329" t="str">
        <f>VLOOKUP(Table_Query_from_Actuarial___Production[[#This Row],[Kor1]],$AI$3:$AK$105,3,FALSE)</f>
        <v>Misc. Expense</v>
      </c>
      <c r="X3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29"/>
      <c r="Z3329" t="s">
        <v>12</v>
      </c>
      <c r="AA3329" t="s">
        <v>257</v>
      </c>
      <c r="AB3329" t="s">
        <v>8</v>
      </c>
      <c r="AC3329" s="21">
        <v>33143.99</v>
      </c>
      <c r="AD3329" s="21" t="s">
        <v>368</v>
      </c>
      <c r="AE3329" t="str">
        <f>VLOOKUP(Table_Query_from_Actuarial___Production3[[#This Row],[Kor1]],$AI$3:$AK$105,3,FALSE)</f>
        <v>Premium Tax</v>
      </c>
      <c r="AF3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0" spans="18:32" x14ac:dyDescent="0.2">
      <c r="R3330" t="s">
        <v>41</v>
      </c>
      <c r="S3330" t="s">
        <v>239</v>
      </c>
      <c r="T3330" t="s">
        <v>427</v>
      </c>
      <c r="U3330" s="21">
        <v>150</v>
      </c>
      <c r="V3330" s="21" t="s">
        <v>368</v>
      </c>
      <c r="W3330" t="str">
        <f>VLOOKUP(Table_Query_from_Actuarial___Production[[#This Row],[Kor1]],$AI$3:$AK$105,3,FALSE)</f>
        <v>Misc. Income</v>
      </c>
      <c r="X3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0"/>
      <c r="Z3330" t="s">
        <v>39</v>
      </c>
      <c r="AA3330" t="s">
        <v>251</v>
      </c>
      <c r="AB3330" t="s">
        <v>441</v>
      </c>
      <c r="AC3330" s="21">
        <v>104.63</v>
      </c>
      <c r="AD3330" s="21" t="s">
        <v>368</v>
      </c>
      <c r="AE3330" t="str">
        <f>VLOOKUP(Table_Query_from_Actuarial___Production3[[#This Row],[Kor1]],$AI$3:$AK$105,3,FALSE)</f>
        <v>Misc. Income for Insolvent Companies</v>
      </c>
      <c r="AF3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1" spans="18:32" x14ac:dyDescent="0.2">
      <c r="R3331" t="s">
        <v>3</v>
      </c>
      <c r="S3331" t="s">
        <v>224</v>
      </c>
      <c r="T3331" t="s">
        <v>441</v>
      </c>
      <c r="U3331" s="21">
        <v>1191810.51</v>
      </c>
      <c r="V3331" s="21" t="s">
        <v>370</v>
      </c>
      <c r="W3331" t="str">
        <f>VLOOKUP(Table_Query_from_Actuarial___Production[[#This Row],[Kor1]],$AI$3:$AK$105,3,FALSE)</f>
        <v>Premiums Written</v>
      </c>
      <c r="X3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331"/>
      <c r="Z3331" t="s">
        <v>44</v>
      </c>
      <c r="AA3331" t="s">
        <v>239</v>
      </c>
      <c r="AB3331" t="s">
        <v>351</v>
      </c>
      <c r="AC3331" s="21">
        <v>7967</v>
      </c>
      <c r="AD3331" s="21" t="s">
        <v>368</v>
      </c>
      <c r="AE3331" t="str">
        <f>VLOOKUP(Table_Query_from_Actuarial___Production3[[#This Row],[Kor1]],$AI$3:$AK$105,3,FALSE)</f>
        <v>Charge-offs</v>
      </c>
      <c r="AF3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2" spans="18:32" x14ac:dyDescent="0.2">
      <c r="R3332" t="s">
        <v>37</v>
      </c>
      <c r="S3332" t="s">
        <v>265</v>
      </c>
      <c r="T3332" t="s">
        <v>6</v>
      </c>
      <c r="U3332" s="21">
        <v>29.59</v>
      </c>
      <c r="V3332" s="21" t="s">
        <v>368</v>
      </c>
      <c r="W3332" t="str">
        <f>VLOOKUP(Table_Query_from_Actuarial___Production[[#This Row],[Kor1]],$AI$3:$AK$105,3,FALSE)</f>
        <v>Misc. Expense</v>
      </c>
      <c r="X3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2"/>
      <c r="Z3332" t="s">
        <v>44</v>
      </c>
      <c r="AA3332" t="s">
        <v>233</v>
      </c>
      <c r="AB3332" t="s">
        <v>7</v>
      </c>
      <c r="AC3332" s="21">
        <v>5604.38</v>
      </c>
      <c r="AD3332" s="21" t="s">
        <v>368</v>
      </c>
      <c r="AE3332" t="str">
        <f>VLOOKUP(Table_Query_from_Actuarial___Production3[[#This Row],[Kor1]],$AI$3:$AK$105,3,FALSE)</f>
        <v>Charge-offs</v>
      </c>
      <c r="AF3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3" spans="18:32" x14ac:dyDescent="0.2">
      <c r="R3333" t="s">
        <v>40</v>
      </c>
      <c r="S3333" t="s">
        <v>265</v>
      </c>
      <c r="T3333" t="s">
        <v>356</v>
      </c>
      <c r="U3333" s="21">
        <v>116.98</v>
      </c>
      <c r="V3333" s="21" t="s">
        <v>368</v>
      </c>
      <c r="W3333" t="str">
        <f>VLOOKUP(Table_Query_from_Actuarial___Production[[#This Row],[Kor1]],$AI$3:$AK$105,3,FALSE)</f>
        <v>Misc. Income</v>
      </c>
      <c r="X3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3"/>
      <c r="Z3333" t="s">
        <v>41</v>
      </c>
      <c r="AA3333" t="s">
        <v>229</v>
      </c>
      <c r="AB3333" t="s">
        <v>6</v>
      </c>
      <c r="AC3333" s="21">
        <v>100</v>
      </c>
      <c r="AD3333" s="21" t="s">
        <v>368</v>
      </c>
      <c r="AE3333" t="str">
        <f>VLOOKUP(Table_Query_from_Actuarial___Production3[[#This Row],[Kor1]],$AI$3:$AK$105,3,FALSE)</f>
        <v>Misc. Income</v>
      </c>
      <c r="AF3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4" spans="18:32" x14ac:dyDescent="0.2">
      <c r="R3334" t="s">
        <v>41</v>
      </c>
      <c r="S3334" t="s">
        <v>255</v>
      </c>
      <c r="T3334" t="s">
        <v>351</v>
      </c>
      <c r="U3334" s="21">
        <v>350</v>
      </c>
      <c r="V3334" s="21" t="s">
        <v>368</v>
      </c>
      <c r="W3334" t="str">
        <f>VLOOKUP(Table_Query_from_Actuarial___Production[[#This Row],[Kor1]],$AI$3:$AK$105,3,FALSE)</f>
        <v>Misc. Income</v>
      </c>
      <c r="X3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4"/>
      <c r="Z3334" t="s">
        <v>44</v>
      </c>
      <c r="AA3334" t="s">
        <v>244</v>
      </c>
      <c r="AB3334" t="s">
        <v>427</v>
      </c>
      <c r="AC3334" s="21">
        <v>29392.31</v>
      </c>
      <c r="AD3334" s="21" t="s">
        <v>368</v>
      </c>
      <c r="AE3334" t="str">
        <f>VLOOKUP(Table_Query_from_Actuarial___Production3[[#This Row],[Kor1]],$AI$3:$AK$105,3,FALSE)</f>
        <v>Charge-offs</v>
      </c>
      <c r="AF3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5" spans="18:32" x14ac:dyDescent="0.2">
      <c r="R3335" t="s">
        <v>10</v>
      </c>
      <c r="S3335" t="s">
        <v>249</v>
      </c>
      <c r="T3335" t="s">
        <v>351</v>
      </c>
      <c r="U3335" s="21">
        <v>19233.580000000002</v>
      </c>
      <c r="V3335" s="21" t="s">
        <v>368</v>
      </c>
      <c r="W3335" t="str">
        <f>VLOOKUP(Table_Query_from_Actuarial___Production[[#This Row],[Kor1]],$AI$3:$AK$105,3,FALSE)</f>
        <v>Commissions</v>
      </c>
      <c r="X3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5"/>
      <c r="Z3335" t="s">
        <v>50</v>
      </c>
      <c r="AA3335" t="s">
        <v>226</v>
      </c>
      <c r="AB3335" t="s">
        <v>7</v>
      </c>
      <c r="AC3335" s="21">
        <v>18870</v>
      </c>
      <c r="AD3335" s="21" t="s">
        <v>368</v>
      </c>
      <c r="AE3335" t="str">
        <f>VLOOKUP(Table_Query_from_Actuarial___Production3[[#This Row],[Kor1]],$AI$3:$AK$105,3,FALSE)</f>
        <v>ALAE Reserve</v>
      </c>
      <c r="AF3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336" spans="18:32" x14ac:dyDescent="0.2">
      <c r="R3336" t="s">
        <v>17</v>
      </c>
      <c r="S3336" t="s">
        <v>242</v>
      </c>
      <c r="T3336" t="s">
        <v>441</v>
      </c>
      <c r="U3336" s="21">
        <v>32585.37</v>
      </c>
      <c r="V3336" s="21" t="s">
        <v>368</v>
      </c>
      <c r="W3336" t="str">
        <f>VLOOKUP(Table_Query_from_Actuarial___Production[[#This Row],[Kor1]],$AI$3:$AK$105,3,FALSE)</f>
        <v>IBNR</v>
      </c>
      <c r="X3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6"/>
      <c r="Z3336" t="s">
        <v>29</v>
      </c>
      <c r="AA3336" t="s">
        <v>259</v>
      </c>
      <c r="AB3336" t="s">
        <v>9</v>
      </c>
      <c r="AC3336" s="21">
        <v>2443.61</v>
      </c>
      <c r="AD3336" s="21" t="s">
        <v>368</v>
      </c>
      <c r="AE3336" t="str">
        <f>VLOOKUP(Table_Query_from_Actuarial___Production3[[#This Row],[Kor1]],$AI$3:$AK$105,3,FALSE)</f>
        <v>Misc. Expense</v>
      </c>
      <c r="AF3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7" spans="18:32" x14ac:dyDescent="0.2">
      <c r="R3337" t="s">
        <v>36</v>
      </c>
      <c r="S3337" t="s">
        <v>234</v>
      </c>
      <c r="T3337" t="s">
        <v>443</v>
      </c>
      <c r="U3337" s="21">
        <v>1469.98</v>
      </c>
      <c r="V3337" s="21" t="s">
        <v>368</v>
      </c>
      <c r="W3337" t="str">
        <f>VLOOKUP(Table_Query_from_Actuarial___Production[[#This Row],[Kor1]],$AI$3:$AK$105,3,FALSE)</f>
        <v>Misc. Expense</v>
      </c>
      <c r="X3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7"/>
      <c r="Z3337" t="s">
        <v>3</v>
      </c>
      <c r="AA3337" t="s">
        <v>224</v>
      </c>
      <c r="AB3337" t="s">
        <v>8</v>
      </c>
      <c r="AC3337" s="21">
        <v>2637268.73</v>
      </c>
      <c r="AD3337" s="21" t="s">
        <v>368</v>
      </c>
      <c r="AE3337" t="str">
        <f>VLOOKUP(Table_Query_from_Actuarial___Production3[[#This Row],[Kor1]],$AI$3:$AK$105,3,FALSE)</f>
        <v>Premiums Written</v>
      </c>
      <c r="AF3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338" spans="18:32" x14ac:dyDescent="0.2">
      <c r="R3338" t="s">
        <v>11</v>
      </c>
      <c r="S3338" t="s">
        <v>264</v>
      </c>
      <c r="T3338" t="s">
        <v>427</v>
      </c>
      <c r="U3338" s="21">
        <v>4421896.96</v>
      </c>
      <c r="V3338" s="21" t="s">
        <v>368</v>
      </c>
      <c r="W3338" t="str">
        <f>VLOOKUP(Table_Query_from_Actuarial___Production[[#This Row],[Kor1]],$AI$3:$AK$105,3,FALSE)</f>
        <v>Losses Paid</v>
      </c>
      <c r="X3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8"/>
      <c r="Z3338" t="s">
        <v>19</v>
      </c>
      <c r="AA3338" t="s">
        <v>255</v>
      </c>
      <c r="AB3338" t="s">
        <v>6</v>
      </c>
      <c r="AC3338" s="21">
        <v>18</v>
      </c>
      <c r="AD3338" s="21" t="s">
        <v>368</v>
      </c>
      <c r="AE3338" t="str">
        <f>VLOOKUP(Table_Query_from_Actuarial___Production3[[#This Row],[Kor1]],$AI$3:$AK$105,3,FALSE)</f>
        <v>Misc. Expense for Insolvent Companies</v>
      </c>
      <c r="AF3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39" spans="18:32" x14ac:dyDescent="0.2">
      <c r="R3339" t="s">
        <v>12</v>
      </c>
      <c r="S3339" t="s">
        <v>258</v>
      </c>
      <c r="T3339" t="s">
        <v>441</v>
      </c>
      <c r="U3339" s="21">
        <v>67511.5</v>
      </c>
      <c r="V3339" s="21" t="s">
        <v>368</v>
      </c>
      <c r="W3339" t="str">
        <f>VLOOKUP(Table_Query_from_Actuarial___Production[[#This Row],[Kor1]],$AI$3:$AK$105,3,FALSE)</f>
        <v>Premium Tax</v>
      </c>
      <c r="X3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39"/>
      <c r="Z3339" t="s">
        <v>12</v>
      </c>
      <c r="AA3339" t="s">
        <v>262</v>
      </c>
      <c r="AB3339" t="s">
        <v>351</v>
      </c>
      <c r="AC3339" s="21">
        <v>19552.02</v>
      </c>
      <c r="AD3339" s="21" t="s">
        <v>368</v>
      </c>
      <c r="AE3339" t="str">
        <f>VLOOKUP(Table_Query_from_Actuarial___Production3[[#This Row],[Kor1]],$AI$3:$AK$105,3,FALSE)</f>
        <v>Premium Tax</v>
      </c>
      <c r="AF3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0" spans="18:32" x14ac:dyDescent="0.2">
      <c r="R3340" t="s">
        <v>36</v>
      </c>
      <c r="S3340" t="s">
        <v>241</v>
      </c>
      <c r="T3340" t="s">
        <v>8</v>
      </c>
      <c r="U3340" s="21">
        <v>359.24</v>
      </c>
      <c r="V3340" s="21" t="s">
        <v>368</v>
      </c>
      <c r="W3340" t="str">
        <f>VLOOKUP(Table_Query_from_Actuarial___Production[[#This Row],[Kor1]],$AI$3:$AK$105,3,FALSE)</f>
        <v>Misc. Expense</v>
      </c>
      <c r="X3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0"/>
      <c r="Z3340" t="s">
        <v>46</v>
      </c>
      <c r="AA3340" t="s">
        <v>354</v>
      </c>
      <c r="AB3340" t="s">
        <v>7</v>
      </c>
      <c r="AC3340" s="21">
        <v>1902935.02</v>
      </c>
      <c r="AD3340" s="21" t="s">
        <v>368</v>
      </c>
      <c r="AE3340" t="str">
        <f>VLOOKUP(Table_Query_from_Actuarial___Production3[[#This Row],[Kor1]],$AI$3:$AK$105,3,FALSE)</f>
        <v>Investment Income</v>
      </c>
      <c r="AF3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341" spans="18:32" x14ac:dyDescent="0.2">
      <c r="R3341" t="s">
        <v>10</v>
      </c>
      <c r="S3341" t="s">
        <v>257</v>
      </c>
      <c r="T3341" t="s">
        <v>9</v>
      </c>
      <c r="U3341" s="21">
        <v>86932.03</v>
      </c>
      <c r="V3341" s="21" t="s">
        <v>368</v>
      </c>
      <c r="W3341" t="str">
        <f>VLOOKUP(Table_Query_from_Actuarial___Production[[#This Row],[Kor1]],$AI$3:$AK$105,3,FALSE)</f>
        <v>Commissions</v>
      </c>
      <c r="X3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1"/>
      <c r="Z3341" t="s">
        <v>44</v>
      </c>
      <c r="AA3341" t="s">
        <v>225</v>
      </c>
      <c r="AB3341" t="s">
        <v>433</v>
      </c>
      <c r="AC3341" s="21">
        <v>755.91</v>
      </c>
      <c r="AD3341" s="21" t="s">
        <v>369</v>
      </c>
      <c r="AE3341" t="str">
        <f>VLOOKUP(Table_Query_from_Actuarial___Production3[[#This Row],[Kor1]],$AI$3:$AK$105,3,FALSE)</f>
        <v>Charge-offs</v>
      </c>
      <c r="AF3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342" spans="18:32" x14ac:dyDescent="0.2">
      <c r="R3342" t="s">
        <v>37</v>
      </c>
      <c r="S3342" t="s">
        <v>230</v>
      </c>
      <c r="T3342" t="s">
        <v>443</v>
      </c>
      <c r="U3342" s="21">
        <v>50836.25</v>
      </c>
      <c r="V3342" s="21" t="s">
        <v>368</v>
      </c>
      <c r="W3342" t="str">
        <f>VLOOKUP(Table_Query_from_Actuarial___Production[[#This Row],[Kor1]],$AI$3:$AK$105,3,FALSE)</f>
        <v>Misc. Expense</v>
      </c>
      <c r="X3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2"/>
      <c r="Z3342" t="s">
        <v>13</v>
      </c>
      <c r="AA3342" t="s">
        <v>236</v>
      </c>
      <c r="AB3342" t="s">
        <v>7</v>
      </c>
      <c r="AC3342" s="21">
        <v>4956.4799999999996</v>
      </c>
      <c r="AD3342" s="21" t="s">
        <v>368</v>
      </c>
      <c r="AE3342" t="str">
        <f>VLOOKUP(Table_Query_from_Actuarial___Production3[[#This Row],[Kor1]],$AI$3:$AK$105,3,FALSE)</f>
        <v>Operating Service Fees</v>
      </c>
      <c r="AF3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3" spans="18:32" x14ac:dyDescent="0.2">
      <c r="R3343" t="s">
        <v>19</v>
      </c>
      <c r="S3343" t="s">
        <v>267</v>
      </c>
      <c r="T3343" t="s">
        <v>433</v>
      </c>
      <c r="U3343" s="21">
        <v>1216</v>
      </c>
      <c r="V3343" s="21" t="s">
        <v>368</v>
      </c>
      <c r="W3343" t="str">
        <f>VLOOKUP(Table_Query_from_Actuarial___Production[[#This Row],[Kor1]],$AI$3:$AK$105,3,FALSE)</f>
        <v>Misc. Expense for Insolvent Companies</v>
      </c>
      <c r="X3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3"/>
      <c r="Z3343" t="s">
        <v>19</v>
      </c>
      <c r="AA3343" t="s">
        <v>246</v>
      </c>
      <c r="AB3343" t="s">
        <v>7</v>
      </c>
      <c r="AC3343" s="21">
        <v>755</v>
      </c>
      <c r="AD3343" s="21" t="s">
        <v>368</v>
      </c>
      <c r="AE3343" t="str">
        <f>VLOOKUP(Table_Query_from_Actuarial___Production3[[#This Row],[Kor1]],$AI$3:$AK$105,3,FALSE)</f>
        <v>Misc. Expense for Insolvent Companies</v>
      </c>
      <c r="AF3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4" spans="18:32" x14ac:dyDescent="0.2">
      <c r="R3344" t="s">
        <v>3</v>
      </c>
      <c r="S3344" t="s">
        <v>244</v>
      </c>
      <c r="T3344" t="s">
        <v>433</v>
      </c>
      <c r="U3344" s="21">
        <v>2531541</v>
      </c>
      <c r="V3344" s="21" t="s">
        <v>368</v>
      </c>
      <c r="W3344" t="str">
        <f>VLOOKUP(Table_Query_from_Actuarial___Production[[#This Row],[Kor1]],$AI$3:$AK$105,3,FALSE)</f>
        <v>Premiums Written</v>
      </c>
      <c r="X3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4"/>
      <c r="Z3344" t="s">
        <v>3</v>
      </c>
      <c r="AA3344" t="s">
        <v>232</v>
      </c>
      <c r="AB3344" t="s">
        <v>356</v>
      </c>
      <c r="AC3344" s="21">
        <v>770622</v>
      </c>
      <c r="AD3344" s="21" t="s">
        <v>368</v>
      </c>
      <c r="AE3344" t="str">
        <f>VLOOKUP(Table_Query_from_Actuarial___Production3[[#This Row],[Kor1]],$AI$3:$AK$105,3,FALSE)</f>
        <v>Premiums Written</v>
      </c>
      <c r="AF3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5" spans="18:32" x14ac:dyDescent="0.2">
      <c r="R3345" t="s">
        <v>43</v>
      </c>
      <c r="S3345" t="s">
        <v>232</v>
      </c>
      <c r="T3345" t="s">
        <v>427</v>
      </c>
      <c r="U3345" s="21">
        <v>-1018.42</v>
      </c>
      <c r="V3345" s="21" t="s">
        <v>368</v>
      </c>
      <c r="W3345" t="str">
        <f>VLOOKUP(Table_Query_from_Actuarial___Production[[#This Row],[Kor1]],$AI$3:$AK$105,3,FALSE)</f>
        <v>Charge-offs</v>
      </c>
      <c r="X3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5"/>
      <c r="Z3345" t="s">
        <v>34</v>
      </c>
      <c r="AA3345" t="s">
        <v>231</v>
      </c>
      <c r="AB3345" t="s">
        <v>442</v>
      </c>
      <c r="AC3345" s="21">
        <v>3422.67</v>
      </c>
      <c r="AD3345" s="21" t="s">
        <v>368</v>
      </c>
      <c r="AE3345" t="str">
        <f>VLOOKUP(Table_Query_from_Actuarial___Production3[[#This Row],[Kor1]],$AI$3:$AK$105,3,FALSE)</f>
        <v>Misc. Expense</v>
      </c>
      <c r="AF3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6" spans="18:32" x14ac:dyDescent="0.2">
      <c r="R3346" t="s">
        <v>43</v>
      </c>
      <c r="S3346" t="s">
        <v>251</v>
      </c>
      <c r="T3346" t="s">
        <v>442</v>
      </c>
      <c r="U3346" s="21">
        <v>3726.96</v>
      </c>
      <c r="V3346" s="21" t="s">
        <v>368</v>
      </c>
      <c r="W3346" t="str">
        <f>VLOOKUP(Table_Query_from_Actuarial___Production[[#This Row],[Kor1]],$AI$3:$AK$105,3,FALSE)</f>
        <v>Charge-offs</v>
      </c>
      <c r="X3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6"/>
      <c r="Z3346" t="s">
        <v>33</v>
      </c>
      <c r="AA3346" t="s">
        <v>233</v>
      </c>
      <c r="AB3346" t="s">
        <v>442</v>
      </c>
      <c r="AC3346" s="21">
        <v>15962.98</v>
      </c>
      <c r="AD3346" s="21" t="s">
        <v>368</v>
      </c>
      <c r="AE3346" t="str">
        <f>VLOOKUP(Table_Query_from_Actuarial___Production3[[#This Row],[Kor1]],$AI$3:$AK$105,3,FALSE)</f>
        <v>Misc. Expense</v>
      </c>
      <c r="AF3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7" spans="18:32" x14ac:dyDescent="0.2">
      <c r="R3347" t="s">
        <v>15</v>
      </c>
      <c r="S3347" t="s">
        <v>266</v>
      </c>
      <c r="T3347" t="s">
        <v>443</v>
      </c>
      <c r="U3347" s="21">
        <v>157565.32999999999</v>
      </c>
      <c r="V3347" s="21" t="s">
        <v>368</v>
      </c>
      <c r="W3347" t="str">
        <f>VLOOKUP(Table_Query_from_Actuarial___Production[[#This Row],[Kor1]],$AI$3:$AK$105,3,FALSE)</f>
        <v>Unearned Premiums</v>
      </c>
      <c r="X3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7"/>
      <c r="Z3347" t="s">
        <v>10</v>
      </c>
      <c r="AA3347" t="s">
        <v>263</v>
      </c>
      <c r="AB3347" t="s">
        <v>8</v>
      </c>
      <c r="AC3347" s="21">
        <v>38260.85</v>
      </c>
      <c r="AD3347" s="21" t="s">
        <v>368</v>
      </c>
      <c r="AE3347" t="str">
        <f>VLOOKUP(Table_Query_from_Actuarial___Production3[[#This Row],[Kor1]],$AI$3:$AK$105,3,FALSE)</f>
        <v>Commissions</v>
      </c>
      <c r="AF3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8" spans="18:32" x14ac:dyDescent="0.2">
      <c r="R3348" t="s">
        <v>33</v>
      </c>
      <c r="S3348" t="s">
        <v>245</v>
      </c>
      <c r="T3348" t="s">
        <v>427</v>
      </c>
      <c r="U3348" s="21">
        <v>9053.44</v>
      </c>
      <c r="V3348" s="21" t="s">
        <v>368</v>
      </c>
      <c r="W3348" t="str">
        <f>VLOOKUP(Table_Query_from_Actuarial___Production[[#This Row],[Kor1]],$AI$3:$AK$105,3,FALSE)</f>
        <v>Misc. Expense</v>
      </c>
      <c r="X3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8"/>
      <c r="Z3348" t="s">
        <v>19</v>
      </c>
      <c r="AA3348" t="s">
        <v>230</v>
      </c>
      <c r="AB3348" t="s">
        <v>443</v>
      </c>
      <c r="AC3348" s="21">
        <v>526.89</v>
      </c>
      <c r="AD3348" s="21" t="s">
        <v>368</v>
      </c>
      <c r="AE3348" t="str">
        <f>VLOOKUP(Table_Query_from_Actuarial___Production3[[#This Row],[Kor1]],$AI$3:$AK$105,3,FALSE)</f>
        <v>Misc. Expense for Insolvent Companies</v>
      </c>
      <c r="AF3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49" spans="18:32" x14ac:dyDescent="0.2">
      <c r="R3349" t="s">
        <v>33</v>
      </c>
      <c r="S3349" t="s">
        <v>253</v>
      </c>
      <c r="T3349" t="s">
        <v>442</v>
      </c>
      <c r="U3349" s="21">
        <v>16066.04</v>
      </c>
      <c r="V3349" s="21" t="s">
        <v>368</v>
      </c>
      <c r="W3349" t="str">
        <f>VLOOKUP(Table_Query_from_Actuarial___Production[[#This Row],[Kor1]],$AI$3:$AK$105,3,FALSE)</f>
        <v>Misc. Expense</v>
      </c>
      <c r="X3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49"/>
      <c r="Z3349" t="s">
        <v>31</v>
      </c>
      <c r="AA3349" t="s">
        <v>256</v>
      </c>
      <c r="AB3349" t="s">
        <v>356</v>
      </c>
      <c r="AC3349" s="21">
        <v>694.04</v>
      </c>
      <c r="AD3349" s="21" t="s">
        <v>368</v>
      </c>
      <c r="AE3349" t="str">
        <f>VLOOKUP(Table_Query_from_Actuarial___Production3[[#This Row],[Kor1]],$AI$3:$AK$105,3,FALSE)</f>
        <v>Misc. Expense</v>
      </c>
      <c r="AF3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0" spans="18:32" x14ac:dyDescent="0.2">
      <c r="R3350" t="s">
        <v>16</v>
      </c>
      <c r="S3350" t="s">
        <v>226</v>
      </c>
      <c r="T3350" t="s">
        <v>445</v>
      </c>
      <c r="U3350" s="21">
        <v>293001.69</v>
      </c>
      <c r="V3350" s="21" t="s">
        <v>368</v>
      </c>
      <c r="W3350" t="str">
        <f>VLOOKUP(Table_Query_from_Actuarial___Production[[#This Row],[Kor1]],$AI$3:$AK$105,3,FALSE)</f>
        <v>Losses Outstanding</v>
      </c>
      <c r="X3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350"/>
      <c r="Z3350" t="s">
        <v>41</v>
      </c>
      <c r="AA3350" t="s">
        <v>235</v>
      </c>
      <c r="AB3350" t="s">
        <v>356</v>
      </c>
      <c r="AC3350" s="21">
        <v>900.01</v>
      </c>
      <c r="AD3350" s="21" t="s">
        <v>368</v>
      </c>
      <c r="AE3350" t="str">
        <f>VLOOKUP(Table_Query_from_Actuarial___Production3[[#This Row],[Kor1]],$AI$3:$AK$105,3,FALSE)</f>
        <v>Misc. Income</v>
      </c>
      <c r="AF3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1" spans="18:32" x14ac:dyDescent="0.2">
      <c r="R3351" t="s">
        <v>14</v>
      </c>
      <c r="S3351" t="s">
        <v>246</v>
      </c>
      <c r="T3351" t="s">
        <v>442</v>
      </c>
      <c r="U3351" s="21">
        <v>240811.24</v>
      </c>
      <c r="V3351" s="21" t="s">
        <v>368</v>
      </c>
      <c r="W3351" t="str">
        <f>VLOOKUP(Table_Query_from_Actuarial___Production[[#This Row],[Kor1]],$AI$3:$AK$105,3,FALSE)</f>
        <v>Claims Expense</v>
      </c>
      <c r="X3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1"/>
      <c r="Z3351" t="s">
        <v>21</v>
      </c>
      <c r="AA3351" t="s">
        <v>261</v>
      </c>
      <c r="AB3351" t="s">
        <v>8</v>
      </c>
      <c r="AC3351" s="21">
        <v>1425</v>
      </c>
      <c r="AD3351" s="21" t="s">
        <v>368</v>
      </c>
      <c r="AE3351" t="str">
        <f>VLOOKUP(Table_Query_from_Actuarial___Production3[[#This Row],[Kor1]],$AI$3:$AK$105,3,FALSE)</f>
        <v>Misc. Expense</v>
      </c>
      <c r="AF3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2" spans="18:32" x14ac:dyDescent="0.2">
      <c r="R3352" t="s">
        <v>14</v>
      </c>
      <c r="S3352" t="s">
        <v>4</v>
      </c>
      <c r="T3352" t="s">
        <v>7</v>
      </c>
      <c r="U3352" s="21">
        <v>533392.14</v>
      </c>
      <c r="V3352" s="21" t="s">
        <v>368</v>
      </c>
      <c r="W3352" t="str">
        <f>VLOOKUP(Table_Query_from_Actuarial___Production[[#This Row],[Kor1]],$AI$3:$AK$105,3,FALSE)</f>
        <v>Claims Expense</v>
      </c>
      <c r="X3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2"/>
      <c r="Z3352" t="s">
        <v>33</v>
      </c>
      <c r="AA3352" t="s">
        <v>231</v>
      </c>
      <c r="AB3352" t="s">
        <v>8</v>
      </c>
      <c r="AC3352" s="21">
        <v>14894.72</v>
      </c>
      <c r="AD3352" s="21" t="s">
        <v>368</v>
      </c>
      <c r="AE3352" t="str">
        <f>VLOOKUP(Table_Query_from_Actuarial___Production3[[#This Row],[Kor1]],$AI$3:$AK$105,3,FALSE)</f>
        <v>Misc. Expense</v>
      </c>
      <c r="AF3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3" spans="18:32" x14ac:dyDescent="0.2">
      <c r="R3353" t="s">
        <v>21</v>
      </c>
      <c r="S3353" t="s">
        <v>235</v>
      </c>
      <c r="T3353" t="s">
        <v>6</v>
      </c>
      <c r="U3353" s="21">
        <v>1086.23</v>
      </c>
      <c r="V3353" s="21" t="s">
        <v>368</v>
      </c>
      <c r="W3353" t="str">
        <f>VLOOKUP(Table_Query_from_Actuarial___Production[[#This Row],[Kor1]],$AI$3:$AK$105,3,FALSE)</f>
        <v>Misc. Expense</v>
      </c>
      <c r="X3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3"/>
      <c r="Z3353" t="s">
        <v>48</v>
      </c>
      <c r="AA3353" t="s">
        <v>237</v>
      </c>
      <c r="AB3353" t="s">
        <v>427</v>
      </c>
      <c r="AC3353" s="21">
        <v>73254.740000000005</v>
      </c>
      <c r="AD3353" s="21" t="s">
        <v>368</v>
      </c>
      <c r="AE3353" t="str">
        <f>VLOOKUP(Table_Query_from_Actuarial___Production3[[#This Row],[Kor1]],$AI$3:$AK$105,3,FALSE)</f>
        <v>Anticipated Salvage</v>
      </c>
      <c r="AF3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4" spans="18:32" x14ac:dyDescent="0.2">
      <c r="R3354" t="s">
        <v>17</v>
      </c>
      <c r="S3354" t="s">
        <v>268</v>
      </c>
      <c r="T3354" t="s">
        <v>433</v>
      </c>
      <c r="U3354" s="21">
        <v>18333.939999999999</v>
      </c>
      <c r="V3354" s="21" t="s">
        <v>368</v>
      </c>
      <c r="W3354" t="str">
        <f>VLOOKUP(Table_Query_from_Actuarial___Production[[#This Row],[Kor1]],$AI$3:$AK$105,3,FALSE)</f>
        <v>IBNR</v>
      </c>
      <c r="X3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4"/>
      <c r="Z3354" t="s">
        <v>41</v>
      </c>
      <c r="AA3354" t="s">
        <v>242</v>
      </c>
      <c r="AB3354" t="s">
        <v>442</v>
      </c>
      <c r="AC3354" s="21">
        <v>290.83</v>
      </c>
      <c r="AD3354" s="21" t="s">
        <v>368</v>
      </c>
      <c r="AE3354" t="str">
        <f>VLOOKUP(Table_Query_from_Actuarial___Production3[[#This Row],[Kor1]],$AI$3:$AK$105,3,FALSE)</f>
        <v>Misc. Income</v>
      </c>
      <c r="AF3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5" spans="18:32" x14ac:dyDescent="0.2">
      <c r="R3355" t="s">
        <v>12</v>
      </c>
      <c r="S3355" t="s">
        <v>253</v>
      </c>
      <c r="T3355" t="s">
        <v>433</v>
      </c>
      <c r="U3355" s="21">
        <v>955.36</v>
      </c>
      <c r="V3355" s="21" t="s">
        <v>368</v>
      </c>
      <c r="W3355" t="str">
        <f>VLOOKUP(Table_Query_from_Actuarial___Production[[#This Row],[Kor1]],$AI$3:$AK$105,3,FALSE)</f>
        <v>Premium Tax</v>
      </c>
      <c r="X3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5"/>
      <c r="Z3355" t="s">
        <v>14</v>
      </c>
      <c r="AA3355" t="s">
        <v>250</v>
      </c>
      <c r="AB3355" t="s">
        <v>442</v>
      </c>
      <c r="AC3355" s="21">
        <v>95787.83</v>
      </c>
      <c r="AD3355" s="21" t="s">
        <v>368</v>
      </c>
      <c r="AE3355" t="str">
        <f>VLOOKUP(Table_Query_from_Actuarial___Production3[[#This Row],[Kor1]],$AI$3:$AK$105,3,FALSE)</f>
        <v>Claims Expense</v>
      </c>
      <c r="AF3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6" spans="18:32" x14ac:dyDescent="0.2">
      <c r="R3356" t="s">
        <v>13</v>
      </c>
      <c r="S3356" t="s">
        <v>247</v>
      </c>
      <c r="T3356" t="s">
        <v>427</v>
      </c>
      <c r="U3356" s="21">
        <v>2252.65</v>
      </c>
      <c r="V3356" s="21" t="s">
        <v>368</v>
      </c>
      <c r="W3356" t="str">
        <f>VLOOKUP(Table_Query_from_Actuarial___Production[[#This Row],[Kor1]],$AI$3:$AK$105,3,FALSE)</f>
        <v>Operating Service Fees</v>
      </c>
      <c r="X3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6"/>
      <c r="Z3356" t="s">
        <v>20</v>
      </c>
      <c r="AA3356" t="s">
        <v>259</v>
      </c>
      <c r="AB3356" t="s">
        <v>9</v>
      </c>
      <c r="AC3356" s="21">
        <v>2101.63</v>
      </c>
      <c r="AD3356" s="21" t="s">
        <v>368</v>
      </c>
      <c r="AE3356" t="str">
        <f>VLOOKUP(Table_Query_from_Actuarial___Production3[[#This Row],[Kor1]],$AI$3:$AK$105,3,FALSE)</f>
        <v>Misc. Expense</v>
      </c>
      <c r="AF3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7" spans="18:32" x14ac:dyDescent="0.2">
      <c r="R3357" t="s">
        <v>13</v>
      </c>
      <c r="S3357" t="s">
        <v>262</v>
      </c>
      <c r="T3357" t="s">
        <v>433</v>
      </c>
      <c r="U3357" s="21">
        <v>48757.29</v>
      </c>
      <c r="V3357" s="21" t="s">
        <v>368</v>
      </c>
      <c r="W3357" t="str">
        <f>VLOOKUP(Table_Query_from_Actuarial___Production[[#This Row],[Kor1]],$AI$3:$AK$105,3,FALSE)</f>
        <v>Operating Service Fees</v>
      </c>
      <c r="X3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7"/>
      <c r="Z3357" t="s">
        <v>36</v>
      </c>
      <c r="AA3357" t="s">
        <v>234</v>
      </c>
      <c r="AB3357" t="s">
        <v>427</v>
      </c>
      <c r="AC3357" s="21">
        <v>250</v>
      </c>
      <c r="AD3357" s="21" t="s">
        <v>368</v>
      </c>
      <c r="AE3357" t="str">
        <f>VLOOKUP(Table_Query_from_Actuarial___Production3[[#This Row],[Kor1]],$AI$3:$AK$105,3,FALSE)</f>
        <v>Misc. Expense</v>
      </c>
      <c r="AF3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8" spans="18:32" x14ac:dyDescent="0.2">
      <c r="R3358" t="s">
        <v>14</v>
      </c>
      <c r="S3358" t="s">
        <v>247</v>
      </c>
      <c r="T3358" t="s">
        <v>442</v>
      </c>
      <c r="U3358" s="21">
        <v>282.68</v>
      </c>
      <c r="V3358" s="21" t="s">
        <v>368</v>
      </c>
      <c r="W3358" t="str">
        <f>VLOOKUP(Table_Query_from_Actuarial___Production[[#This Row],[Kor1]],$AI$3:$AK$105,3,FALSE)</f>
        <v>Claims Expense</v>
      </c>
      <c r="X3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8"/>
      <c r="Z3358" t="s">
        <v>41</v>
      </c>
      <c r="AA3358" t="s">
        <v>239</v>
      </c>
      <c r="AB3358" t="s">
        <v>427</v>
      </c>
      <c r="AC3358" s="21">
        <v>150</v>
      </c>
      <c r="AD3358" s="21" t="s">
        <v>368</v>
      </c>
      <c r="AE3358" t="str">
        <f>VLOOKUP(Table_Query_from_Actuarial___Production3[[#This Row],[Kor1]],$AI$3:$AK$105,3,FALSE)</f>
        <v>Misc. Income</v>
      </c>
      <c r="AF3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59" spans="18:32" x14ac:dyDescent="0.2">
      <c r="R3359" t="s">
        <v>47</v>
      </c>
      <c r="S3359" t="s">
        <v>237</v>
      </c>
      <c r="T3359" t="s">
        <v>9</v>
      </c>
      <c r="U3359" s="21">
        <v>1278.8499999999999</v>
      </c>
      <c r="V3359" s="21" t="s">
        <v>368</v>
      </c>
      <c r="W3359" t="str">
        <f>VLOOKUP(Table_Query_from_Actuarial___Production[[#This Row],[Kor1]],$AI$3:$AK$105,3,FALSE)</f>
        <v>Investment Income</v>
      </c>
      <c r="X3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59"/>
      <c r="Z3359" t="s">
        <v>3</v>
      </c>
      <c r="AA3359" t="s">
        <v>224</v>
      </c>
      <c r="AB3359" t="s">
        <v>441</v>
      </c>
      <c r="AC3359" s="21">
        <v>1191810.51</v>
      </c>
      <c r="AD3359" s="21" t="s">
        <v>370</v>
      </c>
      <c r="AE3359" t="str">
        <f>VLOOKUP(Table_Query_from_Actuarial___Production3[[#This Row],[Kor1]],$AI$3:$AK$105,3,FALSE)</f>
        <v>Premiums Written</v>
      </c>
      <c r="AF3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360" spans="18:32" x14ac:dyDescent="0.2">
      <c r="R3360" t="s">
        <v>48</v>
      </c>
      <c r="S3360" t="s">
        <v>237</v>
      </c>
      <c r="T3360" t="s">
        <v>443</v>
      </c>
      <c r="U3360" s="21">
        <v>2117764.46</v>
      </c>
      <c r="V3360" s="21" t="s">
        <v>368</v>
      </c>
      <c r="W3360" t="str">
        <f>VLOOKUP(Table_Query_from_Actuarial___Production[[#This Row],[Kor1]],$AI$3:$AK$105,3,FALSE)</f>
        <v>Anticipated Salvage</v>
      </c>
      <c r="X3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0"/>
      <c r="Z3360" t="s">
        <v>37</v>
      </c>
      <c r="AA3360" t="s">
        <v>265</v>
      </c>
      <c r="AB3360" t="s">
        <v>6</v>
      </c>
      <c r="AC3360" s="21">
        <v>29.59</v>
      </c>
      <c r="AD3360" s="21" t="s">
        <v>368</v>
      </c>
      <c r="AE3360" t="str">
        <f>VLOOKUP(Table_Query_from_Actuarial___Production3[[#This Row],[Kor1]],$AI$3:$AK$105,3,FALSE)</f>
        <v>Misc. Expense</v>
      </c>
      <c r="AF3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1" spans="18:32" x14ac:dyDescent="0.2">
      <c r="R3361" t="s">
        <v>10</v>
      </c>
      <c r="S3361" t="s">
        <v>266</v>
      </c>
      <c r="T3361" t="s">
        <v>433</v>
      </c>
      <c r="U3361" s="21">
        <v>74697.63</v>
      </c>
      <c r="V3361" s="21" t="s">
        <v>368</v>
      </c>
      <c r="W3361" t="str">
        <f>VLOOKUP(Table_Query_from_Actuarial___Production[[#This Row],[Kor1]],$AI$3:$AK$105,3,FALSE)</f>
        <v>Commissions</v>
      </c>
      <c r="X3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1"/>
      <c r="Z3361" t="s">
        <v>39</v>
      </c>
      <c r="AA3361" t="s">
        <v>240</v>
      </c>
      <c r="AB3361" t="s">
        <v>5</v>
      </c>
      <c r="AC3361" s="21">
        <v>4317.82</v>
      </c>
      <c r="AD3361" s="21" t="s">
        <v>368</v>
      </c>
      <c r="AE3361" t="str">
        <f>VLOOKUP(Table_Query_from_Actuarial___Production3[[#This Row],[Kor1]],$AI$3:$AK$105,3,FALSE)</f>
        <v>Misc. Income for Insolvent Companies</v>
      </c>
      <c r="AF3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2" spans="18:32" x14ac:dyDescent="0.2">
      <c r="R3362" t="s">
        <v>11</v>
      </c>
      <c r="S3362" t="s">
        <v>255</v>
      </c>
      <c r="T3362" t="s">
        <v>433</v>
      </c>
      <c r="U3362" s="21">
        <v>593619.31999999995</v>
      </c>
      <c r="V3362" s="21" t="s">
        <v>368</v>
      </c>
      <c r="W3362" t="str">
        <f>VLOOKUP(Table_Query_from_Actuarial___Production[[#This Row],[Kor1]],$AI$3:$AK$105,3,FALSE)</f>
        <v>Losses Paid</v>
      </c>
      <c r="X3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2"/>
      <c r="Z3362" t="s">
        <v>40</v>
      </c>
      <c r="AA3362" t="s">
        <v>265</v>
      </c>
      <c r="AB3362" t="s">
        <v>356</v>
      </c>
      <c r="AC3362" s="21">
        <v>116.98</v>
      </c>
      <c r="AD3362" s="21" t="s">
        <v>368</v>
      </c>
      <c r="AE3362" t="str">
        <f>VLOOKUP(Table_Query_from_Actuarial___Production3[[#This Row],[Kor1]],$AI$3:$AK$105,3,FALSE)</f>
        <v>Misc. Income</v>
      </c>
      <c r="AF3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3" spans="18:32" x14ac:dyDescent="0.2">
      <c r="R3363" t="s">
        <v>33</v>
      </c>
      <c r="S3363" t="s">
        <v>266</v>
      </c>
      <c r="T3363" t="s">
        <v>442</v>
      </c>
      <c r="U3363" s="21">
        <v>15849.63</v>
      </c>
      <c r="V3363" s="21" t="s">
        <v>368</v>
      </c>
      <c r="W3363" t="str">
        <f>VLOOKUP(Table_Query_from_Actuarial___Production[[#This Row],[Kor1]],$AI$3:$AK$105,3,FALSE)</f>
        <v>Misc. Expense</v>
      </c>
      <c r="X3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3"/>
      <c r="Z3363" t="s">
        <v>41</v>
      </c>
      <c r="AA3363" t="s">
        <v>255</v>
      </c>
      <c r="AB3363" t="s">
        <v>351</v>
      </c>
      <c r="AC3363" s="21">
        <v>350</v>
      </c>
      <c r="AD3363" s="21" t="s">
        <v>368</v>
      </c>
      <c r="AE3363" t="str">
        <f>VLOOKUP(Table_Query_from_Actuarial___Production3[[#This Row],[Kor1]],$AI$3:$AK$105,3,FALSE)</f>
        <v>Misc. Income</v>
      </c>
      <c r="AF3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4" spans="18:32" x14ac:dyDescent="0.2">
      <c r="R3364" t="s">
        <v>11</v>
      </c>
      <c r="S3364" t="s">
        <v>229</v>
      </c>
      <c r="T3364" t="s">
        <v>9</v>
      </c>
      <c r="U3364" s="21">
        <v>886821.16</v>
      </c>
      <c r="V3364" s="21" t="s">
        <v>368</v>
      </c>
      <c r="W3364" t="str">
        <f>VLOOKUP(Table_Query_from_Actuarial___Production[[#This Row],[Kor1]],$AI$3:$AK$105,3,FALSE)</f>
        <v>Losses Paid</v>
      </c>
      <c r="X3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4"/>
      <c r="Z3364" t="s">
        <v>10</v>
      </c>
      <c r="AA3364" t="s">
        <v>249</v>
      </c>
      <c r="AB3364" t="s">
        <v>351</v>
      </c>
      <c r="AC3364" s="21">
        <v>19233.580000000002</v>
      </c>
      <c r="AD3364" s="21" t="s">
        <v>368</v>
      </c>
      <c r="AE3364" t="str">
        <f>VLOOKUP(Table_Query_from_Actuarial___Production3[[#This Row],[Kor1]],$AI$3:$AK$105,3,FALSE)</f>
        <v>Commissions</v>
      </c>
      <c r="AF3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5" spans="18:32" x14ac:dyDescent="0.2">
      <c r="R3365" t="s">
        <v>444</v>
      </c>
      <c r="S3365" t="s">
        <v>237</v>
      </c>
      <c r="T3365" t="s">
        <v>443</v>
      </c>
      <c r="U3365" s="21">
        <v>39106.629999999997</v>
      </c>
      <c r="V3365" s="21" t="s">
        <v>368</v>
      </c>
      <c r="W3365" t="str">
        <f>VLOOKUP(Table_Query_from_Actuarial___Production[[#This Row],[Kor1]],$AI$3:$AK$105,3,FALSE)</f>
        <v>Misc. Expense</v>
      </c>
      <c r="X3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5"/>
      <c r="Z3365" t="s">
        <v>17</v>
      </c>
      <c r="AA3365" t="s">
        <v>242</v>
      </c>
      <c r="AB3365" t="s">
        <v>441</v>
      </c>
      <c r="AC3365" s="21">
        <v>57788.74</v>
      </c>
      <c r="AD3365" s="21" t="s">
        <v>368</v>
      </c>
      <c r="AE3365" t="str">
        <f>VLOOKUP(Table_Query_from_Actuarial___Production3[[#This Row],[Kor1]],$AI$3:$AK$105,3,FALSE)</f>
        <v>IBNR</v>
      </c>
      <c r="AF3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6" spans="18:32" x14ac:dyDescent="0.2">
      <c r="R3366" t="s">
        <v>3</v>
      </c>
      <c r="S3366" t="s">
        <v>250</v>
      </c>
      <c r="T3366" t="s">
        <v>433</v>
      </c>
      <c r="U3366" s="21">
        <v>1102493</v>
      </c>
      <c r="V3366" s="21" t="s">
        <v>368</v>
      </c>
      <c r="W3366" t="str">
        <f>VLOOKUP(Table_Query_from_Actuarial___Production[[#This Row],[Kor1]],$AI$3:$AK$105,3,FALSE)</f>
        <v>Premiums Written</v>
      </c>
      <c r="X3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6"/>
      <c r="Z3366" t="s">
        <v>3</v>
      </c>
      <c r="AA3366" t="s">
        <v>352</v>
      </c>
      <c r="AB3366" t="s">
        <v>5</v>
      </c>
      <c r="AC3366" s="21">
        <v>480867.24</v>
      </c>
      <c r="AD3366" s="21" t="s">
        <v>369</v>
      </c>
      <c r="AE3366" t="str">
        <f>VLOOKUP(Table_Query_from_Actuarial___Production3[[#This Row],[Kor1]],$AI$3:$AK$105,3,FALSE)</f>
        <v>Premiums Written</v>
      </c>
      <c r="AF3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367" spans="18:32" x14ac:dyDescent="0.2">
      <c r="R3367" t="s">
        <v>14</v>
      </c>
      <c r="S3367" t="s">
        <v>231</v>
      </c>
      <c r="T3367" t="s">
        <v>445</v>
      </c>
      <c r="U3367" s="21">
        <v>27477.05</v>
      </c>
      <c r="V3367" s="21" t="s">
        <v>368</v>
      </c>
      <c r="W3367" t="str">
        <f>VLOOKUP(Table_Query_from_Actuarial___Production[[#This Row],[Kor1]],$AI$3:$AK$105,3,FALSE)</f>
        <v>Claims Expense</v>
      </c>
      <c r="X3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7"/>
      <c r="Z3367" t="s">
        <v>11</v>
      </c>
      <c r="AA3367" t="s">
        <v>264</v>
      </c>
      <c r="AB3367" t="s">
        <v>427</v>
      </c>
      <c r="AC3367" s="21">
        <v>4121858.72</v>
      </c>
      <c r="AD3367" s="21" t="s">
        <v>368</v>
      </c>
      <c r="AE3367" t="str">
        <f>VLOOKUP(Table_Query_from_Actuarial___Production3[[#This Row],[Kor1]],$AI$3:$AK$105,3,FALSE)</f>
        <v>Losses Paid</v>
      </c>
      <c r="AF3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8" spans="18:32" x14ac:dyDescent="0.2">
      <c r="R3368" t="s">
        <v>16</v>
      </c>
      <c r="S3368" t="s">
        <v>354</v>
      </c>
      <c r="T3368" t="s">
        <v>441</v>
      </c>
      <c r="U3368" s="21">
        <v>13881336.880000001</v>
      </c>
      <c r="V3368" s="21" t="s">
        <v>368</v>
      </c>
      <c r="W3368" t="str">
        <f>VLOOKUP(Table_Query_from_Actuarial___Production[[#This Row],[Kor1]],$AI$3:$AK$105,3,FALSE)</f>
        <v>Losses Outstanding</v>
      </c>
      <c r="X3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368"/>
      <c r="Z3368" t="s">
        <v>12</v>
      </c>
      <c r="AA3368" t="s">
        <v>258</v>
      </c>
      <c r="AB3368" t="s">
        <v>441</v>
      </c>
      <c r="AC3368" s="21">
        <v>67511.5</v>
      </c>
      <c r="AD3368" s="21" t="s">
        <v>368</v>
      </c>
      <c r="AE3368" t="str">
        <f>VLOOKUP(Table_Query_from_Actuarial___Production3[[#This Row],[Kor1]],$AI$3:$AK$105,3,FALSE)</f>
        <v>Premium Tax</v>
      </c>
      <c r="AF3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69" spans="18:32" x14ac:dyDescent="0.2">
      <c r="R3369" t="s">
        <v>44</v>
      </c>
      <c r="S3369" t="s">
        <v>261</v>
      </c>
      <c r="T3369" t="s">
        <v>427</v>
      </c>
      <c r="U3369" s="21">
        <v>0.4</v>
      </c>
      <c r="V3369" s="21" t="s">
        <v>368</v>
      </c>
      <c r="W3369" t="str">
        <f>VLOOKUP(Table_Query_from_Actuarial___Production[[#This Row],[Kor1]],$AI$3:$AK$105,3,FALSE)</f>
        <v>Charge-offs</v>
      </c>
      <c r="X3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69"/>
      <c r="Z3369" t="s">
        <v>36</v>
      </c>
      <c r="AA3369" t="s">
        <v>241</v>
      </c>
      <c r="AB3369" t="s">
        <v>8</v>
      </c>
      <c r="AC3369" s="21">
        <v>359.24</v>
      </c>
      <c r="AD3369" s="21" t="s">
        <v>368</v>
      </c>
      <c r="AE3369" t="str">
        <f>VLOOKUP(Table_Query_from_Actuarial___Production3[[#This Row],[Kor1]],$AI$3:$AK$105,3,FALSE)</f>
        <v>Misc. Expense</v>
      </c>
      <c r="AF3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0" spans="18:32" x14ac:dyDescent="0.2">
      <c r="R3370" t="s">
        <v>20</v>
      </c>
      <c r="S3370" t="s">
        <v>230</v>
      </c>
      <c r="T3370" t="s">
        <v>427</v>
      </c>
      <c r="U3370" s="21">
        <v>9165.73</v>
      </c>
      <c r="V3370" s="21" t="s">
        <v>368</v>
      </c>
      <c r="W3370" t="str">
        <f>VLOOKUP(Table_Query_from_Actuarial___Production[[#This Row],[Kor1]],$AI$3:$AK$105,3,FALSE)</f>
        <v>Misc. Expense</v>
      </c>
      <c r="X3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0"/>
      <c r="Z3370" t="s">
        <v>10</v>
      </c>
      <c r="AA3370" t="s">
        <v>257</v>
      </c>
      <c r="AB3370" t="s">
        <v>9</v>
      </c>
      <c r="AC3370" s="21">
        <v>86932.03</v>
      </c>
      <c r="AD3370" s="21" t="s">
        <v>368</v>
      </c>
      <c r="AE3370" t="str">
        <f>VLOOKUP(Table_Query_from_Actuarial___Production3[[#This Row],[Kor1]],$AI$3:$AK$105,3,FALSE)</f>
        <v>Commissions</v>
      </c>
      <c r="AF3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1" spans="18:32" x14ac:dyDescent="0.2">
      <c r="R3371" t="s">
        <v>11</v>
      </c>
      <c r="S3371" t="s">
        <v>250</v>
      </c>
      <c r="T3371" t="s">
        <v>433</v>
      </c>
      <c r="U3371" s="21">
        <v>395990.68</v>
      </c>
      <c r="V3371" s="21" t="s">
        <v>368</v>
      </c>
      <c r="W3371" t="str">
        <f>VLOOKUP(Table_Query_from_Actuarial___Production[[#This Row],[Kor1]],$AI$3:$AK$105,3,FALSE)</f>
        <v>Losses Paid</v>
      </c>
      <c r="X3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1"/>
      <c r="Z3371" t="s">
        <v>37</v>
      </c>
      <c r="AA3371" t="s">
        <v>230</v>
      </c>
      <c r="AB3371" t="s">
        <v>443</v>
      </c>
      <c r="AC3371" s="21">
        <v>21975.77</v>
      </c>
      <c r="AD3371" s="21" t="s">
        <v>368</v>
      </c>
      <c r="AE3371" t="str">
        <f>VLOOKUP(Table_Query_from_Actuarial___Production3[[#This Row],[Kor1]],$AI$3:$AK$105,3,FALSE)</f>
        <v>Misc. Expense</v>
      </c>
      <c r="AF3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2" spans="18:32" x14ac:dyDescent="0.2">
      <c r="R3372" t="s">
        <v>20</v>
      </c>
      <c r="S3372" t="s">
        <v>246</v>
      </c>
      <c r="T3372" t="s">
        <v>7</v>
      </c>
      <c r="U3372" s="21">
        <v>113.37</v>
      </c>
      <c r="V3372" s="21" t="s">
        <v>368</v>
      </c>
      <c r="W3372" t="str">
        <f>VLOOKUP(Table_Query_from_Actuarial___Production[[#This Row],[Kor1]],$AI$3:$AK$105,3,FALSE)</f>
        <v>Misc. Expense</v>
      </c>
      <c r="X3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2"/>
      <c r="Z3372" t="s">
        <v>19</v>
      </c>
      <c r="AA3372" t="s">
        <v>267</v>
      </c>
      <c r="AB3372" t="s">
        <v>433</v>
      </c>
      <c r="AC3372" s="21">
        <v>1216</v>
      </c>
      <c r="AD3372" s="21" t="s">
        <v>368</v>
      </c>
      <c r="AE3372" t="str">
        <f>VLOOKUP(Table_Query_from_Actuarial___Production3[[#This Row],[Kor1]],$AI$3:$AK$105,3,FALSE)</f>
        <v>Misc. Expense for Insolvent Companies</v>
      </c>
      <c r="AF3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3" spans="18:32" x14ac:dyDescent="0.2">
      <c r="R3373" t="s">
        <v>10</v>
      </c>
      <c r="S3373" t="s">
        <v>235</v>
      </c>
      <c r="T3373" t="s">
        <v>351</v>
      </c>
      <c r="U3373" s="21">
        <v>46105.68</v>
      </c>
      <c r="V3373" s="21" t="s">
        <v>368</v>
      </c>
      <c r="W3373" t="str">
        <f>VLOOKUP(Table_Query_from_Actuarial___Production[[#This Row],[Kor1]],$AI$3:$AK$105,3,FALSE)</f>
        <v>Commissions</v>
      </c>
      <c r="X3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3"/>
      <c r="Z3373" t="s">
        <v>3</v>
      </c>
      <c r="AA3373" t="s">
        <v>244</v>
      </c>
      <c r="AB3373" t="s">
        <v>433</v>
      </c>
      <c r="AC3373" s="21">
        <v>2531541</v>
      </c>
      <c r="AD3373" s="21" t="s">
        <v>368</v>
      </c>
      <c r="AE3373" t="str">
        <f>VLOOKUP(Table_Query_from_Actuarial___Production3[[#This Row],[Kor1]],$AI$3:$AK$105,3,FALSE)</f>
        <v>Premiums Written</v>
      </c>
      <c r="AF3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4" spans="18:32" x14ac:dyDescent="0.2">
      <c r="R3374" t="s">
        <v>10</v>
      </c>
      <c r="S3374" t="s">
        <v>243</v>
      </c>
      <c r="T3374" t="s">
        <v>445</v>
      </c>
      <c r="U3374" s="21">
        <v>14125.35</v>
      </c>
      <c r="V3374" s="21" t="s">
        <v>368</v>
      </c>
      <c r="W3374" t="str">
        <f>VLOOKUP(Table_Query_from_Actuarial___Production[[#This Row],[Kor1]],$AI$3:$AK$105,3,FALSE)</f>
        <v>Commissions</v>
      </c>
      <c r="X3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4"/>
      <c r="Z3374" t="s">
        <v>43</v>
      </c>
      <c r="AA3374" t="s">
        <v>232</v>
      </c>
      <c r="AB3374" t="s">
        <v>427</v>
      </c>
      <c r="AC3374" s="21">
        <v>-1018.42</v>
      </c>
      <c r="AD3374" s="21" t="s">
        <v>368</v>
      </c>
      <c r="AE3374" t="str">
        <f>VLOOKUP(Table_Query_from_Actuarial___Production3[[#This Row],[Kor1]],$AI$3:$AK$105,3,FALSE)</f>
        <v>Charge-offs</v>
      </c>
      <c r="AF3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5" spans="18:32" x14ac:dyDescent="0.2">
      <c r="R3375" t="s">
        <v>31</v>
      </c>
      <c r="S3375" t="s">
        <v>241</v>
      </c>
      <c r="T3375" t="s">
        <v>427</v>
      </c>
      <c r="U3375" s="21">
        <v>541.05999999999995</v>
      </c>
      <c r="V3375" s="21" t="s">
        <v>368</v>
      </c>
      <c r="W3375" t="str">
        <f>VLOOKUP(Table_Query_from_Actuarial___Production[[#This Row],[Kor1]],$AI$3:$AK$105,3,FALSE)</f>
        <v>Misc. Expense</v>
      </c>
      <c r="X3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5"/>
      <c r="Z3375" t="s">
        <v>43</v>
      </c>
      <c r="AA3375" t="s">
        <v>251</v>
      </c>
      <c r="AB3375" t="s">
        <v>442</v>
      </c>
      <c r="AC3375" s="21">
        <v>3726.96</v>
      </c>
      <c r="AD3375" s="21" t="s">
        <v>368</v>
      </c>
      <c r="AE3375" t="str">
        <f>VLOOKUP(Table_Query_from_Actuarial___Production3[[#This Row],[Kor1]],$AI$3:$AK$105,3,FALSE)</f>
        <v>Charge-offs</v>
      </c>
      <c r="AF3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6" spans="18:32" x14ac:dyDescent="0.2">
      <c r="R3376" t="s">
        <v>31</v>
      </c>
      <c r="S3376" t="s">
        <v>265</v>
      </c>
      <c r="T3376" t="s">
        <v>351</v>
      </c>
      <c r="U3376" s="21">
        <v>495.73</v>
      </c>
      <c r="V3376" s="21" t="s">
        <v>368</v>
      </c>
      <c r="W3376" t="str">
        <f>VLOOKUP(Table_Query_from_Actuarial___Production[[#This Row],[Kor1]],$AI$3:$AK$105,3,FALSE)</f>
        <v>Misc. Expense</v>
      </c>
      <c r="X3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6"/>
      <c r="Z3376" t="s">
        <v>15</v>
      </c>
      <c r="AA3376" t="s">
        <v>266</v>
      </c>
      <c r="AB3376" t="s">
        <v>443</v>
      </c>
      <c r="AC3376" s="21">
        <v>643150.32999999996</v>
      </c>
      <c r="AD3376" s="21" t="s">
        <v>368</v>
      </c>
      <c r="AE3376" t="str">
        <f>VLOOKUP(Table_Query_from_Actuarial___Production3[[#This Row],[Kor1]],$AI$3:$AK$105,3,FALSE)</f>
        <v>Unearned Premiums</v>
      </c>
      <c r="AF3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7" spans="18:32" x14ac:dyDescent="0.2">
      <c r="R3377" t="s">
        <v>43</v>
      </c>
      <c r="S3377" t="s">
        <v>248</v>
      </c>
      <c r="T3377" t="s">
        <v>442</v>
      </c>
      <c r="U3377" s="21">
        <v>0.65</v>
      </c>
      <c r="V3377" s="21" t="s">
        <v>368</v>
      </c>
      <c r="W3377" t="str">
        <f>VLOOKUP(Table_Query_from_Actuarial___Production[[#This Row],[Kor1]],$AI$3:$AK$105,3,FALSE)</f>
        <v>Charge-offs</v>
      </c>
      <c r="X3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7"/>
      <c r="Z3377" t="s">
        <v>33</v>
      </c>
      <c r="AA3377" t="s">
        <v>245</v>
      </c>
      <c r="AB3377" t="s">
        <v>427</v>
      </c>
      <c r="AC3377" s="21">
        <v>9053.44</v>
      </c>
      <c r="AD3377" s="21" t="s">
        <v>368</v>
      </c>
      <c r="AE3377" t="str">
        <f>VLOOKUP(Table_Query_from_Actuarial___Production3[[#This Row],[Kor1]],$AI$3:$AK$105,3,FALSE)</f>
        <v>Misc. Expense</v>
      </c>
      <c r="AF3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8" spans="18:32" x14ac:dyDescent="0.2">
      <c r="R3378" t="s">
        <v>33</v>
      </c>
      <c r="S3378" t="s">
        <v>268</v>
      </c>
      <c r="T3378" t="s">
        <v>427</v>
      </c>
      <c r="U3378" s="21">
        <v>12241.52</v>
      </c>
      <c r="V3378" s="21" t="s">
        <v>368</v>
      </c>
      <c r="W3378" t="str">
        <f>VLOOKUP(Table_Query_from_Actuarial___Production[[#This Row],[Kor1]],$AI$3:$AK$105,3,FALSE)</f>
        <v>Misc. Expense</v>
      </c>
      <c r="X3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78"/>
      <c r="Z3378" t="s">
        <v>33</v>
      </c>
      <c r="AA3378" t="s">
        <v>253</v>
      </c>
      <c r="AB3378" t="s">
        <v>442</v>
      </c>
      <c r="AC3378" s="21">
        <v>16066.04</v>
      </c>
      <c r="AD3378" s="21" t="s">
        <v>368</v>
      </c>
      <c r="AE3378" t="str">
        <f>VLOOKUP(Table_Query_from_Actuarial___Production3[[#This Row],[Kor1]],$AI$3:$AK$105,3,FALSE)</f>
        <v>Misc. Expense</v>
      </c>
      <c r="AF3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79" spans="18:32" x14ac:dyDescent="0.2">
      <c r="R3379" t="s">
        <v>18</v>
      </c>
      <c r="S3379" t="s">
        <v>225</v>
      </c>
      <c r="T3379" t="s">
        <v>427</v>
      </c>
      <c r="U3379" s="21">
        <v>795825.92</v>
      </c>
      <c r="V3379" s="21" t="s">
        <v>368</v>
      </c>
      <c r="W3379" t="str">
        <f>VLOOKUP(Table_Query_from_Actuarial___Production[[#This Row],[Kor1]],$AI$3:$AK$105,3,FALSE)</f>
        <v>Misc. Expense</v>
      </c>
      <c r="X3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379"/>
      <c r="Z3379" t="s">
        <v>14</v>
      </c>
      <c r="AA3379" t="s">
        <v>246</v>
      </c>
      <c r="AB3379" t="s">
        <v>442</v>
      </c>
      <c r="AC3379" s="21">
        <v>192814.42</v>
      </c>
      <c r="AD3379" s="21" t="s">
        <v>368</v>
      </c>
      <c r="AE3379" t="str">
        <f>VLOOKUP(Table_Query_from_Actuarial___Production3[[#This Row],[Kor1]],$AI$3:$AK$105,3,FALSE)</f>
        <v>Claims Expense</v>
      </c>
      <c r="AF3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0" spans="18:32" x14ac:dyDescent="0.2">
      <c r="R3380" t="s">
        <v>43</v>
      </c>
      <c r="S3380" t="s">
        <v>224</v>
      </c>
      <c r="T3380" t="s">
        <v>442</v>
      </c>
      <c r="U3380" s="21">
        <v>0.67</v>
      </c>
      <c r="V3380" s="21" t="s">
        <v>369</v>
      </c>
      <c r="W3380" t="str">
        <f>VLOOKUP(Table_Query_from_Actuarial___Production[[#This Row],[Kor1]],$AI$3:$AK$105,3,FALSE)</f>
        <v>Charge-offs</v>
      </c>
      <c r="X3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380"/>
      <c r="Z3380" t="s">
        <v>14</v>
      </c>
      <c r="AA3380" t="s">
        <v>4</v>
      </c>
      <c r="AB3380" t="s">
        <v>7</v>
      </c>
      <c r="AC3380" s="21">
        <v>533392.14</v>
      </c>
      <c r="AD3380" s="21" t="s">
        <v>368</v>
      </c>
      <c r="AE3380" t="str">
        <f>VLOOKUP(Table_Query_from_Actuarial___Production3[[#This Row],[Kor1]],$AI$3:$AK$105,3,FALSE)</f>
        <v>Claims Expense</v>
      </c>
      <c r="AF3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1" spans="18:32" x14ac:dyDescent="0.2">
      <c r="R3381" t="s">
        <v>37</v>
      </c>
      <c r="S3381" t="s">
        <v>237</v>
      </c>
      <c r="T3381" t="s">
        <v>6</v>
      </c>
      <c r="U3381" s="21">
        <v>663.18</v>
      </c>
      <c r="V3381" s="21" t="s">
        <v>368</v>
      </c>
      <c r="W3381" t="str">
        <f>VLOOKUP(Table_Query_from_Actuarial___Production[[#This Row],[Kor1]],$AI$3:$AK$105,3,FALSE)</f>
        <v>Misc. Expense</v>
      </c>
      <c r="X3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1"/>
      <c r="Z3381" t="s">
        <v>16</v>
      </c>
      <c r="AA3381" t="s">
        <v>233</v>
      </c>
      <c r="AB3381" t="s">
        <v>433</v>
      </c>
      <c r="AC3381" s="21">
        <v>13004.8</v>
      </c>
      <c r="AD3381" s="21" t="s">
        <v>368</v>
      </c>
      <c r="AE3381" t="str">
        <f>VLOOKUP(Table_Query_from_Actuarial___Production3[[#This Row],[Kor1]],$AI$3:$AK$105,3,FALSE)</f>
        <v>Losses Outstanding</v>
      </c>
      <c r="AF3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2" spans="18:32" x14ac:dyDescent="0.2">
      <c r="R3382" t="s">
        <v>19</v>
      </c>
      <c r="S3382" t="s">
        <v>256</v>
      </c>
      <c r="T3382" t="s">
        <v>433</v>
      </c>
      <c r="U3382" s="21">
        <v>466</v>
      </c>
      <c r="V3382" s="21" t="s">
        <v>368</v>
      </c>
      <c r="W3382" t="str">
        <f>VLOOKUP(Table_Query_from_Actuarial___Production[[#This Row],[Kor1]],$AI$3:$AK$105,3,FALSE)</f>
        <v>Misc. Expense for Insolvent Companies</v>
      </c>
      <c r="X3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2"/>
      <c r="Z3382" t="s">
        <v>21</v>
      </c>
      <c r="AA3382" t="s">
        <v>235</v>
      </c>
      <c r="AB3382" t="s">
        <v>6</v>
      </c>
      <c r="AC3382" s="21">
        <v>1086.23</v>
      </c>
      <c r="AD3382" s="21" t="s">
        <v>368</v>
      </c>
      <c r="AE3382" t="str">
        <f>VLOOKUP(Table_Query_from_Actuarial___Production3[[#This Row],[Kor1]],$AI$3:$AK$105,3,FALSE)</f>
        <v>Misc. Expense</v>
      </c>
      <c r="AF3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3" spans="18:32" x14ac:dyDescent="0.2">
      <c r="R3383" t="s">
        <v>10</v>
      </c>
      <c r="S3383" t="s">
        <v>232</v>
      </c>
      <c r="T3383" t="s">
        <v>442</v>
      </c>
      <c r="U3383" s="21">
        <v>97956.56</v>
      </c>
      <c r="V3383" s="21" t="s">
        <v>368</v>
      </c>
      <c r="W3383" t="str">
        <f>VLOOKUP(Table_Query_from_Actuarial___Production[[#This Row],[Kor1]],$AI$3:$AK$105,3,FALSE)</f>
        <v>Commissions</v>
      </c>
      <c r="X3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3"/>
      <c r="Z3383" t="s">
        <v>17</v>
      </c>
      <c r="AA3383" t="s">
        <v>268</v>
      </c>
      <c r="AB3383" t="s">
        <v>433</v>
      </c>
      <c r="AC3383" s="21">
        <v>17438.349999999999</v>
      </c>
      <c r="AD3383" s="21" t="s">
        <v>368</v>
      </c>
      <c r="AE3383" t="str">
        <f>VLOOKUP(Table_Query_from_Actuarial___Production3[[#This Row],[Kor1]],$AI$3:$AK$105,3,FALSE)</f>
        <v>IBNR</v>
      </c>
      <c r="AF3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4" spans="18:32" x14ac:dyDescent="0.2">
      <c r="R3384" t="s">
        <v>16</v>
      </c>
      <c r="S3384" t="s">
        <v>234</v>
      </c>
      <c r="T3384" t="s">
        <v>427</v>
      </c>
      <c r="U3384" s="21">
        <v>177374.07999999999</v>
      </c>
      <c r="V3384" s="21" t="s">
        <v>368</v>
      </c>
      <c r="W3384" t="str">
        <f>VLOOKUP(Table_Query_from_Actuarial___Production[[#This Row],[Kor1]],$AI$3:$AK$105,3,FALSE)</f>
        <v>Losses Outstanding</v>
      </c>
      <c r="X3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4"/>
      <c r="Z3384" t="s">
        <v>12</v>
      </c>
      <c r="AA3384" t="s">
        <v>253</v>
      </c>
      <c r="AB3384" t="s">
        <v>433</v>
      </c>
      <c r="AC3384" s="21">
        <v>955.36</v>
      </c>
      <c r="AD3384" s="21" t="s">
        <v>368</v>
      </c>
      <c r="AE3384" t="str">
        <f>VLOOKUP(Table_Query_from_Actuarial___Production3[[#This Row],[Kor1]],$AI$3:$AK$105,3,FALSE)</f>
        <v>Premium Tax</v>
      </c>
      <c r="AF3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5" spans="18:32" x14ac:dyDescent="0.2">
      <c r="R3385" t="s">
        <v>34</v>
      </c>
      <c r="S3385" t="s">
        <v>4</v>
      </c>
      <c r="T3385" t="s">
        <v>356</v>
      </c>
      <c r="U3385" s="21">
        <v>1169.27</v>
      </c>
      <c r="V3385" s="21" t="s">
        <v>368</v>
      </c>
      <c r="W3385" t="str">
        <f>VLOOKUP(Table_Query_from_Actuarial___Production[[#This Row],[Kor1]],$AI$3:$AK$105,3,FALSE)</f>
        <v>Misc. Expense</v>
      </c>
      <c r="X3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5"/>
      <c r="Z3385" t="s">
        <v>13</v>
      </c>
      <c r="AA3385" t="s">
        <v>247</v>
      </c>
      <c r="AB3385" t="s">
        <v>427</v>
      </c>
      <c r="AC3385" s="21">
        <v>2252.65</v>
      </c>
      <c r="AD3385" s="21" t="s">
        <v>368</v>
      </c>
      <c r="AE3385" t="str">
        <f>VLOOKUP(Table_Query_from_Actuarial___Production3[[#This Row],[Kor1]],$AI$3:$AK$105,3,FALSE)</f>
        <v>Operating Service Fees</v>
      </c>
      <c r="AF3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6" spans="18:32" x14ac:dyDescent="0.2">
      <c r="R3386" t="s">
        <v>3</v>
      </c>
      <c r="S3386" t="s">
        <v>4</v>
      </c>
      <c r="T3386" t="s">
        <v>441</v>
      </c>
      <c r="U3386" s="21">
        <v>62551800</v>
      </c>
      <c r="V3386" s="21" t="s">
        <v>368</v>
      </c>
      <c r="W3386" t="str">
        <f>VLOOKUP(Table_Query_from_Actuarial___Production[[#This Row],[Kor1]],$AI$3:$AK$105,3,FALSE)</f>
        <v>Premiums Written</v>
      </c>
      <c r="X3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6"/>
      <c r="Z3386" t="s">
        <v>13</v>
      </c>
      <c r="AA3386" t="s">
        <v>262</v>
      </c>
      <c r="AB3386" t="s">
        <v>433</v>
      </c>
      <c r="AC3386" s="21">
        <v>48757.29</v>
      </c>
      <c r="AD3386" s="21" t="s">
        <v>368</v>
      </c>
      <c r="AE3386" t="str">
        <f>VLOOKUP(Table_Query_from_Actuarial___Production3[[#This Row],[Kor1]],$AI$3:$AK$105,3,FALSE)</f>
        <v>Operating Service Fees</v>
      </c>
      <c r="AF3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7" spans="18:32" x14ac:dyDescent="0.2">
      <c r="R3387" t="s">
        <v>16</v>
      </c>
      <c r="S3387" t="s">
        <v>354</v>
      </c>
      <c r="T3387" t="s">
        <v>7</v>
      </c>
      <c r="U3387" s="21">
        <v>230000</v>
      </c>
      <c r="V3387" s="21" t="s">
        <v>368</v>
      </c>
      <c r="W3387" t="str">
        <f>VLOOKUP(Table_Query_from_Actuarial___Production[[#This Row],[Kor1]],$AI$3:$AK$105,3,FALSE)</f>
        <v>Losses Outstanding</v>
      </c>
      <c r="X3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387"/>
      <c r="Z3387" t="s">
        <v>13</v>
      </c>
      <c r="AA3387" t="s">
        <v>264</v>
      </c>
      <c r="AB3387" t="s">
        <v>5</v>
      </c>
      <c r="AC3387" s="21">
        <v>371128.75</v>
      </c>
      <c r="AD3387" s="21" t="s">
        <v>368</v>
      </c>
      <c r="AE3387" t="str">
        <f>VLOOKUP(Table_Query_from_Actuarial___Production3[[#This Row],[Kor1]],$AI$3:$AK$105,3,FALSE)</f>
        <v>Operating Service Fees</v>
      </c>
      <c r="AF3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8" spans="18:32" x14ac:dyDescent="0.2">
      <c r="R3388" t="s">
        <v>47</v>
      </c>
      <c r="S3388" t="s">
        <v>256</v>
      </c>
      <c r="T3388" t="s">
        <v>433</v>
      </c>
      <c r="U3388" s="21">
        <v>717.66</v>
      </c>
      <c r="V3388" s="21" t="s">
        <v>368</v>
      </c>
      <c r="W3388" t="str">
        <f>VLOOKUP(Table_Query_from_Actuarial___Production[[#This Row],[Kor1]],$AI$3:$AK$105,3,FALSE)</f>
        <v>Investment Income</v>
      </c>
      <c r="X3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8"/>
      <c r="Z3388" t="s">
        <v>14</v>
      </c>
      <c r="AA3388" t="s">
        <v>247</v>
      </c>
      <c r="AB3388" t="s">
        <v>442</v>
      </c>
      <c r="AC3388" s="21">
        <v>171.94</v>
      </c>
      <c r="AD3388" s="21" t="s">
        <v>368</v>
      </c>
      <c r="AE3388" t="str">
        <f>VLOOKUP(Table_Query_from_Actuarial___Production3[[#This Row],[Kor1]],$AI$3:$AK$105,3,FALSE)</f>
        <v>Claims Expense</v>
      </c>
      <c r="AF3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89" spans="18:32" x14ac:dyDescent="0.2">
      <c r="R3389" t="s">
        <v>11</v>
      </c>
      <c r="S3389" t="s">
        <v>232</v>
      </c>
      <c r="T3389" t="s">
        <v>356</v>
      </c>
      <c r="U3389" s="21">
        <v>128027.52</v>
      </c>
      <c r="V3389" s="21" t="s">
        <v>368</v>
      </c>
      <c r="W3389" t="str">
        <f>VLOOKUP(Table_Query_from_Actuarial___Production[[#This Row],[Kor1]],$AI$3:$AK$105,3,FALSE)</f>
        <v>Losses Paid</v>
      </c>
      <c r="X3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89"/>
      <c r="Z3389" t="s">
        <v>47</v>
      </c>
      <c r="AA3389" t="s">
        <v>237</v>
      </c>
      <c r="AB3389" t="s">
        <v>9</v>
      </c>
      <c r="AC3389" s="21">
        <v>1278.8499999999999</v>
      </c>
      <c r="AD3389" s="21" t="s">
        <v>368</v>
      </c>
      <c r="AE3389" t="str">
        <f>VLOOKUP(Table_Query_from_Actuarial___Production3[[#This Row],[Kor1]],$AI$3:$AK$105,3,FALSE)</f>
        <v>Investment Income</v>
      </c>
      <c r="AF3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0" spans="18:32" x14ac:dyDescent="0.2">
      <c r="R3390" t="s">
        <v>20</v>
      </c>
      <c r="S3390" t="s">
        <v>250</v>
      </c>
      <c r="T3390" t="s">
        <v>351</v>
      </c>
      <c r="U3390" s="21">
        <v>252.4</v>
      </c>
      <c r="V3390" s="21" t="s">
        <v>368</v>
      </c>
      <c r="W3390" t="str">
        <f>VLOOKUP(Table_Query_from_Actuarial___Production[[#This Row],[Kor1]],$AI$3:$AK$105,3,FALSE)</f>
        <v>Misc. Expense</v>
      </c>
      <c r="X3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0"/>
      <c r="Z3390" t="s">
        <v>48</v>
      </c>
      <c r="AA3390" t="s">
        <v>237</v>
      </c>
      <c r="AB3390" t="s">
        <v>443</v>
      </c>
      <c r="AC3390" s="21">
        <v>590177.92000000004</v>
      </c>
      <c r="AD3390" s="21" t="s">
        <v>368</v>
      </c>
      <c r="AE3390" t="str">
        <f>VLOOKUP(Table_Query_from_Actuarial___Production3[[#This Row],[Kor1]],$AI$3:$AK$105,3,FALSE)</f>
        <v>Anticipated Salvage</v>
      </c>
      <c r="AF3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1" spans="18:32" x14ac:dyDescent="0.2">
      <c r="R3391" t="s">
        <v>46</v>
      </c>
      <c r="S3391" t="s">
        <v>352</v>
      </c>
      <c r="T3391" t="s">
        <v>433</v>
      </c>
      <c r="U3391" s="21">
        <v>2.09</v>
      </c>
      <c r="V3391" s="21" t="s">
        <v>368</v>
      </c>
      <c r="W3391" t="str">
        <f>VLOOKUP(Table_Query_from_Actuarial___Production[[#This Row],[Kor1]],$AI$3:$AK$105,3,FALSE)</f>
        <v>Investment Income</v>
      </c>
      <c r="X3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391"/>
      <c r="Z3391" t="s">
        <v>10</v>
      </c>
      <c r="AA3391" t="s">
        <v>266</v>
      </c>
      <c r="AB3391" t="s">
        <v>433</v>
      </c>
      <c r="AC3391" s="21">
        <v>74697.63</v>
      </c>
      <c r="AD3391" s="21" t="s">
        <v>368</v>
      </c>
      <c r="AE3391" t="str">
        <f>VLOOKUP(Table_Query_from_Actuarial___Production3[[#This Row],[Kor1]],$AI$3:$AK$105,3,FALSE)</f>
        <v>Commissions</v>
      </c>
      <c r="AF3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2" spans="18:32" x14ac:dyDescent="0.2">
      <c r="R3392" t="s">
        <v>20</v>
      </c>
      <c r="S3392" t="s">
        <v>241</v>
      </c>
      <c r="T3392" t="s">
        <v>445</v>
      </c>
      <c r="U3392" s="21">
        <v>85.45</v>
      </c>
      <c r="V3392" s="21" t="s">
        <v>368</v>
      </c>
      <c r="W3392" t="str">
        <f>VLOOKUP(Table_Query_from_Actuarial___Production[[#This Row],[Kor1]],$AI$3:$AK$105,3,FALSE)</f>
        <v>Misc. Expense</v>
      </c>
      <c r="X3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2"/>
      <c r="Z3392" t="s">
        <v>11</v>
      </c>
      <c r="AA3392" t="s">
        <v>255</v>
      </c>
      <c r="AB3392" t="s">
        <v>433</v>
      </c>
      <c r="AC3392" s="21">
        <v>593619.31999999995</v>
      </c>
      <c r="AD3392" s="21" t="s">
        <v>368</v>
      </c>
      <c r="AE3392" t="str">
        <f>VLOOKUP(Table_Query_from_Actuarial___Production3[[#This Row],[Kor1]],$AI$3:$AK$105,3,FALSE)</f>
        <v>Losses Paid</v>
      </c>
      <c r="AF3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3" spans="18:32" x14ac:dyDescent="0.2">
      <c r="R3393" t="s">
        <v>439</v>
      </c>
      <c r="S3393" t="s">
        <v>235</v>
      </c>
      <c r="T3393" t="s">
        <v>433</v>
      </c>
      <c r="U3393" s="21">
        <v>4475</v>
      </c>
      <c r="V3393" s="21" t="s">
        <v>368</v>
      </c>
      <c r="W3393" t="str">
        <f>VLOOKUP(Table_Query_from_Actuarial___Production[[#This Row],[Kor1]],$AI$3:$AK$105,3,FALSE)</f>
        <v>Operating Service Fees</v>
      </c>
      <c r="X3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3"/>
      <c r="Z3393" t="s">
        <v>33</v>
      </c>
      <c r="AA3393" t="s">
        <v>266</v>
      </c>
      <c r="AB3393" t="s">
        <v>442</v>
      </c>
      <c r="AC3393" s="21">
        <v>15849.63</v>
      </c>
      <c r="AD3393" s="21" t="s">
        <v>368</v>
      </c>
      <c r="AE3393" t="str">
        <f>VLOOKUP(Table_Query_from_Actuarial___Production3[[#This Row],[Kor1]],$AI$3:$AK$105,3,FALSE)</f>
        <v>Misc. Expense</v>
      </c>
      <c r="AF3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4" spans="18:32" x14ac:dyDescent="0.2">
      <c r="R3394" t="s">
        <v>31</v>
      </c>
      <c r="S3394" t="s">
        <v>248</v>
      </c>
      <c r="T3394" t="s">
        <v>9</v>
      </c>
      <c r="U3394" s="21">
        <v>548.14</v>
      </c>
      <c r="V3394" s="21" t="s">
        <v>368</v>
      </c>
      <c r="W3394" t="str">
        <f>VLOOKUP(Table_Query_from_Actuarial___Production[[#This Row],[Kor1]],$AI$3:$AK$105,3,FALSE)</f>
        <v>Misc. Expense</v>
      </c>
      <c r="X3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4"/>
      <c r="Z3394" t="s">
        <v>11</v>
      </c>
      <c r="AA3394" t="s">
        <v>229</v>
      </c>
      <c r="AB3394" t="s">
        <v>9</v>
      </c>
      <c r="AC3394" s="21">
        <v>411821.16</v>
      </c>
      <c r="AD3394" s="21" t="s">
        <v>368</v>
      </c>
      <c r="AE3394" t="str">
        <f>VLOOKUP(Table_Query_from_Actuarial___Production3[[#This Row],[Kor1]],$AI$3:$AK$105,3,FALSE)</f>
        <v>Losses Paid</v>
      </c>
      <c r="AF3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5" spans="18:32" x14ac:dyDescent="0.2">
      <c r="R3395" t="s">
        <v>3</v>
      </c>
      <c r="S3395" t="s">
        <v>352</v>
      </c>
      <c r="T3395" t="s">
        <v>433</v>
      </c>
      <c r="U3395" s="21">
        <v>90903</v>
      </c>
      <c r="V3395" s="21" t="s">
        <v>369</v>
      </c>
      <c r="W3395" t="str">
        <f>VLOOKUP(Table_Query_from_Actuarial___Production[[#This Row],[Kor1]],$AI$3:$AK$105,3,FALSE)</f>
        <v>Premiums Written</v>
      </c>
      <c r="X3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395"/>
      <c r="Z3395" t="s">
        <v>3</v>
      </c>
      <c r="AA3395" t="s">
        <v>250</v>
      </c>
      <c r="AB3395" t="s">
        <v>433</v>
      </c>
      <c r="AC3395" s="21">
        <v>1102493</v>
      </c>
      <c r="AD3395" s="21" t="s">
        <v>368</v>
      </c>
      <c r="AE3395" t="str">
        <f>VLOOKUP(Table_Query_from_Actuarial___Production3[[#This Row],[Kor1]],$AI$3:$AK$105,3,FALSE)</f>
        <v>Premiums Written</v>
      </c>
      <c r="AF3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6" spans="18:32" x14ac:dyDescent="0.2">
      <c r="R3396" t="s">
        <v>3</v>
      </c>
      <c r="S3396" t="s">
        <v>265</v>
      </c>
      <c r="T3396" t="s">
        <v>351</v>
      </c>
      <c r="U3396" s="21">
        <v>833327</v>
      </c>
      <c r="V3396" s="21" t="s">
        <v>368</v>
      </c>
      <c r="W3396" t="str">
        <f>VLOOKUP(Table_Query_from_Actuarial___Production[[#This Row],[Kor1]],$AI$3:$AK$105,3,FALSE)</f>
        <v>Premiums Written</v>
      </c>
      <c r="X3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6"/>
      <c r="Z3396" t="s">
        <v>16</v>
      </c>
      <c r="AA3396" t="s">
        <v>354</v>
      </c>
      <c r="AB3396" t="s">
        <v>441</v>
      </c>
      <c r="AC3396" s="21">
        <v>21601403.050000001</v>
      </c>
      <c r="AD3396" s="21" t="s">
        <v>368</v>
      </c>
      <c r="AE3396" t="str">
        <f>VLOOKUP(Table_Query_from_Actuarial___Production3[[#This Row],[Kor1]],$AI$3:$AK$105,3,FALSE)</f>
        <v>Losses Outstanding</v>
      </c>
      <c r="AF3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397" spans="18:32" x14ac:dyDescent="0.2">
      <c r="R3397" t="s">
        <v>31</v>
      </c>
      <c r="S3397" t="s">
        <v>255</v>
      </c>
      <c r="T3397" t="s">
        <v>9</v>
      </c>
      <c r="U3397" s="21">
        <v>626.88</v>
      </c>
      <c r="V3397" s="21" t="s">
        <v>368</v>
      </c>
      <c r="W3397" t="str">
        <f>VLOOKUP(Table_Query_from_Actuarial___Production[[#This Row],[Kor1]],$AI$3:$AK$105,3,FALSE)</f>
        <v>Misc. Expense</v>
      </c>
      <c r="X3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7"/>
      <c r="Z3397" t="s">
        <v>44</v>
      </c>
      <c r="AA3397" t="s">
        <v>261</v>
      </c>
      <c r="AB3397" t="s">
        <v>427</v>
      </c>
      <c r="AC3397" s="21">
        <v>0.4</v>
      </c>
      <c r="AD3397" s="21" t="s">
        <v>368</v>
      </c>
      <c r="AE3397" t="str">
        <f>VLOOKUP(Table_Query_from_Actuarial___Production3[[#This Row],[Kor1]],$AI$3:$AK$105,3,FALSE)</f>
        <v>Charge-offs</v>
      </c>
      <c r="AF3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8" spans="18:32" x14ac:dyDescent="0.2">
      <c r="R3398" t="s">
        <v>10</v>
      </c>
      <c r="S3398" t="s">
        <v>256</v>
      </c>
      <c r="T3398" t="s">
        <v>6</v>
      </c>
      <c r="U3398" s="21">
        <v>2551.15</v>
      </c>
      <c r="V3398" s="21" t="s">
        <v>368</v>
      </c>
      <c r="W3398" t="str">
        <f>VLOOKUP(Table_Query_from_Actuarial___Production[[#This Row],[Kor1]],$AI$3:$AK$105,3,FALSE)</f>
        <v>Commissions</v>
      </c>
      <c r="X3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8"/>
      <c r="Z3398" t="s">
        <v>20</v>
      </c>
      <c r="AA3398" t="s">
        <v>230</v>
      </c>
      <c r="AB3398" t="s">
        <v>427</v>
      </c>
      <c r="AC3398" s="21">
        <v>9165.73</v>
      </c>
      <c r="AD3398" s="21" t="s">
        <v>368</v>
      </c>
      <c r="AE3398" t="str">
        <f>VLOOKUP(Table_Query_from_Actuarial___Production3[[#This Row],[Kor1]],$AI$3:$AK$105,3,FALSE)</f>
        <v>Misc. Expense</v>
      </c>
      <c r="AF3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399" spans="18:32" x14ac:dyDescent="0.2">
      <c r="R3399" t="s">
        <v>33</v>
      </c>
      <c r="S3399" t="s">
        <v>250</v>
      </c>
      <c r="T3399" t="s">
        <v>8</v>
      </c>
      <c r="U3399" s="21">
        <v>31501.47</v>
      </c>
      <c r="V3399" s="21" t="s">
        <v>368</v>
      </c>
      <c r="W3399" t="str">
        <f>VLOOKUP(Table_Query_from_Actuarial___Production[[#This Row],[Kor1]],$AI$3:$AK$105,3,FALSE)</f>
        <v>Misc. Expense</v>
      </c>
      <c r="X3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399"/>
      <c r="Z3399" t="s">
        <v>17</v>
      </c>
      <c r="AA3399" t="s">
        <v>224</v>
      </c>
      <c r="AB3399" t="s">
        <v>427</v>
      </c>
      <c r="AC3399" s="21">
        <v>-896.99</v>
      </c>
      <c r="AD3399" s="21" t="s">
        <v>425</v>
      </c>
      <c r="AE3399" t="str">
        <f>VLOOKUP(Table_Query_from_Actuarial___Production3[[#This Row],[Kor1]],$AI$3:$AK$105,3,FALSE)</f>
        <v>IBNR</v>
      </c>
      <c r="AF3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400" spans="18:32" x14ac:dyDescent="0.2">
      <c r="R3400" t="s">
        <v>14</v>
      </c>
      <c r="S3400" t="s">
        <v>253</v>
      </c>
      <c r="T3400" t="s">
        <v>427</v>
      </c>
      <c r="U3400" s="21">
        <v>107.2</v>
      </c>
      <c r="V3400" s="21" t="s">
        <v>368</v>
      </c>
      <c r="W3400" t="str">
        <f>VLOOKUP(Table_Query_from_Actuarial___Production[[#This Row],[Kor1]],$AI$3:$AK$105,3,FALSE)</f>
        <v>Claims Expense</v>
      </c>
      <c r="X3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0"/>
      <c r="Z3400" t="s">
        <v>11</v>
      </c>
      <c r="AA3400" t="s">
        <v>250</v>
      </c>
      <c r="AB3400" t="s">
        <v>433</v>
      </c>
      <c r="AC3400" s="21">
        <v>195990.68</v>
      </c>
      <c r="AD3400" s="21" t="s">
        <v>368</v>
      </c>
      <c r="AE3400" t="str">
        <f>VLOOKUP(Table_Query_from_Actuarial___Production3[[#This Row],[Kor1]],$AI$3:$AK$105,3,FALSE)</f>
        <v>Losses Paid</v>
      </c>
      <c r="AF3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1" spans="18:32" x14ac:dyDescent="0.2">
      <c r="R3401" t="s">
        <v>44</v>
      </c>
      <c r="S3401" t="s">
        <v>242</v>
      </c>
      <c r="T3401" t="s">
        <v>8</v>
      </c>
      <c r="U3401" s="21">
        <v>-2</v>
      </c>
      <c r="V3401" s="21" t="s">
        <v>368</v>
      </c>
      <c r="W3401" t="str">
        <f>VLOOKUP(Table_Query_from_Actuarial___Production[[#This Row],[Kor1]],$AI$3:$AK$105,3,FALSE)</f>
        <v>Charge-offs</v>
      </c>
      <c r="X3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1"/>
      <c r="Z3401" t="s">
        <v>20</v>
      </c>
      <c r="AA3401" t="s">
        <v>246</v>
      </c>
      <c r="AB3401" t="s">
        <v>7</v>
      </c>
      <c r="AC3401" s="21">
        <v>113.37</v>
      </c>
      <c r="AD3401" s="21" t="s">
        <v>368</v>
      </c>
      <c r="AE3401" t="str">
        <f>VLOOKUP(Table_Query_from_Actuarial___Production3[[#This Row],[Kor1]],$AI$3:$AK$105,3,FALSE)</f>
        <v>Misc. Expense</v>
      </c>
      <c r="AF3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2" spans="18:32" x14ac:dyDescent="0.2">
      <c r="R3402" t="s">
        <v>13</v>
      </c>
      <c r="S3402" t="s">
        <v>264</v>
      </c>
      <c r="T3402" t="s">
        <v>351</v>
      </c>
      <c r="U3402" s="21">
        <v>394339.74</v>
      </c>
      <c r="V3402" s="21" t="s">
        <v>368</v>
      </c>
      <c r="W3402" t="str">
        <f>VLOOKUP(Table_Query_from_Actuarial___Production[[#This Row],[Kor1]],$AI$3:$AK$105,3,FALSE)</f>
        <v>Operating Service Fees</v>
      </c>
      <c r="X3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2"/>
      <c r="Z3402" t="s">
        <v>10</v>
      </c>
      <c r="AA3402" t="s">
        <v>235</v>
      </c>
      <c r="AB3402" t="s">
        <v>351</v>
      </c>
      <c r="AC3402" s="21">
        <v>46105.68</v>
      </c>
      <c r="AD3402" s="21" t="s">
        <v>368</v>
      </c>
      <c r="AE3402" t="str">
        <f>VLOOKUP(Table_Query_from_Actuarial___Production3[[#This Row],[Kor1]],$AI$3:$AK$105,3,FALSE)</f>
        <v>Commissions</v>
      </c>
      <c r="AF3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3" spans="18:32" x14ac:dyDescent="0.2">
      <c r="R3403" t="s">
        <v>39</v>
      </c>
      <c r="S3403" t="s">
        <v>236</v>
      </c>
      <c r="T3403" t="s">
        <v>9</v>
      </c>
      <c r="U3403" s="21">
        <v>374</v>
      </c>
      <c r="V3403" s="21" t="s">
        <v>368</v>
      </c>
      <c r="W3403" t="str">
        <f>VLOOKUP(Table_Query_from_Actuarial___Production[[#This Row],[Kor1]],$AI$3:$AK$105,3,FALSE)</f>
        <v>Misc. Income for Insolvent Companies</v>
      </c>
      <c r="X3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3"/>
      <c r="Z3403" t="s">
        <v>31</v>
      </c>
      <c r="AA3403" t="s">
        <v>241</v>
      </c>
      <c r="AB3403" t="s">
        <v>427</v>
      </c>
      <c r="AC3403" s="21">
        <v>541.05999999999995</v>
      </c>
      <c r="AD3403" s="21" t="s">
        <v>368</v>
      </c>
      <c r="AE3403" t="str">
        <f>VLOOKUP(Table_Query_from_Actuarial___Production3[[#This Row],[Kor1]],$AI$3:$AK$105,3,FALSE)</f>
        <v>Misc. Expense</v>
      </c>
      <c r="AF3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4" spans="18:32" x14ac:dyDescent="0.2">
      <c r="R3404" t="s">
        <v>40</v>
      </c>
      <c r="S3404" t="s">
        <v>237</v>
      </c>
      <c r="T3404" t="s">
        <v>441</v>
      </c>
      <c r="U3404" s="21">
        <v>-146.69</v>
      </c>
      <c r="V3404" s="21" t="s">
        <v>368</v>
      </c>
      <c r="W3404" t="str">
        <f>VLOOKUP(Table_Query_from_Actuarial___Production[[#This Row],[Kor1]],$AI$3:$AK$105,3,FALSE)</f>
        <v>Misc. Income</v>
      </c>
      <c r="X3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4"/>
      <c r="Z3404" t="s">
        <v>31</v>
      </c>
      <c r="AA3404" t="s">
        <v>265</v>
      </c>
      <c r="AB3404" t="s">
        <v>351</v>
      </c>
      <c r="AC3404" s="21">
        <v>495.73</v>
      </c>
      <c r="AD3404" s="21" t="s">
        <v>368</v>
      </c>
      <c r="AE3404" t="str">
        <f>VLOOKUP(Table_Query_from_Actuarial___Production3[[#This Row],[Kor1]],$AI$3:$AK$105,3,FALSE)</f>
        <v>Misc. Expense</v>
      </c>
      <c r="AF3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5" spans="18:32" x14ac:dyDescent="0.2">
      <c r="R3405" t="s">
        <v>31</v>
      </c>
      <c r="S3405" t="s">
        <v>266</v>
      </c>
      <c r="T3405" t="s">
        <v>441</v>
      </c>
      <c r="U3405" s="21">
        <v>968.08</v>
      </c>
      <c r="V3405" s="21" t="s">
        <v>368</v>
      </c>
      <c r="W3405" t="str">
        <f>VLOOKUP(Table_Query_from_Actuarial___Production[[#This Row],[Kor1]],$AI$3:$AK$105,3,FALSE)</f>
        <v>Misc. Expense</v>
      </c>
      <c r="X3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5"/>
      <c r="Z3405" t="s">
        <v>43</v>
      </c>
      <c r="AA3405" t="s">
        <v>248</v>
      </c>
      <c r="AB3405" t="s">
        <v>442</v>
      </c>
      <c r="AC3405" s="21">
        <v>-1.73</v>
      </c>
      <c r="AD3405" s="21" t="s">
        <v>368</v>
      </c>
      <c r="AE3405" t="str">
        <f>VLOOKUP(Table_Query_from_Actuarial___Production3[[#This Row],[Kor1]],$AI$3:$AK$105,3,FALSE)</f>
        <v>Charge-offs</v>
      </c>
      <c r="AF3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6" spans="18:32" x14ac:dyDescent="0.2">
      <c r="R3406" t="s">
        <v>132</v>
      </c>
      <c r="S3406" t="s">
        <v>354</v>
      </c>
      <c r="T3406" t="s">
        <v>433</v>
      </c>
      <c r="U3406" s="21">
        <v>184234099.69</v>
      </c>
      <c r="V3406" s="21" t="s">
        <v>369</v>
      </c>
      <c r="W3406" t="str">
        <f>VLOOKUP(Table_Query_from_Actuarial___Production[[#This Row],[Kor1]],$AI$3:$AK$105,3,FALSE)</f>
        <v>Clean Risk Subsidy</v>
      </c>
      <c r="X3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406"/>
      <c r="Z3406" t="s">
        <v>33</v>
      </c>
      <c r="AA3406" t="s">
        <v>268</v>
      </c>
      <c r="AB3406" t="s">
        <v>427</v>
      </c>
      <c r="AC3406" s="21">
        <v>12241.52</v>
      </c>
      <c r="AD3406" s="21" t="s">
        <v>368</v>
      </c>
      <c r="AE3406" t="str">
        <f>VLOOKUP(Table_Query_from_Actuarial___Production3[[#This Row],[Kor1]],$AI$3:$AK$105,3,FALSE)</f>
        <v>Misc. Expense</v>
      </c>
      <c r="AF3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07" spans="18:32" x14ac:dyDescent="0.2">
      <c r="R3407" t="s">
        <v>10</v>
      </c>
      <c r="S3407" t="s">
        <v>352</v>
      </c>
      <c r="T3407" t="s">
        <v>427</v>
      </c>
      <c r="U3407" s="21">
        <v>103.94</v>
      </c>
      <c r="V3407" s="21" t="s">
        <v>368</v>
      </c>
      <c r="W3407" t="str">
        <f>VLOOKUP(Table_Query_from_Actuarial___Production[[#This Row],[Kor1]],$AI$3:$AK$105,3,FALSE)</f>
        <v>Commissions</v>
      </c>
      <c r="X3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407"/>
      <c r="Z3407" t="s">
        <v>18</v>
      </c>
      <c r="AA3407" t="s">
        <v>225</v>
      </c>
      <c r="AB3407" t="s">
        <v>427</v>
      </c>
      <c r="AC3407" s="21">
        <v>795825.92</v>
      </c>
      <c r="AD3407" s="21" t="s">
        <v>368</v>
      </c>
      <c r="AE3407" t="str">
        <f>VLOOKUP(Table_Query_from_Actuarial___Production3[[#This Row],[Kor1]],$AI$3:$AK$105,3,FALSE)</f>
        <v>Misc. Expense</v>
      </c>
      <c r="AF3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408" spans="18:32" x14ac:dyDescent="0.2">
      <c r="R3408" t="s">
        <v>14</v>
      </c>
      <c r="S3408" t="s">
        <v>225</v>
      </c>
      <c r="T3408" t="s">
        <v>6</v>
      </c>
      <c r="U3408" s="21">
        <v>630812</v>
      </c>
      <c r="V3408" s="21" t="s">
        <v>369</v>
      </c>
      <c r="W3408" t="str">
        <f>VLOOKUP(Table_Query_from_Actuarial___Production[[#This Row],[Kor1]],$AI$3:$AK$105,3,FALSE)</f>
        <v>Claims Expense</v>
      </c>
      <c r="X3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408"/>
      <c r="Z3408" t="s">
        <v>43</v>
      </c>
      <c r="AA3408" t="s">
        <v>224</v>
      </c>
      <c r="AB3408" t="s">
        <v>442</v>
      </c>
      <c r="AC3408" s="21">
        <v>0.67</v>
      </c>
      <c r="AD3408" s="21" t="s">
        <v>369</v>
      </c>
      <c r="AE3408" t="str">
        <f>VLOOKUP(Table_Query_from_Actuarial___Production3[[#This Row],[Kor1]],$AI$3:$AK$105,3,FALSE)</f>
        <v>Charge-offs</v>
      </c>
      <c r="AF3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409" spans="18:32" x14ac:dyDescent="0.2">
      <c r="R3409" t="s">
        <v>3</v>
      </c>
      <c r="S3409" t="s">
        <v>264</v>
      </c>
      <c r="T3409" t="s">
        <v>442</v>
      </c>
      <c r="U3409" s="21">
        <v>3824664</v>
      </c>
      <c r="V3409" s="21" t="s">
        <v>368</v>
      </c>
      <c r="W3409" t="str">
        <f>VLOOKUP(Table_Query_from_Actuarial___Production[[#This Row],[Kor1]],$AI$3:$AK$105,3,FALSE)</f>
        <v>Premiums Written</v>
      </c>
      <c r="X3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09"/>
      <c r="Z3409" t="s">
        <v>37</v>
      </c>
      <c r="AA3409" t="s">
        <v>237</v>
      </c>
      <c r="AB3409" t="s">
        <v>6</v>
      </c>
      <c r="AC3409" s="21">
        <v>663.18</v>
      </c>
      <c r="AD3409" s="21" t="s">
        <v>368</v>
      </c>
      <c r="AE3409" t="str">
        <f>VLOOKUP(Table_Query_from_Actuarial___Production3[[#This Row],[Kor1]],$AI$3:$AK$105,3,FALSE)</f>
        <v>Misc. Expense</v>
      </c>
      <c r="AF3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0" spans="18:32" x14ac:dyDescent="0.2">
      <c r="R3410" t="s">
        <v>43</v>
      </c>
      <c r="S3410" t="s">
        <v>263</v>
      </c>
      <c r="T3410" t="s">
        <v>9</v>
      </c>
      <c r="U3410" s="21">
        <v>1.42</v>
      </c>
      <c r="V3410" s="21" t="s">
        <v>368</v>
      </c>
      <c r="W3410" t="str">
        <f>VLOOKUP(Table_Query_from_Actuarial___Production[[#This Row],[Kor1]],$AI$3:$AK$105,3,FALSE)</f>
        <v>Charge-offs</v>
      </c>
      <c r="X3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0"/>
      <c r="Z3410" t="s">
        <v>10</v>
      </c>
      <c r="AA3410" t="s">
        <v>264</v>
      </c>
      <c r="AB3410" t="s">
        <v>5</v>
      </c>
      <c r="AC3410" s="21">
        <v>121623.97</v>
      </c>
      <c r="AD3410" s="21" t="s">
        <v>368</v>
      </c>
      <c r="AE3410" t="str">
        <f>VLOOKUP(Table_Query_from_Actuarial___Production3[[#This Row],[Kor1]],$AI$3:$AK$105,3,FALSE)</f>
        <v>Commissions</v>
      </c>
      <c r="AF3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1" spans="18:32" x14ac:dyDescent="0.2">
      <c r="R3411" t="s">
        <v>11</v>
      </c>
      <c r="S3411" t="s">
        <v>243</v>
      </c>
      <c r="T3411" t="s">
        <v>356</v>
      </c>
      <c r="U3411" s="21">
        <v>139139.53</v>
      </c>
      <c r="V3411" s="21" t="s">
        <v>368</v>
      </c>
      <c r="W3411" t="str">
        <f>VLOOKUP(Table_Query_from_Actuarial___Production[[#This Row],[Kor1]],$AI$3:$AK$105,3,FALSE)</f>
        <v>Losses Paid</v>
      </c>
      <c r="X3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1"/>
      <c r="Z3411" t="s">
        <v>19</v>
      </c>
      <c r="AA3411" t="s">
        <v>256</v>
      </c>
      <c r="AB3411" t="s">
        <v>433</v>
      </c>
      <c r="AC3411" s="21">
        <v>466</v>
      </c>
      <c r="AD3411" s="21" t="s">
        <v>368</v>
      </c>
      <c r="AE3411" t="str">
        <f>VLOOKUP(Table_Query_from_Actuarial___Production3[[#This Row],[Kor1]],$AI$3:$AK$105,3,FALSE)</f>
        <v>Misc. Expense for Insolvent Companies</v>
      </c>
      <c r="AF3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2" spans="18:32" x14ac:dyDescent="0.2">
      <c r="R3412" t="s">
        <v>18</v>
      </c>
      <c r="S3412" t="s">
        <v>225</v>
      </c>
      <c r="T3412" t="s">
        <v>443</v>
      </c>
      <c r="U3412" s="21">
        <v>326350.51</v>
      </c>
      <c r="V3412" s="21" t="s">
        <v>368</v>
      </c>
      <c r="W3412" t="str">
        <f>VLOOKUP(Table_Query_from_Actuarial___Production[[#This Row],[Kor1]],$AI$3:$AK$105,3,FALSE)</f>
        <v>Misc. Expense</v>
      </c>
      <c r="X3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412"/>
      <c r="Z3412" t="s">
        <v>10</v>
      </c>
      <c r="AA3412" t="s">
        <v>232</v>
      </c>
      <c r="AB3412" t="s">
        <v>442</v>
      </c>
      <c r="AC3412" s="21">
        <v>99508.61</v>
      </c>
      <c r="AD3412" s="21" t="s">
        <v>368</v>
      </c>
      <c r="AE3412" t="str">
        <f>VLOOKUP(Table_Query_from_Actuarial___Production3[[#This Row],[Kor1]],$AI$3:$AK$105,3,FALSE)</f>
        <v>Commissions</v>
      </c>
      <c r="AF3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3" spans="18:32" x14ac:dyDescent="0.2">
      <c r="R3413" t="s">
        <v>17</v>
      </c>
      <c r="S3413" t="s">
        <v>258</v>
      </c>
      <c r="T3413" t="s">
        <v>445</v>
      </c>
      <c r="U3413" s="21">
        <v>191009.57</v>
      </c>
      <c r="V3413" s="21" t="s">
        <v>368</v>
      </c>
      <c r="W3413" t="str">
        <f>VLOOKUP(Table_Query_from_Actuarial___Production[[#This Row],[Kor1]],$AI$3:$AK$105,3,FALSE)</f>
        <v>IBNR</v>
      </c>
      <c r="X3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3"/>
      <c r="Z3413" t="s">
        <v>16</v>
      </c>
      <c r="AA3413" t="s">
        <v>234</v>
      </c>
      <c r="AB3413" t="s">
        <v>427</v>
      </c>
      <c r="AC3413" s="21">
        <v>49656.05</v>
      </c>
      <c r="AD3413" s="21" t="s">
        <v>368</v>
      </c>
      <c r="AE3413" t="str">
        <f>VLOOKUP(Table_Query_from_Actuarial___Production3[[#This Row],[Kor1]],$AI$3:$AK$105,3,FALSE)</f>
        <v>Losses Outstanding</v>
      </c>
      <c r="AF3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4" spans="18:32" x14ac:dyDescent="0.2">
      <c r="R3414" t="s">
        <v>33</v>
      </c>
      <c r="S3414" t="s">
        <v>234</v>
      </c>
      <c r="T3414" t="s">
        <v>8</v>
      </c>
      <c r="U3414" s="21">
        <v>16082.93</v>
      </c>
      <c r="V3414" s="21" t="s">
        <v>368</v>
      </c>
      <c r="W3414" t="str">
        <f>VLOOKUP(Table_Query_from_Actuarial___Production[[#This Row],[Kor1]],$AI$3:$AK$105,3,FALSE)</f>
        <v>Misc. Expense</v>
      </c>
      <c r="X3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4"/>
      <c r="Z3414" t="s">
        <v>34</v>
      </c>
      <c r="AA3414" t="s">
        <v>4</v>
      </c>
      <c r="AB3414" t="s">
        <v>356</v>
      </c>
      <c r="AC3414" s="21">
        <v>1169.27</v>
      </c>
      <c r="AD3414" s="21" t="s">
        <v>368</v>
      </c>
      <c r="AE3414" t="str">
        <f>VLOOKUP(Table_Query_from_Actuarial___Production3[[#This Row],[Kor1]],$AI$3:$AK$105,3,FALSE)</f>
        <v>Misc. Expense</v>
      </c>
      <c r="AF3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5" spans="18:32" x14ac:dyDescent="0.2">
      <c r="R3415" t="s">
        <v>31</v>
      </c>
      <c r="S3415" t="s">
        <v>240</v>
      </c>
      <c r="T3415" t="s">
        <v>6</v>
      </c>
      <c r="U3415" s="21">
        <v>1</v>
      </c>
      <c r="V3415" s="21" t="s">
        <v>368</v>
      </c>
      <c r="W3415" t="str">
        <f>VLOOKUP(Table_Query_from_Actuarial___Production[[#This Row],[Kor1]],$AI$3:$AK$105,3,FALSE)</f>
        <v>Misc. Expense</v>
      </c>
      <c r="X3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5"/>
      <c r="Z3415" t="s">
        <v>3</v>
      </c>
      <c r="AA3415" t="s">
        <v>4</v>
      </c>
      <c r="AB3415" t="s">
        <v>441</v>
      </c>
      <c r="AC3415" s="21">
        <v>62602045</v>
      </c>
      <c r="AD3415" s="21" t="s">
        <v>368</v>
      </c>
      <c r="AE3415" t="str">
        <f>VLOOKUP(Table_Query_from_Actuarial___Production3[[#This Row],[Kor1]],$AI$3:$AK$105,3,FALSE)</f>
        <v>Premiums Written</v>
      </c>
      <c r="AF3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6" spans="18:32" x14ac:dyDescent="0.2">
      <c r="R3416" t="s">
        <v>44</v>
      </c>
      <c r="S3416" t="s">
        <v>258</v>
      </c>
      <c r="T3416" t="s">
        <v>8</v>
      </c>
      <c r="U3416" s="21">
        <v>22883.56</v>
      </c>
      <c r="V3416" s="21" t="s">
        <v>368</v>
      </c>
      <c r="W3416" t="str">
        <f>VLOOKUP(Table_Query_from_Actuarial___Production[[#This Row],[Kor1]],$AI$3:$AK$105,3,FALSE)</f>
        <v>Charge-offs</v>
      </c>
      <c r="X3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6"/>
      <c r="Z3416" t="s">
        <v>16</v>
      </c>
      <c r="AA3416" t="s">
        <v>354</v>
      </c>
      <c r="AB3416" t="s">
        <v>7</v>
      </c>
      <c r="AC3416" s="21">
        <v>227539.81</v>
      </c>
      <c r="AD3416" s="21" t="s">
        <v>368</v>
      </c>
      <c r="AE3416" t="str">
        <f>VLOOKUP(Table_Query_from_Actuarial___Production3[[#This Row],[Kor1]],$AI$3:$AK$105,3,FALSE)</f>
        <v>Losses Outstanding</v>
      </c>
      <c r="AF3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417" spans="18:32" x14ac:dyDescent="0.2">
      <c r="R3417" t="s">
        <v>44</v>
      </c>
      <c r="S3417" t="s">
        <v>224</v>
      </c>
      <c r="T3417" t="s">
        <v>9</v>
      </c>
      <c r="U3417" s="21">
        <v>2066.2399999999998</v>
      </c>
      <c r="V3417" s="21" t="s">
        <v>425</v>
      </c>
      <c r="W3417" t="str">
        <f>VLOOKUP(Table_Query_from_Actuarial___Production[[#This Row],[Kor1]],$AI$3:$AK$105,3,FALSE)</f>
        <v>Charge-offs</v>
      </c>
      <c r="X3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417"/>
      <c r="Z3417" t="s">
        <v>47</v>
      </c>
      <c r="AA3417" t="s">
        <v>256</v>
      </c>
      <c r="AB3417" t="s">
        <v>433</v>
      </c>
      <c r="AC3417" s="21">
        <v>717.66</v>
      </c>
      <c r="AD3417" s="21" t="s">
        <v>368</v>
      </c>
      <c r="AE3417" t="str">
        <f>VLOOKUP(Table_Query_from_Actuarial___Production3[[#This Row],[Kor1]],$AI$3:$AK$105,3,FALSE)</f>
        <v>Investment Income</v>
      </c>
      <c r="AF3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8" spans="18:32" x14ac:dyDescent="0.2">
      <c r="R3418" t="s">
        <v>47</v>
      </c>
      <c r="S3418" t="s">
        <v>244</v>
      </c>
      <c r="T3418" t="s">
        <v>433</v>
      </c>
      <c r="U3418" s="21">
        <v>2426.9</v>
      </c>
      <c r="V3418" s="21" t="s">
        <v>368</v>
      </c>
      <c r="W3418" t="str">
        <f>VLOOKUP(Table_Query_from_Actuarial___Production[[#This Row],[Kor1]],$AI$3:$AK$105,3,FALSE)</f>
        <v>Investment Income</v>
      </c>
      <c r="X3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8"/>
      <c r="Z3418" t="s">
        <v>11</v>
      </c>
      <c r="AA3418" t="s">
        <v>232</v>
      </c>
      <c r="AB3418" t="s">
        <v>356</v>
      </c>
      <c r="AC3418" s="21">
        <v>83027.520000000004</v>
      </c>
      <c r="AD3418" s="21" t="s">
        <v>368</v>
      </c>
      <c r="AE3418" t="str">
        <f>VLOOKUP(Table_Query_from_Actuarial___Production3[[#This Row],[Kor1]],$AI$3:$AK$105,3,FALSE)</f>
        <v>Losses Paid</v>
      </c>
      <c r="AF3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19" spans="18:32" x14ac:dyDescent="0.2">
      <c r="R3419" t="s">
        <v>10</v>
      </c>
      <c r="S3419" t="s">
        <v>246</v>
      </c>
      <c r="T3419" t="s">
        <v>8</v>
      </c>
      <c r="U3419" s="21">
        <v>24941.9</v>
      </c>
      <c r="V3419" s="21" t="s">
        <v>368</v>
      </c>
      <c r="W3419" t="str">
        <f>VLOOKUP(Table_Query_from_Actuarial___Production[[#This Row],[Kor1]],$AI$3:$AK$105,3,FALSE)</f>
        <v>Commissions</v>
      </c>
      <c r="X3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19"/>
      <c r="Z3419" t="s">
        <v>20</v>
      </c>
      <c r="AA3419" t="s">
        <v>250</v>
      </c>
      <c r="AB3419" t="s">
        <v>351</v>
      </c>
      <c r="AC3419" s="21">
        <v>252.4</v>
      </c>
      <c r="AD3419" s="21" t="s">
        <v>368</v>
      </c>
      <c r="AE3419" t="str">
        <f>VLOOKUP(Table_Query_from_Actuarial___Production3[[#This Row],[Kor1]],$AI$3:$AK$105,3,FALSE)</f>
        <v>Misc. Expense</v>
      </c>
      <c r="AF3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0" spans="18:32" x14ac:dyDescent="0.2">
      <c r="R3420" t="s">
        <v>39</v>
      </c>
      <c r="S3420" t="s">
        <v>255</v>
      </c>
      <c r="T3420" t="s">
        <v>433</v>
      </c>
      <c r="U3420" s="21">
        <v>1094</v>
      </c>
      <c r="V3420" s="21" t="s">
        <v>368</v>
      </c>
      <c r="W3420" t="str">
        <f>VLOOKUP(Table_Query_from_Actuarial___Production[[#This Row],[Kor1]],$AI$3:$AK$105,3,FALSE)</f>
        <v>Misc. Income for Insolvent Companies</v>
      </c>
      <c r="X3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0"/>
      <c r="Z3420" t="s">
        <v>46</v>
      </c>
      <c r="AA3420" t="s">
        <v>352</v>
      </c>
      <c r="AB3420" t="s">
        <v>433</v>
      </c>
      <c r="AC3420" s="21">
        <v>2.09</v>
      </c>
      <c r="AD3420" s="21" t="s">
        <v>368</v>
      </c>
      <c r="AE3420" t="str">
        <f>VLOOKUP(Table_Query_from_Actuarial___Production3[[#This Row],[Kor1]],$AI$3:$AK$105,3,FALSE)</f>
        <v>Investment Income</v>
      </c>
      <c r="AF3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421" spans="18:32" x14ac:dyDescent="0.2">
      <c r="R3421" t="s">
        <v>16</v>
      </c>
      <c r="S3421" t="s">
        <v>224</v>
      </c>
      <c r="T3421" t="s">
        <v>442</v>
      </c>
      <c r="U3421" s="21">
        <v>-0.11</v>
      </c>
      <c r="V3421" s="21" t="s">
        <v>425</v>
      </c>
      <c r="W3421" t="str">
        <f>VLOOKUP(Table_Query_from_Actuarial___Production[[#This Row],[Kor1]],$AI$3:$AK$105,3,FALSE)</f>
        <v>Losses Outstanding</v>
      </c>
      <c r="X3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421"/>
      <c r="Z3421" t="s">
        <v>439</v>
      </c>
      <c r="AA3421" t="s">
        <v>235</v>
      </c>
      <c r="AB3421" t="s">
        <v>433</v>
      </c>
      <c r="AC3421" s="21">
        <v>4475</v>
      </c>
      <c r="AD3421" s="21" t="s">
        <v>368</v>
      </c>
      <c r="AE3421" t="str">
        <f>VLOOKUP(Table_Query_from_Actuarial___Production3[[#This Row],[Kor1]],$AI$3:$AK$105,3,FALSE)</f>
        <v>Operating Service Fees</v>
      </c>
      <c r="AF3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2" spans="18:32" x14ac:dyDescent="0.2">
      <c r="R3422" t="s">
        <v>37</v>
      </c>
      <c r="S3422" t="s">
        <v>227</v>
      </c>
      <c r="T3422" t="s">
        <v>9</v>
      </c>
      <c r="U3422" s="21">
        <v>539.88</v>
      </c>
      <c r="V3422" s="21" t="s">
        <v>368</v>
      </c>
      <c r="W3422" t="str">
        <f>VLOOKUP(Table_Query_from_Actuarial___Production[[#This Row],[Kor1]],$AI$3:$AK$105,3,FALSE)</f>
        <v>Misc. Expense</v>
      </c>
      <c r="X3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2"/>
      <c r="Z3422" t="s">
        <v>77</v>
      </c>
      <c r="AA3422" t="s">
        <v>258</v>
      </c>
      <c r="AB3422" t="s">
        <v>443</v>
      </c>
      <c r="AC3422" s="21">
        <v>276575</v>
      </c>
      <c r="AD3422" s="21" t="s">
        <v>368</v>
      </c>
      <c r="AE3422" t="str">
        <f>VLOOKUP(Table_Query_from_Actuarial___Production3[[#This Row],[Kor1]],$AI$3:$AK$105,3,FALSE)</f>
        <v>PDR</v>
      </c>
      <c r="AF3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3" spans="18:32" x14ac:dyDescent="0.2">
      <c r="R3423" t="s">
        <v>39</v>
      </c>
      <c r="S3423" t="s">
        <v>255</v>
      </c>
      <c r="T3423" t="s">
        <v>7</v>
      </c>
      <c r="U3423" s="21">
        <v>281</v>
      </c>
      <c r="V3423" s="21" t="s">
        <v>368</v>
      </c>
      <c r="W3423" t="str">
        <f>VLOOKUP(Table_Query_from_Actuarial___Production[[#This Row],[Kor1]],$AI$3:$AK$105,3,FALSE)</f>
        <v>Misc. Income for Insolvent Companies</v>
      </c>
      <c r="X3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3"/>
      <c r="Z3423" t="s">
        <v>31</v>
      </c>
      <c r="AA3423" t="s">
        <v>248</v>
      </c>
      <c r="AB3423" t="s">
        <v>9</v>
      </c>
      <c r="AC3423" s="21">
        <v>548.14</v>
      </c>
      <c r="AD3423" s="21" t="s">
        <v>368</v>
      </c>
      <c r="AE3423" t="str">
        <f>VLOOKUP(Table_Query_from_Actuarial___Production3[[#This Row],[Kor1]],$AI$3:$AK$105,3,FALSE)</f>
        <v>Misc. Expense</v>
      </c>
      <c r="AF3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4" spans="18:32" x14ac:dyDescent="0.2">
      <c r="R3424" t="s">
        <v>11</v>
      </c>
      <c r="S3424" t="s">
        <v>246</v>
      </c>
      <c r="T3424" t="s">
        <v>443</v>
      </c>
      <c r="U3424" s="21">
        <v>845693.39</v>
      </c>
      <c r="V3424" s="21" t="s">
        <v>368</v>
      </c>
      <c r="W3424" t="str">
        <f>VLOOKUP(Table_Query_from_Actuarial___Production[[#This Row],[Kor1]],$AI$3:$AK$105,3,FALSE)</f>
        <v>Losses Paid</v>
      </c>
      <c r="X3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4"/>
      <c r="Z3424" t="s">
        <v>3</v>
      </c>
      <c r="AA3424" t="s">
        <v>352</v>
      </c>
      <c r="AB3424" t="s">
        <v>433</v>
      </c>
      <c r="AC3424" s="21">
        <v>90903</v>
      </c>
      <c r="AD3424" s="21" t="s">
        <v>369</v>
      </c>
      <c r="AE3424" t="str">
        <f>VLOOKUP(Table_Query_from_Actuarial___Production3[[#This Row],[Kor1]],$AI$3:$AK$105,3,FALSE)</f>
        <v>Premiums Written</v>
      </c>
      <c r="AF3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425" spans="18:32" x14ac:dyDescent="0.2">
      <c r="R3425" t="s">
        <v>33</v>
      </c>
      <c r="S3425" t="s">
        <v>228</v>
      </c>
      <c r="T3425" t="s">
        <v>351</v>
      </c>
      <c r="U3425" s="21">
        <v>20303.580000000002</v>
      </c>
      <c r="V3425" s="21" t="s">
        <v>368</v>
      </c>
      <c r="W3425" t="str">
        <f>VLOOKUP(Table_Query_from_Actuarial___Production[[#This Row],[Kor1]],$AI$3:$AK$105,3,FALSE)</f>
        <v>Misc. Expense</v>
      </c>
      <c r="X3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5"/>
      <c r="Z3425" t="s">
        <v>3</v>
      </c>
      <c r="AA3425" t="s">
        <v>265</v>
      </c>
      <c r="AB3425" t="s">
        <v>351</v>
      </c>
      <c r="AC3425" s="21">
        <v>833327</v>
      </c>
      <c r="AD3425" s="21" t="s">
        <v>368</v>
      </c>
      <c r="AE3425" t="str">
        <f>VLOOKUP(Table_Query_from_Actuarial___Production3[[#This Row],[Kor1]],$AI$3:$AK$105,3,FALSE)</f>
        <v>Premiums Written</v>
      </c>
      <c r="AF3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6" spans="18:32" x14ac:dyDescent="0.2">
      <c r="R3426" t="s">
        <v>34</v>
      </c>
      <c r="S3426" t="s">
        <v>252</v>
      </c>
      <c r="T3426" t="s">
        <v>445</v>
      </c>
      <c r="U3426" s="21">
        <v>78541.58</v>
      </c>
      <c r="V3426" s="21" t="s">
        <v>368</v>
      </c>
      <c r="W3426" t="str">
        <f>VLOOKUP(Table_Query_from_Actuarial___Production[[#This Row],[Kor1]],$AI$3:$AK$105,3,FALSE)</f>
        <v>Misc. Expense</v>
      </c>
      <c r="X3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6"/>
      <c r="Z3426" t="s">
        <v>31</v>
      </c>
      <c r="AA3426" t="s">
        <v>254</v>
      </c>
      <c r="AB3426" t="s">
        <v>5</v>
      </c>
      <c r="AC3426" s="21">
        <v>-9138.92</v>
      </c>
      <c r="AD3426" s="21" t="s">
        <v>368</v>
      </c>
      <c r="AE3426" t="str">
        <f>VLOOKUP(Table_Query_from_Actuarial___Production3[[#This Row],[Kor1]],$AI$3:$AK$105,3,FALSE)</f>
        <v>Misc. Expense</v>
      </c>
      <c r="AF3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7" spans="18:32" x14ac:dyDescent="0.2">
      <c r="R3427" t="s">
        <v>37</v>
      </c>
      <c r="S3427" t="s">
        <v>261</v>
      </c>
      <c r="T3427" t="s">
        <v>6</v>
      </c>
      <c r="U3427" s="21">
        <v>-52.44</v>
      </c>
      <c r="V3427" s="21" t="s">
        <v>368</v>
      </c>
      <c r="W3427" t="str">
        <f>VLOOKUP(Table_Query_from_Actuarial___Production[[#This Row],[Kor1]],$AI$3:$AK$105,3,FALSE)</f>
        <v>Misc. Expense</v>
      </c>
      <c r="X3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7"/>
      <c r="Z3427" t="s">
        <v>31</v>
      </c>
      <c r="AA3427" t="s">
        <v>255</v>
      </c>
      <c r="AB3427" t="s">
        <v>9</v>
      </c>
      <c r="AC3427" s="21">
        <v>626.88</v>
      </c>
      <c r="AD3427" s="21" t="s">
        <v>368</v>
      </c>
      <c r="AE3427" t="str">
        <f>VLOOKUP(Table_Query_from_Actuarial___Production3[[#This Row],[Kor1]],$AI$3:$AK$105,3,FALSE)</f>
        <v>Misc. Expense</v>
      </c>
      <c r="AF3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8" spans="18:32" x14ac:dyDescent="0.2">
      <c r="R3428" t="s">
        <v>47</v>
      </c>
      <c r="S3428" t="s">
        <v>229</v>
      </c>
      <c r="T3428" t="s">
        <v>443</v>
      </c>
      <c r="U3428" s="21">
        <v>9744.35</v>
      </c>
      <c r="V3428" s="21" t="s">
        <v>368</v>
      </c>
      <c r="W3428" t="str">
        <f>VLOOKUP(Table_Query_from_Actuarial___Production[[#This Row],[Kor1]],$AI$3:$AK$105,3,FALSE)</f>
        <v>Investment Income</v>
      </c>
      <c r="X3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8"/>
      <c r="Z3428" t="s">
        <v>10</v>
      </c>
      <c r="AA3428" t="s">
        <v>256</v>
      </c>
      <c r="AB3428" t="s">
        <v>6</v>
      </c>
      <c r="AC3428" s="21">
        <v>2551.15</v>
      </c>
      <c r="AD3428" s="21" t="s">
        <v>368</v>
      </c>
      <c r="AE3428" t="str">
        <f>VLOOKUP(Table_Query_from_Actuarial___Production3[[#This Row],[Kor1]],$AI$3:$AK$105,3,FALSE)</f>
        <v>Commissions</v>
      </c>
      <c r="AF3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29" spans="18:32" x14ac:dyDescent="0.2">
      <c r="R3429" t="s">
        <v>11</v>
      </c>
      <c r="S3429" t="s">
        <v>249</v>
      </c>
      <c r="T3429" t="s">
        <v>9</v>
      </c>
      <c r="U3429" s="21">
        <v>646905.97</v>
      </c>
      <c r="V3429" s="21" t="s">
        <v>368</v>
      </c>
      <c r="W3429" t="str">
        <f>VLOOKUP(Table_Query_from_Actuarial___Production[[#This Row],[Kor1]],$AI$3:$AK$105,3,FALSE)</f>
        <v>Losses Paid</v>
      </c>
      <c r="X3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29"/>
      <c r="Z3429" t="s">
        <v>33</v>
      </c>
      <c r="AA3429" t="s">
        <v>250</v>
      </c>
      <c r="AB3429" t="s">
        <v>8</v>
      </c>
      <c r="AC3429" s="21">
        <v>31501.47</v>
      </c>
      <c r="AD3429" s="21" t="s">
        <v>368</v>
      </c>
      <c r="AE3429" t="str">
        <f>VLOOKUP(Table_Query_from_Actuarial___Production3[[#This Row],[Kor1]],$AI$3:$AK$105,3,FALSE)</f>
        <v>Misc. Expense</v>
      </c>
      <c r="AF3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0" spans="18:32" x14ac:dyDescent="0.2">
      <c r="R3430" t="s">
        <v>44</v>
      </c>
      <c r="S3430" t="s">
        <v>241</v>
      </c>
      <c r="T3430" t="s">
        <v>443</v>
      </c>
      <c r="U3430" s="21">
        <v>1532</v>
      </c>
      <c r="V3430" s="21" t="s">
        <v>368</v>
      </c>
      <c r="W3430" t="str">
        <f>VLOOKUP(Table_Query_from_Actuarial___Production[[#This Row],[Kor1]],$AI$3:$AK$105,3,FALSE)</f>
        <v>Charge-offs</v>
      </c>
      <c r="X3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0"/>
      <c r="Z3430" t="s">
        <v>14</v>
      </c>
      <c r="AA3430" t="s">
        <v>253</v>
      </c>
      <c r="AB3430" t="s">
        <v>427</v>
      </c>
      <c r="AC3430" s="21">
        <v>107.2</v>
      </c>
      <c r="AD3430" s="21" t="s">
        <v>368</v>
      </c>
      <c r="AE3430" t="str">
        <f>VLOOKUP(Table_Query_from_Actuarial___Production3[[#This Row],[Kor1]],$AI$3:$AK$105,3,FALSE)</f>
        <v>Claims Expense</v>
      </c>
      <c r="AF3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1" spans="18:32" x14ac:dyDescent="0.2">
      <c r="R3431" t="s">
        <v>50</v>
      </c>
      <c r="S3431" t="s">
        <v>225</v>
      </c>
      <c r="T3431" t="s">
        <v>442</v>
      </c>
      <c r="U3431" s="21">
        <v>13795.64</v>
      </c>
      <c r="V3431" s="21" t="s">
        <v>368</v>
      </c>
      <c r="W3431" t="str">
        <f>VLOOKUP(Table_Query_from_Actuarial___Production[[#This Row],[Kor1]],$AI$3:$AK$105,3,FALSE)</f>
        <v>ALAE Reserve</v>
      </c>
      <c r="X3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431"/>
      <c r="Z3431" t="s">
        <v>44</v>
      </c>
      <c r="AA3431" t="s">
        <v>242</v>
      </c>
      <c r="AB3431" t="s">
        <v>8</v>
      </c>
      <c r="AC3431" s="21">
        <v>-2</v>
      </c>
      <c r="AD3431" s="21" t="s">
        <v>368</v>
      </c>
      <c r="AE3431" t="str">
        <f>VLOOKUP(Table_Query_from_Actuarial___Production3[[#This Row],[Kor1]],$AI$3:$AK$105,3,FALSE)</f>
        <v>Charge-offs</v>
      </c>
      <c r="AF3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2" spans="18:32" x14ac:dyDescent="0.2">
      <c r="R3432" t="s">
        <v>34</v>
      </c>
      <c r="S3432" t="s">
        <v>230</v>
      </c>
      <c r="T3432" t="s">
        <v>356</v>
      </c>
      <c r="U3432" s="21">
        <v>1935.02</v>
      </c>
      <c r="V3432" s="21" t="s">
        <v>368</v>
      </c>
      <c r="W3432" t="str">
        <f>VLOOKUP(Table_Query_from_Actuarial___Production[[#This Row],[Kor1]],$AI$3:$AK$105,3,FALSE)</f>
        <v>Misc. Expense</v>
      </c>
      <c r="X3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2"/>
      <c r="Z3432" t="s">
        <v>13</v>
      </c>
      <c r="AA3432" t="s">
        <v>264</v>
      </c>
      <c r="AB3432" t="s">
        <v>351</v>
      </c>
      <c r="AC3432" s="21">
        <v>394339.74</v>
      </c>
      <c r="AD3432" s="21" t="s">
        <v>368</v>
      </c>
      <c r="AE3432" t="str">
        <f>VLOOKUP(Table_Query_from_Actuarial___Production3[[#This Row],[Kor1]],$AI$3:$AK$105,3,FALSE)</f>
        <v>Operating Service Fees</v>
      </c>
      <c r="AF3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3" spans="18:32" x14ac:dyDescent="0.2">
      <c r="R3433" t="s">
        <v>39</v>
      </c>
      <c r="S3433" t="s">
        <v>259</v>
      </c>
      <c r="T3433" t="s">
        <v>6</v>
      </c>
      <c r="U3433" s="21">
        <v>749</v>
      </c>
      <c r="V3433" s="21" t="s">
        <v>368</v>
      </c>
      <c r="W3433" t="str">
        <f>VLOOKUP(Table_Query_from_Actuarial___Production[[#This Row],[Kor1]],$AI$3:$AK$105,3,FALSE)</f>
        <v>Misc. Income for Insolvent Companies</v>
      </c>
      <c r="X3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3"/>
      <c r="Z3433" t="s">
        <v>39</v>
      </c>
      <c r="AA3433" t="s">
        <v>236</v>
      </c>
      <c r="AB3433" t="s">
        <v>9</v>
      </c>
      <c r="AC3433" s="21">
        <v>374</v>
      </c>
      <c r="AD3433" s="21" t="s">
        <v>368</v>
      </c>
      <c r="AE3433" t="str">
        <f>VLOOKUP(Table_Query_from_Actuarial___Production3[[#This Row],[Kor1]],$AI$3:$AK$105,3,FALSE)</f>
        <v>Misc. Income for Insolvent Companies</v>
      </c>
      <c r="AF3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4" spans="18:32" x14ac:dyDescent="0.2">
      <c r="R3434" t="s">
        <v>16</v>
      </c>
      <c r="S3434" t="s">
        <v>224</v>
      </c>
      <c r="T3434" t="s">
        <v>427</v>
      </c>
      <c r="U3434" s="21">
        <v>17417.439999999999</v>
      </c>
      <c r="V3434" s="21" t="s">
        <v>368</v>
      </c>
      <c r="W3434" t="str">
        <f>VLOOKUP(Table_Query_from_Actuarial___Production[[#This Row],[Kor1]],$AI$3:$AK$105,3,FALSE)</f>
        <v>Losses Outstanding</v>
      </c>
      <c r="X3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434"/>
      <c r="Z3434" t="s">
        <v>40</v>
      </c>
      <c r="AA3434" t="s">
        <v>237</v>
      </c>
      <c r="AB3434" t="s">
        <v>441</v>
      </c>
      <c r="AC3434" s="21">
        <v>-146.69</v>
      </c>
      <c r="AD3434" s="21" t="s">
        <v>368</v>
      </c>
      <c r="AE3434" t="str">
        <f>VLOOKUP(Table_Query_from_Actuarial___Production3[[#This Row],[Kor1]],$AI$3:$AK$105,3,FALSE)</f>
        <v>Misc. Income</v>
      </c>
      <c r="AF3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5" spans="18:32" x14ac:dyDescent="0.2">
      <c r="R3435" t="s">
        <v>31</v>
      </c>
      <c r="S3435" t="s">
        <v>243</v>
      </c>
      <c r="T3435" t="s">
        <v>8</v>
      </c>
      <c r="U3435" s="21">
        <v>546.54999999999995</v>
      </c>
      <c r="V3435" s="21" t="s">
        <v>368</v>
      </c>
      <c r="W3435" t="str">
        <f>VLOOKUP(Table_Query_from_Actuarial___Production[[#This Row],[Kor1]],$AI$3:$AK$105,3,FALSE)</f>
        <v>Misc. Expense</v>
      </c>
      <c r="X3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5"/>
      <c r="Z3435" t="s">
        <v>31</v>
      </c>
      <c r="AA3435" t="s">
        <v>266</v>
      </c>
      <c r="AB3435" t="s">
        <v>441</v>
      </c>
      <c r="AC3435" s="21">
        <v>968.08</v>
      </c>
      <c r="AD3435" s="21" t="s">
        <v>368</v>
      </c>
      <c r="AE3435" t="str">
        <f>VLOOKUP(Table_Query_from_Actuarial___Production3[[#This Row],[Kor1]],$AI$3:$AK$105,3,FALSE)</f>
        <v>Misc. Expense</v>
      </c>
      <c r="AF3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36" spans="18:32" x14ac:dyDescent="0.2">
      <c r="R3436" t="s">
        <v>49</v>
      </c>
      <c r="S3436" t="s">
        <v>226</v>
      </c>
      <c r="T3436" t="s">
        <v>443</v>
      </c>
      <c r="U3436" s="21">
        <v>11975.26</v>
      </c>
      <c r="V3436" s="21" t="s">
        <v>368</v>
      </c>
      <c r="W3436" t="str">
        <f>VLOOKUP(Table_Query_from_Actuarial___Production[[#This Row],[Kor1]],$AI$3:$AK$105,3,FALSE)</f>
        <v>ALAE Paid</v>
      </c>
      <c r="X3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436"/>
      <c r="Z3436" t="s">
        <v>132</v>
      </c>
      <c r="AA3436" t="s">
        <v>354</v>
      </c>
      <c r="AB3436" t="s">
        <v>433</v>
      </c>
      <c r="AC3436" s="21">
        <v>183835864.96000001</v>
      </c>
      <c r="AD3436" s="21" t="s">
        <v>369</v>
      </c>
      <c r="AE3436" t="str">
        <f>VLOOKUP(Table_Query_from_Actuarial___Production3[[#This Row],[Kor1]],$AI$3:$AK$105,3,FALSE)</f>
        <v>Clean Risk Subsidy</v>
      </c>
      <c r="AF3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437" spans="18:32" x14ac:dyDescent="0.2">
      <c r="R3437" t="s">
        <v>12</v>
      </c>
      <c r="S3437" t="s">
        <v>245</v>
      </c>
      <c r="T3437" t="s">
        <v>356</v>
      </c>
      <c r="U3437" s="21">
        <v>64.98</v>
      </c>
      <c r="V3437" s="21" t="s">
        <v>368</v>
      </c>
      <c r="W3437" t="str">
        <f>VLOOKUP(Table_Query_from_Actuarial___Production[[#This Row],[Kor1]],$AI$3:$AK$105,3,FALSE)</f>
        <v>Premium Tax</v>
      </c>
      <c r="X3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7"/>
      <c r="Z3437" t="s">
        <v>10</v>
      </c>
      <c r="AA3437" t="s">
        <v>352</v>
      </c>
      <c r="AB3437" t="s">
        <v>427</v>
      </c>
      <c r="AC3437" s="21">
        <v>103.94</v>
      </c>
      <c r="AD3437" s="21" t="s">
        <v>368</v>
      </c>
      <c r="AE3437" t="str">
        <f>VLOOKUP(Table_Query_from_Actuarial___Production3[[#This Row],[Kor1]],$AI$3:$AK$105,3,FALSE)</f>
        <v>Commissions</v>
      </c>
      <c r="AF3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438" spans="18:32" x14ac:dyDescent="0.2">
      <c r="R3438" t="s">
        <v>12</v>
      </c>
      <c r="S3438" t="s">
        <v>229</v>
      </c>
      <c r="T3438" t="s">
        <v>433</v>
      </c>
      <c r="U3438" s="21">
        <v>3748.78</v>
      </c>
      <c r="V3438" s="21" t="s">
        <v>368</v>
      </c>
      <c r="W3438" t="str">
        <f>VLOOKUP(Table_Query_from_Actuarial___Production[[#This Row],[Kor1]],$AI$3:$AK$105,3,FALSE)</f>
        <v>Premium Tax</v>
      </c>
      <c r="X3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8"/>
      <c r="Z3438" t="s">
        <v>14</v>
      </c>
      <c r="AA3438" t="s">
        <v>225</v>
      </c>
      <c r="AB3438" t="s">
        <v>6</v>
      </c>
      <c r="AC3438" s="21">
        <v>630843</v>
      </c>
      <c r="AD3438" s="21" t="s">
        <v>369</v>
      </c>
      <c r="AE3438" t="str">
        <f>VLOOKUP(Table_Query_from_Actuarial___Production3[[#This Row],[Kor1]],$AI$3:$AK$105,3,FALSE)</f>
        <v>Claims Expense</v>
      </c>
      <c r="AF3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439" spans="18:32" x14ac:dyDescent="0.2">
      <c r="R3439" t="s">
        <v>16</v>
      </c>
      <c r="S3439" t="s">
        <v>237</v>
      </c>
      <c r="T3439" t="s">
        <v>441</v>
      </c>
      <c r="U3439" s="21">
        <v>25922681.210000001</v>
      </c>
      <c r="V3439" s="21" t="s">
        <v>368</v>
      </c>
      <c r="W3439" t="str">
        <f>VLOOKUP(Table_Query_from_Actuarial___Production[[#This Row],[Kor1]],$AI$3:$AK$105,3,FALSE)</f>
        <v>Losses Outstanding</v>
      </c>
      <c r="X3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39"/>
      <c r="Z3439" t="s">
        <v>3</v>
      </c>
      <c r="AA3439" t="s">
        <v>264</v>
      </c>
      <c r="AB3439" t="s">
        <v>442</v>
      </c>
      <c r="AC3439" s="21">
        <v>3891429</v>
      </c>
      <c r="AD3439" s="21" t="s">
        <v>368</v>
      </c>
      <c r="AE3439" t="str">
        <f>VLOOKUP(Table_Query_from_Actuarial___Production3[[#This Row],[Kor1]],$AI$3:$AK$105,3,FALSE)</f>
        <v>Premiums Written</v>
      </c>
      <c r="AF3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0" spans="18:32" x14ac:dyDescent="0.2">
      <c r="R3440" t="s">
        <v>41</v>
      </c>
      <c r="S3440" t="s">
        <v>239</v>
      </c>
      <c r="T3440" t="s">
        <v>443</v>
      </c>
      <c r="U3440" s="21">
        <v>5317.45</v>
      </c>
      <c r="V3440" s="21" t="s">
        <v>368</v>
      </c>
      <c r="W3440" t="str">
        <f>VLOOKUP(Table_Query_from_Actuarial___Production[[#This Row],[Kor1]],$AI$3:$AK$105,3,FALSE)</f>
        <v>Misc. Income</v>
      </c>
      <c r="X3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0"/>
      <c r="Z3440" t="s">
        <v>43</v>
      </c>
      <c r="AA3440" t="s">
        <v>263</v>
      </c>
      <c r="AB3440" t="s">
        <v>9</v>
      </c>
      <c r="AC3440" s="21">
        <v>1.42</v>
      </c>
      <c r="AD3440" s="21" t="s">
        <v>368</v>
      </c>
      <c r="AE3440" t="str">
        <f>VLOOKUP(Table_Query_from_Actuarial___Production3[[#This Row],[Kor1]],$AI$3:$AK$105,3,FALSE)</f>
        <v>Charge-offs</v>
      </c>
      <c r="AF3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1" spans="18:32" x14ac:dyDescent="0.2">
      <c r="R3441" t="s">
        <v>41</v>
      </c>
      <c r="S3441" t="s">
        <v>248</v>
      </c>
      <c r="T3441" t="s">
        <v>9</v>
      </c>
      <c r="U3441" s="21">
        <v>100</v>
      </c>
      <c r="V3441" s="21" t="s">
        <v>368</v>
      </c>
      <c r="W3441" t="str">
        <f>VLOOKUP(Table_Query_from_Actuarial___Production[[#This Row],[Kor1]],$AI$3:$AK$105,3,FALSE)</f>
        <v>Misc. Income</v>
      </c>
      <c r="X3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1"/>
      <c r="Z3441" t="s">
        <v>11</v>
      </c>
      <c r="AA3441" t="s">
        <v>243</v>
      </c>
      <c r="AB3441" t="s">
        <v>356</v>
      </c>
      <c r="AC3441" s="21">
        <v>139139.53</v>
      </c>
      <c r="AD3441" s="21" t="s">
        <v>368</v>
      </c>
      <c r="AE3441" t="str">
        <f>VLOOKUP(Table_Query_from_Actuarial___Production3[[#This Row],[Kor1]],$AI$3:$AK$105,3,FALSE)</f>
        <v>Losses Paid</v>
      </c>
      <c r="AF3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2" spans="18:32" x14ac:dyDescent="0.2">
      <c r="R3442" t="s">
        <v>44</v>
      </c>
      <c r="S3442" t="s">
        <v>240</v>
      </c>
      <c r="T3442" t="s">
        <v>433</v>
      </c>
      <c r="U3442" s="21">
        <v>1903130.54</v>
      </c>
      <c r="V3442" s="21" t="s">
        <v>368</v>
      </c>
      <c r="W3442" t="str">
        <f>VLOOKUP(Table_Query_from_Actuarial___Production[[#This Row],[Kor1]],$AI$3:$AK$105,3,FALSE)</f>
        <v>Charge-offs</v>
      </c>
      <c r="X3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2"/>
      <c r="Z3442" t="s">
        <v>39</v>
      </c>
      <c r="AA3442" t="s">
        <v>235</v>
      </c>
      <c r="AB3442" t="s">
        <v>5</v>
      </c>
      <c r="AC3442" s="21">
        <v>62704.28</v>
      </c>
      <c r="AD3442" s="21" t="s">
        <v>368</v>
      </c>
      <c r="AE3442" t="str">
        <f>VLOOKUP(Table_Query_from_Actuarial___Production3[[#This Row],[Kor1]],$AI$3:$AK$105,3,FALSE)</f>
        <v>Misc. Income for Insolvent Companies</v>
      </c>
      <c r="AF3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3" spans="18:32" x14ac:dyDescent="0.2">
      <c r="R3443" t="s">
        <v>37</v>
      </c>
      <c r="S3443" t="s">
        <v>233</v>
      </c>
      <c r="T3443" t="s">
        <v>356</v>
      </c>
      <c r="U3443" s="21">
        <v>323.45999999999998</v>
      </c>
      <c r="V3443" s="21" t="s">
        <v>368</v>
      </c>
      <c r="W3443" t="str">
        <f>VLOOKUP(Table_Query_from_Actuarial___Production[[#This Row],[Kor1]],$AI$3:$AK$105,3,FALSE)</f>
        <v>Misc. Expense</v>
      </c>
      <c r="X3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3"/>
      <c r="Z3443" t="s">
        <v>20</v>
      </c>
      <c r="AA3443" t="s">
        <v>244</v>
      </c>
      <c r="AB3443" t="s">
        <v>5</v>
      </c>
      <c r="AC3443" s="21">
        <v>225.31</v>
      </c>
      <c r="AD3443" s="21" t="s">
        <v>368</v>
      </c>
      <c r="AE3443" t="str">
        <f>VLOOKUP(Table_Query_from_Actuarial___Production3[[#This Row],[Kor1]],$AI$3:$AK$105,3,FALSE)</f>
        <v>Misc. Expense</v>
      </c>
      <c r="AF3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4" spans="18:32" x14ac:dyDescent="0.2">
      <c r="R3444" t="s">
        <v>10</v>
      </c>
      <c r="S3444" t="s">
        <v>249</v>
      </c>
      <c r="T3444" t="s">
        <v>441</v>
      </c>
      <c r="U3444" s="21">
        <v>60562.5</v>
      </c>
      <c r="V3444" s="21" t="s">
        <v>368</v>
      </c>
      <c r="W3444" t="str">
        <f>VLOOKUP(Table_Query_from_Actuarial___Production[[#This Row],[Kor1]],$AI$3:$AK$105,3,FALSE)</f>
        <v>Commissions</v>
      </c>
      <c r="X3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4"/>
      <c r="Z3444" t="s">
        <v>18</v>
      </c>
      <c r="AA3444" t="s">
        <v>225</v>
      </c>
      <c r="AB3444" t="s">
        <v>443</v>
      </c>
      <c r="AC3444" s="21">
        <v>264747.86</v>
      </c>
      <c r="AD3444" s="21" t="s">
        <v>368</v>
      </c>
      <c r="AE3444" t="str">
        <f>VLOOKUP(Table_Query_from_Actuarial___Production3[[#This Row],[Kor1]],$AI$3:$AK$105,3,FALSE)</f>
        <v>Misc. Expense</v>
      </c>
      <c r="AF3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445" spans="18:32" x14ac:dyDescent="0.2">
      <c r="R3445" t="s">
        <v>3</v>
      </c>
      <c r="S3445" t="s">
        <v>352</v>
      </c>
      <c r="T3445" t="s">
        <v>351</v>
      </c>
      <c r="U3445" s="21">
        <v>186857.66</v>
      </c>
      <c r="V3445" s="21" t="s">
        <v>369</v>
      </c>
      <c r="W3445" t="str">
        <f>VLOOKUP(Table_Query_from_Actuarial___Production[[#This Row],[Kor1]],$AI$3:$AK$105,3,FALSE)</f>
        <v>Premiums Written</v>
      </c>
      <c r="X3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445"/>
      <c r="Z3445" t="s">
        <v>40</v>
      </c>
      <c r="AA3445" t="s">
        <v>237</v>
      </c>
      <c r="AB3445" t="s">
        <v>5</v>
      </c>
      <c r="AC3445" s="21">
        <v>410</v>
      </c>
      <c r="AD3445" s="21" t="s">
        <v>368</v>
      </c>
      <c r="AE3445" t="str">
        <f>VLOOKUP(Table_Query_from_Actuarial___Production3[[#This Row],[Kor1]],$AI$3:$AK$105,3,FALSE)</f>
        <v>Misc. Income</v>
      </c>
      <c r="AF3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6" spans="18:32" x14ac:dyDescent="0.2">
      <c r="R3446" t="s">
        <v>12</v>
      </c>
      <c r="S3446" t="s">
        <v>229</v>
      </c>
      <c r="T3446" t="s">
        <v>441</v>
      </c>
      <c r="U3446" s="21">
        <v>1920.76</v>
      </c>
      <c r="V3446" s="21" t="s">
        <v>368</v>
      </c>
      <c r="W3446" t="str">
        <f>VLOOKUP(Table_Query_from_Actuarial___Production[[#This Row],[Kor1]],$AI$3:$AK$105,3,FALSE)</f>
        <v>Premium Tax</v>
      </c>
      <c r="X3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6"/>
      <c r="Z3446" t="s">
        <v>33</v>
      </c>
      <c r="AA3446" t="s">
        <v>234</v>
      </c>
      <c r="AB3446" t="s">
        <v>8</v>
      </c>
      <c r="AC3446" s="21">
        <v>16082.93</v>
      </c>
      <c r="AD3446" s="21" t="s">
        <v>368</v>
      </c>
      <c r="AE3446" t="str">
        <f>VLOOKUP(Table_Query_from_Actuarial___Production3[[#This Row],[Kor1]],$AI$3:$AK$105,3,FALSE)</f>
        <v>Misc. Expense</v>
      </c>
      <c r="AF3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7" spans="18:32" x14ac:dyDescent="0.2">
      <c r="R3447" t="s">
        <v>13</v>
      </c>
      <c r="S3447" t="s">
        <v>232</v>
      </c>
      <c r="T3447" t="s">
        <v>427</v>
      </c>
      <c r="U3447" s="21">
        <v>193415.22</v>
      </c>
      <c r="V3447" s="21" t="s">
        <v>368</v>
      </c>
      <c r="W3447" t="str">
        <f>VLOOKUP(Table_Query_from_Actuarial___Production[[#This Row],[Kor1]],$AI$3:$AK$105,3,FALSE)</f>
        <v>Operating Service Fees</v>
      </c>
      <c r="X3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7"/>
      <c r="Z3447" t="s">
        <v>31</v>
      </c>
      <c r="AA3447" t="s">
        <v>240</v>
      </c>
      <c r="AB3447" t="s">
        <v>6</v>
      </c>
      <c r="AC3447" s="21">
        <v>1</v>
      </c>
      <c r="AD3447" s="21" t="s">
        <v>368</v>
      </c>
      <c r="AE3447" t="str">
        <f>VLOOKUP(Table_Query_from_Actuarial___Production3[[#This Row],[Kor1]],$AI$3:$AK$105,3,FALSE)</f>
        <v>Misc. Expense</v>
      </c>
      <c r="AF3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8" spans="18:32" x14ac:dyDescent="0.2">
      <c r="R3448" t="s">
        <v>14</v>
      </c>
      <c r="S3448" t="s">
        <v>239</v>
      </c>
      <c r="T3448" t="s">
        <v>443</v>
      </c>
      <c r="U3448" s="21">
        <v>434180.7</v>
      </c>
      <c r="V3448" s="21" t="s">
        <v>368</v>
      </c>
      <c r="W3448" t="str">
        <f>VLOOKUP(Table_Query_from_Actuarial___Production[[#This Row],[Kor1]],$AI$3:$AK$105,3,FALSE)</f>
        <v>Claims Expense</v>
      </c>
      <c r="X3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8"/>
      <c r="Z3448" t="s">
        <v>44</v>
      </c>
      <c r="AA3448" t="s">
        <v>258</v>
      </c>
      <c r="AB3448" t="s">
        <v>8</v>
      </c>
      <c r="AC3448" s="21">
        <v>22883.56</v>
      </c>
      <c r="AD3448" s="21" t="s">
        <v>368</v>
      </c>
      <c r="AE3448" t="str">
        <f>VLOOKUP(Table_Query_from_Actuarial___Production3[[#This Row],[Kor1]],$AI$3:$AK$105,3,FALSE)</f>
        <v>Charge-offs</v>
      </c>
      <c r="AF3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49" spans="18:32" x14ac:dyDescent="0.2">
      <c r="R3449" t="s">
        <v>17</v>
      </c>
      <c r="S3449" t="s">
        <v>263</v>
      </c>
      <c r="T3449" t="s">
        <v>445</v>
      </c>
      <c r="U3449" s="21">
        <v>6655.47</v>
      </c>
      <c r="V3449" s="21" t="s">
        <v>368</v>
      </c>
      <c r="W3449" t="str">
        <f>VLOOKUP(Table_Query_from_Actuarial___Production[[#This Row],[Kor1]],$AI$3:$AK$105,3,FALSE)</f>
        <v>IBNR</v>
      </c>
      <c r="X3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49"/>
      <c r="Z3449" t="s">
        <v>44</v>
      </c>
      <c r="AA3449" t="s">
        <v>224</v>
      </c>
      <c r="AB3449" t="s">
        <v>9</v>
      </c>
      <c r="AC3449" s="21">
        <v>1958.02</v>
      </c>
      <c r="AD3449" s="21" t="s">
        <v>425</v>
      </c>
      <c r="AE3449" t="str">
        <f>VLOOKUP(Table_Query_from_Actuarial___Production3[[#This Row],[Kor1]],$AI$3:$AK$105,3,FALSE)</f>
        <v>Charge-offs</v>
      </c>
      <c r="AF3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450" spans="18:32" x14ac:dyDescent="0.2">
      <c r="R3450" t="s">
        <v>50</v>
      </c>
      <c r="S3450" t="s">
        <v>248</v>
      </c>
      <c r="T3450" t="s">
        <v>442</v>
      </c>
      <c r="U3450" s="21">
        <v>9446.73</v>
      </c>
      <c r="V3450" s="21" t="s">
        <v>368</v>
      </c>
      <c r="W3450" t="str">
        <f>VLOOKUP(Table_Query_from_Actuarial___Production[[#This Row],[Kor1]],$AI$3:$AK$105,3,FALSE)</f>
        <v>ALAE Reserve</v>
      </c>
      <c r="X3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0"/>
      <c r="Z3450" t="s">
        <v>47</v>
      </c>
      <c r="AA3450" t="s">
        <v>244</v>
      </c>
      <c r="AB3450" t="s">
        <v>433</v>
      </c>
      <c r="AC3450" s="21">
        <v>2426.9</v>
      </c>
      <c r="AD3450" s="21" t="s">
        <v>368</v>
      </c>
      <c r="AE3450" t="str">
        <f>VLOOKUP(Table_Query_from_Actuarial___Production3[[#This Row],[Kor1]],$AI$3:$AK$105,3,FALSE)</f>
        <v>Investment Income</v>
      </c>
      <c r="AF3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1" spans="18:32" x14ac:dyDescent="0.2">
      <c r="R3451" t="s">
        <v>17</v>
      </c>
      <c r="S3451" t="s">
        <v>252</v>
      </c>
      <c r="T3451" t="s">
        <v>443</v>
      </c>
      <c r="U3451" s="21">
        <v>9620322.9199999999</v>
      </c>
      <c r="V3451" s="21" t="s">
        <v>368</v>
      </c>
      <c r="W3451" t="str">
        <f>VLOOKUP(Table_Query_from_Actuarial___Production[[#This Row],[Kor1]],$AI$3:$AK$105,3,FALSE)</f>
        <v>IBNR</v>
      </c>
      <c r="X3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1"/>
      <c r="Z3451" t="s">
        <v>10</v>
      </c>
      <c r="AA3451" t="s">
        <v>246</v>
      </c>
      <c r="AB3451" t="s">
        <v>8</v>
      </c>
      <c r="AC3451" s="21">
        <v>24941.9</v>
      </c>
      <c r="AD3451" s="21" t="s">
        <v>368</v>
      </c>
      <c r="AE3451" t="str">
        <f>VLOOKUP(Table_Query_from_Actuarial___Production3[[#This Row],[Kor1]],$AI$3:$AK$105,3,FALSE)</f>
        <v>Commissions</v>
      </c>
      <c r="AF3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2" spans="18:32" x14ac:dyDescent="0.2">
      <c r="R3452" t="s">
        <v>41</v>
      </c>
      <c r="S3452" t="s">
        <v>234</v>
      </c>
      <c r="T3452" t="s">
        <v>442</v>
      </c>
      <c r="U3452" s="21">
        <v>49.98</v>
      </c>
      <c r="V3452" s="21" t="s">
        <v>368</v>
      </c>
      <c r="W3452" t="str">
        <f>VLOOKUP(Table_Query_from_Actuarial___Production[[#This Row],[Kor1]],$AI$3:$AK$105,3,FALSE)</f>
        <v>Misc. Income</v>
      </c>
      <c r="X3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2"/>
      <c r="Z3452" t="s">
        <v>39</v>
      </c>
      <c r="AA3452" t="s">
        <v>255</v>
      </c>
      <c r="AB3452" t="s">
        <v>433</v>
      </c>
      <c r="AC3452" s="21">
        <v>1094</v>
      </c>
      <c r="AD3452" s="21" t="s">
        <v>368</v>
      </c>
      <c r="AE3452" t="str">
        <f>VLOOKUP(Table_Query_from_Actuarial___Production3[[#This Row],[Kor1]],$AI$3:$AK$105,3,FALSE)</f>
        <v>Misc. Income for Insolvent Companies</v>
      </c>
      <c r="AF3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3" spans="18:32" x14ac:dyDescent="0.2">
      <c r="R3453" t="s">
        <v>31</v>
      </c>
      <c r="S3453" t="s">
        <v>250</v>
      </c>
      <c r="T3453" t="s">
        <v>356</v>
      </c>
      <c r="U3453" s="21">
        <v>648.29999999999995</v>
      </c>
      <c r="V3453" s="21" t="s">
        <v>368</v>
      </c>
      <c r="W3453" t="str">
        <f>VLOOKUP(Table_Query_from_Actuarial___Production[[#This Row],[Kor1]],$AI$3:$AK$105,3,FALSE)</f>
        <v>Misc. Expense</v>
      </c>
      <c r="X3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3"/>
      <c r="Z3453" t="s">
        <v>37</v>
      </c>
      <c r="AA3453" t="s">
        <v>227</v>
      </c>
      <c r="AB3453" t="s">
        <v>9</v>
      </c>
      <c r="AC3453" s="21">
        <v>539.88</v>
      </c>
      <c r="AD3453" s="21" t="s">
        <v>368</v>
      </c>
      <c r="AE3453" t="str">
        <f>VLOOKUP(Table_Query_from_Actuarial___Production3[[#This Row],[Kor1]],$AI$3:$AK$105,3,FALSE)</f>
        <v>Misc. Expense</v>
      </c>
      <c r="AF3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4" spans="18:32" x14ac:dyDescent="0.2">
      <c r="R3454" t="s">
        <v>24</v>
      </c>
      <c r="S3454" t="s">
        <v>259</v>
      </c>
      <c r="T3454" t="s">
        <v>351</v>
      </c>
      <c r="U3454" s="21">
        <v>146.38999999999999</v>
      </c>
      <c r="V3454" s="21" t="s">
        <v>368</v>
      </c>
      <c r="W3454" t="str">
        <f>VLOOKUP(Table_Query_from_Actuarial___Production[[#This Row],[Kor1]],$AI$3:$AK$105,3,FALSE)</f>
        <v>Misc. Expense</v>
      </c>
      <c r="X3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4"/>
      <c r="Z3454" t="s">
        <v>39</v>
      </c>
      <c r="AA3454" t="s">
        <v>255</v>
      </c>
      <c r="AB3454" t="s">
        <v>7</v>
      </c>
      <c r="AC3454" s="21">
        <v>281</v>
      </c>
      <c r="AD3454" s="21" t="s">
        <v>368</v>
      </c>
      <c r="AE3454" t="str">
        <f>VLOOKUP(Table_Query_from_Actuarial___Production3[[#This Row],[Kor1]],$AI$3:$AK$105,3,FALSE)</f>
        <v>Misc. Income for Insolvent Companies</v>
      </c>
      <c r="AF3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5" spans="18:32" x14ac:dyDescent="0.2">
      <c r="R3455" t="s">
        <v>29</v>
      </c>
      <c r="S3455" t="s">
        <v>257</v>
      </c>
      <c r="T3455" t="s">
        <v>427</v>
      </c>
      <c r="U3455" s="21">
        <v>18033.259999999998</v>
      </c>
      <c r="V3455" s="21" t="s">
        <v>368</v>
      </c>
      <c r="W3455" t="str">
        <f>VLOOKUP(Table_Query_from_Actuarial___Production[[#This Row],[Kor1]],$AI$3:$AK$105,3,FALSE)</f>
        <v>Misc. Expense</v>
      </c>
      <c r="X3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5"/>
      <c r="Z3455" t="s">
        <v>33</v>
      </c>
      <c r="AA3455" t="s">
        <v>228</v>
      </c>
      <c r="AB3455" t="s">
        <v>351</v>
      </c>
      <c r="AC3455" s="21">
        <v>20303.580000000002</v>
      </c>
      <c r="AD3455" s="21" t="s">
        <v>368</v>
      </c>
      <c r="AE3455" t="str">
        <f>VLOOKUP(Table_Query_from_Actuarial___Production3[[#This Row],[Kor1]],$AI$3:$AK$105,3,FALSE)</f>
        <v>Misc. Expense</v>
      </c>
      <c r="AF3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6" spans="18:32" x14ac:dyDescent="0.2">
      <c r="R3456" t="s">
        <v>33</v>
      </c>
      <c r="S3456" t="s">
        <v>251</v>
      </c>
      <c r="T3456" t="s">
        <v>356</v>
      </c>
      <c r="U3456" s="21">
        <v>14931.63</v>
      </c>
      <c r="V3456" s="21" t="s">
        <v>368</v>
      </c>
      <c r="W3456" t="str">
        <f>VLOOKUP(Table_Query_from_Actuarial___Production[[#This Row],[Kor1]],$AI$3:$AK$105,3,FALSE)</f>
        <v>Misc. Expense</v>
      </c>
      <c r="X3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6"/>
      <c r="Z3456" t="s">
        <v>37</v>
      </c>
      <c r="AA3456" t="s">
        <v>261</v>
      </c>
      <c r="AB3456" t="s">
        <v>6</v>
      </c>
      <c r="AC3456" s="21">
        <v>-52.44</v>
      </c>
      <c r="AD3456" s="21" t="s">
        <v>368</v>
      </c>
      <c r="AE3456" t="str">
        <f>VLOOKUP(Table_Query_from_Actuarial___Production3[[#This Row],[Kor1]],$AI$3:$AK$105,3,FALSE)</f>
        <v>Misc. Expense</v>
      </c>
      <c r="AF3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7" spans="18:32" x14ac:dyDescent="0.2">
      <c r="R3457" t="s">
        <v>20</v>
      </c>
      <c r="S3457" t="s">
        <v>232</v>
      </c>
      <c r="T3457" t="s">
        <v>356</v>
      </c>
      <c r="U3457" s="21">
        <v>259.81</v>
      </c>
      <c r="V3457" s="21" t="s">
        <v>368</v>
      </c>
      <c r="W3457" t="str">
        <f>VLOOKUP(Table_Query_from_Actuarial___Production[[#This Row],[Kor1]],$AI$3:$AK$105,3,FALSE)</f>
        <v>Misc. Expense</v>
      </c>
      <c r="X3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7"/>
      <c r="Z3457" t="s">
        <v>47</v>
      </c>
      <c r="AA3457" t="s">
        <v>229</v>
      </c>
      <c r="AB3457" t="s">
        <v>443</v>
      </c>
      <c r="AC3457" s="21">
        <v>2923.82</v>
      </c>
      <c r="AD3457" s="21" t="s">
        <v>368</v>
      </c>
      <c r="AE3457" t="str">
        <f>VLOOKUP(Table_Query_from_Actuarial___Production3[[#This Row],[Kor1]],$AI$3:$AK$105,3,FALSE)</f>
        <v>Investment Income</v>
      </c>
      <c r="AF3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8" spans="18:32" x14ac:dyDescent="0.2">
      <c r="R3458" t="s">
        <v>11</v>
      </c>
      <c r="S3458" t="s">
        <v>246</v>
      </c>
      <c r="T3458" t="s">
        <v>7</v>
      </c>
      <c r="U3458" s="21">
        <v>183702.37</v>
      </c>
      <c r="V3458" s="21" t="s">
        <v>368</v>
      </c>
      <c r="W3458" t="str">
        <f>VLOOKUP(Table_Query_from_Actuarial___Production[[#This Row],[Kor1]],$AI$3:$AK$105,3,FALSE)</f>
        <v>Losses Paid</v>
      </c>
      <c r="X3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8"/>
      <c r="Z3458" t="s">
        <v>11</v>
      </c>
      <c r="AA3458" t="s">
        <v>249</v>
      </c>
      <c r="AB3458" t="s">
        <v>9</v>
      </c>
      <c r="AC3458" s="21">
        <v>646905.97</v>
      </c>
      <c r="AD3458" s="21" t="s">
        <v>368</v>
      </c>
      <c r="AE3458" t="str">
        <f>VLOOKUP(Table_Query_from_Actuarial___Production3[[#This Row],[Kor1]],$AI$3:$AK$105,3,FALSE)</f>
        <v>Losses Paid</v>
      </c>
      <c r="AF3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59" spans="18:32" x14ac:dyDescent="0.2">
      <c r="R3459" t="s">
        <v>50</v>
      </c>
      <c r="S3459" t="s">
        <v>231</v>
      </c>
      <c r="T3459" t="s">
        <v>442</v>
      </c>
      <c r="U3459" s="21">
        <v>49062.55</v>
      </c>
      <c r="V3459" s="21" t="s">
        <v>368</v>
      </c>
      <c r="W3459" t="str">
        <f>VLOOKUP(Table_Query_from_Actuarial___Production[[#This Row],[Kor1]],$AI$3:$AK$105,3,FALSE)</f>
        <v>ALAE Reserve</v>
      </c>
      <c r="X3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59"/>
      <c r="Z3459" t="s">
        <v>33</v>
      </c>
      <c r="AA3459" t="s">
        <v>237</v>
      </c>
      <c r="AB3459" t="s">
        <v>5</v>
      </c>
      <c r="AC3459" s="21">
        <v>17080.2</v>
      </c>
      <c r="AD3459" s="21" t="s">
        <v>368</v>
      </c>
      <c r="AE3459" t="str">
        <f>VLOOKUP(Table_Query_from_Actuarial___Production3[[#This Row],[Kor1]],$AI$3:$AK$105,3,FALSE)</f>
        <v>Misc. Expense</v>
      </c>
      <c r="AF3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0" spans="18:32" x14ac:dyDescent="0.2">
      <c r="R3460" t="s">
        <v>10</v>
      </c>
      <c r="S3460" t="s">
        <v>245</v>
      </c>
      <c r="T3460" t="s">
        <v>433</v>
      </c>
      <c r="U3460" s="21">
        <v>319.35000000000002</v>
      </c>
      <c r="V3460" s="21" t="s">
        <v>368</v>
      </c>
      <c r="W3460" t="str">
        <f>VLOOKUP(Table_Query_from_Actuarial___Production[[#This Row],[Kor1]],$AI$3:$AK$105,3,FALSE)</f>
        <v>Commissions</v>
      </c>
      <c r="X3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0"/>
      <c r="Z3460" t="s">
        <v>50</v>
      </c>
      <c r="AA3460" t="s">
        <v>225</v>
      </c>
      <c r="AB3460" t="s">
        <v>442</v>
      </c>
      <c r="AC3460" s="21">
        <v>56</v>
      </c>
      <c r="AD3460" s="21" t="s">
        <v>368</v>
      </c>
      <c r="AE3460" t="str">
        <f>VLOOKUP(Table_Query_from_Actuarial___Production3[[#This Row],[Kor1]],$AI$3:$AK$105,3,FALSE)</f>
        <v>ALAE Reserve</v>
      </c>
      <c r="AF3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461" spans="18:32" x14ac:dyDescent="0.2">
      <c r="R3461" t="s">
        <v>14</v>
      </c>
      <c r="S3461" t="s">
        <v>256</v>
      </c>
      <c r="T3461" t="s">
        <v>442</v>
      </c>
      <c r="U3461" s="21">
        <v>8029.05</v>
      </c>
      <c r="V3461" s="21" t="s">
        <v>368</v>
      </c>
      <c r="W3461" t="str">
        <f>VLOOKUP(Table_Query_from_Actuarial___Production[[#This Row],[Kor1]],$AI$3:$AK$105,3,FALSE)</f>
        <v>Claims Expense</v>
      </c>
      <c r="X3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1"/>
      <c r="Z3461" t="s">
        <v>16</v>
      </c>
      <c r="AA3461" t="s">
        <v>264</v>
      </c>
      <c r="AB3461" t="s">
        <v>356</v>
      </c>
      <c r="AC3461" s="21">
        <v>-232</v>
      </c>
      <c r="AD3461" s="21" t="s">
        <v>368</v>
      </c>
      <c r="AE3461" t="str">
        <f>VLOOKUP(Table_Query_from_Actuarial___Production3[[#This Row],[Kor1]],$AI$3:$AK$105,3,FALSE)</f>
        <v>Losses Outstanding</v>
      </c>
      <c r="AF3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2" spans="18:32" x14ac:dyDescent="0.2">
      <c r="R3462" t="s">
        <v>33</v>
      </c>
      <c r="S3462" t="s">
        <v>242</v>
      </c>
      <c r="T3462" t="s">
        <v>445</v>
      </c>
      <c r="U3462" s="21">
        <v>8752.49</v>
      </c>
      <c r="V3462" s="21" t="s">
        <v>368</v>
      </c>
      <c r="W3462" t="str">
        <f>VLOOKUP(Table_Query_from_Actuarial___Production[[#This Row],[Kor1]],$AI$3:$AK$105,3,FALSE)</f>
        <v>Misc. Expense</v>
      </c>
      <c r="X3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2"/>
      <c r="Z3462" t="s">
        <v>34</v>
      </c>
      <c r="AA3462" t="s">
        <v>230</v>
      </c>
      <c r="AB3462" t="s">
        <v>356</v>
      </c>
      <c r="AC3462" s="21">
        <v>1935.02</v>
      </c>
      <c r="AD3462" s="21" t="s">
        <v>368</v>
      </c>
      <c r="AE3462" t="str">
        <f>VLOOKUP(Table_Query_from_Actuarial___Production3[[#This Row],[Kor1]],$AI$3:$AK$105,3,FALSE)</f>
        <v>Misc. Expense</v>
      </c>
      <c r="AF3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3" spans="18:32" x14ac:dyDescent="0.2">
      <c r="R3463" t="s">
        <v>31</v>
      </c>
      <c r="S3463" t="s">
        <v>238</v>
      </c>
      <c r="T3463" t="s">
        <v>351</v>
      </c>
      <c r="U3463" s="21">
        <v>1011.51</v>
      </c>
      <c r="V3463" s="21" t="s">
        <v>368</v>
      </c>
      <c r="W3463" t="str">
        <f>VLOOKUP(Table_Query_from_Actuarial___Production[[#This Row],[Kor1]],$AI$3:$AK$105,3,FALSE)</f>
        <v>Misc. Expense</v>
      </c>
      <c r="X3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3"/>
      <c r="Z3463" t="s">
        <v>39</v>
      </c>
      <c r="AA3463" t="s">
        <v>259</v>
      </c>
      <c r="AB3463" t="s">
        <v>6</v>
      </c>
      <c r="AC3463" s="21">
        <v>749</v>
      </c>
      <c r="AD3463" s="21" t="s">
        <v>368</v>
      </c>
      <c r="AE3463" t="str">
        <f>VLOOKUP(Table_Query_from_Actuarial___Production3[[#This Row],[Kor1]],$AI$3:$AK$105,3,FALSE)</f>
        <v>Misc. Income for Insolvent Companies</v>
      </c>
      <c r="AF3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4" spans="18:32" x14ac:dyDescent="0.2">
      <c r="R3464" t="s">
        <v>37</v>
      </c>
      <c r="S3464" t="s">
        <v>238</v>
      </c>
      <c r="T3464" t="s">
        <v>445</v>
      </c>
      <c r="U3464" s="21">
        <v>-264.32</v>
      </c>
      <c r="V3464" s="21" t="s">
        <v>368</v>
      </c>
      <c r="W3464" t="str">
        <f>VLOOKUP(Table_Query_from_Actuarial___Production[[#This Row],[Kor1]],$AI$3:$AK$105,3,FALSE)</f>
        <v>Misc. Expense</v>
      </c>
      <c r="X3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4"/>
      <c r="Z3464" t="s">
        <v>16</v>
      </c>
      <c r="AA3464" t="s">
        <v>224</v>
      </c>
      <c r="AB3464" t="s">
        <v>427</v>
      </c>
      <c r="AC3464" s="21">
        <v>355392.82</v>
      </c>
      <c r="AD3464" s="21" t="s">
        <v>368</v>
      </c>
      <c r="AE3464" t="str">
        <f>VLOOKUP(Table_Query_from_Actuarial___Production3[[#This Row],[Kor1]],$AI$3:$AK$105,3,FALSE)</f>
        <v>Losses Outstanding</v>
      </c>
      <c r="AF3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465" spans="18:32" x14ac:dyDescent="0.2">
      <c r="R3465" t="s">
        <v>14</v>
      </c>
      <c r="S3465" t="s">
        <v>248</v>
      </c>
      <c r="T3465" t="s">
        <v>8</v>
      </c>
      <c r="U3465" s="21">
        <v>6622.04</v>
      </c>
      <c r="V3465" s="21" t="s">
        <v>368</v>
      </c>
      <c r="W3465" t="str">
        <f>VLOOKUP(Table_Query_from_Actuarial___Production[[#This Row],[Kor1]],$AI$3:$AK$105,3,FALSE)</f>
        <v>Claims Expense</v>
      </c>
      <c r="X3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5"/>
      <c r="Z3465" t="s">
        <v>31</v>
      </c>
      <c r="AA3465" t="s">
        <v>243</v>
      </c>
      <c r="AB3465" t="s">
        <v>8</v>
      </c>
      <c r="AC3465" s="21">
        <v>546.54999999999995</v>
      </c>
      <c r="AD3465" s="21" t="s">
        <v>368</v>
      </c>
      <c r="AE3465" t="str">
        <f>VLOOKUP(Table_Query_from_Actuarial___Production3[[#This Row],[Kor1]],$AI$3:$AK$105,3,FALSE)</f>
        <v>Misc. Expense</v>
      </c>
      <c r="AF3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6" spans="18:32" x14ac:dyDescent="0.2">
      <c r="R3466" t="s">
        <v>33</v>
      </c>
      <c r="S3466" t="s">
        <v>238</v>
      </c>
      <c r="T3466" t="s">
        <v>356</v>
      </c>
      <c r="U3466" s="21">
        <v>15084.89</v>
      </c>
      <c r="V3466" s="21" t="s">
        <v>368</v>
      </c>
      <c r="W3466" t="str">
        <f>VLOOKUP(Table_Query_from_Actuarial___Production[[#This Row],[Kor1]],$AI$3:$AK$105,3,FALSE)</f>
        <v>Misc. Expense</v>
      </c>
      <c r="X3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6"/>
      <c r="Z3466" t="s">
        <v>49</v>
      </c>
      <c r="AA3466" t="s">
        <v>226</v>
      </c>
      <c r="AB3466" t="s">
        <v>443</v>
      </c>
      <c r="AC3466" s="21">
        <v>90.3</v>
      </c>
      <c r="AD3466" s="21" t="s">
        <v>368</v>
      </c>
      <c r="AE3466" t="str">
        <f>VLOOKUP(Table_Query_from_Actuarial___Production3[[#This Row],[Kor1]],$AI$3:$AK$105,3,FALSE)</f>
        <v>ALAE Paid</v>
      </c>
      <c r="AF3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467" spans="18:32" x14ac:dyDescent="0.2">
      <c r="R3467" t="s">
        <v>44</v>
      </c>
      <c r="S3467" t="s">
        <v>252</v>
      </c>
      <c r="T3467" t="s">
        <v>9</v>
      </c>
      <c r="U3467" s="21">
        <v>314890.78000000003</v>
      </c>
      <c r="V3467" s="21" t="s">
        <v>368</v>
      </c>
      <c r="W3467" t="str">
        <f>VLOOKUP(Table_Query_from_Actuarial___Production[[#This Row],[Kor1]],$AI$3:$AK$105,3,FALSE)</f>
        <v>Charge-offs</v>
      </c>
      <c r="X3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7"/>
      <c r="Z3467" t="s">
        <v>12</v>
      </c>
      <c r="AA3467" t="s">
        <v>245</v>
      </c>
      <c r="AB3467" t="s">
        <v>356</v>
      </c>
      <c r="AC3467" s="21">
        <v>64.98</v>
      </c>
      <c r="AD3467" s="21" t="s">
        <v>368</v>
      </c>
      <c r="AE3467" t="str">
        <f>VLOOKUP(Table_Query_from_Actuarial___Production3[[#This Row],[Kor1]],$AI$3:$AK$105,3,FALSE)</f>
        <v>Premium Tax</v>
      </c>
      <c r="AF3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8" spans="18:32" x14ac:dyDescent="0.2">
      <c r="R3468" t="s">
        <v>49</v>
      </c>
      <c r="S3468" t="s">
        <v>230</v>
      </c>
      <c r="T3468" t="s">
        <v>8</v>
      </c>
      <c r="U3468" s="21">
        <v>1231878.74</v>
      </c>
      <c r="V3468" s="21" t="s">
        <v>368</v>
      </c>
      <c r="W3468" t="str">
        <f>VLOOKUP(Table_Query_from_Actuarial___Production[[#This Row],[Kor1]],$AI$3:$AK$105,3,FALSE)</f>
        <v>ALAE Paid</v>
      </c>
      <c r="X3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68"/>
      <c r="Z3468" t="s">
        <v>12</v>
      </c>
      <c r="AA3468" t="s">
        <v>229</v>
      </c>
      <c r="AB3468" t="s">
        <v>433</v>
      </c>
      <c r="AC3468" s="21">
        <v>3748.78</v>
      </c>
      <c r="AD3468" s="21" t="s">
        <v>368</v>
      </c>
      <c r="AE3468" t="str">
        <f>VLOOKUP(Table_Query_from_Actuarial___Production3[[#This Row],[Kor1]],$AI$3:$AK$105,3,FALSE)</f>
        <v>Premium Tax</v>
      </c>
      <c r="AF3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69" spans="18:32" x14ac:dyDescent="0.2">
      <c r="R3469" t="s">
        <v>43</v>
      </c>
      <c r="S3469" t="s">
        <v>226</v>
      </c>
      <c r="T3469" t="s">
        <v>8</v>
      </c>
      <c r="U3469" s="21">
        <v>-34.57</v>
      </c>
      <c r="V3469" s="21" t="s">
        <v>368</v>
      </c>
      <c r="W3469" t="str">
        <f>VLOOKUP(Table_Query_from_Actuarial___Production[[#This Row],[Kor1]],$AI$3:$AK$105,3,FALSE)</f>
        <v>Charge-offs</v>
      </c>
      <c r="X3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469"/>
      <c r="Z3469" t="s">
        <v>16</v>
      </c>
      <c r="AA3469" t="s">
        <v>237</v>
      </c>
      <c r="AB3469" t="s">
        <v>441</v>
      </c>
      <c r="AC3469" s="21">
        <v>34415411.479999997</v>
      </c>
      <c r="AD3469" s="21" t="s">
        <v>368</v>
      </c>
      <c r="AE3469" t="str">
        <f>VLOOKUP(Table_Query_from_Actuarial___Production3[[#This Row],[Kor1]],$AI$3:$AK$105,3,FALSE)</f>
        <v>Losses Outstanding</v>
      </c>
      <c r="AF3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0" spans="18:32" x14ac:dyDescent="0.2">
      <c r="R3470" t="s">
        <v>21</v>
      </c>
      <c r="S3470" t="s">
        <v>265</v>
      </c>
      <c r="T3470" t="s">
        <v>427</v>
      </c>
      <c r="U3470" s="21">
        <v>3078.77</v>
      </c>
      <c r="V3470" s="21" t="s">
        <v>368</v>
      </c>
      <c r="W3470" t="str">
        <f>VLOOKUP(Table_Query_from_Actuarial___Production[[#This Row],[Kor1]],$AI$3:$AK$105,3,FALSE)</f>
        <v>Misc. Expense</v>
      </c>
      <c r="X3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0"/>
      <c r="Z3470" t="s">
        <v>41</v>
      </c>
      <c r="AA3470" t="s">
        <v>248</v>
      </c>
      <c r="AB3470" t="s">
        <v>9</v>
      </c>
      <c r="AC3470" s="21">
        <v>100</v>
      </c>
      <c r="AD3470" s="21" t="s">
        <v>368</v>
      </c>
      <c r="AE3470" t="str">
        <f>VLOOKUP(Table_Query_from_Actuarial___Production3[[#This Row],[Kor1]],$AI$3:$AK$105,3,FALSE)</f>
        <v>Misc. Income</v>
      </c>
      <c r="AF3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1" spans="18:32" x14ac:dyDescent="0.2">
      <c r="R3471" t="s">
        <v>40</v>
      </c>
      <c r="S3471" t="s">
        <v>234</v>
      </c>
      <c r="T3471" t="s">
        <v>351</v>
      </c>
      <c r="U3471" s="21">
        <v>51.98</v>
      </c>
      <c r="V3471" s="21" t="s">
        <v>368</v>
      </c>
      <c r="W3471" t="str">
        <f>VLOOKUP(Table_Query_from_Actuarial___Production[[#This Row],[Kor1]],$AI$3:$AK$105,3,FALSE)</f>
        <v>Misc. Income</v>
      </c>
      <c r="X3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1"/>
      <c r="Z3471" t="s">
        <v>44</v>
      </c>
      <c r="AA3471" t="s">
        <v>240</v>
      </c>
      <c r="AB3471" t="s">
        <v>433</v>
      </c>
      <c r="AC3471" s="21">
        <v>1903130.54</v>
      </c>
      <c r="AD3471" s="21" t="s">
        <v>368</v>
      </c>
      <c r="AE3471" t="str">
        <f>VLOOKUP(Table_Query_from_Actuarial___Production3[[#This Row],[Kor1]],$AI$3:$AK$105,3,FALSE)</f>
        <v>Charge-offs</v>
      </c>
      <c r="AF3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2" spans="18:32" x14ac:dyDescent="0.2">
      <c r="R3472" t="s">
        <v>39</v>
      </c>
      <c r="S3472" t="s">
        <v>261</v>
      </c>
      <c r="T3472" t="s">
        <v>6</v>
      </c>
      <c r="U3472" s="21">
        <v>2806.52</v>
      </c>
      <c r="V3472" s="21" t="s">
        <v>368</v>
      </c>
      <c r="W3472" t="str">
        <f>VLOOKUP(Table_Query_from_Actuarial___Production[[#This Row],[Kor1]],$AI$3:$AK$105,3,FALSE)</f>
        <v>Misc. Income for Insolvent Companies</v>
      </c>
      <c r="X3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2"/>
      <c r="Z3472" t="s">
        <v>37</v>
      </c>
      <c r="AA3472" t="s">
        <v>233</v>
      </c>
      <c r="AB3472" t="s">
        <v>356</v>
      </c>
      <c r="AC3472" s="21">
        <v>323.45999999999998</v>
      </c>
      <c r="AD3472" s="21" t="s">
        <v>368</v>
      </c>
      <c r="AE3472" t="str">
        <f>VLOOKUP(Table_Query_from_Actuarial___Production3[[#This Row],[Kor1]],$AI$3:$AK$105,3,FALSE)</f>
        <v>Misc. Expense</v>
      </c>
      <c r="AF3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3" spans="18:32" x14ac:dyDescent="0.2">
      <c r="R3473" t="s">
        <v>43</v>
      </c>
      <c r="S3473" t="s">
        <v>254</v>
      </c>
      <c r="T3473" t="s">
        <v>356</v>
      </c>
      <c r="U3473" s="21">
        <v>74.959999999999994</v>
      </c>
      <c r="V3473" s="21" t="s">
        <v>368</v>
      </c>
      <c r="W3473" t="str">
        <f>VLOOKUP(Table_Query_from_Actuarial___Production[[#This Row],[Kor1]],$AI$3:$AK$105,3,FALSE)</f>
        <v>Charge-offs</v>
      </c>
      <c r="X3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3"/>
      <c r="Z3473" t="s">
        <v>10</v>
      </c>
      <c r="AA3473" t="s">
        <v>249</v>
      </c>
      <c r="AB3473" t="s">
        <v>441</v>
      </c>
      <c r="AC3473" s="21">
        <v>60562.5</v>
      </c>
      <c r="AD3473" s="21" t="s">
        <v>368</v>
      </c>
      <c r="AE3473" t="str">
        <f>VLOOKUP(Table_Query_from_Actuarial___Production3[[#This Row],[Kor1]],$AI$3:$AK$105,3,FALSE)</f>
        <v>Commissions</v>
      </c>
      <c r="AF3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4" spans="18:32" x14ac:dyDescent="0.2">
      <c r="R3474" t="s">
        <v>43</v>
      </c>
      <c r="S3474" t="s">
        <v>267</v>
      </c>
      <c r="T3474" t="s">
        <v>8</v>
      </c>
      <c r="U3474" s="21">
        <v>0.13</v>
      </c>
      <c r="V3474" s="21" t="s">
        <v>368</v>
      </c>
      <c r="W3474" t="str">
        <f>VLOOKUP(Table_Query_from_Actuarial___Production[[#This Row],[Kor1]],$AI$3:$AK$105,3,FALSE)</f>
        <v>Charge-offs</v>
      </c>
      <c r="X3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4"/>
      <c r="Z3474" t="s">
        <v>38</v>
      </c>
      <c r="AA3474" t="s">
        <v>352</v>
      </c>
      <c r="AB3474" t="s">
        <v>5</v>
      </c>
      <c r="AC3474" s="21">
        <v>18019.259999999998</v>
      </c>
      <c r="AD3474" s="21" t="s">
        <v>369</v>
      </c>
      <c r="AE3474" t="str">
        <f>VLOOKUP(Table_Query_from_Actuarial___Production3[[#This Row],[Kor1]],$AI$3:$AK$105,3,FALSE)</f>
        <v>Misc. Income</v>
      </c>
      <c r="AF3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475" spans="18:32" x14ac:dyDescent="0.2">
      <c r="R3475" t="s">
        <v>25</v>
      </c>
      <c r="S3475" t="s">
        <v>4</v>
      </c>
      <c r="T3475" t="s">
        <v>8</v>
      </c>
      <c r="U3475" s="21">
        <v>13985.95</v>
      </c>
      <c r="V3475" s="21" t="s">
        <v>368</v>
      </c>
      <c r="W3475" t="str">
        <f>VLOOKUP(Table_Query_from_Actuarial___Production[[#This Row],[Kor1]],$AI$3:$AK$105,3,FALSE)</f>
        <v>Misc. Expense</v>
      </c>
      <c r="X3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5"/>
      <c r="Z3475" t="s">
        <v>3</v>
      </c>
      <c r="AA3475" t="s">
        <v>352</v>
      </c>
      <c r="AB3475" t="s">
        <v>351</v>
      </c>
      <c r="AC3475" s="21">
        <v>186857.66</v>
      </c>
      <c r="AD3475" s="21" t="s">
        <v>369</v>
      </c>
      <c r="AE3475" t="str">
        <f>VLOOKUP(Table_Query_from_Actuarial___Production3[[#This Row],[Kor1]],$AI$3:$AK$105,3,FALSE)</f>
        <v>Premiums Written</v>
      </c>
      <c r="AF3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476" spans="18:32" x14ac:dyDescent="0.2">
      <c r="R3476" t="s">
        <v>16</v>
      </c>
      <c r="S3476" t="s">
        <v>263</v>
      </c>
      <c r="T3476" t="s">
        <v>433</v>
      </c>
      <c r="U3476" s="21">
        <v>-2122</v>
      </c>
      <c r="V3476" s="21" t="s">
        <v>368</v>
      </c>
      <c r="W3476" t="str">
        <f>VLOOKUP(Table_Query_from_Actuarial___Production[[#This Row],[Kor1]],$AI$3:$AK$105,3,FALSE)</f>
        <v>Losses Outstanding</v>
      </c>
      <c r="X3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6"/>
      <c r="Z3476" t="s">
        <v>12</v>
      </c>
      <c r="AA3476" t="s">
        <v>229</v>
      </c>
      <c r="AB3476" t="s">
        <v>441</v>
      </c>
      <c r="AC3476" s="21">
        <v>1920.76</v>
      </c>
      <c r="AD3476" s="21" t="s">
        <v>368</v>
      </c>
      <c r="AE3476" t="str">
        <f>VLOOKUP(Table_Query_from_Actuarial___Production3[[#This Row],[Kor1]],$AI$3:$AK$105,3,FALSE)</f>
        <v>Premium Tax</v>
      </c>
      <c r="AF3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7" spans="18:32" x14ac:dyDescent="0.2">
      <c r="R3477" t="s">
        <v>41</v>
      </c>
      <c r="S3477" t="s">
        <v>264</v>
      </c>
      <c r="T3477" t="s">
        <v>443</v>
      </c>
      <c r="U3477" s="21">
        <v>1204.48</v>
      </c>
      <c r="V3477" s="21" t="s">
        <v>368</v>
      </c>
      <c r="W3477" t="str">
        <f>VLOOKUP(Table_Query_from_Actuarial___Production[[#This Row],[Kor1]],$AI$3:$AK$105,3,FALSE)</f>
        <v>Misc. Income</v>
      </c>
      <c r="X3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7"/>
      <c r="Z3477" t="s">
        <v>13</v>
      </c>
      <c r="AA3477" t="s">
        <v>232</v>
      </c>
      <c r="AB3477" t="s">
        <v>427</v>
      </c>
      <c r="AC3477" s="21">
        <v>193415.22</v>
      </c>
      <c r="AD3477" s="21" t="s">
        <v>368</v>
      </c>
      <c r="AE3477" t="str">
        <f>VLOOKUP(Table_Query_from_Actuarial___Production3[[#This Row],[Kor1]],$AI$3:$AK$105,3,FALSE)</f>
        <v>Operating Service Fees</v>
      </c>
      <c r="AF3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8" spans="18:32" x14ac:dyDescent="0.2">
      <c r="R3478" t="s">
        <v>10</v>
      </c>
      <c r="S3478" t="s">
        <v>4</v>
      </c>
      <c r="T3478" t="s">
        <v>9</v>
      </c>
      <c r="U3478" s="21">
        <v>1676496.84</v>
      </c>
      <c r="V3478" s="21" t="s">
        <v>368</v>
      </c>
      <c r="W3478" t="str">
        <f>VLOOKUP(Table_Query_from_Actuarial___Production[[#This Row],[Kor1]],$AI$3:$AK$105,3,FALSE)</f>
        <v>Commissions</v>
      </c>
      <c r="X3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8"/>
      <c r="Z3478" t="s">
        <v>14</v>
      </c>
      <c r="AA3478" t="s">
        <v>239</v>
      </c>
      <c r="AB3478" t="s">
        <v>443</v>
      </c>
      <c r="AC3478" s="21">
        <v>34850.06</v>
      </c>
      <c r="AD3478" s="21" t="s">
        <v>368</v>
      </c>
      <c r="AE3478" t="str">
        <f>VLOOKUP(Table_Query_from_Actuarial___Production3[[#This Row],[Kor1]],$AI$3:$AK$105,3,FALSE)</f>
        <v>Claims Expense</v>
      </c>
      <c r="AF3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79" spans="18:32" x14ac:dyDescent="0.2">
      <c r="R3479" t="s">
        <v>14</v>
      </c>
      <c r="S3479" t="s">
        <v>255</v>
      </c>
      <c r="T3479" t="s">
        <v>356</v>
      </c>
      <c r="U3479" s="21">
        <v>17106.080000000002</v>
      </c>
      <c r="V3479" s="21" t="s">
        <v>368</v>
      </c>
      <c r="W3479" t="str">
        <f>VLOOKUP(Table_Query_from_Actuarial___Production[[#This Row],[Kor1]],$AI$3:$AK$105,3,FALSE)</f>
        <v>Claims Expense</v>
      </c>
      <c r="X3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79"/>
      <c r="Z3479" t="s">
        <v>50</v>
      </c>
      <c r="AA3479" t="s">
        <v>248</v>
      </c>
      <c r="AB3479" t="s">
        <v>442</v>
      </c>
      <c r="AC3479" s="21">
        <v>14789.38</v>
      </c>
      <c r="AD3479" s="21" t="s">
        <v>368</v>
      </c>
      <c r="AE3479" t="str">
        <f>VLOOKUP(Table_Query_from_Actuarial___Production3[[#This Row],[Kor1]],$AI$3:$AK$105,3,FALSE)</f>
        <v>ALAE Reserve</v>
      </c>
      <c r="AF3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0" spans="18:32" x14ac:dyDescent="0.2">
      <c r="R3480" t="s">
        <v>21</v>
      </c>
      <c r="S3480" t="s">
        <v>239</v>
      </c>
      <c r="T3480" t="s">
        <v>427</v>
      </c>
      <c r="U3480" s="21">
        <v>2230.7600000000002</v>
      </c>
      <c r="V3480" s="21" t="s">
        <v>368</v>
      </c>
      <c r="W3480" t="str">
        <f>VLOOKUP(Table_Query_from_Actuarial___Production[[#This Row],[Kor1]],$AI$3:$AK$105,3,FALSE)</f>
        <v>Misc. Expense</v>
      </c>
      <c r="X3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0"/>
      <c r="Z3480" t="s">
        <v>17</v>
      </c>
      <c r="AA3480" t="s">
        <v>252</v>
      </c>
      <c r="AB3480" t="s">
        <v>443</v>
      </c>
      <c r="AC3480" s="21">
        <v>2424607.77</v>
      </c>
      <c r="AD3480" s="21" t="s">
        <v>368</v>
      </c>
      <c r="AE3480" t="str">
        <f>VLOOKUP(Table_Query_from_Actuarial___Production3[[#This Row],[Kor1]],$AI$3:$AK$105,3,FALSE)</f>
        <v>IBNR</v>
      </c>
      <c r="AF3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1" spans="18:32" x14ac:dyDescent="0.2">
      <c r="R3481" t="s">
        <v>11</v>
      </c>
      <c r="S3481" t="s">
        <v>264</v>
      </c>
      <c r="T3481" t="s">
        <v>9</v>
      </c>
      <c r="U3481" s="21">
        <v>1190812.3</v>
      </c>
      <c r="V3481" s="21" t="s">
        <v>368</v>
      </c>
      <c r="W3481" t="str">
        <f>VLOOKUP(Table_Query_from_Actuarial___Production[[#This Row],[Kor1]],$AI$3:$AK$105,3,FALSE)</f>
        <v>Losses Paid</v>
      </c>
      <c r="X3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1"/>
      <c r="Z3481" t="s">
        <v>41</v>
      </c>
      <c r="AA3481" t="s">
        <v>234</v>
      </c>
      <c r="AB3481" t="s">
        <v>442</v>
      </c>
      <c r="AC3481" s="21">
        <v>49.98</v>
      </c>
      <c r="AD3481" s="21" t="s">
        <v>368</v>
      </c>
      <c r="AE3481" t="str">
        <f>VLOOKUP(Table_Query_from_Actuarial___Production3[[#This Row],[Kor1]],$AI$3:$AK$105,3,FALSE)</f>
        <v>Misc. Income</v>
      </c>
      <c r="AF3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2" spans="18:32" x14ac:dyDescent="0.2">
      <c r="R3482" t="s">
        <v>13</v>
      </c>
      <c r="S3482" t="s">
        <v>243</v>
      </c>
      <c r="T3482" t="s">
        <v>356</v>
      </c>
      <c r="U3482" s="21">
        <v>69359.39</v>
      </c>
      <c r="V3482" s="21" t="s">
        <v>368</v>
      </c>
      <c r="W3482" t="str">
        <f>VLOOKUP(Table_Query_from_Actuarial___Production[[#This Row],[Kor1]],$AI$3:$AK$105,3,FALSE)</f>
        <v>Operating Service Fees</v>
      </c>
      <c r="X3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2"/>
      <c r="Z3482" t="s">
        <v>31</v>
      </c>
      <c r="AA3482" t="s">
        <v>250</v>
      </c>
      <c r="AB3482" t="s">
        <v>356</v>
      </c>
      <c r="AC3482" s="21">
        <v>648.29999999999995</v>
      </c>
      <c r="AD3482" s="21" t="s">
        <v>368</v>
      </c>
      <c r="AE3482" t="str">
        <f>VLOOKUP(Table_Query_from_Actuarial___Production3[[#This Row],[Kor1]],$AI$3:$AK$105,3,FALSE)</f>
        <v>Misc. Expense</v>
      </c>
      <c r="AF3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3" spans="18:32" x14ac:dyDescent="0.2">
      <c r="R3483" t="s">
        <v>39</v>
      </c>
      <c r="S3483" t="s">
        <v>229</v>
      </c>
      <c r="T3483" t="s">
        <v>445</v>
      </c>
      <c r="U3483" s="21">
        <v>1919.11</v>
      </c>
      <c r="V3483" s="21" t="s">
        <v>368</v>
      </c>
      <c r="W3483" t="str">
        <f>VLOOKUP(Table_Query_from_Actuarial___Production[[#This Row],[Kor1]],$AI$3:$AK$105,3,FALSE)</f>
        <v>Misc. Income for Insolvent Companies</v>
      </c>
      <c r="X3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3"/>
      <c r="Z3483" t="s">
        <v>24</v>
      </c>
      <c r="AA3483" t="s">
        <v>259</v>
      </c>
      <c r="AB3483" t="s">
        <v>351</v>
      </c>
      <c r="AC3483" s="21">
        <v>146.38999999999999</v>
      </c>
      <c r="AD3483" s="21" t="s">
        <v>368</v>
      </c>
      <c r="AE3483" t="str">
        <f>VLOOKUP(Table_Query_from_Actuarial___Production3[[#This Row],[Kor1]],$AI$3:$AK$105,3,FALSE)</f>
        <v>Misc. Expense</v>
      </c>
      <c r="AF3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4" spans="18:32" x14ac:dyDescent="0.2">
      <c r="R3484" t="s">
        <v>39</v>
      </c>
      <c r="S3484" t="s">
        <v>255</v>
      </c>
      <c r="T3484" t="s">
        <v>441</v>
      </c>
      <c r="U3484" s="21">
        <v>880.18</v>
      </c>
      <c r="V3484" s="21" t="s">
        <v>368</v>
      </c>
      <c r="W3484" t="str">
        <f>VLOOKUP(Table_Query_from_Actuarial___Production[[#This Row],[Kor1]],$AI$3:$AK$105,3,FALSE)</f>
        <v>Misc. Income for Insolvent Companies</v>
      </c>
      <c r="X3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4"/>
      <c r="Z3484" t="s">
        <v>29</v>
      </c>
      <c r="AA3484" t="s">
        <v>257</v>
      </c>
      <c r="AB3484" t="s">
        <v>427</v>
      </c>
      <c r="AC3484" s="21">
        <v>18033.259999999998</v>
      </c>
      <c r="AD3484" s="21" t="s">
        <v>368</v>
      </c>
      <c r="AE3484" t="str">
        <f>VLOOKUP(Table_Query_from_Actuarial___Production3[[#This Row],[Kor1]],$AI$3:$AK$105,3,FALSE)</f>
        <v>Misc. Expense</v>
      </c>
      <c r="AF3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5" spans="18:32" x14ac:dyDescent="0.2">
      <c r="R3485" t="s">
        <v>44</v>
      </c>
      <c r="S3485" t="s">
        <v>250</v>
      </c>
      <c r="T3485" t="s">
        <v>356</v>
      </c>
      <c r="U3485" s="21">
        <v>769.8</v>
      </c>
      <c r="V3485" s="21" t="s">
        <v>368</v>
      </c>
      <c r="W3485" t="str">
        <f>VLOOKUP(Table_Query_from_Actuarial___Production[[#This Row],[Kor1]],$AI$3:$AK$105,3,FALSE)</f>
        <v>Charge-offs</v>
      </c>
      <c r="X3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5"/>
      <c r="Z3485" t="s">
        <v>10</v>
      </c>
      <c r="AA3485" t="s">
        <v>249</v>
      </c>
      <c r="AB3485" t="s">
        <v>5</v>
      </c>
      <c r="AC3485" s="21">
        <v>4935.6000000000004</v>
      </c>
      <c r="AD3485" s="21" t="s">
        <v>368</v>
      </c>
      <c r="AE3485" t="str">
        <f>VLOOKUP(Table_Query_from_Actuarial___Production3[[#This Row],[Kor1]],$AI$3:$AK$105,3,FALSE)</f>
        <v>Commissions</v>
      </c>
      <c r="AF3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6" spans="18:32" x14ac:dyDescent="0.2">
      <c r="R3486" t="s">
        <v>47</v>
      </c>
      <c r="S3486" t="s">
        <v>262</v>
      </c>
      <c r="T3486" t="s">
        <v>445</v>
      </c>
      <c r="U3486" s="21">
        <v>5423.99</v>
      </c>
      <c r="V3486" s="21" t="s">
        <v>368</v>
      </c>
      <c r="W3486" t="str">
        <f>VLOOKUP(Table_Query_from_Actuarial___Production[[#This Row],[Kor1]],$AI$3:$AK$105,3,FALSE)</f>
        <v>Investment Income</v>
      </c>
      <c r="X3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6"/>
      <c r="Z3486" t="s">
        <v>33</v>
      </c>
      <c r="AA3486" t="s">
        <v>251</v>
      </c>
      <c r="AB3486" t="s">
        <v>356</v>
      </c>
      <c r="AC3486" s="21">
        <v>14931.63</v>
      </c>
      <c r="AD3486" s="21" t="s">
        <v>368</v>
      </c>
      <c r="AE3486" t="str">
        <f>VLOOKUP(Table_Query_from_Actuarial___Production3[[#This Row],[Kor1]],$AI$3:$AK$105,3,FALSE)</f>
        <v>Misc. Expense</v>
      </c>
      <c r="AF3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7" spans="18:32" x14ac:dyDescent="0.2">
      <c r="R3487" t="s">
        <v>39</v>
      </c>
      <c r="S3487" t="s">
        <v>232</v>
      </c>
      <c r="T3487" t="s">
        <v>6</v>
      </c>
      <c r="U3487" s="21">
        <v>3533.62</v>
      </c>
      <c r="V3487" s="21" t="s">
        <v>368</v>
      </c>
      <c r="W3487" t="str">
        <f>VLOOKUP(Table_Query_from_Actuarial___Production[[#This Row],[Kor1]],$AI$3:$AK$105,3,FALSE)</f>
        <v>Misc. Income for Insolvent Companies</v>
      </c>
      <c r="X3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7"/>
      <c r="Z3487" t="s">
        <v>20</v>
      </c>
      <c r="AA3487" t="s">
        <v>232</v>
      </c>
      <c r="AB3487" t="s">
        <v>356</v>
      </c>
      <c r="AC3487" s="21">
        <v>259.81</v>
      </c>
      <c r="AD3487" s="21" t="s">
        <v>368</v>
      </c>
      <c r="AE3487" t="str">
        <f>VLOOKUP(Table_Query_from_Actuarial___Production3[[#This Row],[Kor1]],$AI$3:$AK$105,3,FALSE)</f>
        <v>Misc. Expense</v>
      </c>
      <c r="AF3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8" spans="18:32" x14ac:dyDescent="0.2">
      <c r="R3488" t="s">
        <v>40</v>
      </c>
      <c r="S3488" t="s">
        <v>258</v>
      </c>
      <c r="T3488" t="s">
        <v>9</v>
      </c>
      <c r="U3488" s="21">
        <v>480.54</v>
      </c>
      <c r="V3488" s="21" t="s">
        <v>368</v>
      </c>
      <c r="W3488" t="str">
        <f>VLOOKUP(Table_Query_from_Actuarial___Production[[#This Row],[Kor1]],$AI$3:$AK$105,3,FALSE)</f>
        <v>Misc. Income</v>
      </c>
      <c r="X3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8"/>
      <c r="Z3488" t="s">
        <v>11</v>
      </c>
      <c r="AA3488" t="s">
        <v>256</v>
      </c>
      <c r="AB3488" t="s">
        <v>5</v>
      </c>
      <c r="AC3488" s="21">
        <v>2053.6799999999998</v>
      </c>
      <c r="AD3488" s="21" t="s">
        <v>368</v>
      </c>
      <c r="AE3488" t="str">
        <f>VLOOKUP(Table_Query_from_Actuarial___Production3[[#This Row],[Kor1]],$AI$3:$AK$105,3,FALSE)</f>
        <v>Losses Paid</v>
      </c>
      <c r="AF3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89" spans="18:32" x14ac:dyDescent="0.2">
      <c r="R3489" t="s">
        <v>31</v>
      </c>
      <c r="S3489" t="s">
        <v>244</v>
      </c>
      <c r="T3489" t="s">
        <v>356</v>
      </c>
      <c r="U3489" s="21">
        <v>600.67999999999995</v>
      </c>
      <c r="V3489" s="21" t="s">
        <v>368</v>
      </c>
      <c r="W3489" t="str">
        <f>VLOOKUP(Table_Query_from_Actuarial___Production[[#This Row],[Kor1]],$AI$3:$AK$105,3,FALSE)</f>
        <v>Misc. Expense</v>
      </c>
      <c r="X3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89"/>
      <c r="Z3489" t="s">
        <v>11</v>
      </c>
      <c r="AA3489" t="s">
        <v>246</v>
      </c>
      <c r="AB3489" t="s">
        <v>7</v>
      </c>
      <c r="AC3489" s="21">
        <v>183702.37</v>
      </c>
      <c r="AD3489" s="21" t="s">
        <v>368</v>
      </c>
      <c r="AE3489" t="str">
        <f>VLOOKUP(Table_Query_from_Actuarial___Production3[[#This Row],[Kor1]],$AI$3:$AK$105,3,FALSE)</f>
        <v>Losses Paid</v>
      </c>
      <c r="AF3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0" spans="18:32" x14ac:dyDescent="0.2">
      <c r="R3490" t="s">
        <v>41</v>
      </c>
      <c r="S3490" t="s">
        <v>238</v>
      </c>
      <c r="T3490" t="s">
        <v>6</v>
      </c>
      <c r="U3490" s="21">
        <v>200</v>
      </c>
      <c r="V3490" s="21" t="s">
        <v>368</v>
      </c>
      <c r="W3490" t="str">
        <f>VLOOKUP(Table_Query_from_Actuarial___Production[[#This Row],[Kor1]],$AI$3:$AK$105,3,FALSE)</f>
        <v>Misc. Income</v>
      </c>
      <c r="X3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0"/>
      <c r="Z3490" t="s">
        <v>50</v>
      </c>
      <c r="AA3490" t="s">
        <v>231</v>
      </c>
      <c r="AB3490" t="s">
        <v>442</v>
      </c>
      <c r="AC3490" s="21">
        <v>87301.04</v>
      </c>
      <c r="AD3490" s="21" t="s">
        <v>368</v>
      </c>
      <c r="AE3490" t="str">
        <f>VLOOKUP(Table_Query_from_Actuarial___Production3[[#This Row],[Kor1]],$AI$3:$AK$105,3,FALSE)</f>
        <v>ALAE Reserve</v>
      </c>
      <c r="AF3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1" spans="18:32" x14ac:dyDescent="0.2">
      <c r="R3491" t="s">
        <v>49</v>
      </c>
      <c r="S3491" t="s">
        <v>237</v>
      </c>
      <c r="T3491" t="s">
        <v>9</v>
      </c>
      <c r="U3491" s="21">
        <v>671015.71</v>
      </c>
      <c r="V3491" s="21" t="s">
        <v>368</v>
      </c>
      <c r="W3491" t="str">
        <f>VLOOKUP(Table_Query_from_Actuarial___Production[[#This Row],[Kor1]],$AI$3:$AK$105,3,FALSE)</f>
        <v>ALAE Paid</v>
      </c>
      <c r="X3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1"/>
      <c r="Z3491" t="s">
        <v>10</v>
      </c>
      <c r="AA3491" t="s">
        <v>245</v>
      </c>
      <c r="AB3491" t="s">
        <v>433</v>
      </c>
      <c r="AC3491" s="21">
        <v>319.35000000000002</v>
      </c>
      <c r="AD3491" s="21" t="s">
        <v>368</v>
      </c>
      <c r="AE3491" t="str">
        <f>VLOOKUP(Table_Query_from_Actuarial___Production3[[#This Row],[Kor1]],$AI$3:$AK$105,3,FALSE)</f>
        <v>Commissions</v>
      </c>
      <c r="AF3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2" spans="18:32" x14ac:dyDescent="0.2">
      <c r="R3492" t="s">
        <v>20</v>
      </c>
      <c r="S3492" t="s">
        <v>256</v>
      </c>
      <c r="T3492" t="s">
        <v>356</v>
      </c>
      <c r="U3492" s="21">
        <v>255.32</v>
      </c>
      <c r="V3492" s="21" t="s">
        <v>368</v>
      </c>
      <c r="W3492" t="str">
        <f>VLOOKUP(Table_Query_from_Actuarial___Production[[#This Row],[Kor1]],$AI$3:$AK$105,3,FALSE)</f>
        <v>Misc. Expense</v>
      </c>
      <c r="X3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2"/>
      <c r="Z3492" t="s">
        <v>14</v>
      </c>
      <c r="AA3492" t="s">
        <v>256</v>
      </c>
      <c r="AB3492" t="s">
        <v>442</v>
      </c>
      <c r="AC3492" s="21">
        <v>8029.05</v>
      </c>
      <c r="AD3492" s="21" t="s">
        <v>368</v>
      </c>
      <c r="AE3492" t="str">
        <f>VLOOKUP(Table_Query_from_Actuarial___Production3[[#This Row],[Kor1]],$AI$3:$AK$105,3,FALSE)</f>
        <v>Claims Expense</v>
      </c>
      <c r="AF3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3" spans="18:32" x14ac:dyDescent="0.2">
      <c r="R3493" t="s">
        <v>39</v>
      </c>
      <c r="S3493" t="s">
        <v>227</v>
      </c>
      <c r="T3493" t="s">
        <v>8</v>
      </c>
      <c r="U3493" s="21">
        <v>62</v>
      </c>
      <c r="V3493" s="21" t="s">
        <v>368</v>
      </c>
      <c r="W3493" t="str">
        <f>VLOOKUP(Table_Query_from_Actuarial___Production[[#This Row],[Kor1]],$AI$3:$AK$105,3,FALSE)</f>
        <v>Misc. Income for Insolvent Companies</v>
      </c>
      <c r="X3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3"/>
      <c r="Z3493" t="s">
        <v>31</v>
      </c>
      <c r="AA3493" t="s">
        <v>238</v>
      </c>
      <c r="AB3493" t="s">
        <v>351</v>
      </c>
      <c r="AC3493" s="21">
        <v>1011.51</v>
      </c>
      <c r="AD3493" s="21" t="s">
        <v>368</v>
      </c>
      <c r="AE3493" t="str">
        <f>VLOOKUP(Table_Query_from_Actuarial___Production3[[#This Row],[Kor1]],$AI$3:$AK$105,3,FALSE)</f>
        <v>Misc. Expense</v>
      </c>
      <c r="AF3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4" spans="18:32" x14ac:dyDescent="0.2">
      <c r="R3494" t="s">
        <v>13</v>
      </c>
      <c r="S3494" t="s">
        <v>263</v>
      </c>
      <c r="T3494" t="s">
        <v>8</v>
      </c>
      <c r="U3494" s="21">
        <v>88615.44</v>
      </c>
      <c r="V3494" s="21" t="s">
        <v>368</v>
      </c>
      <c r="W3494" t="str">
        <f>VLOOKUP(Table_Query_from_Actuarial___Production[[#This Row],[Kor1]],$AI$3:$AK$105,3,FALSE)</f>
        <v>Operating Service Fees</v>
      </c>
      <c r="X3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4"/>
      <c r="Z3494" t="s">
        <v>14</v>
      </c>
      <c r="AA3494" t="s">
        <v>248</v>
      </c>
      <c r="AB3494" t="s">
        <v>8</v>
      </c>
      <c r="AC3494" s="21">
        <v>6622.04</v>
      </c>
      <c r="AD3494" s="21" t="s">
        <v>368</v>
      </c>
      <c r="AE3494" t="str">
        <f>VLOOKUP(Table_Query_from_Actuarial___Production3[[#This Row],[Kor1]],$AI$3:$AK$105,3,FALSE)</f>
        <v>Claims Expense</v>
      </c>
      <c r="AF3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5" spans="18:32" x14ac:dyDescent="0.2">
      <c r="R3495" t="s">
        <v>47</v>
      </c>
      <c r="S3495" t="s">
        <v>246</v>
      </c>
      <c r="T3495" t="s">
        <v>427</v>
      </c>
      <c r="U3495" s="21">
        <v>5830.32</v>
      </c>
      <c r="V3495" s="21" t="s">
        <v>368</v>
      </c>
      <c r="W3495" t="str">
        <f>VLOOKUP(Table_Query_from_Actuarial___Production[[#This Row],[Kor1]],$AI$3:$AK$105,3,FALSE)</f>
        <v>Investment Income</v>
      </c>
      <c r="X3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5"/>
      <c r="Z3495" t="s">
        <v>33</v>
      </c>
      <c r="AA3495" t="s">
        <v>238</v>
      </c>
      <c r="AB3495" t="s">
        <v>356</v>
      </c>
      <c r="AC3495" s="21">
        <v>15084.89</v>
      </c>
      <c r="AD3495" s="21" t="s">
        <v>368</v>
      </c>
      <c r="AE3495" t="str">
        <f>VLOOKUP(Table_Query_from_Actuarial___Production3[[#This Row],[Kor1]],$AI$3:$AK$105,3,FALSE)</f>
        <v>Misc. Expense</v>
      </c>
      <c r="AF3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6" spans="18:32" x14ac:dyDescent="0.2">
      <c r="R3496" t="s">
        <v>13</v>
      </c>
      <c r="S3496" t="s">
        <v>232</v>
      </c>
      <c r="T3496" t="s">
        <v>443</v>
      </c>
      <c r="U3496" s="21">
        <v>419250.27</v>
      </c>
      <c r="V3496" s="21" t="s">
        <v>368</v>
      </c>
      <c r="W3496" t="str">
        <f>VLOOKUP(Table_Query_from_Actuarial___Production[[#This Row],[Kor1]],$AI$3:$AK$105,3,FALSE)</f>
        <v>Operating Service Fees</v>
      </c>
      <c r="X3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6"/>
      <c r="Z3496" t="s">
        <v>44</v>
      </c>
      <c r="AA3496" t="s">
        <v>252</v>
      </c>
      <c r="AB3496" t="s">
        <v>9</v>
      </c>
      <c r="AC3496" s="21">
        <v>314890.78000000003</v>
      </c>
      <c r="AD3496" s="21" t="s">
        <v>368</v>
      </c>
      <c r="AE3496" t="str">
        <f>VLOOKUP(Table_Query_from_Actuarial___Production3[[#This Row],[Kor1]],$AI$3:$AK$105,3,FALSE)</f>
        <v>Charge-offs</v>
      </c>
      <c r="AF3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7" spans="18:32" x14ac:dyDescent="0.2">
      <c r="R3497" t="s">
        <v>37</v>
      </c>
      <c r="S3497" t="s">
        <v>252</v>
      </c>
      <c r="T3497" t="s">
        <v>7</v>
      </c>
      <c r="U3497" s="21">
        <v>63309.09</v>
      </c>
      <c r="V3497" s="21" t="s">
        <v>368</v>
      </c>
      <c r="W3497" t="str">
        <f>VLOOKUP(Table_Query_from_Actuarial___Production[[#This Row],[Kor1]],$AI$3:$AK$105,3,FALSE)</f>
        <v>Misc. Expense</v>
      </c>
      <c r="X3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7"/>
      <c r="Z3497" t="s">
        <v>49</v>
      </c>
      <c r="AA3497" t="s">
        <v>230</v>
      </c>
      <c r="AB3497" t="s">
        <v>8</v>
      </c>
      <c r="AC3497" s="21">
        <v>1231878.74</v>
      </c>
      <c r="AD3497" s="21" t="s">
        <v>368</v>
      </c>
      <c r="AE3497" t="str">
        <f>VLOOKUP(Table_Query_from_Actuarial___Production3[[#This Row],[Kor1]],$AI$3:$AK$105,3,FALSE)</f>
        <v>ALAE Paid</v>
      </c>
      <c r="AF3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498" spans="18:32" x14ac:dyDescent="0.2">
      <c r="R3498" t="s">
        <v>12</v>
      </c>
      <c r="S3498" t="s">
        <v>236</v>
      </c>
      <c r="T3498" t="s">
        <v>445</v>
      </c>
      <c r="U3498" s="21">
        <v>572.41</v>
      </c>
      <c r="V3498" s="21" t="s">
        <v>368</v>
      </c>
      <c r="W3498" t="str">
        <f>VLOOKUP(Table_Query_from_Actuarial___Production[[#This Row],[Kor1]],$AI$3:$AK$105,3,FALSE)</f>
        <v>Premium Tax</v>
      </c>
      <c r="X3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8"/>
      <c r="Z3498" t="s">
        <v>43</v>
      </c>
      <c r="AA3498" t="s">
        <v>226</v>
      </c>
      <c r="AB3498" t="s">
        <v>8</v>
      </c>
      <c r="AC3498" s="21">
        <v>-34.57</v>
      </c>
      <c r="AD3498" s="21" t="s">
        <v>368</v>
      </c>
      <c r="AE3498" t="str">
        <f>VLOOKUP(Table_Query_from_Actuarial___Production3[[#This Row],[Kor1]],$AI$3:$AK$105,3,FALSE)</f>
        <v>Charge-offs</v>
      </c>
      <c r="AF3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499" spans="18:32" x14ac:dyDescent="0.2">
      <c r="R3499" t="s">
        <v>40</v>
      </c>
      <c r="S3499" t="s">
        <v>256</v>
      </c>
      <c r="T3499" t="s">
        <v>443</v>
      </c>
      <c r="U3499" s="21">
        <v>124</v>
      </c>
      <c r="V3499" s="21" t="s">
        <v>368</v>
      </c>
      <c r="W3499" t="str">
        <f>VLOOKUP(Table_Query_from_Actuarial___Production[[#This Row],[Kor1]],$AI$3:$AK$105,3,FALSE)</f>
        <v>Misc. Income</v>
      </c>
      <c r="X3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499"/>
      <c r="Z3499" t="s">
        <v>21</v>
      </c>
      <c r="AA3499" t="s">
        <v>265</v>
      </c>
      <c r="AB3499" t="s">
        <v>427</v>
      </c>
      <c r="AC3499" s="21">
        <v>3078.77</v>
      </c>
      <c r="AD3499" s="21" t="s">
        <v>368</v>
      </c>
      <c r="AE3499" t="str">
        <f>VLOOKUP(Table_Query_from_Actuarial___Production3[[#This Row],[Kor1]],$AI$3:$AK$105,3,FALSE)</f>
        <v>Misc. Expense</v>
      </c>
      <c r="AF3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0" spans="18:32" x14ac:dyDescent="0.2">
      <c r="R3500" t="s">
        <v>47</v>
      </c>
      <c r="S3500" t="s">
        <v>240</v>
      </c>
      <c r="T3500" t="s">
        <v>9</v>
      </c>
      <c r="U3500" s="21">
        <v>504.06</v>
      </c>
      <c r="V3500" s="21" t="s">
        <v>368</v>
      </c>
      <c r="W3500" t="str">
        <f>VLOOKUP(Table_Query_from_Actuarial___Production[[#This Row],[Kor1]],$AI$3:$AK$105,3,FALSE)</f>
        <v>Investment Income</v>
      </c>
      <c r="X3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0"/>
      <c r="Z3500" t="s">
        <v>40</v>
      </c>
      <c r="AA3500" t="s">
        <v>234</v>
      </c>
      <c r="AB3500" t="s">
        <v>351</v>
      </c>
      <c r="AC3500" s="21">
        <v>51.98</v>
      </c>
      <c r="AD3500" s="21" t="s">
        <v>368</v>
      </c>
      <c r="AE3500" t="str">
        <f>VLOOKUP(Table_Query_from_Actuarial___Production3[[#This Row],[Kor1]],$AI$3:$AK$105,3,FALSE)</f>
        <v>Misc. Income</v>
      </c>
      <c r="AF3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1" spans="18:32" x14ac:dyDescent="0.2">
      <c r="R3501" t="s">
        <v>48</v>
      </c>
      <c r="S3501" t="s">
        <v>266</v>
      </c>
      <c r="T3501" t="s">
        <v>445</v>
      </c>
      <c r="U3501" s="21">
        <v>748.47</v>
      </c>
      <c r="V3501" s="21" t="s">
        <v>368</v>
      </c>
      <c r="W3501" t="str">
        <f>VLOOKUP(Table_Query_from_Actuarial___Production[[#This Row],[Kor1]],$AI$3:$AK$105,3,FALSE)</f>
        <v>Anticipated Salvage</v>
      </c>
      <c r="X3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1"/>
      <c r="Z3501" t="s">
        <v>39</v>
      </c>
      <c r="AA3501" t="s">
        <v>261</v>
      </c>
      <c r="AB3501" t="s">
        <v>6</v>
      </c>
      <c r="AC3501" s="21">
        <v>2806.52</v>
      </c>
      <c r="AD3501" s="21" t="s">
        <v>368</v>
      </c>
      <c r="AE3501" t="str">
        <f>VLOOKUP(Table_Query_from_Actuarial___Production3[[#This Row],[Kor1]],$AI$3:$AK$105,3,FALSE)</f>
        <v>Misc. Income for Insolvent Companies</v>
      </c>
      <c r="AF3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2" spans="18:32" x14ac:dyDescent="0.2">
      <c r="R3502" t="s">
        <v>19</v>
      </c>
      <c r="S3502" t="s">
        <v>235</v>
      </c>
      <c r="T3502" t="s">
        <v>433</v>
      </c>
      <c r="U3502" s="21">
        <v>597</v>
      </c>
      <c r="V3502" s="21" t="s">
        <v>368</v>
      </c>
      <c r="W3502" t="str">
        <f>VLOOKUP(Table_Query_from_Actuarial___Production[[#This Row],[Kor1]],$AI$3:$AK$105,3,FALSE)</f>
        <v>Misc. Expense for Insolvent Companies</v>
      </c>
      <c r="X3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2"/>
      <c r="Z3502" t="s">
        <v>43</v>
      </c>
      <c r="AA3502" t="s">
        <v>254</v>
      </c>
      <c r="AB3502" t="s">
        <v>356</v>
      </c>
      <c r="AC3502" s="21">
        <v>74.959999999999994</v>
      </c>
      <c r="AD3502" s="21" t="s">
        <v>368</v>
      </c>
      <c r="AE3502" t="str">
        <f>VLOOKUP(Table_Query_from_Actuarial___Production3[[#This Row],[Kor1]],$AI$3:$AK$105,3,FALSE)</f>
        <v>Charge-offs</v>
      </c>
      <c r="AF3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3" spans="18:32" x14ac:dyDescent="0.2">
      <c r="R3503" t="s">
        <v>47</v>
      </c>
      <c r="S3503" t="s">
        <v>261</v>
      </c>
      <c r="T3503" t="s">
        <v>6</v>
      </c>
      <c r="U3503" s="21">
        <v>7.0000000000000007E-2</v>
      </c>
      <c r="V3503" s="21" t="s">
        <v>368</v>
      </c>
      <c r="W3503" t="str">
        <f>VLOOKUP(Table_Query_from_Actuarial___Production[[#This Row],[Kor1]],$AI$3:$AK$105,3,FALSE)</f>
        <v>Investment Income</v>
      </c>
      <c r="X3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3"/>
      <c r="Z3503" t="s">
        <v>43</v>
      </c>
      <c r="AA3503" t="s">
        <v>267</v>
      </c>
      <c r="AB3503" t="s">
        <v>8</v>
      </c>
      <c r="AC3503" s="21">
        <v>0.13</v>
      </c>
      <c r="AD3503" s="21" t="s">
        <v>368</v>
      </c>
      <c r="AE3503" t="str">
        <f>VLOOKUP(Table_Query_from_Actuarial___Production3[[#This Row],[Kor1]],$AI$3:$AK$105,3,FALSE)</f>
        <v>Charge-offs</v>
      </c>
      <c r="AF3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4" spans="18:32" x14ac:dyDescent="0.2">
      <c r="R3504" t="s">
        <v>49</v>
      </c>
      <c r="S3504" t="s">
        <v>255</v>
      </c>
      <c r="T3504" t="s">
        <v>356</v>
      </c>
      <c r="U3504" s="21">
        <v>35378.019999999997</v>
      </c>
      <c r="V3504" s="21" t="s">
        <v>368</v>
      </c>
      <c r="W3504" t="str">
        <f>VLOOKUP(Table_Query_from_Actuarial___Production[[#This Row],[Kor1]],$AI$3:$AK$105,3,FALSE)</f>
        <v>ALAE Paid</v>
      </c>
      <c r="X3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4"/>
      <c r="Z3504" t="s">
        <v>25</v>
      </c>
      <c r="AA3504" t="s">
        <v>4</v>
      </c>
      <c r="AB3504" t="s">
        <v>8</v>
      </c>
      <c r="AC3504" s="21">
        <v>13985.95</v>
      </c>
      <c r="AD3504" s="21" t="s">
        <v>368</v>
      </c>
      <c r="AE3504" t="str">
        <f>VLOOKUP(Table_Query_from_Actuarial___Production3[[#This Row],[Kor1]],$AI$3:$AK$105,3,FALSE)</f>
        <v>Misc. Expense</v>
      </c>
      <c r="AF3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5" spans="18:32" x14ac:dyDescent="0.2">
      <c r="R3505" t="s">
        <v>33</v>
      </c>
      <c r="S3505" t="s">
        <v>264</v>
      </c>
      <c r="T3505" t="s">
        <v>356</v>
      </c>
      <c r="U3505" s="21">
        <v>14884.13</v>
      </c>
      <c r="V3505" s="21" t="s">
        <v>368</v>
      </c>
      <c r="W3505" t="str">
        <f>VLOOKUP(Table_Query_from_Actuarial___Production[[#This Row],[Kor1]],$AI$3:$AK$105,3,FALSE)</f>
        <v>Misc. Expense</v>
      </c>
      <c r="X3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5"/>
      <c r="Z3505" t="s">
        <v>16</v>
      </c>
      <c r="AA3505" t="s">
        <v>263</v>
      </c>
      <c r="AB3505" t="s">
        <v>433</v>
      </c>
      <c r="AC3505" s="21">
        <v>8658.58</v>
      </c>
      <c r="AD3505" s="21" t="s">
        <v>368</v>
      </c>
      <c r="AE3505" t="str">
        <f>VLOOKUP(Table_Query_from_Actuarial___Production3[[#This Row],[Kor1]],$AI$3:$AK$105,3,FALSE)</f>
        <v>Losses Outstanding</v>
      </c>
      <c r="AF3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6" spans="18:32" x14ac:dyDescent="0.2">
      <c r="R3506" t="s">
        <v>33</v>
      </c>
      <c r="S3506" t="s">
        <v>237</v>
      </c>
      <c r="T3506" t="s">
        <v>351</v>
      </c>
      <c r="U3506" s="21">
        <v>21917.39</v>
      </c>
      <c r="V3506" s="21" t="s">
        <v>368</v>
      </c>
      <c r="W3506" t="str">
        <f>VLOOKUP(Table_Query_from_Actuarial___Production[[#This Row],[Kor1]],$AI$3:$AK$105,3,FALSE)</f>
        <v>Misc. Expense</v>
      </c>
      <c r="X3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6"/>
      <c r="Z3506" t="s">
        <v>41</v>
      </c>
      <c r="AA3506" t="s">
        <v>264</v>
      </c>
      <c r="AB3506" t="s">
        <v>443</v>
      </c>
      <c r="AC3506" s="21">
        <v>450</v>
      </c>
      <c r="AD3506" s="21" t="s">
        <v>368</v>
      </c>
      <c r="AE3506" t="str">
        <f>VLOOKUP(Table_Query_from_Actuarial___Production3[[#This Row],[Kor1]],$AI$3:$AK$105,3,FALSE)</f>
        <v>Misc. Income</v>
      </c>
      <c r="AF3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7" spans="18:32" x14ac:dyDescent="0.2">
      <c r="R3507" t="s">
        <v>40</v>
      </c>
      <c r="S3507" t="s">
        <v>252</v>
      </c>
      <c r="T3507" t="s">
        <v>9</v>
      </c>
      <c r="U3507" s="21">
        <v>536834.15</v>
      </c>
      <c r="V3507" s="21" t="s">
        <v>368</v>
      </c>
      <c r="W3507" t="str">
        <f>VLOOKUP(Table_Query_from_Actuarial___Production[[#This Row],[Kor1]],$AI$3:$AK$105,3,FALSE)</f>
        <v>Misc. Income</v>
      </c>
      <c r="X3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7"/>
      <c r="Z3507" t="s">
        <v>10</v>
      </c>
      <c r="AA3507" t="s">
        <v>4</v>
      </c>
      <c r="AB3507" t="s">
        <v>9</v>
      </c>
      <c r="AC3507" s="21">
        <v>1676496.84</v>
      </c>
      <c r="AD3507" s="21" t="s">
        <v>368</v>
      </c>
      <c r="AE3507" t="str">
        <f>VLOOKUP(Table_Query_from_Actuarial___Production3[[#This Row],[Kor1]],$AI$3:$AK$105,3,FALSE)</f>
        <v>Commissions</v>
      </c>
      <c r="AF3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8" spans="18:32" x14ac:dyDescent="0.2">
      <c r="R3508" t="s">
        <v>19</v>
      </c>
      <c r="S3508" t="s">
        <v>232</v>
      </c>
      <c r="T3508" t="s">
        <v>356</v>
      </c>
      <c r="U3508" s="21">
        <v>2359</v>
      </c>
      <c r="V3508" s="21" t="s">
        <v>368</v>
      </c>
      <c r="W3508" t="str">
        <f>VLOOKUP(Table_Query_from_Actuarial___Production[[#This Row],[Kor1]],$AI$3:$AK$105,3,FALSE)</f>
        <v>Misc. Expense for Insolvent Companies</v>
      </c>
      <c r="X3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8"/>
      <c r="Z3508" t="s">
        <v>14</v>
      </c>
      <c r="AA3508" t="s">
        <v>255</v>
      </c>
      <c r="AB3508" t="s">
        <v>356</v>
      </c>
      <c r="AC3508" s="21">
        <v>17106.080000000002</v>
      </c>
      <c r="AD3508" s="21" t="s">
        <v>368</v>
      </c>
      <c r="AE3508" t="str">
        <f>VLOOKUP(Table_Query_from_Actuarial___Production3[[#This Row],[Kor1]],$AI$3:$AK$105,3,FALSE)</f>
        <v>Claims Expense</v>
      </c>
      <c r="AF3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09" spans="18:32" x14ac:dyDescent="0.2">
      <c r="R3509" t="s">
        <v>14</v>
      </c>
      <c r="S3509" t="s">
        <v>254</v>
      </c>
      <c r="T3509" t="s">
        <v>7</v>
      </c>
      <c r="U3509" s="21">
        <v>51670.97</v>
      </c>
      <c r="V3509" s="21" t="s">
        <v>368</v>
      </c>
      <c r="W3509" t="str">
        <f>VLOOKUP(Table_Query_from_Actuarial___Production[[#This Row],[Kor1]],$AI$3:$AK$105,3,FALSE)</f>
        <v>Claims Expense</v>
      </c>
      <c r="X3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09"/>
      <c r="Z3509" t="s">
        <v>21</v>
      </c>
      <c r="AA3509" t="s">
        <v>239</v>
      </c>
      <c r="AB3509" t="s">
        <v>427</v>
      </c>
      <c r="AC3509" s="21">
        <v>2230.7600000000002</v>
      </c>
      <c r="AD3509" s="21" t="s">
        <v>368</v>
      </c>
      <c r="AE3509" t="str">
        <f>VLOOKUP(Table_Query_from_Actuarial___Production3[[#This Row],[Kor1]],$AI$3:$AK$105,3,FALSE)</f>
        <v>Misc. Expense</v>
      </c>
      <c r="AF3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0" spans="18:32" x14ac:dyDescent="0.2">
      <c r="R3510" t="s">
        <v>20</v>
      </c>
      <c r="S3510" t="s">
        <v>266</v>
      </c>
      <c r="T3510" t="s">
        <v>442</v>
      </c>
      <c r="U3510" s="21">
        <v>142.59</v>
      </c>
      <c r="V3510" s="21" t="s">
        <v>368</v>
      </c>
      <c r="W3510" t="str">
        <f>VLOOKUP(Table_Query_from_Actuarial___Production[[#This Row],[Kor1]],$AI$3:$AK$105,3,FALSE)</f>
        <v>Misc. Expense</v>
      </c>
      <c r="X3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0"/>
      <c r="Z3510" t="s">
        <v>14</v>
      </c>
      <c r="AA3510" t="s">
        <v>231</v>
      </c>
      <c r="AB3510" t="s">
        <v>5</v>
      </c>
      <c r="AC3510" s="21">
        <v>2010.78</v>
      </c>
      <c r="AD3510" s="21" t="s">
        <v>368</v>
      </c>
      <c r="AE3510" t="str">
        <f>VLOOKUP(Table_Query_from_Actuarial___Production3[[#This Row],[Kor1]],$AI$3:$AK$105,3,FALSE)</f>
        <v>Claims Expense</v>
      </c>
      <c r="AF3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1" spans="18:32" x14ac:dyDescent="0.2">
      <c r="R3511" t="s">
        <v>12</v>
      </c>
      <c r="S3511" t="s">
        <v>246</v>
      </c>
      <c r="T3511" t="s">
        <v>8</v>
      </c>
      <c r="U3511" s="21">
        <v>6595.92</v>
      </c>
      <c r="V3511" s="21" t="s">
        <v>368</v>
      </c>
      <c r="W3511" t="str">
        <f>VLOOKUP(Table_Query_from_Actuarial___Production[[#This Row],[Kor1]],$AI$3:$AK$105,3,FALSE)</f>
        <v>Premium Tax</v>
      </c>
      <c r="X3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1"/>
      <c r="Z3511" t="s">
        <v>11</v>
      </c>
      <c r="AA3511" t="s">
        <v>264</v>
      </c>
      <c r="AB3511" t="s">
        <v>9</v>
      </c>
      <c r="AC3511" s="21">
        <v>1190812.3</v>
      </c>
      <c r="AD3511" s="21" t="s">
        <v>368</v>
      </c>
      <c r="AE3511" t="str">
        <f>VLOOKUP(Table_Query_from_Actuarial___Production3[[#This Row],[Kor1]],$AI$3:$AK$105,3,FALSE)</f>
        <v>Losses Paid</v>
      </c>
      <c r="AF3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2" spans="18:32" x14ac:dyDescent="0.2">
      <c r="R3512" t="s">
        <v>12</v>
      </c>
      <c r="S3512" t="s">
        <v>249</v>
      </c>
      <c r="T3512" t="s">
        <v>356</v>
      </c>
      <c r="U3512" s="21">
        <v>19524.490000000002</v>
      </c>
      <c r="V3512" s="21" t="s">
        <v>368</v>
      </c>
      <c r="W3512" t="str">
        <f>VLOOKUP(Table_Query_from_Actuarial___Production[[#This Row],[Kor1]],$AI$3:$AK$105,3,FALSE)</f>
        <v>Premium Tax</v>
      </c>
      <c r="X3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2"/>
      <c r="Z3512" t="s">
        <v>13</v>
      </c>
      <c r="AA3512" t="s">
        <v>243</v>
      </c>
      <c r="AB3512" t="s">
        <v>356</v>
      </c>
      <c r="AC3512" s="21">
        <v>69359.39</v>
      </c>
      <c r="AD3512" s="21" t="s">
        <v>368</v>
      </c>
      <c r="AE3512" t="str">
        <f>VLOOKUP(Table_Query_from_Actuarial___Production3[[#This Row],[Kor1]],$AI$3:$AK$105,3,FALSE)</f>
        <v>Operating Service Fees</v>
      </c>
      <c r="AF3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3" spans="18:32" x14ac:dyDescent="0.2">
      <c r="R3513" t="s">
        <v>17</v>
      </c>
      <c r="S3513" t="s">
        <v>257</v>
      </c>
      <c r="T3513" t="s">
        <v>433</v>
      </c>
      <c r="U3513" s="21">
        <v>153977.79999999999</v>
      </c>
      <c r="V3513" s="21" t="s">
        <v>368</v>
      </c>
      <c r="W3513" t="str">
        <f>VLOOKUP(Table_Query_from_Actuarial___Production[[#This Row],[Kor1]],$AI$3:$AK$105,3,FALSE)</f>
        <v>IBNR</v>
      </c>
      <c r="X3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3"/>
      <c r="Z3513" t="s">
        <v>21</v>
      </c>
      <c r="AA3513" t="s">
        <v>248</v>
      </c>
      <c r="AB3513" t="s">
        <v>5</v>
      </c>
      <c r="AC3513" s="21">
        <v>269.64999999999998</v>
      </c>
      <c r="AD3513" s="21" t="s">
        <v>368</v>
      </c>
      <c r="AE3513" t="str">
        <f>VLOOKUP(Table_Query_from_Actuarial___Production3[[#This Row],[Kor1]],$AI$3:$AK$105,3,FALSE)</f>
        <v>Misc. Expense</v>
      </c>
      <c r="AF3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4" spans="18:32" x14ac:dyDescent="0.2">
      <c r="R3514" t="s">
        <v>47</v>
      </c>
      <c r="S3514" t="s">
        <v>232</v>
      </c>
      <c r="T3514" t="s">
        <v>8</v>
      </c>
      <c r="U3514" s="21">
        <v>0.08</v>
      </c>
      <c r="V3514" s="21" t="s">
        <v>368</v>
      </c>
      <c r="W3514" t="str">
        <f>VLOOKUP(Table_Query_from_Actuarial___Production[[#This Row],[Kor1]],$AI$3:$AK$105,3,FALSE)</f>
        <v>Investment Income</v>
      </c>
      <c r="X3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4"/>
      <c r="Z3514" t="s">
        <v>39</v>
      </c>
      <c r="AA3514" t="s">
        <v>255</v>
      </c>
      <c r="AB3514" t="s">
        <v>441</v>
      </c>
      <c r="AC3514" s="21">
        <v>880.18</v>
      </c>
      <c r="AD3514" s="21" t="s">
        <v>368</v>
      </c>
      <c r="AE3514" t="str">
        <f>VLOOKUP(Table_Query_from_Actuarial___Production3[[#This Row],[Kor1]],$AI$3:$AK$105,3,FALSE)</f>
        <v>Misc. Income for Insolvent Companies</v>
      </c>
      <c r="AF3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5" spans="18:32" x14ac:dyDescent="0.2">
      <c r="R3515" t="s">
        <v>41</v>
      </c>
      <c r="S3515" t="s">
        <v>250</v>
      </c>
      <c r="T3515" t="s">
        <v>427</v>
      </c>
      <c r="U3515" s="21">
        <v>500.03</v>
      </c>
      <c r="V3515" s="21" t="s">
        <v>368</v>
      </c>
      <c r="W3515" t="str">
        <f>VLOOKUP(Table_Query_from_Actuarial___Production[[#This Row],[Kor1]],$AI$3:$AK$105,3,FALSE)</f>
        <v>Misc. Income</v>
      </c>
      <c r="X3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5"/>
      <c r="Z3515" t="s">
        <v>44</v>
      </c>
      <c r="AA3515" t="s">
        <v>250</v>
      </c>
      <c r="AB3515" t="s">
        <v>356</v>
      </c>
      <c r="AC3515" s="21">
        <v>769.8</v>
      </c>
      <c r="AD3515" s="21" t="s">
        <v>368</v>
      </c>
      <c r="AE3515" t="str">
        <f>VLOOKUP(Table_Query_from_Actuarial___Production3[[#This Row],[Kor1]],$AI$3:$AK$105,3,FALSE)</f>
        <v>Charge-offs</v>
      </c>
      <c r="AF3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6" spans="18:32" x14ac:dyDescent="0.2">
      <c r="R3516" t="s">
        <v>13</v>
      </c>
      <c r="S3516" t="s">
        <v>352</v>
      </c>
      <c r="T3516" t="s">
        <v>6</v>
      </c>
      <c r="U3516" s="21">
        <v>56852.14</v>
      </c>
      <c r="V3516" s="21" t="s">
        <v>369</v>
      </c>
      <c r="W3516" t="str">
        <f>VLOOKUP(Table_Query_from_Actuarial___Production[[#This Row],[Kor1]],$AI$3:$AK$105,3,FALSE)</f>
        <v>Operating Service Fees</v>
      </c>
      <c r="X3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516"/>
      <c r="Z3516" t="s">
        <v>39</v>
      </c>
      <c r="AA3516" t="s">
        <v>232</v>
      </c>
      <c r="AB3516" t="s">
        <v>6</v>
      </c>
      <c r="AC3516" s="21">
        <v>3533.62</v>
      </c>
      <c r="AD3516" s="21" t="s">
        <v>368</v>
      </c>
      <c r="AE3516" t="str">
        <f>VLOOKUP(Table_Query_from_Actuarial___Production3[[#This Row],[Kor1]],$AI$3:$AK$105,3,FALSE)</f>
        <v>Misc. Income for Insolvent Companies</v>
      </c>
      <c r="AF3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7" spans="18:32" x14ac:dyDescent="0.2">
      <c r="R3517" t="s">
        <v>43</v>
      </c>
      <c r="S3517" t="s">
        <v>224</v>
      </c>
      <c r="T3517" t="s">
        <v>427</v>
      </c>
      <c r="U3517" s="21">
        <v>45.74</v>
      </c>
      <c r="V3517" s="21" t="s">
        <v>370</v>
      </c>
      <c r="W3517" t="str">
        <f>VLOOKUP(Table_Query_from_Actuarial___Production[[#This Row],[Kor1]],$AI$3:$AK$105,3,FALSE)</f>
        <v>Charge-offs</v>
      </c>
      <c r="X3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517"/>
      <c r="Z3517" t="s">
        <v>40</v>
      </c>
      <c r="AA3517" t="s">
        <v>258</v>
      </c>
      <c r="AB3517" t="s">
        <v>9</v>
      </c>
      <c r="AC3517" s="21">
        <v>480.54</v>
      </c>
      <c r="AD3517" s="21" t="s">
        <v>368</v>
      </c>
      <c r="AE3517" t="str">
        <f>VLOOKUP(Table_Query_from_Actuarial___Production3[[#This Row],[Kor1]],$AI$3:$AK$105,3,FALSE)</f>
        <v>Misc. Income</v>
      </c>
      <c r="AF3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8" spans="18:32" x14ac:dyDescent="0.2">
      <c r="R3518" t="s">
        <v>21</v>
      </c>
      <c r="S3518" t="s">
        <v>239</v>
      </c>
      <c r="T3518" t="s">
        <v>443</v>
      </c>
      <c r="U3518" s="21">
        <v>1655.91</v>
      </c>
      <c r="V3518" s="21" t="s">
        <v>368</v>
      </c>
      <c r="W3518" t="str">
        <f>VLOOKUP(Table_Query_from_Actuarial___Production[[#This Row],[Kor1]],$AI$3:$AK$105,3,FALSE)</f>
        <v>Misc. Expense</v>
      </c>
      <c r="X3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8"/>
      <c r="Z3518" t="s">
        <v>16</v>
      </c>
      <c r="AA3518" t="s">
        <v>237</v>
      </c>
      <c r="AB3518" t="s">
        <v>351</v>
      </c>
      <c r="AC3518" s="21">
        <v>503151.96</v>
      </c>
      <c r="AD3518" s="21" t="s">
        <v>368</v>
      </c>
      <c r="AE3518" t="str">
        <f>VLOOKUP(Table_Query_from_Actuarial___Production3[[#This Row],[Kor1]],$AI$3:$AK$105,3,FALSE)</f>
        <v>Losses Outstanding</v>
      </c>
      <c r="AF3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19" spans="18:32" x14ac:dyDescent="0.2">
      <c r="R3519" t="s">
        <v>12</v>
      </c>
      <c r="S3519" t="s">
        <v>267</v>
      </c>
      <c r="T3519" t="s">
        <v>433</v>
      </c>
      <c r="U3519" s="21">
        <v>6417.34</v>
      </c>
      <c r="V3519" s="21" t="s">
        <v>368</v>
      </c>
      <c r="W3519" t="str">
        <f>VLOOKUP(Table_Query_from_Actuarial___Production[[#This Row],[Kor1]],$AI$3:$AK$105,3,FALSE)</f>
        <v>Premium Tax</v>
      </c>
      <c r="X3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19"/>
      <c r="Z3519" t="s">
        <v>31</v>
      </c>
      <c r="AA3519" t="s">
        <v>244</v>
      </c>
      <c r="AB3519" t="s">
        <v>356</v>
      </c>
      <c r="AC3519" s="21">
        <v>600.67999999999995</v>
      </c>
      <c r="AD3519" s="21" t="s">
        <v>368</v>
      </c>
      <c r="AE3519" t="str">
        <f>VLOOKUP(Table_Query_from_Actuarial___Production3[[#This Row],[Kor1]],$AI$3:$AK$105,3,FALSE)</f>
        <v>Misc. Expense</v>
      </c>
      <c r="AF3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0" spans="18:32" x14ac:dyDescent="0.2">
      <c r="R3520" t="s">
        <v>14</v>
      </c>
      <c r="S3520" t="s">
        <v>241</v>
      </c>
      <c r="T3520" t="s">
        <v>6</v>
      </c>
      <c r="U3520" s="21">
        <v>18396.34</v>
      </c>
      <c r="V3520" s="21" t="s">
        <v>368</v>
      </c>
      <c r="W3520" t="str">
        <f>VLOOKUP(Table_Query_from_Actuarial___Production[[#This Row],[Kor1]],$AI$3:$AK$105,3,FALSE)</f>
        <v>Claims Expense</v>
      </c>
      <c r="X3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0"/>
      <c r="Z3520" t="s">
        <v>41</v>
      </c>
      <c r="AA3520" t="s">
        <v>238</v>
      </c>
      <c r="AB3520" t="s">
        <v>6</v>
      </c>
      <c r="AC3520" s="21">
        <v>200</v>
      </c>
      <c r="AD3520" s="21" t="s">
        <v>368</v>
      </c>
      <c r="AE3520" t="str">
        <f>VLOOKUP(Table_Query_from_Actuarial___Production3[[#This Row],[Kor1]],$AI$3:$AK$105,3,FALSE)</f>
        <v>Misc. Income</v>
      </c>
      <c r="AF3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1" spans="18:32" x14ac:dyDescent="0.2">
      <c r="R3521" t="s">
        <v>29</v>
      </c>
      <c r="S3521" t="s">
        <v>238</v>
      </c>
      <c r="T3521" t="s">
        <v>442</v>
      </c>
      <c r="U3521" s="21">
        <v>24267.68</v>
      </c>
      <c r="V3521" s="21" t="s">
        <v>368</v>
      </c>
      <c r="W3521" t="str">
        <f>VLOOKUP(Table_Query_from_Actuarial___Production[[#This Row],[Kor1]],$AI$3:$AK$105,3,FALSE)</f>
        <v>Misc. Expense</v>
      </c>
      <c r="X3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1"/>
      <c r="Z3521" t="s">
        <v>49</v>
      </c>
      <c r="AA3521" t="s">
        <v>237</v>
      </c>
      <c r="AB3521" t="s">
        <v>9</v>
      </c>
      <c r="AC3521" s="21">
        <v>629138.36</v>
      </c>
      <c r="AD3521" s="21" t="s">
        <v>368</v>
      </c>
      <c r="AE3521" t="str">
        <f>VLOOKUP(Table_Query_from_Actuarial___Production3[[#This Row],[Kor1]],$AI$3:$AK$105,3,FALSE)</f>
        <v>ALAE Paid</v>
      </c>
      <c r="AF3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2" spans="18:32" x14ac:dyDescent="0.2">
      <c r="R3522" t="s">
        <v>14</v>
      </c>
      <c r="S3522" t="s">
        <v>253</v>
      </c>
      <c r="T3522" t="s">
        <v>443</v>
      </c>
      <c r="U3522" s="21">
        <v>43.21</v>
      </c>
      <c r="V3522" s="21" t="s">
        <v>368</v>
      </c>
      <c r="W3522" t="str">
        <f>VLOOKUP(Table_Query_from_Actuarial___Production[[#This Row],[Kor1]],$AI$3:$AK$105,3,FALSE)</f>
        <v>Claims Expense</v>
      </c>
      <c r="X3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2"/>
      <c r="Z3522" t="s">
        <v>50</v>
      </c>
      <c r="AA3522" t="s">
        <v>265</v>
      </c>
      <c r="AB3522" t="s">
        <v>427</v>
      </c>
      <c r="AC3522" s="21">
        <v>6490.53</v>
      </c>
      <c r="AD3522" s="21" t="s">
        <v>368</v>
      </c>
      <c r="AE3522" t="str">
        <f>VLOOKUP(Table_Query_from_Actuarial___Production3[[#This Row],[Kor1]],$AI$3:$AK$105,3,FALSE)</f>
        <v>ALAE Reserve</v>
      </c>
      <c r="AF3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3" spans="18:32" x14ac:dyDescent="0.2">
      <c r="R3523" t="s">
        <v>12</v>
      </c>
      <c r="S3523" t="s">
        <v>247</v>
      </c>
      <c r="T3523" t="s">
        <v>9</v>
      </c>
      <c r="U3523" s="21">
        <v>284.76</v>
      </c>
      <c r="V3523" s="21" t="s">
        <v>368</v>
      </c>
      <c r="W3523" t="str">
        <f>VLOOKUP(Table_Query_from_Actuarial___Production[[#This Row],[Kor1]],$AI$3:$AK$105,3,FALSE)</f>
        <v>Premium Tax</v>
      </c>
      <c r="X3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3"/>
      <c r="Z3523" t="s">
        <v>20</v>
      </c>
      <c r="AA3523" t="s">
        <v>256</v>
      </c>
      <c r="AB3523" t="s">
        <v>356</v>
      </c>
      <c r="AC3523" s="21">
        <v>255.32</v>
      </c>
      <c r="AD3523" s="21" t="s">
        <v>368</v>
      </c>
      <c r="AE3523" t="str">
        <f>VLOOKUP(Table_Query_from_Actuarial___Production3[[#This Row],[Kor1]],$AI$3:$AK$105,3,FALSE)</f>
        <v>Misc. Expense</v>
      </c>
      <c r="AF3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4" spans="18:32" x14ac:dyDescent="0.2">
      <c r="R3524" t="s">
        <v>13</v>
      </c>
      <c r="S3524" t="s">
        <v>242</v>
      </c>
      <c r="T3524" t="s">
        <v>9</v>
      </c>
      <c r="U3524" s="21">
        <v>65384.61</v>
      </c>
      <c r="V3524" s="21" t="s">
        <v>368</v>
      </c>
      <c r="W3524" t="str">
        <f>VLOOKUP(Table_Query_from_Actuarial___Production[[#This Row],[Kor1]],$AI$3:$AK$105,3,FALSE)</f>
        <v>Operating Service Fees</v>
      </c>
      <c r="X3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4"/>
      <c r="Z3524" t="s">
        <v>39</v>
      </c>
      <c r="AA3524" t="s">
        <v>227</v>
      </c>
      <c r="AB3524" t="s">
        <v>8</v>
      </c>
      <c r="AC3524" s="21">
        <v>62</v>
      </c>
      <c r="AD3524" s="21" t="s">
        <v>368</v>
      </c>
      <c r="AE3524" t="str">
        <f>VLOOKUP(Table_Query_from_Actuarial___Production3[[#This Row],[Kor1]],$AI$3:$AK$105,3,FALSE)</f>
        <v>Misc. Income for Insolvent Companies</v>
      </c>
      <c r="AF3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5" spans="18:32" x14ac:dyDescent="0.2">
      <c r="R3525" t="s">
        <v>15</v>
      </c>
      <c r="S3525" t="s">
        <v>246</v>
      </c>
      <c r="T3525" t="s">
        <v>443</v>
      </c>
      <c r="U3525" s="21">
        <v>302465.78999999998</v>
      </c>
      <c r="V3525" s="21" t="s">
        <v>368</v>
      </c>
      <c r="W3525" t="str">
        <f>VLOOKUP(Table_Query_from_Actuarial___Production[[#This Row],[Kor1]],$AI$3:$AK$105,3,FALSE)</f>
        <v>Unearned Premiums</v>
      </c>
      <c r="X3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5"/>
      <c r="Z3525" t="s">
        <v>44</v>
      </c>
      <c r="AA3525" t="s">
        <v>234</v>
      </c>
      <c r="AB3525" t="s">
        <v>5</v>
      </c>
      <c r="AC3525" s="21">
        <v>129.30000000000001</v>
      </c>
      <c r="AD3525" s="21" t="s">
        <v>368</v>
      </c>
      <c r="AE3525" t="str">
        <f>VLOOKUP(Table_Query_from_Actuarial___Production3[[#This Row],[Kor1]],$AI$3:$AK$105,3,FALSE)</f>
        <v>Charge-offs</v>
      </c>
      <c r="AF3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6" spans="18:32" x14ac:dyDescent="0.2">
      <c r="R3526" t="s">
        <v>20</v>
      </c>
      <c r="S3526" t="s">
        <v>236</v>
      </c>
      <c r="T3526" t="s">
        <v>442</v>
      </c>
      <c r="U3526" s="21">
        <v>142.59</v>
      </c>
      <c r="V3526" s="21" t="s">
        <v>368</v>
      </c>
      <c r="W3526" t="str">
        <f>VLOOKUP(Table_Query_from_Actuarial___Production[[#This Row],[Kor1]],$AI$3:$AK$105,3,FALSE)</f>
        <v>Misc. Expense</v>
      </c>
      <c r="X3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6"/>
      <c r="Z3526" t="s">
        <v>13</v>
      </c>
      <c r="AA3526" t="s">
        <v>263</v>
      </c>
      <c r="AB3526" t="s">
        <v>8</v>
      </c>
      <c r="AC3526" s="21">
        <v>88615.44</v>
      </c>
      <c r="AD3526" s="21" t="s">
        <v>368</v>
      </c>
      <c r="AE3526" t="str">
        <f>VLOOKUP(Table_Query_from_Actuarial___Production3[[#This Row],[Kor1]],$AI$3:$AK$105,3,FALSE)</f>
        <v>Operating Service Fees</v>
      </c>
      <c r="AF3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7" spans="18:32" x14ac:dyDescent="0.2">
      <c r="R3527" t="s">
        <v>31</v>
      </c>
      <c r="S3527" t="s">
        <v>241</v>
      </c>
      <c r="T3527" t="s">
        <v>443</v>
      </c>
      <c r="U3527" s="21">
        <v>1131.83</v>
      </c>
      <c r="V3527" s="21" t="s">
        <v>368</v>
      </c>
      <c r="W3527" t="str">
        <f>VLOOKUP(Table_Query_from_Actuarial___Production[[#This Row],[Kor1]],$AI$3:$AK$105,3,FALSE)</f>
        <v>Misc. Expense</v>
      </c>
      <c r="X3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7"/>
      <c r="Z3527" t="s">
        <v>47</v>
      </c>
      <c r="AA3527" t="s">
        <v>246</v>
      </c>
      <c r="AB3527" t="s">
        <v>427</v>
      </c>
      <c r="AC3527" s="21">
        <v>5830.32</v>
      </c>
      <c r="AD3527" s="21" t="s">
        <v>368</v>
      </c>
      <c r="AE3527" t="str">
        <f>VLOOKUP(Table_Query_from_Actuarial___Production3[[#This Row],[Kor1]],$AI$3:$AK$105,3,FALSE)</f>
        <v>Investment Income</v>
      </c>
      <c r="AF3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8" spans="18:32" x14ac:dyDescent="0.2">
      <c r="R3528" t="s">
        <v>11</v>
      </c>
      <c r="S3528" t="s">
        <v>352</v>
      </c>
      <c r="T3528" t="s">
        <v>356</v>
      </c>
      <c r="U3528" s="21">
        <v>4250.16</v>
      </c>
      <c r="V3528" s="21" t="s">
        <v>368</v>
      </c>
      <c r="W3528" t="str">
        <f>VLOOKUP(Table_Query_from_Actuarial___Production[[#This Row],[Kor1]],$AI$3:$AK$105,3,FALSE)</f>
        <v>Losses Paid</v>
      </c>
      <c r="X3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528"/>
      <c r="Z3528" t="s">
        <v>13</v>
      </c>
      <c r="AA3528" t="s">
        <v>232</v>
      </c>
      <c r="AB3528" t="s">
        <v>443</v>
      </c>
      <c r="AC3528" s="21">
        <v>145003.5</v>
      </c>
      <c r="AD3528" s="21" t="s">
        <v>368</v>
      </c>
      <c r="AE3528" t="str">
        <f>VLOOKUP(Table_Query_from_Actuarial___Production3[[#This Row],[Kor1]],$AI$3:$AK$105,3,FALSE)</f>
        <v>Operating Service Fees</v>
      </c>
      <c r="AF3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29" spans="18:32" x14ac:dyDescent="0.2">
      <c r="R3529" t="s">
        <v>33</v>
      </c>
      <c r="S3529" t="s">
        <v>263</v>
      </c>
      <c r="T3529" t="s">
        <v>9</v>
      </c>
      <c r="U3529" s="21">
        <v>15940.46</v>
      </c>
      <c r="V3529" s="21" t="s">
        <v>368</v>
      </c>
      <c r="W3529" t="str">
        <f>VLOOKUP(Table_Query_from_Actuarial___Production[[#This Row],[Kor1]],$AI$3:$AK$105,3,FALSE)</f>
        <v>Misc. Expense</v>
      </c>
      <c r="X3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29"/>
      <c r="Z3529" t="s">
        <v>37</v>
      </c>
      <c r="AA3529" t="s">
        <v>252</v>
      </c>
      <c r="AB3529" t="s">
        <v>7</v>
      </c>
      <c r="AC3529" s="21">
        <v>63309.09</v>
      </c>
      <c r="AD3529" s="21" t="s">
        <v>368</v>
      </c>
      <c r="AE3529" t="str">
        <f>VLOOKUP(Table_Query_from_Actuarial___Production3[[#This Row],[Kor1]],$AI$3:$AK$105,3,FALSE)</f>
        <v>Misc. Expense</v>
      </c>
      <c r="AF3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0" spans="18:32" x14ac:dyDescent="0.2">
      <c r="R3530" t="s">
        <v>34</v>
      </c>
      <c r="S3530" t="s">
        <v>241</v>
      </c>
      <c r="T3530" t="s">
        <v>9</v>
      </c>
      <c r="U3530" s="21">
        <v>30.8</v>
      </c>
      <c r="V3530" s="21" t="s">
        <v>368</v>
      </c>
      <c r="W3530" t="str">
        <f>VLOOKUP(Table_Query_from_Actuarial___Production[[#This Row],[Kor1]],$AI$3:$AK$105,3,FALSE)</f>
        <v>Misc. Expense</v>
      </c>
      <c r="X3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0"/>
      <c r="Z3530" t="s">
        <v>33</v>
      </c>
      <c r="AA3530" t="s">
        <v>250</v>
      </c>
      <c r="AB3530" t="s">
        <v>5</v>
      </c>
      <c r="AC3530" s="21">
        <v>29747.22</v>
      </c>
      <c r="AD3530" s="21" t="s">
        <v>368</v>
      </c>
      <c r="AE3530" t="str">
        <f>VLOOKUP(Table_Query_from_Actuarial___Production3[[#This Row],[Kor1]],$AI$3:$AK$105,3,FALSE)</f>
        <v>Misc. Expense</v>
      </c>
      <c r="AF3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1" spans="18:32" x14ac:dyDescent="0.2">
      <c r="R3531" t="s">
        <v>14</v>
      </c>
      <c r="S3531" t="s">
        <v>238</v>
      </c>
      <c r="T3531" t="s">
        <v>351</v>
      </c>
      <c r="U3531" s="21">
        <v>47389.61</v>
      </c>
      <c r="V3531" s="21" t="s">
        <v>368</v>
      </c>
      <c r="W3531" t="str">
        <f>VLOOKUP(Table_Query_from_Actuarial___Production[[#This Row],[Kor1]],$AI$3:$AK$105,3,FALSE)</f>
        <v>Claims Expense</v>
      </c>
      <c r="X3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1"/>
      <c r="Z3531" t="s">
        <v>47</v>
      </c>
      <c r="AA3531" t="s">
        <v>240</v>
      </c>
      <c r="AB3531" t="s">
        <v>9</v>
      </c>
      <c r="AC3531" s="21">
        <v>504.06</v>
      </c>
      <c r="AD3531" s="21" t="s">
        <v>368</v>
      </c>
      <c r="AE3531" t="str">
        <f>VLOOKUP(Table_Query_from_Actuarial___Production3[[#This Row],[Kor1]],$AI$3:$AK$105,3,FALSE)</f>
        <v>Investment Income</v>
      </c>
      <c r="AF3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2" spans="18:32" x14ac:dyDescent="0.2">
      <c r="R3532" t="s">
        <v>13</v>
      </c>
      <c r="S3532" t="s">
        <v>234</v>
      </c>
      <c r="T3532" t="s">
        <v>356</v>
      </c>
      <c r="U3532" s="21">
        <v>93420.12</v>
      </c>
      <c r="V3532" s="21" t="s">
        <v>368</v>
      </c>
      <c r="W3532" t="str">
        <f>VLOOKUP(Table_Query_from_Actuarial___Production[[#This Row],[Kor1]],$AI$3:$AK$105,3,FALSE)</f>
        <v>Operating Service Fees</v>
      </c>
      <c r="X3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2"/>
      <c r="Z3532" t="s">
        <v>19</v>
      </c>
      <c r="AA3532" t="s">
        <v>235</v>
      </c>
      <c r="AB3532" t="s">
        <v>433</v>
      </c>
      <c r="AC3532" s="21">
        <v>597</v>
      </c>
      <c r="AD3532" s="21" t="s">
        <v>368</v>
      </c>
      <c r="AE3532" t="str">
        <f>VLOOKUP(Table_Query_from_Actuarial___Production3[[#This Row],[Kor1]],$AI$3:$AK$105,3,FALSE)</f>
        <v>Misc. Expense for Insolvent Companies</v>
      </c>
      <c r="AF3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3" spans="18:32" x14ac:dyDescent="0.2">
      <c r="R3533" t="s">
        <v>14</v>
      </c>
      <c r="S3533" t="s">
        <v>251</v>
      </c>
      <c r="T3533" t="s">
        <v>351</v>
      </c>
      <c r="U3533" s="21">
        <v>7934.1</v>
      </c>
      <c r="V3533" s="21" t="s">
        <v>368</v>
      </c>
      <c r="W3533" t="str">
        <f>VLOOKUP(Table_Query_from_Actuarial___Production[[#This Row],[Kor1]],$AI$3:$AK$105,3,FALSE)</f>
        <v>Claims Expense</v>
      </c>
      <c r="X3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3"/>
      <c r="Z3533" t="s">
        <v>47</v>
      </c>
      <c r="AA3533" t="s">
        <v>261</v>
      </c>
      <c r="AB3533" t="s">
        <v>6</v>
      </c>
      <c r="AC3533" s="21">
        <v>7.0000000000000007E-2</v>
      </c>
      <c r="AD3533" s="21" t="s">
        <v>368</v>
      </c>
      <c r="AE3533" t="str">
        <f>VLOOKUP(Table_Query_from_Actuarial___Production3[[#This Row],[Kor1]],$AI$3:$AK$105,3,FALSE)</f>
        <v>Investment Income</v>
      </c>
      <c r="AF3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4" spans="18:32" x14ac:dyDescent="0.2">
      <c r="R3534" t="s">
        <v>48</v>
      </c>
      <c r="S3534" t="s">
        <v>248</v>
      </c>
      <c r="T3534" t="s">
        <v>443</v>
      </c>
      <c r="U3534" s="21">
        <v>3472.24</v>
      </c>
      <c r="V3534" s="21" t="s">
        <v>368</v>
      </c>
      <c r="W3534" t="str">
        <f>VLOOKUP(Table_Query_from_Actuarial___Production[[#This Row],[Kor1]],$AI$3:$AK$105,3,FALSE)</f>
        <v>Anticipated Salvage</v>
      </c>
      <c r="X3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4"/>
      <c r="Z3534" t="s">
        <v>49</v>
      </c>
      <c r="AA3534" t="s">
        <v>255</v>
      </c>
      <c r="AB3534" t="s">
        <v>356</v>
      </c>
      <c r="AC3534" s="21">
        <v>35378.019999999997</v>
      </c>
      <c r="AD3534" s="21" t="s">
        <v>368</v>
      </c>
      <c r="AE3534" t="str">
        <f>VLOOKUP(Table_Query_from_Actuarial___Production3[[#This Row],[Kor1]],$AI$3:$AK$105,3,FALSE)</f>
        <v>ALAE Paid</v>
      </c>
      <c r="AF3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5" spans="18:32" x14ac:dyDescent="0.2">
      <c r="R3535" t="s">
        <v>13</v>
      </c>
      <c r="S3535" t="s">
        <v>249</v>
      </c>
      <c r="T3535" t="s">
        <v>356</v>
      </c>
      <c r="U3535" s="21">
        <v>104388.56</v>
      </c>
      <c r="V3535" s="21" t="s">
        <v>368</v>
      </c>
      <c r="W3535" t="str">
        <f>VLOOKUP(Table_Query_from_Actuarial___Production[[#This Row],[Kor1]],$AI$3:$AK$105,3,FALSE)</f>
        <v>Operating Service Fees</v>
      </c>
      <c r="X3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5"/>
      <c r="Z3535" t="s">
        <v>33</v>
      </c>
      <c r="AA3535" t="s">
        <v>264</v>
      </c>
      <c r="AB3535" t="s">
        <v>356</v>
      </c>
      <c r="AC3535" s="21">
        <v>14884.13</v>
      </c>
      <c r="AD3535" s="21" t="s">
        <v>368</v>
      </c>
      <c r="AE3535" t="str">
        <f>VLOOKUP(Table_Query_from_Actuarial___Production3[[#This Row],[Kor1]],$AI$3:$AK$105,3,FALSE)</f>
        <v>Misc. Expense</v>
      </c>
      <c r="AF3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6" spans="18:32" x14ac:dyDescent="0.2">
      <c r="R3536" t="s">
        <v>41</v>
      </c>
      <c r="S3536" t="s">
        <v>256</v>
      </c>
      <c r="T3536" t="s">
        <v>427</v>
      </c>
      <c r="U3536" s="21">
        <v>150</v>
      </c>
      <c r="V3536" s="21" t="s">
        <v>368</v>
      </c>
      <c r="W3536" t="str">
        <f>VLOOKUP(Table_Query_from_Actuarial___Production[[#This Row],[Kor1]],$AI$3:$AK$105,3,FALSE)</f>
        <v>Misc. Income</v>
      </c>
      <c r="X3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6"/>
      <c r="Z3536" t="s">
        <v>33</v>
      </c>
      <c r="AA3536" t="s">
        <v>237</v>
      </c>
      <c r="AB3536" t="s">
        <v>351</v>
      </c>
      <c r="AC3536" s="21">
        <v>21917.39</v>
      </c>
      <c r="AD3536" s="21" t="s">
        <v>368</v>
      </c>
      <c r="AE3536" t="str">
        <f>VLOOKUP(Table_Query_from_Actuarial___Production3[[#This Row],[Kor1]],$AI$3:$AK$105,3,FALSE)</f>
        <v>Misc. Expense</v>
      </c>
      <c r="AF3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7" spans="18:32" x14ac:dyDescent="0.2">
      <c r="R3537" t="s">
        <v>18</v>
      </c>
      <c r="S3537" t="s">
        <v>352</v>
      </c>
      <c r="T3537" t="s">
        <v>445</v>
      </c>
      <c r="U3537" s="21">
        <v>66289.36</v>
      </c>
      <c r="V3537" s="21" t="s">
        <v>369</v>
      </c>
      <c r="W3537" t="str">
        <f>VLOOKUP(Table_Query_from_Actuarial___Production[[#This Row],[Kor1]],$AI$3:$AK$105,3,FALSE)</f>
        <v>Misc. Expense</v>
      </c>
      <c r="X3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537"/>
      <c r="Z3537" t="s">
        <v>40</v>
      </c>
      <c r="AA3537" t="s">
        <v>252</v>
      </c>
      <c r="AB3537" t="s">
        <v>9</v>
      </c>
      <c r="AC3537" s="21">
        <v>536834.15</v>
      </c>
      <c r="AD3537" s="21" t="s">
        <v>368</v>
      </c>
      <c r="AE3537" t="str">
        <f>VLOOKUP(Table_Query_from_Actuarial___Production3[[#This Row],[Kor1]],$AI$3:$AK$105,3,FALSE)</f>
        <v>Misc. Income</v>
      </c>
      <c r="AF3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8" spans="18:32" x14ac:dyDescent="0.2">
      <c r="R3538" t="s">
        <v>39</v>
      </c>
      <c r="S3538" t="s">
        <v>252</v>
      </c>
      <c r="T3538" t="s">
        <v>7</v>
      </c>
      <c r="U3538" s="21">
        <v>839385</v>
      </c>
      <c r="V3538" s="21" t="s">
        <v>368</v>
      </c>
      <c r="W3538" t="str">
        <f>VLOOKUP(Table_Query_from_Actuarial___Production[[#This Row],[Kor1]],$AI$3:$AK$105,3,FALSE)</f>
        <v>Misc. Income for Insolvent Companies</v>
      </c>
      <c r="X3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38"/>
      <c r="Z3538" t="s">
        <v>19</v>
      </c>
      <c r="AA3538" t="s">
        <v>232</v>
      </c>
      <c r="AB3538" t="s">
        <v>356</v>
      </c>
      <c r="AC3538" s="21">
        <v>2359</v>
      </c>
      <c r="AD3538" s="21" t="s">
        <v>368</v>
      </c>
      <c r="AE3538" t="str">
        <f>VLOOKUP(Table_Query_from_Actuarial___Production3[[#This Row],[Kor1]],$AI$3:$AK$105,3,FALSE)</f>
        <v>Misc. Expense for Insolvent Companies</v>
      </c>
      <c r="AF3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39" spans="18:32" x14ac:dyDescent="0.2">
      <c r="R3539" t="s">
        <v>17</v>
      </c>
      <c r="S3539" t="s">
        <v>226</v>
      </c>
      <c r="T3539" t="s">
        <v>433</v>
      </c>
      <c r="U3539" s="21">
        <v>1589184.9</v>
      </c>
      <c r="V3539" s="21" t="s">
        <v>368</v>
      </c>
      <c r="W3539" t="str">
        <f>VLOOKUP(Table_Query_from_Actuarial___Production[[#This Row],[Kor1]],$AI$3:$AK$105,3,FALSE)</f>
        <v>IBNR</v>
      </c>
      <c r="X3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539"/>
      <c r="Z3539" t="s">
        <v>14</v>
      </c>
      <c r="AA3539" t="s">
        <v>254</v>
      </c>
      <c r="AB3539" t="s">
        <v>7</v>
      </c>
      <c r="AC3539" s="21">
        <v>51670.97</v>
      </c>
      <c r="AD3539" s="21" t="s">
        <v>368</v>
      </c>
      <c r="AE3539" t="str">
        <f>VLOOKUP(Table_Query_from_Actuarial___Production3[[#This Row],[Kor1]],$AI$3:$AK$105,3,FALSE)</f>
        <v>Claims Expense</v>
      </c>
      <c r="AF3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0" spans="18:32" x14ac:dyDescent="0.2">
      <c r="R3540" t="s">
        <v>39</v>
      </c>
      <c r="S3540" t="s">
        <v>255</v>
      </c>
      <c r="T3540" t="s">
        <v>427</v>
      </c>
      <c r="U3540" s="21">
        <v>1567.04</v>
      </c>
      <c r="V3540" s="21" t="s">
        <v>368</v>
      </c>
      <c r="W3540" t="str">
        <f>VLOOKUP(Table_Query_from_Actuarial___Production[[#This Row],[Kor1]],$AI$3:$AK$105,3,FALSE)</f>
        <v>Misc. Income for Insolvent Companies</v>
      </c>
      <c r="X3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0"/>
      <c r="Z3540" t="s">
        <v>20</v>
      </c>
      <c r="AA3540" t="s">
        <v>266</v>
      </c>
      <c r="AB3540" t="s">
        <v>442</v>
      </c>
      <c r="AC3540" s="21">
        <v>142.59</v>
      </c>
      <c r="AD3540" s="21" t="s">
        <v>368</v>
      </c>
      <c r="AE3540" t="str">
        <f>VLOOKUP(Table_Query_from_Actuarial___Production3[[#This Row],[Kor1]],$AI$3:$AK$105,3,FALSE)</f>
        <v>Misc. Expense</v>
      </c>
      <c r="AF3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1" spans="18:32" x14ac:dyDescent="0.2">
      <c r="R3541" t="s">
        <v>41</v>
      </c>
      <c r="S3541" t="s">
        <v>253</v>
      </c>
      <c r="T3541" t="s">
        <v>442</v>
      </c>
      <c r="U3541" s="21">
        <v>150</v>
      </c>
      <c r="V3541" s="21" t="s">
        <v>368</v>
      </c>
      <c r="W3541" t="str">
        <f>VLOOKUP(Table_Query_from_Actuarial___Production[[#This Row],[Kor1]],$AI$3:$AK$105,3,FALSE)</f>
        <v>Misc. Income</v>
      </c>
      <c r="X3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1"/>
      <c r="Z3541" t="s">
        <v>12</v>
      </c>
      <c r="AA3541" t="s">
        <v>246</v>
      </c>
      <c r="AB3541" t="s">
        <v>8</v>
      </c>
      <c r="AC3541" s="21">
        <v>6595.92</v>
      </c>
      <c r="AD3541" s="21" t="s">
        <v>368</v>
      </c>
      <c r="AE3541" t="str">
        <f>VLOOKUP(Table_Query_from_Actuarial___Production3[[#This Row],[Kor1]],$AI$3:$AK$105,3,FALSE)</f>
        <v>Premium Tax</v>
      </c>
      <c r="AF3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2" spans="18:32" x14ac:dyDescent="0.2">
      <c r="R3542" t="s">
        <v>18</v>
      </c>
      <c r="S3542" t="s">
        <v>224</v>
      </c>
      <c r="T3542" t="s">
        <v>442</v>
      </c>
      <c r="U3542" s="21">
        <v>171507.66</v>
      </c>
      <c r="V3542" s="21" t="s">
        <v>368</v>
      </c>
      <c r="W3542" t="str">
        <f>VLOOKUP(Table_Query_from_Actuarial___Production[[#This Row],[Kor1]],$AI$3:$AK$105,3,FALSE)</f>
        <v>Misc. Expense</v>
      </c>
      <c r="X3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542"/>
      <c r="Z3542" t="s">
        <v>12</v>
      </c>
      <c r="AA3542" t="s">
        <v>249</v>
      </c>
      <c r="AB3542" t="s">
        <v>356</v>
      </c>
      <c r="AC3542" s="21">
        <v>19524.490000000002</v>
      </c>
      <c r="AD3542" s="21" t="s">
        <v>368</v>
      </c>
      <c r="AE3542" t="str">
        <f>VLOOKUP(Table_Query_from_Actuarial___Production3[[#This Row],[Kor1]],$AI$3:$AK$105,3,FALSE)</f>
        <v>Premium Tax</v>
      </c>
      <c r="AF3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3" spans="18:32" x14ac:dyDescent="0.2">
      <c r="R3543" t="s">
        <v>46</v>
      </c>
      <c r="S3543" t="s">
        <v>224</v>
      </c>
      <c r="T3543" t="s">
        <v>427</v>
      </c>
      <c r="U3543" s="21">
        <v>83148.37</v>
      </c>
      <c r="V3543" s="21" t="s">
        <v>368</v>
      </c>
      <c r="W3543" t="str">
        <f>VLOOKUP(Table_Query_from_Actuarial___Production[[#This Row],[Kor1]],$AI$3:$AK$105,3,FALSE)</f>
        <v>Investment Income</v>
      </c>
      <c r="X3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543"/>
      <c r="Z3543" t="s">
        <v>17</v>
      </c>
      <c r="AA3543" t="s">
        <v>257</v>
      </c>
      <c r="AB3543" t="s">
        <v>433</v>
      </c>
      <c r="AC3543" s="21">
        <v>125657.18</v>
      </c>
      <c r="AD3543" s="21" t="s">
        <v>368</v>
      </c>
      <c r="AE3543" t="str">
        <f>VLOOKUP(Table_Query_from_Actuarial___Production3[[#This Row],[Kor1]],$AI$3:$AK$105,3,FALSE)</f>
        <v>IBNR</v>
      </c>
      <c r="AF3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4" spans="18:32" x14ac:dyDescent="0.2">
      <c r="R3544" t="s">
        <v>44</v>
      </c>
      <c r="S3544" t="s">
        <v>246</v>
      </c>
      <c r="T3544" t="s">
        <v>356</v>
      </c>
      <c r="U3544" s="21">
        <v>17278.36</v>
      </c>
      <c r="V3544" s="21" t="s">
        <v>368</v>
      </c>
      <c r="W3544" t="str">
        <f>VLOOKUP(Table_Query_from_Actuarial___Production[[#This Row],[Kor1]],$AI$3:$AK$105,3,FALSE)</f>
        <v>Charge-offs</v>
      </c>
      <c r="X3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4"/>
      <c r="Z3544" t="s">
        <v>47</v>
      </c>
      <c r="AA3544" t="s">
        <v>232</v>
      </c>
      <c r="AB3544" t="s">
        <v>8</v>
      </c>
      <c r="AC3544" s="21">
        <v>0.08</v>
      </c>
      <c r="AD3544" s="21" t="s">
        <v>368</v>
      </c>
      <c r="AE3544" t="str">
        <f>VLOOKUP(Table_Query_from_Actuarial___Production3[[#This Row],[Kor1]],$AI$3:$AK$105,3,FALSE)</f>
        <v>Investment Income</v>
      </c>
      <c r="AF3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5" spans="18:32" x14ac:dyDescent="0.2">
      <c r="R3545" t="s">
        <v>48</v>
      </c>
      <c r="S3545" t="s">
        <v>234</v>
      </c>
      <c r="T3545" t="s">
        <v>433</v>
      </c>
      <c r="U3545" s="21">
        <v>242.13</v>
      </c>
      <c r="V3545" s="21" t="s">
        <v>368</v>
      </c>
      <c r="W3545" t="str">
        <f>VLOOKUP(Table_Query_from_Actuarial___Production[[#This Row],[Kor1]],$AI$3:$AK$105,3,FALSE)</f>
        <v>Anticipated Salvage</v>
      </c>
      <c r="X3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5"/>
      <c r="Z3545" t="s">
        <v>41</v>
      </c>
      <c r="AA3545" t="s">
        <v>250</v>
      </c>
      <c r="AB3545" t="s">
        <v>427</v>
      </c>
      <c r="AC3545" s="21">
        <v>500.03</v>
      </c>
      <c r="AD3545" s="21" t="s">
        <v>368</v>
      </c>
      <c r="AE3545" t="str">
        <f>VLOOKUP(Table_Query_from_Actuarial___Production3[[#This Row],[Kor1]],$AI$3:$AK$105,3,FALSE)</f>
        <v>Misc. Income</v>
      </c>
      <c r="AF3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6" spans="18:32" x14ac:dyDescent="0.2">
      <c r="R3546" t="s">
        <v>44</v>
      </c>
      <c r="S3546" t="s">
        <v>251</v>
      </c>
      <c r="T3546" t="s">
        <v>442</v>
      </c>
      <c r="U3546" s="21">
        <v>13547.95</v>
      </c>
      <c r="V3546" s="21" t="s">
        <v>368</v>
      </c>
      <c r="W3546" t="str">
        <f>VLOOKUP(Table_Query_from_Actuarial___Production[[#This Row],[Kor1]],$AI$3:$AK$105,3,FALSE)</f>
        <v>Charge-offs</v>
      </c>
      <c r="X3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6"/>
      <c r="Z3546" t="s">
        <v>13</v>
      </c>
      <c r="AA3546" t="s">
        <v>352</v>
      </c>
      <c r="AB3546" t="s">
        <v>6</v>
      </c>
      <c r="AC3546" s="21">
        <v>56852.14</v>
      </c>
      <c r="AD3546" s="21" t="s">
        <v>369</v>
      </c>
      <c r="AE3546" t="str">
        <f>VLOOKUP(Table_Query_from_Actuarial___Production3[[#This Row],[Kor1]],$AI$3:$AK$105,3,FALSE)</f>
        <v>Operating Service Fees</v>
      </c>
      <c r="AF3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547" spans="18:32" x14ac:dyDescent="0.2">
      <c r="R3547" t="s">
        <v>43</v>
      </c>
      <c r="S3547" t="s">
        <v>261</v>
      </c>
      <c r="T3547" t="s">
        <v>9</v>
      </c>
      <c r="U3547" s="21">
        <v>6965.66</v>
      </c>
      <c r="V3547" s="21" t="s">
        <v>368</v>
      </c>
      <c r="W3547" t="str">
        <f>VLOOKUP(Table_Query_from_Actuarial___Production[[#This Row],[Kor1]],$AI$3:$AK$105,3,FALSE)</f>
        <v>Charge-offs</v>
      </c>
      <c r="X3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47"/>
      <c r="Z3547" t="s">
        <v>43</v>
      </c>
      <c r="AA3547" t="s">
        <v>224</v>
      </c>
      <c r="AB3547" t="s">
        <v>427</v>
      </c>
      <c r="AC3547" s="21">
        <v>45.74</v>
      </c>
      <c r="AD3547" s="21" t="s">
        <v>370</v>
      </c>
      <c r="AE3547" t="str">
        <f>VLOOKUP(Table_Query_from_Actuarial___Production3[[#This Row],[Kor1]],$AI$3:$AK$105,3,FALSE)</f>
        <v>Charge-offs</v>
      </c>
      <c r="AF3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548" spans="18:32" x14ac:dyDescent="0.2">
      <c r="R3548" t="s">
        <v>11</v>
      </c>
      <c r="S3548" t="s">
        <v>224</v>
      </c>
      <c r="T3548" t="s">
        <v>8</v>
      </c>
      <c r="U3548" s="21">
        <v>8789.44</v>
      </c>
      <c r="V3548" s="21" t="s">
        <v>425</v>
      </c>
      <c r="W3548" t="str">
        <f>VLOOKUP(Table_Query_from_Actuarial___Production[[#This Row],[Kor1]],$AI$3:$AK$105,3,FALSE)</f>
        <v>Losses Paid</v>
      </c>
      <c r="X3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548"/>
      <c r="Z3548" t="s">
        <v>21</v>
      </c>
      <c r="AA3548" t="s">
        <v>239</v>
      </c>
      <c r="AB3548" t="s">
        <v>443</v>
      </c>
      <c r="AC3548" s="21">
        <v>554.41</v>
      </c>
      <c r="AD3548" s="21" t="s">
        <v>368</v>
      </c>
      <c r="AE3548" t="str">
        <f>VLOOKUP(Table_Query_from_Actuarial___Production3[[#This Row],[Kor1]],$AI$3:$AK$105,3,FALSE)</f>
        <v>Misc. Expense</v>
      </c>
      <c r="AF3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49" spans="18:32" x14ac:dyDescent="0.2">
      <c r="R3549" t="s">
        <v>46</v>
      </c>
      <c r="S3549" t="s">
        <v>225</v>
      </c>
      <c r="T3549" t="s">
        <v>8</v>
      </c>
      <c r="U3549" s="21">
        <v>12582.98</v>
      </c>
      <c r="V3549" s="21" t="s">
        <v>368</v>
      </c>
      <c r="W3549" t="str">
        <f>VLOOKUP(Table_Query_from_Actuarial___Production[[#This Row],[Kor1]],$AI$3:$AK$105,3,FALSE)</f>
        <v>Investment Income</v>
      </c>
      <c r="X3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549"/>
      <c r="Z3549" t="s">
        <v>36</v>
      </c>
      <c r="AA3549" t="s">
        <v>4</v>
      </c>
      <c r="AB3549" t="s">
        <v>5</v>
      </c>
      <c r="AC3549" s="21">
        <v>67444.070000000007</v>
      </c>
      <c r="AD3549" s="21" t="s">
        <v>368</v>
      </c>
      <c r="AE3549" t="str">
        <f>VLOOKUP(Table_Query_from_Actuarial___Production3[[#This Row],[Kor1]],$AI$3:$AK$105,3,FALSE)</f>
        <v>Misc. Expense</v>
      </c>
      <c r="AF3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0" spans="18:32" x14ac:dyDescent="0.2">
      <c r="R3550" t="s">
        <v>11</v>
      </c>
      <c r="S3550" t="s">
        <v>241</v>
      </c>
      <c r="T3550" t="s">
        <v>6</v>
      </c>
      <c r="U3550" s="21">
        <v>34392.089999999997</v>
      </c>
      <c r="V3550" s="21" t="s">
        <v>368</v>
      </c>
      <c r="W3550" t="str">
        <f>VLOOKUP(Table_Query_from_Actuarial___Production[[#This Row],[Kor1]],$AI$3:$AK$105,3,FALSE)</f>
        <v>Losses Paid</v>
      </c>
      <c r="X3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0"/>
      <c r="Z3550" t="s">
        <v>12</v>
      </c>
      <c r="AA3550" t="s">
        <v>267</v>
      </c>
      <c r="AB3550" t="s">
        <v>433</v>
      </c>
      <c r="AC3550" s="21">
        <v>6417.34</v>
      </c>
      <c r="AD3550" s="21" t="s">
        <v>368</v>
      </c>
      <c r="AE3550" t="str">
        <f>VLOOKUP(Table_Query_from_Actuarial___Production3[[#This Row],[Kor1]],$AI$3:$AK$105,3,FALSE)</f>
        <v>Premium Tax</v>
      </c>
      <c r="AF3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1" spans="18:32" x14ac:dyDescent="0.2">
      <c r="R3551" t="s">
        <v>40</v>
      </c>
      <c r="S3551" t="s">
        <v>237</v>
      </c>
      <c r="T3551" t="s">
        <v>433</v>
      </c>
      <c r="U3551" s="21">
        <v>1.61</v>
      </c>
      <c r="V3551" s="21" t="s">
        <v>368</v>
      </c>
      <c r="W3551" t="str">
        <f>VLOOKUP(Table_Query_from_Actuarial___Production[[#This Row],[Kor1]],$AI$3:$AK$105,3,FALSE)</f>
        <v>Misc. Income</v>
      </c>
      <c r="X3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1"/>
      <c r="Z3551" t="s">
        <v>14</v>
      </c>
      <c r="AA3551" t="s">
        <v>241</v>
      </c>
      <c r="AB3551" t="s">
        <v>6</v>
      </c>
      <c r="AC3551" s="21">
        <v>18396.34</v>
      </c>
      <c r="AD3551" s="21" t="s">
        <v>368</v>
      </c>
      <c r="AE3551" t="str">
        <f>VLOOKUP(Table_Query_from_Actuarial___Production3[[#This Row],[Kor1]],$AI$3:$AK$105,3,FALSE)</f>
        <v>Claims Expense</v>
      </c>
      <c r="AF3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2" spans="18:32" x14ac:dyDescent="0.2">
      <c r="R3552" t="s">
        <v>439</v>
      </c>
      <c r="S3552" t="s">
        <v>244</v>
      </c>
      <c r="T3552" t="s">
        <v>433</v>
      </c>
      <c r="U3552" s="21">
        <v>43924</v>
      </c>
      <c r="V3552" s="21" t="s">
        <v>368</v>
      </c>
      <c r="W3552" t="str">
        <f>VLOOKUP(Table_Query_from_Actuarial___Production[[#This Row],[Kor1]],$AI$3:$AK$105,3,FALSE)</f>
        <v>Operating Service Fees</v>
      </c>
      <c r="X3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2"/>
      <c r="Z3552" t="s">
        <v>29</v>
      </c>
      <c r="AA3552" t="s">
        <v>238</v>
      </c>
      <c r="AB3552" t="s">
        <v>442</v>
      </c>
      <c r="AC3552" s="21">
        <v>24267.68</v>
      </c>
      <c r="AD3552" s="21" t="s">
        <v>368</v>
      </c>
      <c r="AE3552" t="str">
        <f>VLOOKUP(Table_Query_from_Actuarial___Production3[[#This Row],[Kor1]],$AI$3:$AK$105,3,FALSE)</f>
        <v>Misc. Expense</v>
      </c>
      <c r="AF3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3" spans="18:32" x14ac:dyDescent="0.2">
      <c r="R3553" t="s">
        <v>12</v>
      </c>
      <c r="S3553" t="s">
        <v>232</v>
      </c>
      <c r="T3553" t="s">
        <v>427</v>
      </c>
      <c r="U3553" s="21">
        <v>20934.98</v>
      </c>
      <c r="V3553" s="21" t="s">
        <v>368</v>
      </c>
      <c r="W3553" t="str">
        <f>VLOOKUP(Table_Query_from_Actuarial___Production[[#This Row],[Kor1]],$AI$3:$AK$105,3,FALSE)</f>
        <v>Premium Tax</v>
      </c>
      <c r="X3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3"/>
      <c r="Z3553" t="s">
        <v>12</v>
      </c>
      <c r="AA3553" t="s">
        <v>247</v>
      </c>
      <c r="AB3553" t="s">
        <v>9</v>
      </c>
      <c r="AC3553" s="21">
        <v>284.76</v>
      </c>
      <c r="AD3553" s="21" t="s">
        <v>368</v>
      </c>
      <c r="AE3553" t="str">
        <f>VLOOKUP(Table_Query_from_Actuarial___Production3[[#This Row],[Kor1]],$AI$3:$AK$105,3,FALSE)</f>
        <v>Premium Tax</v>
      </c>
      <c r="AF3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4" spans="18:32" x14ac:dyDescent="0.2">
      <c r="R3554" t="s">
        <v>24</v>
      </c>
      <c r="S3554" t="s">
        <v>259</v>
      </c>
      <c r="T3554" t="s">
        <v>7</v>
      </c>
      <c r="U3554" s="21">
        <v>817.4</v>
      </c>
      <c r="V3554" s="21" t="s">
        <v>368</v>
      </c>
      <c r="W3554" t="str">
        <f>VLOOKUP(Table_Query_from_Actuarial___Production[[#This Row],[Kor1]],$AI$3:$AK$105,3,FALSE)</f>
        <v>Misc. Expense</v>
      </c>
      <c r="X3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4"/>
      <c r="Z3554" t="s">
        <v>13</v>
      </c>
      <c r="AA3554" t="s">
        <v>242</v>
      </c>
      <c r="AB3554" t="s">
        <v>9</v>
      </c>
      <c r="AC3554" s="21">
        <v>65384.61</v>
      </c>
      <c r="AD3554" s="21" t="s">
        <v>368</v>
      </c>
      <c r="AE3554" t="str">
        <f>VLOOKUP(Table_Query_from_Actuarial___Production3[[#This Row],[Kor1]],$AI$3:$AK$105,3,FALSE)</f>
        <v>Operating Service Fees</v>
      </c>
      <c r="AF3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5" spans="18:32" x14ac:dyDescent="0.2">
      <c r="R3555" t="s">
        <v>39</v>
      </c>
      <c r="S3555" t="s">
        <v>232</v>
      </c>
      <c r="T3555" t="s">
        <v>445</v>
      </c>
      <c r="U3555" s="21">
        <v>816.3</v>
      </c>
      <c r="V3555" s="21" t="s">
        <v>368</v>
      </c>
      <c r="W3555" t="str">
        <f>VLOOKUP(Table_Query_from_Actuarial___Production[[#This Row],[Kor1]],$AI$3:$AK$105,3,FALSE)</f>
        <v>Misc. Income for Insolvent Companies</v>
      </c>
      <c r="X3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5"/>
      <c r="Z3555" t="s">
        <v>15</v>
      </c>
      <c r="AA3555" t="s">
        <v>246</v>
      </c>
      <c r="AB3555" t="s">
        <v>443</v>
      </c>
      <c r="AC3555" s="21">
        <v>438516.51</v>
      </c>
      <c r="AD3555" s="21" t="s">
        <v>368</v>
      </c>
      <c r="AE3555" t="str">
        <f>VLOOKUP(Table_Query_from_Actuarial___Production3[[#This Row],[Kor1]],$AI$3:$AK$105,3,FALSE)</f>
        <v>Unearned Premiums</v>
      </c>
      <c r="AF3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6" spans="18:32" x14ac:dyDescent="0.2">
      <c r="R3556" t="s">
        <v>11</v>
      </c>
      <c r="S3556" t="s">
        <v>230</v>
      </c>
      <c r="T3556" t="s">
        <v>443</v>
      </c>
      <c r="U3556" s="21">
        <v>567346.30000000005</v>
      </c>
      <c r="V3556" s="21" t="s">
        <v>368</v>
      </c>
      <c r="W3556" t="str">
        <f>VLOOKUP(Table_Query_from_Actuarial___Production[[#This Row],[Kor1]],$AI$3:$AK$105,3,FALSE)</f>
        <v>Losses Paid</v>
      </c>
      <c r="X3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6"/>
      <c r="Z3556" t="s">
        <v>20</v>
      </c>
      <c r="AA3556" t="s">
        <v>236</v>
      </c>
      <c r="AB3556" t="s">
        <v>442</v>
      </c>
      <c r="AC3556" s="21">
        <v>142.59</v>
      </c>
      <c r="AD3556" s="21" t="s">
        <v>368</v>
      </c>
      <c r="AE3556" t="str">
        <f>VLOOKUP(Table_Query_from_Actuarial___Production3[[#This Row],[Kor1]],$AI$3:$AK$105,3,FALSE)</f>
        <v>Misc. Expense</v>
      </c>
      <c r="AF3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7" spans="18:32" x14ac:dyDescent="0.2">
      <c r="R3557" t="s">
        <v>37</v>
      </c>
      <c r="S3557" t="s">
        <v>250</v>
      </c>
      <c r="T3557" t="s">
        <v>9</v>
      </c>
      <c r="U3557" s="21">
        <v>223.07</v>
      </c>
      <c r="V3557" s="21" t="s">
        <v>368</v>
      </c>
      <c r="W3557" t="str">
        <f>VLOOKUP(Table_Query_from_Actuarial___Production[[#This Row],[Kor1]],$AI$3:$AK$105,3,FALSE)</f>
        <v>Misc. Expense</v>
      </c>
      <c r="X3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7"/>
      <c r="Z3557" t="s">
        <v>31</v>
      </c>
      <c r="AA3557" t="s">
        <v>241</v>
      </c>
      <c r="AB3557" t="s">
        <v>443</v>
      </c>
      <c r="AC3557" s="21">
        <v>886.3</v>
      </c>
      <c r="AD3557" s="21" t="s">
        <v>368</v>
      </c>
      <c r="AE3557" t="str">
        <f>VLOOKUP(Table_Query_from_Actuarial___Production3[[#This Row],[Kor1]],$AI$3:$AK$105,3,FALSE)</f>
        <v>Misc. Expense</v>
      </c>
      <c r="AF3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58" spans="18:32" x14ac:dyDescent="0.2">
      <c r="R3558" t="s">
        <v>14</v>
      </c>
      <c r="S3558" t="s">
        <v>254</v>
      </c>
      <c r="T3558" t="s">
        <v>427</v>
      </c>
      <c r="U3558" s="21">
        <v>811393.21</v>
      </c>
      <c r="V3558" s="21" t="s">
        <v>368</v>
      </c>
      <c r="W3558" t="str">
        <f>VLOOKUP(Table_Query_from_Actuarial___Production[[#This Row],[Kor1]],$AI$3:$AK$105,3,FALSE)</f>
        <v>Claims Expense</v>
      </c>
      <c r="X3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8"/>
      <c r="Z3558" t="s">
        <v>11</v>
      </c>
      <c r="AA3558" t="s">
        <v>352</v>
      </c>
      <c r="AB3558" t="s">
        <v>356</v>
      </c>
      <c r="AC3558" s="21">
        <v>4250.16</v>
      </c>
      <c r="AD3558" s="21" t="s">
        <v>368</v>
      </c>
      <c r="AE3558" t="str">
        <f>VLOOKUP(Table_Query_from_Actuarial___Production3[[#This Row],[Kor1]],$AI$3:$AK$105,3,FALSE)</f>
        <v>Losses Paid</v>
      </c>
      <c r="AF3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559" spans="18:32" x14ac:dyDescent="0.2">
      <c r="R3559" t="s">
        <v>11</v>
      </c>
      <c r="S3559" t="s">
        <v>268</v>
      </c>
      <c r="T3559" t="s">
        <v>442</v>
      </c>
      <c r="U3559" s="21">
        <v>283069.78999999998</v>
      </c>
      <c r="V3559" s="21" t="s">
        <v>368</v>
      </c>
      <c r="W3559" t="str">
        <f>VLOOKUP(Table_Query_from_Actuarial___Production[[#This Row],[Kor1]],$AI$3:$AK$105,3,FALSE)</f>
        <v>Losses Paid</v>
      </c>
      <c r="X3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59"/>
      <c r="Z3559" t="s">
        <v>33</v>
      </c>
      <c r="AA3559" t="s">
        <v>263</v>
      </c>
      <c r="AB3559" t="s">
        <v>9</v>
      </c>
      <c r="AC3559" s="21">
        <v>15940.46</v>
      </c>
      <c r="AD3559" s="21" t="s">
        <v>368</v>
      </c>
      <c r="AE3559" t="str">
        <f>VLOOKUP(Table_Query_from_Actuarial___Production3[[#This Row],[Kor1]],$AI$3:$AK$105,3,FALSE)</f>
        <v>Misc. Expense</v>
      </c>
      <c r="AF3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0" spans="18:32" x14ac:dyDescent="0.2">
      <c r="R3560" t="s">
        <v>31</v>
      </c>
      <c r="S3560" t="s">
        <v>227</v>
      </c>
      <c r="T3560" t="s">
        <v>6</v>
      </c>
      <c r="U3560" s="21">
        <v>10.99</v>
      </c>
      <c r="V3560" s="21" t="s">
        <v>368</v>
      </c>
      <c r="W3560" t="str">
        <f>VLOOKUP(Table_Query_from_Actuarial___Production[[#This Row],[Kor1]],$AI$3:$AK$105,3,FALSE)</f>
        <v>Misc. Expense</v>
      </c>
      <c r="X3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0"/>
      <c r="Z3560" t="s">
        <v>34</v>
      </c>
      <c r="AA3560" t="s">
        <v>241</v>
      </c>
      <c r="AB3560" t="s">
        <v>9</v>
      </c>
      <c r="AC3560" s="21">
        <v>30.8</v>
      </c>
      <c r="AD3560" s="21" t="s">
        <v>368</v>
      </c>
      <c r="AE3560" t="str">
        <f>VLOOKUP(Table_Query_from_Actuarial___Production3[[#This Row],[Kor1]],$AI$3:$AK$105,3,FALSE)</f>
        <v>Misc. Expense</v>
      </c>
      <c r="AF3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1" spans="18:32" x14ac:dyDescent="0.2">
      <c r="R3561" t="s">
        <v>33</v>
      </c>
      <c r="S3561" t="s">
        <v>243</v>
      </c>
      <c r="T3561" t="s">
        <v>445</v>
      </c>
      <c r="U3561" s="21">
        <v>8752.49</v>
      </c>
      <c r="V3561" s="21" t="s">
        <v>368</v>
      </c>
      <c r="W3561" t="str">
        <f>VLOOKUP(Table_Query_from_Actuarial___Production[[#This Row],[Kor1]],$AI$3:$AK$105,3,FALSE)</f>
        <v>Misc. Expense</v>
      </c>
      <c r="X3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1"/>
      <c r="Z3561" t="s">
        <v>14</v>
      </c>
      <c r="AA3561" t="s">
        <v>238</v>
      </c>
      <c r="AB3561" t="s">
        <v>351</v>
      </c>
      <c r="AC3561" s="21">
        <v>47389.61</v>
      </c>
      <c r="AD3561" s="21" t="s">
        <v>368</v>
      </c>
      <c r="AE3561" t="str">
        <f>VLOOKUP(Table_Query_from_Actuarial___Production3[[#This Row],[Kor1]],$AI$3:$AK$105,3,FALSE)</f>
        <v>Claims Expense</v>
      </c>
      <c r="AF3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2" spans="18:32" x14ac:dyDescent="0.2">
      <c r="R3562" t="s">
        <v>10</v>
      </c>
      <c r="S3562" t="s">
        <v>261</v>
      </c>
      <c r="T3562" t="s">
        <v>6</v>
      </c>
      <c r="U3562" s="21">
        <v>43747.15</v>
      </c>
      <c r="V3562" s="21" t="s">
        <v>368</v>
      </c>
      <c r="W3562" t="str">
        <f>VLOOKUP(Table_Query_from_Actuarial___Production[[#This Row],[Kor1]],$AI$3:$AK$105,3,FALSE)</f>
        <v>Commissions</v>
      </c>
      <c r="X3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2"/>
      <c r="Z3562" t="s">
        <v>13</v>
      </c>
      <c r="AA3562" t="s">
        <v>234</v>
      </c>
      <c r="AB3562" t="s">
        <v>356</v>
      </c>
      <c r="AC3562" s="21">
        <v>93420.12</v>
      </c>
      <c r="AD3562" s="21" t="s">
        <v>368</v>
      </c>
      <c r="AE3562" t="str">
        <f>VLOOKUP(Table_Query_from_Actuarial___Production3[[#This Row],[Kor1]],$AI$3:$AK$105,3,FALSE)</f>
        <v>Operating Service Fees</v>
      </c>
      <c r="AF3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3" spans="18:32" x14ac:dyDescent="0.2">
      <c r="R3563" t="s">
        <v>31</v>
      </c>
      <c r="S3563" t="s">
        <v>267</v>
      </c>
      <c r="T3563" t="s">
        <v>441</v>
      </c>
      <c r="U3563" s="21">
        <v>950.87</v>
      </c>
      <c r="V3563" s="21" t="s">
        <v>368</v>
      </c>
      <c r="W3563" t="str">
        <f>VLOOKUP(Table_Query_from_Actuarial___Production[[#This Row],[Kor1]],$AI$3:$AK$105,3,FALSE)</f>
        <v>Misc. Expense</v>
      </c>
      <c r="X3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3"/>
      <c r="Z3563" t="s">
        <v>14</v>
      </c>
      <c r="AA3563" t="s">
        <v>251</v>
      </c>
      <c r="AB3563" t="s">
        <v>351</v>
      </c>
      <c r="AC3563" s="21">
        <v>7934.1</v>
      </c>
      <c r="AD3563" s="21" t="s">
        <v>368</v>
      </c>
      <c r="AE3563" t="str">
        <f>VLOOKUP(Table_Query_from_Actuarial___Production3[[#This Row],[Kor1]],$AI$3:$AK$105,3,FALSE)</f>
        <v>Claims Expense</v>
      </c>
      <c r="AF3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4" spans="18:32" x14ac:dyDescent="0.2">
      <c r="R3564" t="s">
        <v>32</v>
      </c>
      <c r="S3564" t="s">
        <v>228</v>
      </c>
      <c r="T3564" t="s">
        <v>351</v>
      </c>
      <c r="U3564" s="21">
        <v>12300.52</v>
      </c>
      <c r="V3564" s="21" t="s">
        <v>368</v>
      </c>
      <c r="W3564" t="str">
        <f>VLOOKUP(Table_Query_from_Actuarial___Production[[#This Row],[Kor1]],$AI$3:$AK$105,3,FALSE)</f>
        <v>Misc. Expense</v>
      </c>
      <c r="X3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4"/>
      <c r="Z3564" t="s">
        <v>48</v>
      </c>
      <c r="AA3564" t="s">
        <v>248</v>
      </c>
      <c r="AB3564" t="s">
        <v>443</v>
      </c>
      <c r="AC3564" s="21">
        <v>81.95</v>
      </c>
      <c r="AD3564" s="21" t="s">
        <v>368</v>
      </c>
      <c r="AE3564" t="str">
        <f>VLOOKUP(Table_Query_from_Actuarial___Production3[[#This Row],[Kor1]],$AI$3:$AK$105,3,FALSE)</f>
        <v>Anticipated Salvage</v>
      </c>
      <c r="AF3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5" spans="18:32" x14ac:dyDescent="0.2">
      <c r="R3565" t="s">
        <v>3</v>
      </c>
      <c r="S3565" t="s">
        <v>260</v>
      </c>
      <c r="T3565" t="s">
        <v>356</v>
      </c>
      <c r="U3565" s="21">
        <v>56649</v>
      </c>
      <c r="V3565" s="21" t="s">
        <v>368</v>
      </c>
      <c r="W3565" t="str">
        <f>VLOOKUP(Table_Query_from_Actuarial___Production[[#This Row],[Kor1]],$AI$3:$AK$105,3,FALSE)</f>
        <v>Premiums Written</v>
      </c>
      <c r="X3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5"/>
      <c r="Z3565" t="s">
        <v>12</v>
      </c>
      <c r="AA3565" t="s">
        <v>246</v>
      </c>
      <c r="AB3565" t="s">
        <v>5</v>
      </c>
      <c r="AC3565" s="21">
        <v>1556.3</v>
      </c>
      <c r="AD3565" s="21" t="s">
        <v>368</v>
      </c>
      <c r="AE3565" t="str">
        <f>VLOOKUP(Table_Query_from_Actuarial___Production3[[#This Row],[Kor1]],$AI$3:$AK$105,3,FALSE)</f>
        <v>Premium Tax</v>
      </c>
      <c r="AF3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6" spans="18:32" x14ac:dyDescent="0.2">
      <c r="R3566" t="s">
        <v>48</v>
      </c>
      <c r="S3566" t="s">
        <v>242</v>
      </c>
      <c r="T3566" t="s">
        <v>433</v>
      </c>
      <c r="U3566" s="21">
        <v>5186.4799999999996</v>
      </c>
      <c r="V3566" s="21" t="s">
        <v>368</v>
      </c>
      <c r="W3566" t="str">
        <f>VLOOKUP(Table_Query_from_Actuarial___Production[[#This Row],[Kor1]],$AI$3:$AK$105,3,FALSE)</f>
        <v>Anticipated Salvage</v>
      </c>
      <c r="X3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6"/>
      <c r="Z3566" t="s">
        <v>13</v>
      </c>
      <c r="AA3566" t="s">
        <v>249</v>
      </c>
      <c r="AB3566" t="s">
        <v>356</v>
      </c>
      <c r="AC3566" s="21">
        <v>104388.56</v>
      </c>
      <c r="AD3566" s="21" t="s">
        <v>368</v>
      </c>
      <c r="AE3566" t="str">
        <f>VLOOKUP(Table_Query_from_Actuarial___Production3[[#This Row],[Kor1]],$AI$3:$AK$105,3,FALSE)</f>
        <v>Operating Service Fees</v>
      </c>
      <c r="AF3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7" spans="18:32" x14ac:dyDescent="0.2">
      <c r="R3567" t="s">
        <v>19</v>
      </c>
      <c r="S3567" t="s">
        <v>243</v>
      </c>
      <c r="T3567" t="s">
        <v>356</v>
      </c>
      <c r="U3567" s="21">
        <v>473</v>
      </c>
      <c r="V3567" s="21" t="s">
        <v>368</v>
      </c>
      <c r="W3567" t="str">
        <f>VLOOKUP(Table_Query_from_Actuarial___Production[[#This Row],[Kor1]],$AI$3:$AK$105,3,FALSE)</f>
        <v>Misc. Expense for Insolvent Companies</v>
      </c>
      <c r="X3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7"/>
      <c r="Z3567" t="s">
        <v>19</v>
      </c>
      <c r="AA3567" t="s">
        <v>4</v>
      </c>
      <c r="AB3567" t="s">
        <v>5</v>
      </c>
      <c r="AC3567" s="21">
        <v>244203.99</v>
      </c>
      <c r="AD3567" s="21" t="s">
        <v>368</v>
      </c>
      <c r="AE3567" t="str">
        <f>VLOOKUP(Table_Query_from_Actuarial___Production3[[#This Row],[Kor1]],$AI$3:$AK$105,3,FALSE)</f>
        <v>Misc. Expense for Insolvent Companies</v>
      </c>
      <c r="AF3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8" spans="18:32" x14ac:dyDescent="0.2">
      <c r="R3568" t="s">
        <v>40</v>
      </c>
      <c r="S3568" t="s">
        <v>267</v>
      </c>
      <c r="T3568" t="s">
        <v>9</v>
      </c>
      <c r="U3568" s="21">
        <v>88</v>
      </c>
      <c r="V3568" s="21" t="s">
        <v>368</v>
      </c>
      <c r="W3568" t="str">
        <f>VLOOKUP(Table_Query_from_Actuarial___Production[[#This Row],[Kor1]],$AI$3:$AK$105,3,FALSE)</f>
        <v>Misc. Income</v>
      </c>
      <c r="X3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8"/>
      <c r="Z3568" t="s">
        <v>41</v>
      </c>
      <c r="AA3568" t="s">
        <v>256</v>
      </c>
      <c r="AB3568" t="s">
        <v>427</v>
      </c>
      <c r="AC3568" s="21">
        <v>150</v>
      </c>
      <c r="AD3568" s="21" t="s">
        <v>368</v>
      </c>
      <c r="AE3568" t="str">
        <f>VLOOKUP(Table_Query_from_Actuarial___Production3[[#This Row],[Kor1]],$AI$3:$AK$105,3,FALSE)</f>
        <v>Misc. Income</v>
      </c>
      <c r="AF3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69" spans="18:32" x14ac:dyDescent="0.2">
      <c r="R3569" t="s">
        <v>3</v>
      </c>
      <c r="S3569" t="s">
        <v>235</v>
      </c>
      <c r="T3569" t="s">
        <v>433</v>
      </c>
      <c r="U3569" s="21">
        <v>407595</v>
      </c>
      <c r="V3569" s="21" t="s">
        <v>368</v>
      </c>
      <c r="W3569" t="str">
        <f>VLOOKUP(Table_Query_from_Actuarial___Production[[#This Row],[Kor1]],$AI$3:$AK$105,3,FALSE)</f>
        <v>Premiums Written</v>
      </c>
      <c r="X3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69"/>
      <c r="Z3569" t="s">
        <v>39</v>
      </c>
      <c r="AA3569" t="s">
        <v>252</v>
      </c>
      <c r="AB3569" t="s">
        <v>7</v>
      </c>
      <c r="AC3569" s="21">
        <v>839280</v>
      </c>
      <c r="AD3569" s="21" t="s">
        <v>368</v>
      </c>
      <c r="AE3569" t="str">
        <f>VLOOKUP(Table_Query_from_Actuarial___Production3[[#This Row],[Kor1]],$AI$3:$AK$105,3,FALSE)</f>
        <v>Misc. Income for Insolvent Companies</v>
      </c>
      <c r="AF3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0" spans="18:32" x14ac:dyDescent="0.2">
      <c r="R3570" t="s">
        <v>3</v>
      </c>
      <c r="S3570" t="s">
        <v>263</v>
      </c>
      <c r="T3570" t="s">
        <v>445</v>
      </c>
      <c r="U3570" s="21">
        <v>44554</v>
      </c>
      <c r="V3570" s="21" t="s">
        <v>368</v>
      </c>
      <c r="W3570" t="str">
        <f>VLOOKUP(Table_Query_from_Actuarial___Production[[#This Row],[Kor1]],$AI$3:$AK$105,3,FALSE)</f>
        <v>Premiums Written</v>
      </c>
      <c r="X3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0"/>
      <c r="Z3570" t="s">
        <v>48</v>
      </c>
      <c r="AA3570" t="s">
        <v>226</v>
      </c>
      <c r="AB3570" t="s">
        <v>356</v>
      </c>
      <c r="AC3570" s="21">
        <v>2053.9</v>
      </c>
      <c r="AD3570" s="21" t="s">
        <v>368</v>
      </c>
      <c r="AE3570" t="str">
        <f>VLOOKUP(Table_Query_from_Actuarial___Production3[[#This Row],[Kor1]],$AI$3:$AK$105,3,FALSE)</f>
        <v>Anticipated Salvage</v>
      </c>
      <c r="AF3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571" spans="18:32" x14ac:dyDescent="0.2">
      <c r="R3571" t="s">
        <v>10</v>
      </c>
      <c r="S3571" t="s">
        <v>259</v>
      </c>
      <c r="T3571" t="s">
        <v>433</v>
      </c>
      <c r="U3571" s="21">
        <v>7915.59</v>
      </c>
      <c r="V3571" s="21" t="s">
        <v>368</v>
      </c>
      <c r="W3571" t="str">
        <f>VLOOKUP(Table_Query_from_Actuarial___Production[[#This Row],[Kor1]],$AI$3:$AK$105,3,FALSE)</f>
        <v>Commissions</v>
      </c>
      <c r="X3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1"/>
      <c r="Z3571" t="s">
        <v>17</v>
      </c>
      <c r="AA3571" t="s">
        <v>226</v>
      </c>
      <c r="AB3571" t="s">
        <v>433</v>
      </c>
      <c r="AC3571" s="21">
        <v>742233.46</v>
      </c>
      <c r="AD3571" s="21" t="s">
        <v>368</v>
      </c>
      <c r="AE3571" t="str">
        <f>VLOOKUP(Table_Query_from_Actuarial___Production3[[#This Row],[Kor1]],$AI$3:$AK$105,3,FALSE)</f>
        <v>IBNR</v>
      </c>
      <c r="AF3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572" spans="18:32" x14ac:dyDescent="0.2">
      <c r="R3572" t="s">
        <v>11</v>
      </c>
      <c r="S3572" t="s">
        <v>258</v>
      </c>
      <c r="T3572" t="s">
        <v>356</v>
      </c>
      <c r="U3572" s="21">
        <v>2573627.9500000002</v>
      </c>
      <c r="V3572" s="21" t="s">
        <v>368</v>
      </c>
      <c r="W3572" t="str">
        <f>VLOOKUP(Table_Query_from_Actuarial___Production[[#This Row],[Kor1]],$AI$3:$AK$105,3,FALSE)</f>
        <v>Losses Paid</v>
      </c>
      <c r="X3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2"/>
      <c r="Z3572" t="s">
        <v>39</v>
      </c>
      <c r="AA3572" t="s">
        <v>255</v>
      </c>
      <c r="AB3572" t="s">
        <v>427</v>
      </c>
      <c r="AC3572" s="21">
        <v>1567.04</v>
      </c>
      <c r="AD3572" s="21" t="s">
        <v>368</v>
      </c>
      <c r="AE3572" t="str">
        <f>VLOOKUP(Table_Query_from_Actuarial___Production3[[#This Row],[Kor1]],$AI$3:$AK$105,3,FALSE)</f>
        <v>Misc. Income for Insolvent Companies</v>
      </c>
      <c r="AF3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3" spans="18:32" x14ac:dyDescent="0.2">
      <c r="R3573" t="s">
        <v>3</v>
      </c>
      <c r="S3573" t="s">
        <v>266</v>
      </c>
      <c r="T3573" t="s">
        <v>8</v>
      </c>
      <c r="U3573" s="21">
        <v>355022</v>
      </c>
      <c r="V3573" s="21" t="s">
        <v>368</v>
      </c>
      <c r="W3573" t="str">
        <f>VLOOKUP(Table_Query_from_Actuarial___Production[[#This Row],[Kor1]],$AI$3:$AK$105,3,FALSE)</f>
        <v>Premiums Written</v>
      </c>
      <c r="X3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3"/>
      <c r="Z3573" t="s">
        <v>41</v>
      </c>
      <c r="AA3573" t="s">
        <v>253</v>
      </c>
      <c r="AB3573" t="s">
        <v>442</v>
      </c>
      <c r="AC3573" s="21">
        <v>150</v>
      </c>
      <c r="AD3573" s="21" t="s">
        <v>368</v>
      </c>
      <c r="AE3573" t="str">
        <f>VLOOKUP(Table_Query_from_Actuarial___Production3[[#This Row],[Kor1]],$AI$3:$AK$105,3,FALSE)</f>
        <v>Misc. Income</v>
      </c>
      <c r="AF3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4" spans="18:32" x14ac:dyDescent="0.2">
      <c r="R3574" t="s">
        <v>17</v>
      </c>
      <c r="S3574" t="s">
        <v>228</v>
      </c>
      <c r="T3574" t="s">
        <v>443</v>
      </c>
      <c r="U3574" s="21">
        <v>118274.18</v>
      </c>
      <c r="V3574" s="21" t="s">
        <v>368</v>
      </c>
      <c r="W3574" t="str">
        <f>VLOOKUP(Table_Query_from_Actuarial___Production[[#This Row],[Kor1]],$AI$3:$AK$105,3,FALSE)</f>
        <v>IBNR</v>
      </c>
      <c r="X3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4"/>
      <c r="Z3574" t="s">
        <v>18</v>
      </c>
      <c r="AA3574" t="s">
        <v>224</v>
      </c>
      <c r="AB3574" t="s">
        <v>442</v>
      </c>
      <c r="AC3574" s="21">
        <v>171507.66</v>
      </c>
      <c r="AD3574" s="21" t="s">
        <v>368</v>
      </c>
      <c r="AE3574" t="str">
        <f>VLOOKUP(Table_Query_from_Actuarial___Production3[[#This Row],[Kor1]],$AI$3:$AK$105,3,FALSE)</f>
        <v>Misc. Expense</v>
      </c>
      <c r="AF3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575" spans="18:32" x14ac:dyDescent="0.2">
      <c r="R3575" t="s">
        <v>32</v>
      </c>
      <c r="S3575" t="s">
        <v>240</v>
      </c>
      <c r="T3575" t="s">
        <v>351</v>
      </c>
      <c r="U3575" s="21">
        <v>118831.84</v>
      </c>
      <c r="V3575" s="21" t="s">
        <v>368</v>
      </c>
      <c r="W3575" t="str">
        <f>VLOOKUP(Table_Query_from_Actuarial___Production[[#This Row],[Kor1]],$AI$3:$AK$105,3,FALSE)</f>
        <v>Misc. Expense</v>
      </c>
      <c r="X3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5"/>
      <c r="Z3575" t="s">
        <v>46</v>
      </c>
      <c r="AA3575" t="s">
        <v>224</v>
      </c>
      <c r="AB3575" t="s">
        <v>427</v>
      </c>
      <c r="AC3575" s="21">
        <v>83148.37</v>
      </c>
      <c r="AD3575" s="21" t="s">
        <v>368</v>
      </c>
      <c r="AE3575" t="str">
        <f>VLOOKUP(Table_Query_from_Actuarial___Production3[[#This Row],[Kor1]],$AI$3:$AK$105,3,FALSE)</f>
        <v>Investment Income</v>
      </c>
      <c r="AF3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576" spans="18:32" x14ac:dyDescent="0.2">
      <c r="R3576" t="s">
        <v>44</v>
      </c>
      <c r="S3576" t="s">
        <v>232</v>
      </c>
      <c r="T3576" t="s">
        <v>6</v>
      </c>
      <c r="U3576" s="21">
        <v>34956.65</v>
      </c>
      <c r="V3576" s="21" t="s">
        <v>368</v>
      </c>
      <c r="W3576" t="str">
        <f>VLOOKUP(Table_Query_from_Actuarial___Production[[#This Row],[Kor1]],$AI$3:$AK$105,3,FALSE)</f>
        <v>Charge-offs</v>
      </c>
      <c r="X3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6"/>
      <c r="Z3576" t="s">
        <v>44</v>
      </c>
      <c r="AA3576" t="s">
        <v>246</v>
      </c>
      <c r="AB3576" t="s">
        <v>356</v>
      </c>
      <c r="AC3576" s="21">
        <v>17278.36</v>
      </c>
      <c r="AD3576" s="21" t="s">
        <v>368</v>
      </c>
      <c r="AE3576" t="str">
        <f>VLOOKUP(Table_Query_from_Actuarial___Production3[[#This Row],[Kor1]],$AI$3:$AK$105,3,FALSE)</f>
        <v>Charge-offs</v>
      </c>
      <c r="AF3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7" spans="18:32" x14ac:dyDescent="0.2">
      <c r="R3577" t="s">
        <v>47</v>
      </c>
      <c r="S3577" t="s">
        <v>244</v>
      </c>
      <c r="T3577" t="s">
        <v>441</v>
      </c>
      <c r="U3577" s="21">
        <v>50.75</v>
      </c>
      <c r="V3577" s="21" t="s">
        <v>368</v>
      </c>
      <c r="W3577" t="str">
        <f>VLOOKUP(Table_Query_from_Actuarial___Production[[#This Row],[Kor1]],$AI$3:$AK$105,3,FALSE)</f>
        <v>Investment Income</v>
      </c>
      <c r="X3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7"/>
      <c r="Z3577" t="s">
        <v>19</v>
      </c>
      <c r="AA3577" t="s">
        <v>264</v>
      </c>
      <c r="AB3577" t="s">
        <v>5</v>
      </c>
      <c r="AC3577" s="21">
        <v>22138</v>
      </c>
      <c r="AD3577" s="21" t="s">
        <v>368</v>
      </c>
      <c r="AE3577" t="str">
        <f>VLOOKUP(Table_Query_from_Actuarial___Production3[[#This Row],[Kor1]],$AI$3:$AK$105,3,FALSE)</f>
        <v>Misc. Expense for Insolvent Companies</v>
      </c>
      <c r="AF3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8" spans="18:32" x14ac:dyDescent="0.2">
      <c r="R3578" t="s">
        <v>17</v>
      </c>
      <c r="S3578" t="s">
        <v>4</v>
      </c>
      <c r="T3578" t="s">
        <v>427</v>
      </c>
      <c r="U3578" s="21">
        <v>1179382.78</v>
      </c>
      <c r="V3578" s="21" t="s">
        <v>368</v>
      </c>
      <c r="W3578" t="str">
        <f>VLOOKUP(Table_Query_from_Actuarial___Production[[#This Row],[Kor1]],$AI$3:$AK$105,3,FALSE)</f>
        <v>IBNR</v>
      </c>
      <c r="X3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8"/>
      <c r="Z3578" t="s">
        <v>48</v>
      </c>
      <c r="AA3578" t="s">
        <v>234</v>
      </c>
      <c r="AB3578" t="s">
        <v>433</v>
      </c>
      <c r="AC3578" s="21">
        <v>852.53</v>
      </c>
      <c r="AD3578" s="21" t="s">
        <v>368</v>
      </c>
      <c r="AE3578" t="str">
        <f>VLOOKUP(Table_Query_from_Actuarial___Production3[[#This Row],[Kor1]],$AI$3:$AK$105,3,FALSE)</f>
        <v>Anticipated Salvage</v>
      </c>
      <c r="AF3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79" spans="18:32" x14ac:dyDescent="0.2">
      <c r="R3579" t="s">
        <v>20</v>
      </c>
      <c r="S3579" t="s">
        <v>246</v>
      </c>
      <c r="T3579" t="s">
        <v>427</v>
      </c>
      <c r="U3579" s="21">
        <v>429.29</v>
      </c>
      <c r="V3579" s="21" t="s">
        <v>368</v>
      </c>
      <c r="W3579" t="str">
        <f>VLOOKUP(Table_Query_from_Actuarial___Production[[#This Row],[Kor1]],$AI$3:$AK$105,3,FALSE)</f>
        <v>Misc. Expense</v>
      </c>
      <c r="X3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79"/>
      <c r="Z3579" t="s">
        <v>44</v>
      </c>
      <c r="AA3579" t="s">
        <v>251</v>
      </c>
      <c r="AB3579" t="s">
        <v>442</v>
      </c>
      <c r="AC3579" s="21">
        <v>2011.95</v>
      </c>
      <c r="AD3579" s="21" t="s">
        <v>368</v>
      </c>
      <c r="AE3579" t="str">
        <f>VLOOKUP(Table_Query_from_Actuarial___Production3[[#This Row],[Kor1]],$AI$3:$AK$105,3,FALSE)</f>
        <v>Charge-offs</v>
      </c>
      <c r="AF3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0" spans="18:32" x14ac:dyDescent="0.2">
      <c r="R3580" t="s">
        <v>20</v>
      </c>
      <c r="S3580" t="s">
        <v>261</v>
      </c>
      <c r="T3580" t="s">
        <v>7</v>
      </c>
      <c r="U3580" s="21">
        <v>113.37</v>
      </c>
      <c r="V3580" s="21" t="s">
        <v>368</v>
      </c>
      <c r="W3580" t="str">
        <f>VLOOKUP(Table_Query_from_Actuarial___Production[[#This Row],[Kor1]],$AI$3:$AK$105,3,FALSE)</f>
        <v>Misc. Expense</v>
      </c>
      <c r="X3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0"/>
      <c r="Z3580" t="s">
        <v>43</v>
      </c>
      <c r="AA3580" t="s">
        <v>261</v>
      </c>
      <c r="AB3580" t="s">
        <v>9</v>
      </c>
      <c r="AC3580" s="21">
        <v>6965.66</v>
      </c>
      <c r="AD3580" s="21" t="s">
        <v>368</v>
      </c>
      <c r="AE3580" t="str">
        <f>VLOOKUP(Table_Query_from_Actuarial___Production3[[#This Row],[Kor1]],$AI$3:$AK$105,3,FALSE)</f>
        <v>Charge-offs</v>
      </c>
      <c r="AF3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1" spans="18:32" x14ac:dyDescent="0.2">
      <c r="R3581" t="s">
        <v>30</v>
      </c>
      <c r="S3581" t="s">
        <v>259</v>
      </c>
      <c r="T3581" t="s">
        <v>356</v>
      </c>
      <c r="U3581" s="21">
        <v>1404.39</v>
      </c>
      <c r="V3581" s="21" t="s">
        <v>368</v>
      </c>
      <c r="W3581" t="str">
        <f>VLOOKUP(Table_Query_from_Actuarial___Production[[#This Row],[Kor1]],$AI$3:$AK$105,3,FALSE)</f>
        <v>Misc. Expense</v>
      </c>
      <c r="X3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1"/>
      <c r="Z3581" t="s">
        <v>11</v>
      </c>
      <c r="AA3581" t="s">
        <v>224</v>
      </c>
      <c r="AB3581" t="s">
        <v>8</v>
      </c>
      <c r="AC3581" s="21">
        <v>8789.44</v>
      </c>
      <c r="AD3581" s="21" t="s">
        <v>425</v>
      </c>
      <c r="AE3581" t="str">
        <f>VLOOKUP(Table_Query_from_Actuarial___Production3[[#This Row],[Kor1]],$AI$3:$AK$105,3,FALSE)</f>
        <v>Losses Paid</v>
      </c>
      <c r="AF3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582" spans="18:32" x14ac:dyDescent="0.2">
      <c r="R3582" t="s">
        <v>10</v>
      </c>
      <c r="S3582" t="s">
        <v>241</v>
      </c>
      <c r="T3582" t="s">
        <v>356</v>
      </c>
      <c r="U3582" s="21">
        <v>87759.45</v>
      </c>
      <c r="V3582" s="21" t="s">
        <v>368</v>
      </c>
      <c r="W3582" t="str">
        <f>VLOOKUP(Table_Query_from_Actuarial___Production[[#This Row],[Kor1]],$AI$3:$AK$105,3,FALSE)</f>
        <v>Commissions</v>
      </c>
      <c r="X3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2"/>
      <c r="Z3582" t="s">
        <v>46</v>
      </c>
      <c r="AA3582" t="s">
        <v>225</v>
      </c>
      <c r="AB3582" t="s">
        <v>8</v>
      </c>
      <c r="AC3582" s="21">
        <v>12582.98</v>
      </c>
      <c r="AD3582" s="21" t="s">
        <v>368</v>
      </c>
      <c r="AE3582" t="str">
        <f>VLOOKUP(Table_Query_from_Actuarial___Production3[[#This Row],[Kor1]],$AI$3:$AK$105,3,FALSE)</f>
        <v>Investment Income</v>
      </c>
      <c r="AF3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583" spans="18:32" x14ac:dyDescent="0.2">
      <c r="R3583" t="s">
        <v>13</v>
      </c>
      <c r="S3583" t="s">
        <v>261</v>
      </c>
      <c r="T3583" t="s">
        <v>445</v>
      </c>
      <c r="U3583" s="21">
        <v>152143.59</v>
      </c>
      <c r="V3583" s="21" t="s">
        <v>368</v>
      </c>
      <c r="W3583" t="str">
        <f>VLOOKUP(Table_Query_from_Actuarial___Production[[#This Row],[Kor1]],$AI$3:$AK$105,3,FALSE)</f>
        <v>Operating Service Fees</v>
      </c>
      <c r="X3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3"/>
      <c r="Z3583" t="s">
        <v>11</v>
      </c>
      <c r="AA3583" t="s">
        <v>241</v>
      </c>
      <c r="AB3583" t="s">
        <v>6</v>
      </c>
      <c r="AC3583" s="21">
        <v>34392.089999999997</v>
      </c>
      <c r="AD3583" s="21" t="s">
        <v>368</v>
      </c>
      <c r="AE3583" t="str">
        <f>VLOOKUP(Table_Query_from_Actuarial___Production3[[#This Row],[Kor1]],$AI$3:$AK$105,3,FALSE)</f>
        <v>Losses Paid</v>
      </c>
      <c r="AF3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4" spans="18:32" x14ac:dyDescent="0.2">
      <c r="R3584" t="s">
        <v>43</v>
      </c>
      <c r="S3584" t="s">
        <v>264</v>
      </c>
      <c r="T3584" t="s">
        <v>443</v>
      </c>
      <c r="U3584" s="21">
        <v>2149.77</v>
      </c>
      <c r="V3584" s="21" t="s">
        <v>368</v>
      </c>
      <c r="W3584" t="str">
        <f>VLOOKUP(Table_Query_from_Actuarial___Production[[#This Row],[Kor1]],$AI$3:$AK$105,3,FALSE)</f>
        <v>Charge-offs</v>
      </c>
      <c r="X3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4"/>
      <c r="Z3584" t="s">
        <v>40</v>
      </c>
      <c r="AA3584" t="s">
        <v>237</v>
      </c>
      <c r="AB3584" t="s">
        <v>433</v>
      </c>
      <c r="AC3584" s="21">
        <v>1.61</v>
      </c>
      <c r="AD3584" s="21" t="s">
        <v>368</v>
      </c>
      <c r="AE3584" t="str">
        <f>VLOOKUP(Table_Query_from_Actuarial___Production3[[#This Row],[Kor1]],$AI$3:$AK$105,3,FALSE)</f>
        <v>Misc. Income</v>
      </c>
      <c r="AF3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5" spans="18:32" x14ac:dyDescent="0.2">
      <c r="R3585" t="s">
        <v>14</v>
      </c>
      <c r="S3585" t="s">
        <v>238</v>
      </c>
      <c r="T3585" t="s">
        <v>441</v>
      </c>
      <c r="U3585" s="21">
        <v>84355.520000000004</v>
      </c>
      <c r="V3585" s="21" t="s">
        <v>368</v>
      </c>
      <c r="W3585" t="str">
        <f>VLOOKUP(Table_Query_from_Actuarial___Production[[#This Row],[Kor1]],$AI$3:$AK$105,3,FALSE)</f>
        <v>Claims Expense</v>
      </c>
      <c r="X3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5"/>
      <c r="Z3585" t="s">
        <v>439</v>
      </c>
      <c r="AA3585" t="s">
        <v>244</v>
      </c>
      <c r="AB3585" t="s">
        <v>433</v>
      </c>
      <c r="AC3585" s="21">
        <v>43924</v>
      </c>
      <c r="AD3585" s="21" t="s">
        <v>368</v>
      </c>
      <c r="AE3585" t="str">
        <f>VLOOKUP(Table_Query_from_Actuarial___Production3[[#This Row],[Kor1]],$AI$3:$AK$105,3,FALSE)</f>
        <v>Operating Service Fees</v>
      </c>
      <c r="AF3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6" spans="18:32" x14ac:dyDescent="0.2">
      <c r="R3586" t="s">
        <v>20</v>
      </c>
      <c r="S3586" t="s">
        <v>233</v>
      </c>
      <c r="T3586" t="s">
        <v>427</v>
      </c>
      <c r="U3586" s="21">
        <v>344.11</v>
      </c>
      <c r="V3586" s="21" t="s">
        <v>368</v>
      </c>
      <c r="W3586" t="str">
        <f>VLOOKUP(Table_Query_from_Actuarial___Production[[#This Row],[Kor1]],$AI$3:$AK$105,3,FALSE)</f>
        <v>Misc. Expense</v>
      </c>
      <c r="X3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6"/>
      <c r="Z3586" t="s">
        <v>15</v>
      </c>
      <c r="AA3586" t="s">
        <v>226</v>
      </c>
      <c r="AB3586" t="s">
        <v>442</v>
      </c>
      <c r="AC3586" s="21">
        <v>16050.34</v>
      </c>
      <c r="AD3586" s="21" t="s">
        <v>368</v>
      </c>
      <c r="AE3586" t="str">
        <f>VLOOKUP(Table_Query_from_Actuarial___Production3[[#This Row],[Kor1]],$AI$3:$AK$105,3,FALSE)</f>
        <v>Unearned Premiums</v>
      </c>
      <c r="AF3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587" spans="18:32" x14ac:dyDescent="0.2">
      <c r="R3587" t="s">
        <v>44</v>
      </c>
      <c r="S3587" t="s">
        <v>267</v>
      </c>
      <c r="T3587" t="s">
        <v>443</v>
      </c>
      <c r="U3587" s="21">
        <v>84002.8</v>
      </c>
      <c r="V3587" s="21" t="s">
        <v>368</v>
      </c>
      <c r="W3587" t="str">
        <f>VLOOKUP(Table_Query_from_Actuarial___Production[[#This Row],[Kor1]],$AI$3:$AK$105,3,FALSE)</f>
        <v>Charge-offs</v>
      </c>
      <c r="X3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7"/>
      <c r="Z3587" t="s">
        <v>12</v>
      </c>
      <c r="AA3587" t="s">
        <v>232</v>
      </c>
      <c r="AB3587" t="s">
        <v>427</v>
      </c>
      <c r="AC3587" s="21">
        <v>20934.98</v>
      </c>
      <c r="AD3587" s="21" t="s">
        <v>368</v>
      </c>
      <c r="AE3587" t="str">
        <f>VLOOKUP(Table_Query_from_Actuarial___Production3[[#This Row],[Kor1]],$AI$3:$AK$105,3,FALSE)</f>
        <v>Premium Tax</v>
      </c>
      <c r="AF3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8" spans="18:32" x14ac:dyDescent="0.2">
      <c r="R3588" t="s">
        <v>3</v>
      </c>
      <c r="S3588" t="s">
        <v>248</v>
      </c>
      <c r="T3588" t="s">
        <v>445</v>
      </c>
      <c r="U3588" s="21">
        <v>393745</v>
      </c>
      <c r="V3588" s="21" t="s">
        <v>368</v>
      </c>
      <c r="W3588" t="str">
        <f>VLOOKUP(Table_Query_from_Actuarial___Production[[#This Row],[Kor1]],$AI$3:$AK$105,3,FALSE)</f>
        <v>Premiums Written</v>
      </c>
      <c r="X3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8"/>
      <c r="Z3588" t="s">
        <v>24</v>
      </c>
      <c r="AA3588" t="s">
        <v>259</v>
      </c>
      <c r="AB3588" t="s">
        <v>7</v>
      </c>
      <c r="AC3588" s="21">
        <v>817.4</v>
      </c>
      <c r="AD3588" s="21" t="s">
        <v>368</v>
      </c>
      <c r="AE3588" t="str">
        <f>VLOOKUP(Table_Query_from_Actuarial___Production3[[#This Row],[Kor1]],$AI$3:$AK$105,3,FALSE)</f>
        <v>Misc. Expense</v>
      </c>
      <c r="AF3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89" spans="18:32" x14ac:dyDescent="0.2">
      <c r="R3589" t="s">
        <v>12</v>
      </c>
      <c r="S3589" t="s">
        <v>230</v>
      </c>
      <c r="T3589" t="s">
        <v>441</v>
      </c>
      <c r="U3589" s="21">
        <v>501777.83</v>
      </c>
      <c r="V3589" s="21" t="s">
        <v>368</v>
      </c>
      <c r="W3589" t="str">
        <f>VLOOKUP(Table_Query_from_Actuarial___Production[[#This Row],[Kor1]],$AI$3:$AK$105,3,FALSE)</f>
        <v>Premium Tax</v>
      </c>
      <c r="X3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89"/>
      <c r="Z3589" t="s">
        <v>33</v>
      </c>
      <c r="AA3589" t="s">
        <v>228</v>
      </c>
      <c r="AB3589" t="s">
        <v>5</v>
      </c>
      <c r="AC3589" s="21">
        <v>14389.46</v>
      </c>
      <c r="AD3589" s="21" t="s">
        <v>368</v>
      </c>
      <c r="AE3589" t="str">
        <f>VLOOKUP(Table_Query_from_Actuarial___Production3[[#This Row],[Kor1]],$AI$3:$AK$105,3,FALSE)</f>
        <v>Misc. Expense</v>
      </c>
      <c r="AF3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0" spans="18:32" x14ac:dyDescent="0.2">
      <c r="R3590" t="s">
        <v>12</v>
      </c>
      <c r="S3590" t="s">
        <v>235</v>
      </c>
      <c r="T3590" t="s">
        <v>6</v>
      </c>
      <c r="U3590" s="21">
        <v>17798.400000000001</v>
      </c>
      <c r="V3590" s="21" t="s">
        <v>368</v>
      </c>
      <c r="W3590" t="str">
        <f>VLOOKUP(Table_Query_from_Actuarial___Production[[#This Row],[Kor1]],$AI$3:$AK$105,3,FALSE)</f>
        <v>Premium Tax</v>
      </c>
      <c r="X3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0"/>
      <c r="Z3590" t="s">
        <v>37</v>
      </c>
      <c r="AA3590" t="s">
        <v>250</v>
      </c>
      <c r="AB3590" t="s">
        <v>9</v>
      </c>
      <c r="AC3590" s="21">
        <v>223.07</v>
      </c>
      <c r="AD3590" s="21" t="s">
        <v>368</v>
      </c>
      <c r="AE3590" t="str">
        <f>VLOOKUP(Table_Query_from_Actuarial___Production3[[#This Row],[Kor1]],$AI$3:$AK$105,3,FALSE)</f>
        <v>Misc. Expense</v>
      </c>
      <c r="AF3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1" spans="18:32" x14ac:dyDescent="0.2">
      <c r="R3591" t="s">
        <v>49</v>
      </c>
      <c r="S3591" t="s">
        <v>236</v>
      </c>
      <c r="T3591" t="s">
        <v>7</v>
      </c>
      <c r="U3591" s="21">
        <v>3331</v>
      </c>
      <c r="V3591" s="21" t="s">
        <v>368</v>
      </c>
      <c r="W3591" t="str">
        <f>VLOOKUP(Table_Query_from_Actuarial___Production[[#This Row],[Kor1]],$AI$3:$AK$105,3,FALSE)</f>
        <v>ALAE Paid</v>
      </c>
      <c r="X3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1"/>
      <c r="Z3591" t="s">
        <v>14</v>
      </c>
      <c r="AA3591" t="s">
        <v>254</v>
      </c>
      <c r="AB3591" t="s">
        <v>427</v>
      </c>
      <c r="AC3591" s="21">
        <v>819485.78</v>
      </c>
      <c r="AD3591" s="21" t="s">
        <v>368</v>
      </c>
      <c r="AE3591" t="str">
        <f>VLOOKUP(Table_Query_from_Actuarial___Production3[[#This Row],[Kor1]],$AI$3:$AK$105,3,FALSE)</f>
        <v>Claims Expense</v>
      </c>
      <c r="AF3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2" spans="18:32" x14ac:dyDescent="0.2">
      <c r="R3592" t="s">
        <v>13</v>
      </c>
      <c r="S3592" t="s">
        <v>235</v>
      </c>
      <c r="T3592" t="s">
        <v>351</v>
      </c>
      <c r="U3592" s="21">
        <v>131520.74</v>
      </c>
      <c r="V3592" s="21" t="s">
        <v>368</v>
      </c>
      <c r="W3592" t="str">
        <f>VLOOKUP(Table_Query_from_Actuarial___Production[[#This Row],[Kor1]],$AI$3:$AK$105,3,FALSE)</f>
        <v>Operating Service Fees</v>
      </c>
      <c r="X3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2"/>
      <c r="Z3592" t="s">
        <v>11</v>
      </c>
      <c r="AA3592" t="s">
        <v>268</v>
      </c>
      <c r="AB3592" t="s">
        <v>442</v>
      </c>
      <c r="AC3592" s="21">
        <v>271950.67</v>
      </c>
      <c r="AD3592" s="21" t="s">
        <v>368</v>
      </c>
      <c r="AE3592" t="str">
        <f>VLOOKUP(Table_Query_from_Actuarial___Production3[[#This Row],[Kor1]],$AI$3:$AK$105,3,FALSE)</f>
        <v>Losses Paid</v>
      </c>
      <c r="AF3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3" spans="18:32" x14ac:dyDescent="0.2">
      <c r="R3593" t="s">
        <v>14</v>
      </c>
      <c r="S3593" t="s">
        <v>254</v>
      </c>
      <c r="T3593" t="s">
        <v>443</v>
      </c>
      <c r="U3593" s="21">
        <v>3244315.28</v>
      </c>
      <c r="V3593" s="21" t="s">
        <v>368</v>
      </c>
      <c r="W3593" t="str">
        <f>VLOOKUP(Table_Query_from_Actuarial___Production[[#This Row],[Kor1]],$AI$3:$AK$105,3,FALSE)</f>
        <v>Claims Expense</v>
      </c>
      <c r="X3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3"/>
      <c r="Z3593" t="s">
        <v>31</v>
      </c>
      <c r="AA3593" t="s">
        <v>227</v>
      </c>
      <c r="AB3593" t="s">
        <v>6</v>
      </c>
      <c r="AC3593" s="21">
        <v>10.99</v>
      </c>
      <c r="AD3593" s="21" t="s">
        <v>368</v>
      </c>
      <c r="AE3593" t="str">
        <f>VLOOKUP(Table_Query_from_Actuarial___Production3[[#This Row],[Kor1]],$AI$3:$AK$105,3,FALSE)</f>
        <v>Misc. Expense</v>
      </c>
      <c r="AF3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4" spans="18:32" x14ac:dyDescent="0.2">
      <c r="R3594" t="s">
        <v>13</v>
      </c>
      <c r="S3594" t="s">
        <v>265</v>
      </c>
      <c r="T3594" t="s">
        <v>7</v>
      </c>
      <c r="U3594" s="21">
        <v>74779.350000000006</v>
      </c>
      <c r="V3594" s="21" t="s">
        <v>368</v>
      </c>
      <c r="W3594" t="str">
        <f>VLOOKUP(Table_Query_from_Actuarial___Production[[#This Row],[Kor1]],$AI$3:$AK$105,3,FALSE)</f>
        <v>Operating Service Fees</v>
      </c>
      <c r="X3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4"/>
      <c r="Z3594" t="s">
        <v>47</v>
      </c>
      <c r="AA3594" t="s">
        <v>244</v>
      </c>
      <c r="AB3594" t="s">
        <v>5</v>
      </c>
      <c r="AC3594" s="21">
        <v>1.31</v>
      </c>
      <c r="AD3594" s="21" t="s">
        <v>368</v>
      </c>
      <c r="AE3594" t="str">
        <f>VLOOKUP(Table_Query_from_Actuarial___Production3[[#This Row],[Kor1]],$AI$3:$AK$105,3,FALSE)</f>
        <v>Investment Income</v>
      </c>
      <c r="AF3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5" spans="18:32" x14ac:dyDescent="0.2">
      <c r="R3595" t="s">
        <v>14</v>
      </c>
      <c r="S3595" t="s">
        <v>251</v>
      </c>
      <c r="T3595" t="s">
        <v>441</v>
      </c>
      <c r="U3595" s="21">
        <v>45566</v>
      </c>
      <c r="V3595" s="21" t="s">
        <v>368</v>
      </c>
      <c r="W3595" t="str">
        <f>VLOOKUP(Table_Query_from_Actuarial___Production[[#This Row],[Kor1]],$AI$3:$AK$105,3,FALSE)</f>
        <v>Claims Expense</v>
      </c>
      <c r="X3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5"/>
      <c r="Z3595" t="s">
        <v>10</v>
      </c>
      <c r="AA3595" t="s">
        <v>261</v>
      </c>
      <c r="AB3595" t="s">
        <v>6</v>
      </c>
      <c r="AC3595" s="21">
        <v>43747.15</v>
      </c>
      <c r="AD3595" s="21" t="s">
        <v>368</v>
      </c>
      <c r="AE3595" t="str">
        <f>VLOOKUP(Table_Query_from_Actuarial___Production3[[#This Row],[Kor1]],$AI$3:$AK$105,3,FALSE)</f>
        <v>Commissions</v>
      </c>
      <c r="AF3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6" spans="18:32" x14ac:dyDescent="0.2">
      <c r="R3596" t="s">
        <v>41</v>
      </c>
      <c r="S3596" t="s">
        <v>230</v>
      </c>
      <c r="T3596" t="s">
        <v>7</v>
      </c>
      <c r="U3596" s="21">
        <v>2099.12</v>
      </c>
      <c r="V3596" s="21" t="s">
        <v>368</v>
      </c>
      <c r="W3596" t="str">
        <f>VLOOKUP(Table_Query_from_Actuarial___Production[[#This Row],[Kor1]],$AI$3:$AK$105,3,FALSE)</f>
        <v>Misc. Income</v>
      </c>
      <c r="X3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6"/>
      <c r="Z3596" t="s">
        <v>31</v>
      </c>
      <c r="AA3596" t="s">
        <v>267</v>
      </c>
      <c r="AB3596" t="s">
        <v>441</v>
      </c>
      <c r="AC3596" s="21">
        <v>950.87</v>
      </c>
      <c r="AD3596" s="21" t="s">
        <v>368</v>
      </c>
      <c r="AE3596" t="str">
        <f>VLOOKUP(Table_Query_from_Actuarial___Production3[[#This Row],[Kor1]],$AI$3:$AK$105,3,FALSE)</f>
        <v>Misc. Expense</v>
      </c>
      <c r="AF3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7" spans="18:32" x14ac:dyDescent="0.2">
      <c r="R3597" t="s">
        <v>16</v>
      </c>
      <c r="S3597" t="s">
        <v>354</v>
      </c>
      <c r="T3597" t="s">
        <v>427</v>
      </c>
      <c r="U3597" s="21">
        <v>3837373.82</v>
      </c>
      <c r="V3597" s="21" t="s">
        <v>368</v>
      </c>
      <c r="W3597" t="str">
        <f>VLOOKUP(Table_Query_from_Actuarial___Production[[#This Row],[Kor1]],$AI$3:$AK$105,3,FALSE)</f>
        <v>Losses Outstanding</v>
      </c>
      <c r="X3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597"/>
      <c r="Z3597" t="s">
        <v>32</v>
      </c>
      <c r="AA3597" t="s">
        <v>228</v>
      </c>
      <c r="AB3597" t="s">
        <v>351</v>
      </c>
      <c r="AC3597" s="21">
        <v>12300.52</v>
      </c>
      <c r="AD3597" s="21" t="s">
        <v>368</v>
      </c>
      <c r="AE3597" t="str">
        <f>VLOOKUP(Table_Query_from_Actuarial___Production3[[#This Row],[Kor1]],$AI$3:$AK$105,3,FALSE)</f>
        <v>Misc. Expense</v>
      </c>
      <c r="AF3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8" spans="18:32" x14ac:dyDescent="0.2">
      <c r="R3598" t="s">
        <v>46</v>
      </c>
      <c r="S3598" t="s">
        <v>224</v>
      </c>
      <c r="T3598" t="s">
        <v>443</v>
      </c>
      <c r="U3598" s="21">
        <v>67067.990000000005</v>
      </c>
      <c r="V3598" s="21" t="s">
        <v>368</v>
      </c>
      <c r="W3598" t="str">
        <f>VLOOKUP(Table_Query_from_Actuarial___Production[[#This Row],[Kor1]],$AI$3:$AK$105,3,FALSE)</f>
        <v>Investment Income</v>
      </c>
      <c r="X3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598"/>
      <c r="Z3598" t="s">
        <v>3</v>
      </c>
      <c r="AA3598" t="s">
        <v>260</v>
      </c>
      <c r="AB3598" t="s">
        <v>356</v>
      </c>
      <c r="AC3598" s="21">
        <v>56649</v>
      </c>
      <c r="AD3598" s="21" t="s">
        <v>368</v>
      </c>
      <c r="AE3598" t="str">
        <f>VLOOKUP(Table_Query_from_Actuarial___Production3[[#This Row],[Kor1]],$AI$3:$AK$105,3,FALSE)</f>
        <v>Premiums Written</v>
      </c>
      <c r="AF3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599" spans="18:32" x14ac:dyDescent="0.2">
      <c r="R3599" t="s">
        <v>11</v>
      </c>
      <c r="S3599" t="s">
        <v>237</v>
      </c>
      <c r="T3599" t="s">
        <v>433</v>
      </c>
      <c r="U3599" s="21">
        <v>60929054.530000001</v>
      </c>
      <c r="V3599" s="21" t="s">
        <v>368</v>
      </c>
      <c r="W3599" t="str">
        <f>VLOOKUP(Table_Query_from_Actuarial___Production[[#This Row],[Kor1]],$AI$3:$AK$105,3,FALSE)</f>
        <v>Losses Paid</v>
      </c>
      <c r="X3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599"/>
      <c r="Z3599" t="s">
        <v>48</v>
      </c>
      <c r="AA3599" t="s">
        <v>242</v>
      </c>
      <c r="AB3599" t="s">
        <v>433</v>
      </c>
      <c r="AC3599" s="21">
        <v>8237.7199999999993</v>
      </c>
      <c r="AD3599" s="21" t="s">
        <v>368</v>
      </c>
      <c r="AE3599" t="str">
        <f>VLOOKUP(Table_Query_from_Actuarial___Production3[[#This Row],[Kor1]],$AI$3:$AK$105,3,FALSE)</f>
        <v>Anticipated Salvage</v>
      </c>
      <c r="AF3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0" spans="18:32" x14ac:dyDescent="0.2">
      <c r="R3600" t="s">
        <v>12</v>
      </c>
      <c r="S3600" t="s">
        <v>232</v>
      </c>
      <c r="T3600" t="s">
        <v>443</v>
      </c>
      <c r="U3600" s="21">
        <v>40307.379999999997</v>
      </c>
      <c r="V3600" s="21" t="s">
        <v>368</v>
      </c>
      <c r="W3600" t="str">
        <f>VLOOKUP(Table_Query_from_Actuarial___Production[[#This Row],[Kor1]],$AI$3:$AK$105,3,FALSE)</f>
        <v>Premium Tax</v>
      </c>
      <c r="X3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0"/>
      <c r="Z3600" t="s">
        <v>18</v>
      </c>
      <c r="AA3600" t="s">
        <v>354</v>
      </c>
      <c r="AB3600" t="s">
        <v>5</v>
      </c>
      <c r="AC3600" s="21">
        <v>315706.03999999998</v>
      </c>
      <c r="AD3600" s="21" t="s">
        <v>368</v>
      </c>
      <c r="AE3600" t="str">
        <f>VLOOKUP(Table_Query_from_Actuarial___Production3[[#This Row],[Kor1]],$AI$3:$AK$105,3,FALSE)</f>
        <v>Misc. Expense</v>
      </c>
      <c r="AF3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601" spans="18:32" x14ac:dyDescent="0.2">
      <c r="R3601" t="s">
        <v>49</v>
      </c>
      <c r="S3601" t="s">
        <v>228</v>
      </c>
      <c r="T3601" t="s">
        <v>6</v>
      </c>
      <c r="U3601" s="21">
        <v>13315.47</v>
      </c>
      <c r="V3601" s="21" t="s">
        <v>368</v>
      </c>
      <c r="W3601" t="str">
        <f>VLOOKUP(Table_Query_from_Actuarial___Production[[#This Row],[Kor1]],$AI$3:$AK$105,3,FALSE)</f>
        <v>ALAE Paid</v>
      </c>
      <c r="X3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1"/>
      <c r="Z3601" t="s">
        <v>19</v>
      </c>
      <c r="AA3601" t="s">
        <v>243</v>
      </c>
      <c r="AB3601" t="s">
        <v>356</v>
      </c>
      <c r="AC3601" s="21">
        <v>473</v>
      </c>
      <c r="AD3601" s="21" t="s">
        <v>368</v>
      </c>
      <c r="AE3601" t="str">
        <f>VLOOKUP(Table_Query_from_Actuarial___Production3[[#This Row],[Kor1]],$AI$3:$AK$105,3,FALSE)</f>
        <v>Misc. Expense for Insolvent Companies</v>
      </c>
      <c r="AF3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2" spans="18:32" x14ac:dyDescent="0.2">
      <c r="R3602" t="s">
        <v>49</v>
      </c>
      <c r="S3602" t="s">
        <v>244</v>
      </c>
      <c r="T3602" t="s">
        <v>427</v>
      </c>
      <c r="U3602" s="21">
        <v>3656.04</v>
      </c>
      <c r="V3602" s="21" t="s">
        <v>368</v>
      </c>
      <c r="W3602" t="str">
        <f>VLOOKUP(Table_Query_from_Actuarial___Production[[#This Row],[Kor1]],$AI$3:$AK$105,3,FALSE)</f>
        <v>ALAE Paid</v>
      </c>
      <c r="X3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2"/>
      <c r="Z3602" t="s">
        <v>40</v>
      </c>
      <c r="AA3602" t="s">
        <v>267</v>
      </c>
      <c r="AB3602" t="s">
        <v>9</v>
      </c>
      <c r="AC3602" s="21">
        <v>88</v>
      </c>
      <c r="AD3602" s="21" t="s">
        <v>368</v>
      </c>
      <c r="AE3602" t="str">
        <f>VLOOKUP(Table_Query_from_Actuarial___Production3[[#This Row],[Kor1]],$AI$3:$AK$105,3,FALSE)</f>
        <v>Misc. Income</v>
      </c>
      <c r="AF3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3" spans="18:32" x14ac:dyDescent="0.2">
      <c r="R3603" t="s">
        <v>15</v>
      </c>
      <c r="S3603" t="s">
        <v>225</v>
      </c>
      <c r="T3603" t="s">
        <v>445</v>
      </c>
      <c r="U3603" s="21">
        <v>481800.91</v>
      </c>
      <c r="V3603" s="21" t="s">
        <v>369</v>
      </c>
      <c r="W3603" t="str">
        <f>VLOOKUP(Table_Query_from_Actuarial___Production[[#This Row],[Kor1]],$AI$3:$AK$105,3,FALSE)</f>
        <v>Unearned Premiums</v>
      </c>
      <c r="X3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603"/>
      <c r="Z3603" t="s">
        <v>3</v>
      </c>
      <c r="AA3603" t="s">
        <v>235</v>
      </c>
      <c r="AB3603" t="s">
        <v>433</v>
      </c>
      <c r="AC3603" s="21">
        <v>407595</v>
      </c>
      <c r="AD3603" s="21" t="s">
        <v>368</v>
      </c>
      <c r="AE3603" t="str">
        <f>VLOOKUP(Table_Query_from_Actuarial___Production3[[#This Row],[Kor1]],$AI$3:$AK$105,3,FALSE)</f>
        <v>Premiums Written</v>
      </c>
      <c r="AF3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4" spans="18:32" x14ac:dyDescent="0.2">
      <c r="R3604" t="s">
        <v>33</v>
      </c>
      <c r="S3604" t="s">
        <v>242</v>
      </c>
      <c r="T3604" t="s">
        <v>6</v>
      </c>
      <c r="U3604" s="21">
        <v>17640.84</v>
      </c>
      <c r="V3604" s="21" t="s">
        <v>368</v>
      </c>
      <c r="W3604" t="str">
        <f>VLOOKUP(Table_Query_from_Actuarial___Production[[#This Row],[Kor1]],$AI$3:$AK$105,3,FALSE)</f>
        <v>Misc. Expense</v>
      </c>
      <c r="X3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4"/>
      <c r="Z3604" t="s">
        <v>10</v>
      </c>
      <c r="AA3604" t="s">
        <v>259</v>
      </c>
      <c r="AB3604" t="s">
        <v>433</v>
      </c>
      <c r="AC3604" s="21">
        <v>7915.59</v>
      </c>
      <c r="AD3604" s="21" t="s">
        <v>368</v>
      </c>
      <c r="AE3604" t="str">
        <f>VLOOKUP(Table_Query_from_Actuarial___Production3[[#This Row],[Kor1]],$AI$3:$AK$105,3,FALSE)</f>
        <v>Commissions</v>
      </c>
      <c r="AF3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5" spans="18:32" x14ac:dyDescent="0.2">
      <c r="R3605" t="s">
        <v>40</v>
      </c>
      <c r="S3605" t="s">
        <v>244</v>
      </c>
      <c r="T3605" t="s">
        <v>6</v>
      </c>
      <c r="U3605" s="21">
        <v>382.99</v>
      </c>
      <c r="V3605" s="21" t="s">
        <v>368</v>
      </c>
      <c r="W3605" t="str">
        <f>VLOOKUP(Table_Query_from_Actuarial___Production[[#This Row],[Kor1]],$AI$3:$AK$105,3,FALSE)</f>
        <v>Misc. Income</v>
      </c>
      <c r="X3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5"/>
      <c r="Z3605" t="s">
        <v>11</v>
      </c>
      <c r="AA3605" t="s">
        <v>258</v>
      </c>
      <c r="AB3605" t="s">
        <v>356</v>
      </c>
      <c r="AC3605" s="21">
        <v>2399427.87</v>
      </c>
      <c r="AD3605" s="21" t="s">
        <v>368</v>
      </c>
      <c r="AE3605" t="str">
        <f>VLOOKUP(Table_Query_from_Actuarial___Production3[[#This Row],[Kor1]],$AI$3:$AK$105,3,FALSE)</f>
        <v>Losses Paid</v>
      </c>
      <c r="AF3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6" spans="18:32" x14ac:dyDescent="0.2">
      <c r="R3606" t="s">
        <v>10</v>
      </c>
      <c r="S3606" t="s">
        <v>258</v>
      </c>
      <c r="T3606" t="s">
        <v>442</v>
      </c>
      <c r="U3606" s="21">
        <v>209399.27</v>
      </c>
      <c r="V3606" s="21" t="s">
        <v>368</v>
      </c>
      <c r="W3606" t="str">
        <f>VLOOKUP(Table_Query_from_Actuarial___Production[[#This Row],[Kor1]],$AI$3:$AK$105,3,FALSE)</f>
        <v>Commissions</v>
      </c>
      <c r="X3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6"/>
      <c r="Z3606" t="s">
        <v>3</v>
      </c>
      <c r="AA3606" t="s">
        <v>266</v>
      </c>
      <c r="AB3606" t="s">
        <v>8</v>
      </c>
      <c r="AC3606" s="21">
        <v>355022</v>
      </c>
      <c r="AD3606" s="21" t="s">
        <v>368</v>
      </c>
      <c r="AE3606" t="str">
        <f>VLOOKUP(Table_Query_from_Actuarial___Production3[[#This Row],[Kor1]],$AI$3:$AK$105,3,FALSE)</f>
        <v>Premiums Written</v>
      </c>
      <c r="AF3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7" spans="18:32" x14ac:dyDescent="0.2">
      <c r="R3607" t="s">
        <v>36</v>
      </c>
      <c r="S3607" t="s">
        <v>250</v>
      </c>
      <c r="T3607" t="s">
        <v>442</v>
      </c>
      <c r="U3607" s="21">
        <v>510.01</v>
      </c>
      <c r="V3607" s="21" t="s">
        <v>368</v>
      </c>
      <c r="W3607" t="str">
        <f>VLOOKUP(Table_Query_from_Actuarial___Production[[#This Row],[Kor1]],$AI$3:$AK$105,3,FALSE)</f>
        <v>Misc. Expense</v>
      </c>
      <c r="X3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07"/>
      <c r="Z3607" t="s">
        <v>17</v>
      </c>
      <c r="AA3607" t="s">
        <v>228</v>
      </c>
      <c r="AB3607" t="s">
        <v>443</v>
      </c>
      <c r="AC3607" s="21">
        <v>64198.55</v>
      </c>
      <c r="AD3607" s="21" t="s">
        <v>368</v>
      </c>
      <c r="AE3607" t="str">
        <f>VLOOKUP(Table_Query_from_Actuarial___Production3[[#This Row],[Kor1]],$AI$3:$AK$105,3,FALSE)</f>
        <v>IBNR</v>
      </c>
      <c r="AF3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8" spans="18:32" x14ac:dyDescent="0.2">
      <c r="R3608" t="s">
        <v>11</v>
      </c>
      <c r="S3608" t="s">
        <v>354</v>
      </c>
      <c r="T3608" t="s">
        <v>442</v>
      </c>
      <c r="U3608" s="21">
        <v>58407733.710000001</v>
      </c>
      <c r="V3608" s="21" t="s">
        <v>368</v>
      </c>
      <c r="W3608" t="str">
        <f>VLOOKUP(Table_Query_from_Actuarial___Production[[#This Row],[Kor1]],$AI$3:$AK$105,3,FALSE)</f>
        <v>Losses Paid</v>
      </c>
      <c r="X3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608"/>
      <c r="Z3608" t="s">
        <v>32</v>
      </c>
      <c r="AA3608" t="s">
        <v>240</v>
      </c>
      <c r="AB3608" t="s">
        <v>351</v>
      </c>
      <c r="AC3608" s="21">
        <v>118831.84</v>
      </c>
      <c r="AD3608" s="21" t="s">
        <v>368</v>
      </c>
      <c r="AE3608" t="str">
        <f>VLOOKUP(Table_Query_from_Actuarial___Production3[[#This Row],[Kor1]],$AI$3:$AK$105,3,FALSE)</f>
        <v>Misc. Expense</v>
      </c>
      <c r="AF3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09" spans="18:32" x14ac:dyDescent="0.2">
      <c r="R3609" t="s">
        <v>13</v>
      </c>
      <c r="S3609" t="s">
        <v>352</v>
      </c>
      <c r="T3609" t="s">
        <v>445</v>
      </c>
      <c r="U3609" s="21">
        <v>3513.9</v>
      </c>
      <c r="V3609" s="21" t="s">
        <v>369</v>
      </c>
      <c r="W3609" t="str">
        <f>VLOOKUP(Table_Query_from_Actuarial___Production[[#This Row],[Kor1]],$AI$3:$AK$105,3,FALSE)</f>
        <v>Operating Service Fees</v>
      </c>
      <c r="X3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609"/>
      <c r="Z3609" t="s">
        <v>44</v>
      </c>
      <c r="AA3609" t="s">
        <v>232</v>
      </c>
      <c r="AB3609" t="s">
        <v>6</v>
      </c>
      <c r="AC3609" s="21">
        <v>34956.65</v>
      </c>
      <c r="AD3609" s="21" t="s">
        <v>368</v>
      </c>
      <c r="AE3609" t="str">
        <f>VLOOKUP(Table_Query_from_Actuarial___Production3[[#This Row],[Kor1]],$AI$3:$AK$105,3,FALSE)</f>
        <v>Charge-offs</v>
      </c>
      <c r="AF3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0" spans="18:32" x14ac:dyDescent="0.2">
      <c r="R3610" t="s">
        <v>28</v>
      </c>
      <c r="S3610" t="s">
        <v>259</v>
      </c>
      <c r="T3610" t="s">
        <v>442</v>
      </c>
      <c r="U3610" s="21">
        <v>26.91</v>
      </c>
      <c r="V3610" s="21" t="s">
        <v>368</v>
      </c>
      <c r="W3610" t="str">
        <f>VLOOKUP(Table_Query_from_Actuarial___Production[[#This Row],[Kor1]],$AI$3:$AK$105,3,FALSE)</f>
        <v>Misc. Expense</v>
      </c>
      <c r="X3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0"/>
      <c r="Z3610" t="s">
        <v>47</v>
      </c>
      <c r="AA3610" t="s">
        <v>244</v>
      </c>
      <c r="AB3610" t="s">
        <v>441</v>
      </c>
      <c r="AC3610" s="21">
        <v>50.75</v>
      </c>
      <c r="AD3610" s="21" t="s">
        <v>368</v>
      </c>
      <c r="AE3610" t="str">
        <f>VLOOKUP(Table_Query_from_Actuarial___Production3[[#This Row],[Kor1]],$AI$3:$AK$105,3,FALSE)</f>
        <v>Investment Income</v>
      </c>
      <c r="AF3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1" spans="18:32" x14ac:dyDescent="0.2">
      <c r="R3611" t="s">
        <v>31</v>
      </c>
      <c r="S3611" t="s">
        <v>254</v>
      </c>
      <c r="T3611" t="s">
        <v>351</v>
      </c>
      <c r="U3611" s="21">
        <v>618.76</v>
      </c>
      <c r="V3611" s="21" t="s">
        <v>368</v>
      </c>
      <c r="W3611" t="str">
        <f>VLOOKUP(Table_Query_from_Actuarial___Production[[#This Row],[Kor1]],$AI$3:$AK$105,3,FALSE)</f>
        <v>Misc. Expense</v>
      </c>
      <c r="X3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1"/>
      <c r="Z3611" t="s">
        <v>17</v>
      </c>
      <c r="AA3611" t="s">
        <v>4</v>
      </c>
      <c r="AB3611" t="s">
        <v>427</v>
      </c>
      <c r="AC3611" s="21">
        <v>4321770.71</v>
      </c>
      <c r="AD3611" s="21" t="s">
        <v>368</v>
      </c>
      <c r="AE3611" t="str">
        <f>VLOOKUP(Table_Query_from_Actuarial___Production3[[#This Row],[Kor1]],$AI$3:$AK$105,3,FALSE)</f>
        <v>IBNR</v>
      </c>
      <c r="AF3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2" spans="18:32" x14ac:dyDescent="0.2">
      <c r="R3612" t="s">
        <v>49</v>
      </c>
      <c r="S3612" t="s">
        <v>239</v>
      </c>
      <c r="T3612" t="s">
        <v>351</v>
      </c>
      <c r="U3612" s="21">
        <v>83.12</v>
      </c>
      <c r="V3612" s="21" t="s">
        <v>368</v>
      </c>
      <c r="W3612" t="str">
        <f>VLOOKUP(Table_Query_from_Actuarial___Production[[#This Row],[Kor1]],$AI$3:$AK$105,3,FALSE)</f>
        <v>ALAE Paid</v>
      </c>
      <c r="X3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2"/>
      <c r="Z3612" t="s">
        <v>20</v>
      </c>
      <c r="AA3612" t="s">
        <v>246</v>
      </c>
      <c r="AB3612" t="s">
        <v>427</v>
      </c>
      <c r="AC3612" s="21">
        <v>429.29</v>
      </c>
      <c r="AD3612" s="21" t="s">
        <v>368</v>
      </c>
      <c r="AE3612" t="str">
        <f>VLOOKUP(Table_Query_from_Actuarial___Production3[[#This Row],[Kor1]],$AI$3:$AK$105,3,FALSE)</f>
        <v>Misc. Expense</v>
      </c>
      <c r="AF3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3" spans="18:32" x14ac:dyDescent="0.2">
      <c r="R3613" t="s">
        <v>18</v>
      </c>
      <c r="S3613" t="s">
        <v>224</v>
      </c>
      <c r="T3613" t="s">
        <v>9</v>
      </c>
      <c r="U3613" s="21">
        <v>3872.4</v>
      </c>
      <c r="V3613" s="21" t="s">
        <v>425</v>
      </c>
      <c r="W3613" t="str">
        <f>VLOOKUP(Table_Query_from_Actuarial___Production[[#This Row],[Kor1]],$AI$3:$AK$105,3,FALSE)</f>
        <v>Misc. Expense</v>
      </c>
      <c r="X3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613"/>
      <c r="Z3613" t="s">
        <v>20</v>
      </c>
      <c r="AA3613" t="s">
        <v>261</v>
      </c>
      <c r="AB3613" t="s">
        <v>7</v>
      </c>
      <c r="AC3613" s="21">
        <v>113.37</v>
      </c>
      <c r="AD3613" s="21" t="s">
        <v>368</v>
      </c>
      <c r="AE3613" t="str">
        <f>VLOOKUP(Table_Query_from_Actuarial___Production3[[#This Row],[Kor1]],$AI$3:$AK$105,3,FALSE)</f>
        <v>Misc. Expense</v>
      </c>
      <c r="AF3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4" spans="18:32" x14ac:dyDescent="0.2">
      <c r="R3614" t="s">
        <v>48</v>
      </c>
      <c r="S3614" t="s">
        <v>228</v>
      </c>
      <c r="T3614" t="s">
        <v>442</v>
      </c>
      <c r="U3614" s="21">
        <v>163.32</v>
      </c>
      <c r="V3614" s="21" t="s">
        <v>368</v>
      </c>
      <c r="W3614" t="str">
        <f>VLOOKUP(Table_Query_from_Actuarial___Production[[#This Row],[Kor1]],$AI$3:$AK$105,3,FALSE)</f>
        <v>Anticipated Salvage</v>
      </c>
      <c r="X3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4"/>
      <c r="Z3614" t="s">
        <v>30</v>
      </c>
      <c r="AA3614" t="s">
        <v>259</v>
      </c>
      <c r="AB3614" t="s">
        <v>356</v>
      </c>
      <c r="AC3614" s="21">
        <v>1404.39</v>
      </c>
      <c r="AD3614" s="21" t="s">
        <v>368</v>
      </c>
      <c r="AE3614" t="str">
        <f>VLOOKUP(Table_Query_from_Actuarial___Production3[[#This Row],[Kor1]],$AI$3:$AK$105,3,FALSE)</f>
        <v>Misc. Expense</v>
      </c>
      <c r="AF3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5" spans="18:32" x14ac:dyDescent="0.2">
      <c r="R3615" t="s">
        <v>41</v>
      </c>
      <c r="S3615" t="s">
        <v>251</v>
      </c>
      <c r="T3615" t="s">
        <v>445</v>
      </c>
      <c r="U3615" s="21">
        <v>249.98</v>
      </c>
      <c r="V3615" s="21" t="s">
        <v>368</v>
      </c>
      <c r="W3615" t="str">
        <f>VLOOKUP(Table_Query_from_Actuarial___Production[[#This Row],[Kor1]],$AI$3:$AK$105,3,FALSE)</f>
        <v>Misc. Income</v>
      </c>
      <c r="X3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5"/>
      <c r="Z3615" t="s">
        <v>10</v>
      </c>
      <c r="AA3615" t="s">
        <v>241</v>
      </c>
      <c r="AB3615" t="s">
        <v>356</v>
      </c>
      <c r="AC3615" s="21">
        <v>87759.45</v>
      </c>
      <c r="AD3615" s="21" t="s">
        <v>368</v>
      </c>
      <c r="AE3615" t="str">
        <f>VLOOKUP(Table_Query_from_Actuarial___Production3[[#This Row],[Kor1]],$AI$3:$AK$105,3,FALSE)</f>
        <v>Commissions</v>
      </c>
      <c r="AF3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6" spans="18:32" x14ac:dyDescent="0.2">
      <c r="R3616" t="s">
        <v>19</v>
      </c>
      <c r="S3616" t="s">
        <v>249</v>
      </c>
      <c r="T3616" t="s">
        <v>9</v>
      </c>
      <c r="U3616" s="21">
        <v>450</v>
      </c>
      <c r="V3616" s="21" t="s">
        <v>368</v>
      </c>
      <c r="W3616" t="str">
        <f>VLOOKUP(Table_Query_from_Actuarial___Production[[#This Row],[Kor1]],$AI$3:$AK$105,3,FALSE)</f>
        <v>Misc. Expense for Insolvent Companies</v>
      </c>
      <c r="X3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6"/>
      <c r="Z3616" t="s">
        <v>43</v>
      </c>
      <c r="AA3616" t="s">
        <v>264</v>
      </c>
      <c r="AB3616" t="s">
        <v>443</v>
      </c>
      <c r="AC3616" s="21">
        <v>257.11</v>
      </c>
      <c r="AD3616" s="21" t="s">
        <v>368</v>
      </c>
      <c r="AE3616" t="str">
        <f>VLOOKUP(Table_Query_from_Actuarial___Production3[[#This Row],[Kor1]],$AI$3:$AK$105,3,FALSE)</f>
        <v>Charge-offs</v>
      </c>
      <c r="AF3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7" spans="18:32" x14ac:dyDescent="0.2">
      <c r="R3617" t="s">
        <v>3</v>
      </c>
      <c r="S3617" t="s">
        <v>245</v>
      </c>
      <c r="T3617" t="s">
        <v>433</v>
      </c>
      <c r="U3617" s="21">
        <v>2129</v>
      </c>
      <c r="V3617" s="21" t="s">
        <v>368</v>
      </c>
      <c r="W3617" t="str">
        <f>VLOOKUP(Table_Query_from_Actuarial___Production[[#This Row],[Kor1]],$AI$3:$AK$105,3,FALSE)</f>
        <v>Premiums Written</v>
      </c>
      <c r="X3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17"/>
      <c r="Z3617" t="s">
        <v>14</v>
      </c>
      <c r="AA3617" t="s">
        <v>238</v>
      </c>
      <c r="AB3617" t="s">
        <v>441</v>
      </c>
      <c r="AC3617" s="21">
        <v>84355.520000000004</v>
      </c>
      <c r="AD3617" s="21" t="s">
        <v>368</v>
      </c>
      <c r="AE3617" t="str">
        <f>VLOOKUP(Table_Query_from_Actuarial___Production3[[#This Row],[Kor1]],$AI$3:$AK$105,3,FALSE)</f>
        <v>Claims Expense</v>
      </c>
      <c r="AF3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8" spans="18:32" x14ac:dyDescent="0.2">
      <c r="R3618" t="s">
        <v>167</v>
      </c>
      <c r="S3618" t="s">
        <v>354</v>
      </c>
      <c r="T3618" t="s">
        <v>442</v>
      </c>
      <c r="U3618" s="21">
        <v>102755053</v>
      </c>
      <c r="V3618" s="21" t="s">
        <v>369</v>
      </c>
      <c r="W3618" t="str">
        <f>VLOOKUP(Table_Query_from_Actuarial___Production[[#This Row],[Kor1]],$AI$3:$AK$105,3,FALSE)</f>
        <v>Recoupment</v>
      </c>
      <c r="X3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618"/>
      <c r="Z3618" t="s">
        <v>20</v>
      </c>
      <c r="AA3618" t="s">
        <v>233</v>
      </c>
      <c r="AB3618" t="s">
        <v>427</v>
      </c>
      <c r="AC3618" s="21">
        <v>344.11</v>
      </c>
      <c r="AD3618" s="21" t="s">
        <v>368</v>
      </c>
      <c r="AE3618" t="str">
        <f>VLOOKUP(Table_Query_from_Actuarial___Production3[[#This Row],[Kor1]],$AI$3:$AK$105,3,FALSE)</f>
        <v>Misc. Expense</v>
      </c>
      <c r="AF3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19" spans="18:32" x14ac:dyDescent="0.2">
      <c r="R3619" t="s">
        <v>10</v>
      </c>
      <c r="S3619" t="s">
        <v>352</v>
      </c>
      <c r="T3619" t="s">
        <v>7</v>
      </c>
      <c r="U3619" s="21">
        <v>1229.55</v>
      </c>
      <c r="V3619" s="21" t="s">
        <v>368</v>
      </c>
      <c r="W3619" t="str">
        <f>VLOOKUP(Table_Query_from_Actuarial___Production[[#This Row],[Kor1]],$AI$3:$AK$105,3,FALSE)</f>
        <v>Commissions</v>
      </c>
      <c r="X3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619"/>
      <c r="Z3619" t="s">
        <v>12</v>
      </c>
      <c r="AA3619" t="s">
        <v>230</v>
      </c>
      <c r="AB3619" t="s">
        <v>441</v>
      </c>
      <c r="AC3619" s="21">
        <v>501777.83</v>
      </c>
      <c r="AD3619" s="21" t="s">
        <v>368</v>
      </c>
      <c r="AE3619" t="str">
        <f>VLOOKUP(Table_Query_from_Actuarial___Production3[[#This Row],[Kor1]],$AI$3:$AK$105,3,FALSE)</f>
        <v>Premium Tax</v>
      </c>
      <c r="AF3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0" spans="18:32" x14ac:dyDescent="0.2">
      <c r="R3620" t="s">
        <v>13</v>
      </c>
      <c r="S3620" t="s">
        <v>352</v>
      </c>
      <c r="T3620" t="s">
        <v>427</v>
      </c>
      <c r="U3620" s="21">
        <v>189.15</v>
      </c>
      <c r="V3620" s="21" t="s">
        <v>368</v>
      </c>
      <c r="W3620" t="str">
        <f>VLOOKUP(Table_Query_from_Actuarial___Production[[#This Row],[Kor1]],$AI$3:$AK$105,3,FALSE)</f>
        <v>Operating Service Fees</v>
      </c>
      <c r="X3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620"/>
      <c r="Z3620" t="s">
        <v>10</v>
      </c>
      <c r="AA3620" t="s">
        <v>266</v>
      </c>
      <c r="AB3620" t="s">
        <v>5</v>
      </c>
      <c r="AC3620" s="21">
        <v>6439.55</v>
      </c>
      <c r="AD3620" s="21" t="s">
        <v>368</v>
      </c>
      <c r="AE3620" t="str">
        <f>VLOOKUP(Table_Query_from_Actuarial___Production3[[#This Row],[Kor1]],$AI$3:$AK$105,3,FALSE)</f>
        <v>Commissions</v>
      </c>
      <c r="AF3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1" spans="18:32" x14ac:dyDescent="0.2">
      <c r="R3621" t="s">
        <v>36</v>
      </c>
      <c r="S3621" t="s">
        <v>4</v>
      </c>
      <c r="T3621" t="s">
        <v>441</v>
      </c>
      <c r="U3621" s="21">
        <v>381184.08</v>
      </c>
      <c r="V3621" s="21" t="s">
        <v>368</v>
      </c>
      <c r="W3621" t="str">
        <f>VLOOKUP(Table_Query_from_Actuarial___Production[[#This Row],[Kor1]],$AI$3:$AK$105,3,FALSE)</f>
        <v>Misc. Expense</v>
      </c>
      <c r="X3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1"/>
      <c r="Z3621" t="s">
        <v>12</v>
      </c>
      <c r="AA3621" t="s">
        <v>235</v>
      </c>
      <c r="AB3621" t="s">
        <v>6</v>
      </c>
      <c r="AC3621" s="21">
        <v>17798.400000000001</v>
      </c>
      <c r="AD3621" s="21" t="s">
        <v>368</v>
      </c>
      <c r="AE3621" t="str">
        <f>VLOOKUP(Table_Query_from_Actuarial___Production3[[#This Row],[Kor1]],$AI$3:$AK$105,3,FALSE)</f>
        <v>Premium Tax</v>
      </c>
      <c r="AF3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2" spans="18:32" x14ac:dyDescent="0.2">
      <c r="R3622" t="s">
        <v>44</v>
      </c>
      <c r="S3622" t="s">
        <v>234</v>
      </c>
      <c r="T3622" t="s">
        <v>441</v>
      </c>
      <c r="U3622" s="21">
        <v>7490.2</v>
      </c>
      <c r="V3622" s="21" t="s">
        <v>368</v>
      </c>
      <c r="W3622" t="str">
        <f>VLOOKUP(Table_Query_from_Actuarial___Production[[#This Row],[Kor1]],$AI$3:$AK$105,3,FALSE)</f>
        <v>Charge-offs</v>
      </c>
      <c r="X3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2"/>
      <c r="Z3622" t="s">
        <v>49</v>
      </c>
      <c r="AA3622" t="s">
        <v>236</v>
      </c>
      <c r="AB3622" t="s">
        <v>7</v>
      </c>
      <c r="AC3622" s="21">
        <v>3331</v>
      </c>
      <c r="AD3622" s="21" t="s">
        <v>368</v>
      </c>
      <c r="AE3622" t="str">
        <f>VLOOKUP(Table_Query_from_Actuarial___Production3[[#This Row],[Kor1]],$AI$3:$AK$105,3,FALSE)</f>
        <v>ALAE Paid</v>
      </c>
      <c r="AF3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3" spans="18:32" x14ac:dyDescent="0.2">
      <c r="R3623" t="s">
        <v>44</v>
      </c>
      <c r="S3623" t="s">
        <v>241</v>
      </c>
      <c r="T3623" t="s">
        <v>9</v>
      </c>
      <c r="U3623" s="21">
        <v>770.27</v>
      </c>
      <c r="V3623" s="21" t="s">
        <v>368</v>
      </c>
      <c r="W3623" t="str">
        <f>VLOOKUP(Table_Query_from_Actuarial___Production[[#This Row],[Kor1]],$AI$3:$AK$105,3,FALSE)</f>
        <v>Charge-offs</v>
      </c>
      <c r="X3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3"/>
      <c r="Z3623" t="s">
        <v>13</v>
      </c>
      <c r="AA3623" t="s">
        <v>235</v>
      </c>
      <c r="AB3623" t="s">
        <v>351</v>
      </c>
      <c r="AC3623" s="21">
        <v>131520.74</v>
      </c>
      <c r="AD3623" s="21" t="s">
        <v>368</v>
      </c>
      <c r="AE3623" t="str">
        <f>VLOOKUP(Table_Query_from_Actuarial___Production3[[#This Row],[Kor1]],$AI$3:$AK$105,3,FALSE)</f>
        <v>Operating Service Fees</v>
      </c>
      <c r="AF3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4" spans="18:32" x14ac:dyDescent="0.2">
      <c r="R3624" t="s">
        <v>15</v>
      </c>
      <c r="S3624" t="s">
        <v>231</v>
      </c>
      <c r="T3624" t="s">
        <v>443</v>
      </c>
      <c r="U3624" s="21">
        <v>596607.54</v>
      </c>
      <c r="V3624" s="21" t="s">
        <v>368</v>
      </c>
      <c r="W3624" t="str">
        <f>VLOOKUP(Table_Query_from_Actuarial___Production[[#This Row],[Kor1]],$AI$3:$AK$105,3,FALSE)</f>
        <v>Unearned Premiums</v>
      </c>
      <c r="X3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4"/>
      <c r="Z3624" t="s">
        <v>14</v>
      </c>
      <c r="AA3624" t="s">
        <v>254</v>
      </c>
      <c r="AB3624" t="s">
        <v>443</v>
      </c>
      <c r="AC3624" s="21">
        <v>297506.73</v>
      </c>
      <c r="AD3624" s="21" t="s">
        <v>368</v>
      </c>
      <c r="AE3624" t="str">
        <f>VLOOKUP(Table_Query_from_Actuarial___Production3[[#This Row],[Kor1]],$AI$3:$AK$105,3,FALSE)</f>
        <v>Claims Expense</v>
      </c>
      <c r="AF3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5" spans="18:32" x14ac:dyDescent="0.2">
      <c r="R3625" t="s">
        <v>17</v>
      </c>
      <c r="S3625" t="s">
        <v>253</v>
      </c>
      <c r="T3625" t="s">
        <v>441</v>
      </c>
      <c r="U3625" s="21">
        <v>3473.06</v>
      </c>
      <c r="V3625" s="21" t="s">
        <v>368</v>
      </c>
      <c r="W3625" t="str">
        <f>VLOOKUP(Table_Query_from_Actuarial___Production[[#This Row],[Kor1]],$AI$3:$AK$105,3,FALSE)</f>
        <v>IBNR</v>
      </c>
      <c r="X3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5"/>
      <c r="Z3625" t="s">
        <v>13</v>
      </c>
      <c r="AA3625" t="s">
        <v>265</v>
      </c>
      <c r="AB3625" t="s">
        <v>7</v>
      </c>
      <c r="AC3625" s="21">
        <v>74779.350000000006</v>
      </c>
      <c r="AD3625" s="21" t="s">
        <v>368</v>
      </c>
      <c r="AE3625" t="str">
        <f>VLOOKUP(Table_Query_from_Actuarial___Production3[[#This Row],[Kor1]],$AI$3:$AK$105,3,FALSE)</f>
        <v>Operating Service Fees</v>
      </c>
      <c r="AF3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6" spans="18:32" x14ac:dyDescent="0.2">
      <c r="R3626" t="s">
        <v>20</v>
      </c>
      <c r="S3626" t="s">
        <v>227</v>
      </c>
      <c r="T3626" t="s">
        <v>351</v>
      </c>
      <c r="U3626" s="21">
        <v>386.87</v>
      </c>
      <c r="V3626" s="21" t="s">
        <v>368</v>
      </c>
      <c r="W3626" t="str">
        <f>VLOOKUP(Table_Query_from_Actuarial___Production[[#This Row],[Kor1]],$AI$3:$AK$105,3,FALSE)</f>
        <v>Misc. Expense</v>
      </c>
      <c r="X3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6"/>
      <c r="Z3626" t="s">
        <v>14</v>
      </c>
      <c r="AA3626" t="s">
        <v>251</v>
      </c>
      <c r="AB3626" t="s">
        <v>441</v>
      </c>
      <c r="AC3626" s="21">
        <v>45566</v>
      </c>
      <c r="AD3626" s="21" t="s">
        <v>368</v>
      </c>
      <c r="AE3626" t="str">
        <f>VLOOKUP(Table_Query_from_Actuarial___Production3[[#This Row],[Kor1]],$AI$3:$AK$105,3,FALSE)</f>
        <v>Claims Expense</v>
      </c>
      <c r="AF3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7" spans="18:32" x14ac:dyDescent="0.2">
      <c r="R3627" t="s">
        <v>14</v>
      </c>
      <c r="S3627" t="s">
        <v>265</v>
      </c>
      <c r="T3627" t="s">
        <v>356</v>
      </c>
      <c r="U3627" s="21">
        <v>65898.94</v>
      </c>
      <c r="V3627" s="21" t="s">
        <v>368</v>
      </c>
      <c r="W3627" t="str">
        <f>VLOOKUP(Table_Query_from_Actuarial___Production[[#This Row],[Kor1]],$AI$3:$AK$105,3,FALSE)</f>
        <v>Claims Expense</v>
      </c>
      <c r="X3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7"/>
      <c r="Z3627" t="s">
        <v>48</v>
      </c>
      <c r="AA3627" t="s">
        <v>248</v>
      </c>
      <c r="AB3627" t="s">
        <v>427</v>
      </c>
      <c r="AC3627" s="21">
        <v>962.73</v>
      </c>
      <c r="AD3627" s="21" t="s">
        <v>368</v>
      </c>
      <c r="AE3627" t="str">
        <f>VLOOKUP(Table_Query_from_Actuarial___Production3[[#This Row],[Kor1]],$AI$3:$AK$105,3,FALSE)</f>
        <v>Anticipated Salvage</v>
      </c>
      <c r="AF3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8" spans="18:32" x14ac:dyDescent="0.2">
      <c r="R3628" t="s">
        <v>31</v>
      </c>
      <c r="S3628" t="s">
        <v>4</v>
      </c>
      <c r="T3628" t="s">
        <v>433</v>
      </c>
      <c r="U3628" s="21">
        <v>-259.91000000000003</v>
      </c>
      <c r="V3628" s="21" t="s">
        <v>368</v>
      </c>
      <c r="W3628" t="str">
        <f>VLOOKUP(Table_Query_from_Actuarial___Production[[#This Row],[Kor1]],$AI$3:$AK$105,3,FALSE)</f>
        <v>Misc. Expense</v>
      </c>
      <c r="X3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8"/>
      <c r="Z3628" t="s">
        <v>41</v>
      </c>
      <c r="AA3628" t="s">
        <v>230</v>
      </c>
      <c r="AB3628" t="s">
        <v>7</v>
      </c>
      <c r="AC3628" s="21">
        <v>2099.12</v>
      </c>
      <c r="AD3628" s="21" t="s">
        <v>368</v>
      </c>
      <c r="AE3628" t="str">
        <f>VLOOKUP(Table_Query_from_Actuarial___Production3[[#This Row],[Kor1]],$AI$3:$AK$105,3,FALSE)</f>
        <v>Misc. Income</v>
      </c>
      <c r="AF3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29" spans="18:32" x14ac:dyDescent="0.2">
      <c r="R3629" t="s">
        <v>11</v>
      </c>
      <c r="S3629" t="s">
        <v>261</v>
      </c>
      <c r="T3629" t="s">
        <v>351</v>
      </c>
      <c r="U3629" s="21">
        <v>73731.5</v>
      </c>
      <c r="V3629" s="21" t="s">
        <v>368</v>
      </c>
      <c r="W3629" t="str">
        <f>VLOOKUP(Table_Query_from_Actuarial___Production[[#This Row],[Kor1]],$AI$3:$AK$105,3,FALSE)</f>
        <v>Losses Paid</v>
      </c>
      <c r="X3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29"/>
      <c r="Z3629" t="s">
        <v>16</v>
      </c>
      <c r="AA3629" t="s">
        <v>354</v>
      </c>
      <c r="AB3629" t="s">
        <v>427</v>
      </c>
      <c r="AC3629" s="21">
        <v>9566580.1600000001</v>
      </c>
      <c r="AD3629" s="21" t="s">
        <v>368</v>
      </c>
      <c r="AE3629" t="str">
        <f>VLOOKUP(Table_Query_from_Actuarial___Production3[[#This Row],[Kor1]],$AI$3:$AK$105,3,FALSE)</f>
        <v>Losses Outstanding</v>
      </c>
      <c r="AF3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630" spans="18:32" x14ac:dyDescent="0.2">
      <c r="R3630" t="s">
        <v>19</v>
      </c>
      <c r="S3630" t="s">
        <v>264</v>
      </c>
      <c r="T3630" t="s">
        <v>441</v>
      </c>
      <c r="U3630" s="21">
        <v>1442.99</v>
      </c>
      <c r="V3630" s="21" t="s">
        <v>368</v>
      </c>
      <c r="W3630" t="str">
        <f>VLOOKUP(Table_Query_from_Actuarial___Production[[#This Row],[Kor1]],$AI$3:$AK$105,3,FALSE)</f>
        <v>Misc. Expense for Insolvent Companies</v>
      </c>
      <c r="X3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0"/>
      <c r="Z3630" t="s">
        <v>46</v>
      </c>
      <c r="AA3630" t="s">
        <v>224</v>
      </c>
      <c r="AB3630" t="s">
        <v>443</v>
      </c>
      <c r="AC3630" s="21">
        <v>39814.86</v>
      </c>
      <c r="AD3630" s="21" t="s">
        <v>368</v>
      </c>
      <c r="AE3630" t="str">
        <f>VLOOKUP(Table_Query_from_Actuarial___Production3[[#This Row],[Kor1]],$AI$3:$AK$105,3,FALSE)</f>
        <v>Investment Income</v>
      </c>
      <c r="AF3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631" spans="18:32" x14ac:dyDescent="0.2">
      <c r="R3631" t="s">
        <v>43</v>
      </c>
      <c r="S3631" t="s">
        <v>236</v>
      </c>
      <c r="T3631" t="s">
        <v>351</v>
      </c>
      <c r="U3631" s="21">
        <v>-37.26</v>
      </c>
      <c r="V3631" s="21" t="s">
        <v>368</v>
      </c>
      <c r="W3631" t="str">
        <f>VLOOKUP(Table_Query_from_Actuarial___Production[[#This Row],[Kor1]],$AI$3:$AK$105,3,FALSE)</f>
        <v>Charge-offs</v>
      </c>
      <c r="X3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1"/>
      <c r="Z3631" t="s">
        <v>11</v>
      </c>
      <c r="AA3631" t="s">
        <v>237</v>
      </c>
      <c r="AB3631" t="s">
        <v>433</v>
      </c>
      <c r="AC3631" s="21">
        <v>48000249.670000002</v>
      </c>
      <c r="AD3631" s="21" t="s">
        <v>368</v>
      </c>
      <c r="AE3631" t="str">
        <f>VLOOKUP(Table_Query_from_Actuarial___Production3[[#This Row],[Kor1]],$AI$3:$AK$105,3,FALSE)</f>
        <v>Losses Paid</v>
      </c>
      <c r="AF3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2" spans="18:32" x14ac:dyDescent="0.2">
      <c r="R3632" t="s">
        <v>47</v>
      </c>
      <c r="S3632" t="s">
        <v>244</v>
      </c>
      <c r="T3632" t="s">
        <v>351</v>
      </c>
      <c r="U3632" s="21">
        <v>1231.97</v>
      </c>
      <c r="V3632" s="21" t="s">
        <v>368</v>
      </c>
      <c r="W3632" t="str">
        <f>VLOOKUP(Table_Query_from_Actuarial___Production[[#This Row],[Kor1]],$AI$3:$AK$105,3,FALSE)</f>
        <v>Investment Income</v>
      </c>
      <c r="X3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2"/>
      <c r="Z3632" t="s">
        <v>12</v>
      </c>
      <c r="AA3632" t="s">
        <v>232</v>
      </c>
      <c r="AB3632" t="s">
        <v>443</v>
      </c>
      <c r="AC3632" s="21">
        <v>13997.18</v>
      </c>
      <c r="AD3632" s="21" t="s">
        <v>368</v>
      </c>
      <c r="AE3632" t="str">
        <f>VLOOKUP(Table_Query_from_Actuarial___Production3[[#This Row],[Kor1]],$AI$3:$AK$105,3,FALSE)</f>
        <v>Premium Tax</v>
      </c>
      <c r="AF3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3" spans="18:32" x14ac:dyDescent="0.2">
      <c r="R3633" t="s">
        <v>17</v>
      </c>
      <c r="S3633" t="s">
        <v>4</v>
      </c>
      <c r="T3633" t="s">
        <v>443</v>
      </c>
      <c r="U3633" s="21">
        <v>17961479.460000001</v>
      </c>
      <c r="V3633" s="21" t="s">
        <v>368</v>
      </c>
      <c r="W3633" t="str">
        <f>VLOOKUP(Table_Query_from_Actuarial___Production[[#This Row],[Kor1]],$AI$3:$AK$105,3,FALSE)</f>
        <v>IBNR</v>
      </c>
      <c r="X3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3"/>
      <c r="Z3633" t="s">
        <v>49</v>
      </c>
      <c r="AA3633" t="s">
        <v>228</v>
      </c>
      <c r="AB3633" t="s">
        <v>6</v>
      </c>
      <c r="AC3633" s="21">
        <v>13315.47</v>
      </c>
      <c r="AD3633" s="21" t="s">
        <v>368</v>
      </c>
      <c r="AE3633" t="str">
        <f>VLOOKUP(Table_Query_from_Actuarial___Production3[[#This Row],[Kor1]],$AI$3:$AK$105,3,FALSE)</f>
        <v>ALAE Paid</v>
      </c>
      <c r="AF3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4" spans="18:32" x14ac:dyDescent="0.2">
      <c r="R3634" t="s">
        <v>10</v>
      </c>
      <c r="S3634" t="s">
        <v>238</v>
      </c>
      <c r="T3634" t="s">
        <v>443</v>
      </c>
      <c r="U3634" s="21">
        <v>128321.3</v>
      </c>
      <c r="V3634" s="21" t="s">
        <v>368</v>
      </c>
      <c r="W3634" t="str">
        <f>VLOOKUP(Table_Query_from_Actuarial___Production[[#This Row],[Kor1]],$AI$3:$AK$105,3,FALSE)</f>
        <v>Commissions</v>
      </c>
      <c r="X3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4"/>
      <c r="Z3634" t="s">
        <v>49</v>
      </c>
      <c r="AA3634" t="s">
        <v>244</v>
      </c>
      <c r="AB3634" t="s">
        <v>427</v>
      </c>
      <c r="AC3634" s="21">
        <v>3656.04</v>
      </c>
      <c r="AD3634" s="21" t="s">
        <v>368</v>
      </c>
      <c r="AE3634" t="str">
        <f>VLOOKUP(Table_Query_from_Actuarial___Production3[[#This Row],[Kor1]],$AI$3:$AK$105,3,FALSE)</f>
        <v>ALAE Paid</v>
      </c>
      <c r="AF3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5" spans="18:32" x14ac:dyDescent="0.2">
      <c r="R3635" t="s">
        <v>31</v>
      </c>
      <c r="S3635" t="s">
        <v>262</v>
      </c>
      <c r="T3635" t="s">
        <v>9</v>
      </c>
      <c r="U3635" s="21">
        <v>439.09</v>
      </c>
      <c r="V3635" s="21" t="s">
        <v>368</v>
      </c>
      <c r="W3635" t="str">
        <f>VLOOKUP(Table_Query_from_Actuarial___Production[[#This Row],[Kor1]],$AI$3:$AK$105,3,FALSE)</f>
        <v>Misc. Expense</v>
      </c>
      <c r="X3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5"/>
      <c r="Z3635" t="s">
        <v>33</v>
      </c>
      <c r="AA3635" t="s">
        <v>242</v>
      </c>
      <c r="AB3635" t="s">
        <v>6</v>
      </c>
      <c r="AC3635" s="21">
        <v>17640.84</v>
      </c>
      <c r="AD3635" s="21" t="s">
        <v>368</v>
      </c>
      <c r="AE3635" t="str">
        <f>VLOOKUP(Table_Query_from_Actuarial___Production3[[#This Row],[Kor1]],$AI$3:$AK$105,3,FALSE)</f>
        <v>Misc. Expense</v>
      </c>
      <c r="AF3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6" spans="18:32" x14ac:dyDescent="0.2">
      <c r="R3636" t="s">
        <v>31</v>
      </c>
      <c r="S3636" t="s">
        <v>253</v>
      </c>
      <c r="T3636" t="s">
        <v>351</v>
      </c>
      <c r="U3636" s="21">
        <v>619.12</v>
      </c>
      <c r="V3636" s="21" t="s">
        <v>368</v>
      </c>
      <c r="W3636" t="str">
        <f>VLOOKUP(Table_Query_from_Actuarial___Production[[#This Row],[Kor1]],$AI$3:$AK$105,3,FALSE)</f>
        <v>Misc. Expense</v>
      </c>
      <c r="X3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6"/>
      <c r="Z3636" t="s">
        <v>3</v>
      </c>
      <c r="AA3636" t="s">
        <v>265</v>
      </c>
      <c r="AB3636" t="s">
        <v>5</v>
      </c>
      <c r="AC3636" s="21">
        <v>145560</v>
      </c>
      <c r="AD3636" s="21" t="s">
        <v>368</v>
      </c>
      <c r="AE3636" t="str">
        <f>VLOOKUP(Table_Query_from_Actuarial___Production3[[#This Row],[Kor1]],$AI$3:$AK$105,3,FALSE)</f>
        <v>Premiums Written</v>
      </c>
      <c r="AF3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7" spans="18:32" x14ac:dyDescent="0.2">
      <c r="R3637" t="s">
        <v>37</v>
      </c>
      <c r="S3637" t="s">
        <v>237</v>
      </c>
      <c r="T3637" t="s">
        <v>445</v>
      </c>
      <c r="U3637" s="21">
        <v>82491.98</v>
      </c>
      <c r="V3637" s="21" t="s">
        <v>368</v>
      </c>
      <c r="W3637" t="str">
        <f>VLOOKUP(Table_Query_from_Actuarial___Production[[#This Row],[Kor1]],$AI$3:$AK$105,3,FALSE)</f>
        <v>Misc. Expense</v>
      </c>
      <c r="X3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7"/>
      <c r="Z3637" t="s">
        <v>40</v>
      </c>
      <c r="AA3637" t="s">
        <v>244</v>
      </c>
      <c r="AB3637" t="s">
        <v>6</v>
      </c>
      <c r="AC3637" s="21">
        <v>382.99</v>
      </c>
      <c r="AD3637" s="21" t="s">
        <v>368</v>
      </c>
      <c r="AE3637" t="str">
        <f>VLOOKUP(Table_Query_from_Actuarial___Production3[[#This Row],[Kor1]],$AI$3:$AK$105,3,FALSE)</f>
        <v>Misc. Income</v>
      </c>
      <c r="AF3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8" spans="18:32" x14ac:dyDescent="0.2">
      <c r="R3638" t="s">
        <v>47</v>
      </c>
      <c r="S3638" t="s">
        <v>246</v>
      </c>
      <c r="T3638" t="s">
        <v>7</v>
      </c>
      <c r="U3638" s="21">
        <v>0.05</v>
      </c>
      <c r="V3638" s="21" t="s">
        <v>368</v>
      </c>
      <c r="W3638" t="str">
        <f>VLOOKUP(Table_Query_from_Actuarial___Production[[#This Row],[Kor1]],$AI$3:$AK$105,3,FALSE)</f>
        <v>Investment Income</v>
      </c>
      <c r="X3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8"/>
      <c r="Z3638" t="s">
        <v>10</v>
      </c>
      <c r="AA3638" t="s">
        <v>258</v>
      </c>
      <c r="AB3638" t="s">
        <v>442</v>
      </c>
      <c r="AC3638" s="21">
        <v>213860.24</v>
      </c>
      <c r="AD3638" s="21" t="s">
        <v>368</v>
      </c>
      <c r="AE3638" t="str">
        <f>VLOOKUP(Table_Query_from_Actuarial___Production3[[#This Row],[Kor1]],$AI$3:$AK$105,3,FALSE)</f>
        <v>Commissions</v>
      </c>
      <c r="AF3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39" spans="18:32" x14ac:dyDescent="0.2">
      <c r="R3639" t="s">
        <v>33</v>
      </c>
      <c r="S3639" t="s">
        <v>257</v>
      </c>
      <c r="T3639" t="s">
        <v>442</v>
      </c>
      <c r="U3639" s="21">
        <v>21105.06</v>
      </c>
      <c r="V3639" s="21" t="s">
        <v>368</v>
      </c>
      <c r="W3639" t="str">
        <f>VLOOKUP(Table_Query_from_Actuarial___Production[[#This Row],[Kor1]],$AI$3:$AK$105,3,FALSE)</f>
        <v>Misc. Expense</v>
      </c>
      <c r="X3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39"/>
      <c r="Z3639" t="s">
        <v>36</v>
      </c>
      <c r="AA3639" t="s">
        <v>250</v>
      </c>
      <c r="AB3639" t="s">
        <v>442</v>
      </c>
      <c r="AC3639" s="21">
        <v>510.01</v>
      </c>
      <c r="AD3639" s="21" t="s">
        <v>368</v>
      </c>
      <c r="AE3639" t="str">
        <f>VLOOKUP(Table_Query_from_Actuarial___Production3[[#This Row],[Kor1]],$AI$3:$AK$105,3,FALSE)</f>
        <v>Misc. Expense</v>
      </c>
      <c r="AF3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0" spans="18:32" x14ac:dyDescent="0.2">
      <c r="R3640" t="s">
        <v>19</v>
      </c>
      <c r="S3640" t="s">
        <v>229</v>
      </c>
      <c r="T3640" t="s">
        <v>442</v>
      </c>
      <c r="U3640" s="21">
        <v>305</v>
      </c>
      <c r="V3640" s="21" t="s">
        <v>368</v>
      </c>
      <c r="W3640" t="str">
        <f>VLOOKUP(Table_Query_from_Actuarial___Production[[#This Row],[Kor1]],$AI$3:$AK$105,3,FALSE)</f>
        <v>Misc. Expense for Insolvent Companies</v>
      </c>
      <c r="X3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0"/>
      <c r="Z3640" t="s">
        <v>11</v>
      </c>
      <c r="AA3640" t="s">
        <v>354</v>
      </c>
      <c r="AB3640" t="s">
        <v>442</v>
      </c>
      <c r="AC3640" s="21">
        <v>29182615.989999998</v>
      </c>
      <c r="AD3640" s="21" t="s">
        <v>368</v>
      </c>
      <c r="AE3640" t="str">
        <f>VLOOKUP(Table_Query_from_Actuarial___Production3[[#This Row],[Kor1]],$AI$3:$AK$105,3,FALSE)</f>
        <v>Losses Paid</v>
      </c>
      <c r="AF3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641" spans="18:32" x14ac:dyDescent="0.2">
      <c r="R3641" t="s">
        <v>39</v>
      </c>
      <c r="S3641" t="s">
        <v>257</v>
      </c>
      <c r="T3641" t="s">
        <v>9</v>
      </c>
      <c r="U3641" s="21">
        <v>1970.02</v>
      </c>
      <c r="V3641" s="21" t="s">
        <v>368</v>
      </c>
      <c r="W3641" t="str">
        <f>VLOOKUP(Table_Query_from_Actuarial___Production[[#This Row],[Kor1]],$AI$3:$AK$105,3,FALSE)</f>
        <v>Misc. Income for Insolvent Companies</v>
      </c>
      <c r="X3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1"/>
      <c r="Z3641" t="s">
        <v>13</v>
      </c>
      <c r="AA3641" t="s">
        <v>233</v>
      </c>
      <c r="AB3641" t="s">
        <v>5</v>
      </c>
      <c r="AC3641" s="21">
        <v>46038.04</v>
      </c>
      <c r="AD3641" s="21" t="s">
        <v>368</v>
      </c>
      <c r="AE3641" t="str">
        <f>VLOOKUP(Table_Query_from_Actuarial___Production3[[#This Row],[Kor1]],$AI$3:$AK$105,3,FALSE)</f>
        <v>Operating Service Fees</v>
      </c>
      <c r="AF3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2" spans="18:32" x14ac:dyDescent="0.2">
      <c r="R3642" t="s">
        <v>13</v>
      </c>
      <c r="S3642" t="s">
        <v>352</v>
      </c>
      <c r="T3642" t="s">
        <v>7</v>
      </c>
      <c r="U3642" s="21">
        <v>2213.31</v>
      </c>
      <c r="V3642" s="21" t="s">
        <v>368</v>
      </c>
      <c r="W3642" t="str">
        <f>VLOOKUP(Table_Query_from_Actuarial___Production[[#This Row],[Kor1]],$AI$3:$AK$105,3,FALSE)</f>
        <v>Operating Service Fees</v>
      </c>
      <c r="X3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642"/>
      <c r="Z3642" t="s">
        <v>28</v>
      </c>
      <c r="AA3642" t="s">
        <v>259</v>
      </c>
      <c r="AB3642" t="s">
        <v>442</v>
      </c>
      <c r="AC3642" s="21">
        <v>26.91</v>
      </c>
      <c r="AD3642" s="21" t="s">
        <v>368</v>
      </c>
      <c r="AE3642" t="str">
        <f>VLOOKUP(Table_Query_from_Actuarial___Production3[[#This Row],[Kor1]],$AI$3:$AK$105,3,FALSE)</f>
        <v>Misc. Expense</v>
      </c>
      <c r="AF3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3" spans="18:32" x14ac:dyDescent="0.2">
      <c r="R3643" t="s">
        <v>10</v>
      </c>
      <c r="S3643" t="s">
        <v>261</v>
      </c>
      <c r="T3643" t="s">
        <v>445</v>
      </c>
      <c r="U3643" s="21">
        <v>43417.15</v>
      </c>
      <c r="V3643" s="21" t="s">
        <v>368</v>
      </c>
      <c r="W3643" t="str">
        <f>VLOOKUP(Table_Query_from_Actuarial___Production[[#This Row],[Kor1]],$AI$3:$AK$105,3,FALSE)</f>
        <v>Commissions</v>
      </c>
      <c r="X3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3"/>
      <c r="Z3643" t="s">
        <v>31</v>
      </c>
      <c r="AA3643" t="s">
        <v>254</v>
      </c>
      <c r="AB3643" t="s">
        <v>351</v>
      </c>
      <c r="AC3643" s="21">
        <v>618.76</v>
      </c>
      <c r="AD3643" s="21" t="s">
        <v>368</v>
      </c>
      <c r="AE3643" t="str">
        <f>VLOOKUP(Table_Query_from_Actuarial___Production3[[#This Row],[Kor1]],$AI$3:$AK$105,3,FALSE)</f>
        <v>Misc. Expense</v>
      </c>
      <c r="AF3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4" spans="18:32" x14ac:dyDescent="0.2">
      <c r="R3644" t="s">
        <v>39</v>
      </c>
      <c r="S3644" t="s">
        <v>243</v>
      </c>
      <c r="T3644" t="s">
        <v>6</v>
      </c>
      <c r="U3644" s="21">
        <v>6.36</v>
      </c>
      <c r="V3644" s="21" t="s">
        <v>368</v>
      </c>
      <c r="W3644" t="str">
        <f>VLOOKUP(Table_Query_from_Actuarial___Production[[#This Row],[Kor1]],$AI$3:$AK$105,3,FALSE)</f>
        <v>Misc. Income for Insolvent Companies</v>
      </c>
      <c r="X3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4"/>
      <c r="Z3644" t="s">
        <v>49</v>
      </c>
      <c r="AA3644" t="s">
        <v>239</v>
      </c>
      <c r="AB3644" t="s">
        <v>351</v>
      </c>
      <c r="AC3644" s="21">
        <v>83.12</v>
      </c>
      <c r="AD3644" s="21" t="s">
        <v>368</v>
      </c>
      <c r="AE3644" t="str">
        <f>VLOOKUP(Table_Query_from_Actuarial___Production3[[#This Row],[Kor1]],$AI$3:$AK$105,3,FALSE)</f>
        <v>ALAE Paid</v>
      </c>
      <c r="AF3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5" spans="18:32" x14ac:dyDescent="0.2">
      <c r="R3645" t="s">
        <v>40</v>
      </c>
      <c r="S3645" t="s">
        <v>260</v>
      </c>
      <c r="T3645" t="s">
        <v>6</v>
      </c>
      <c r="U3645" s="21">
        <v>54</v>
      </c>
      <c r="V3645" s="21" t="s">
        <v>368</v>
      </c>
      <c r="W3645" t="str">
        <f>VLOOKUP(Table_Query_from_Actuarial___Production[[#This Row],[Kor1]],$AI$3:$AK$105,3,FALSE)</f>
        <v>Misc. Income</v>
      </c>
      <c r="X3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5"/>
      <c r="Z3645" t="s">
        <v>18</v>
      </c>
      <c r="AA3645" t="s">
        <v>224</v>
      </c>
      <c r="AB3645" t="s">
        <v>9</v>
      </c>
      <c r="AC3645" s="21">
        <v>3872.4</v>
      </c>
      <c r="AD3645" s="21" t="s">
        <v>425</v>
      </c>
      <c r="AE3645" t="str">
        <f>VLOOKUP(Table_Query_from_Actuarial___Production3[[#This Row],[Kor1]],$AI$3:$AK$105,3,FALSE)</f>
        <v>Misc. Expense</v>
      </c>
      <c r="AF3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646" spans="18:32" x14ac:dyDescent="0.2">
      <c r="R3646" t="s">
        <v>3</v>
      </c>
      <c r="S3646" t="s">
        <v>235</v>
      </c>
      <c r="T3646" t="s">
        <v>351</v>
      </c>
      <c r="U3646" s="21">
        <v>683055</v>
      </c>
      <c r="V3646" s="21" t="s">
        <v>368</v>
      </c>
      <c r="W3646" t="str">
        <f>VLOOKUP(Table_Query_from_Actuarial___Production[[#This Row],[Kor1]],$AI$3:$AK$105,3,FALSE)</f>
        <v>Premiums Written</v>
      </c>
      <c r="X3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6"/>
      <c r="Z3646" t="s">
        <v>48</v>
      </c>
      <c r="AA3646" t="s">
        <v>228</v>
      </c>
      <c r="AB3646" t="s">
        <v>442</v>
      </c>
      <c r="AC3646" s="21">
        <v>328.95</v>
      </c>
      <c r="AD3646" s="21" t="s">
        <v>368</v>
      </c>
      <c r="AE3646" t="str">
        <f>VLOOKUP(Table_Query_from_Actuarial___Production3[[#This Row],[Kor1]],$AI$3:$AK$105,3,FALSE)</f>
        <v>Anticipated Salvage</v>
      </c>
      <c r="AF3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7" spans="18:32" x14ac:dyDescent="0.2">
      <c r="R3647" t="s">
        <v>40</v>
      </c>
      <c r="S3647" t="s">
        <v>262</v>
      </c>
      <c r="T3647" t="s">
        <v>7</v>
      </c>
      <c r="U3647" s="21">
        <v>282.99</v>
      </c>
      <c r="V3647" s="21" t="s">
        <v>368</v>
      </c>
      <c r="W3647" t="str">
        <f>VLOOKUP(Table_Query_from_Actuarial___Production[[#This Row],[Kor1]],$AI$3:$AK$105,3,FALSE)</f>
        <v>Misc. Income</v>
      </c>
      <c r="X3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7"/>
      <c r="Z3647" t="s">
        <v>19</v>
      </c>
      <c r="AA3647" t="s">
        <v>249</v>
      </c>
      <c r="AB3647" t="s">
        <v>9</v>
      </c>
      <c r="AC3647" s="21">
        <v>450</v>
      </c>
      <c r="AD3647" s="21" t="s">
        <v>368</v>
      </c>
      <c r="AE3647" t="str">
        <f>VLOOKUP(Table_Query_from_Actuarial___Production3[[#This Row],[Kor1]],$AI$3:$AK$105,3,FALSE)</f>
        <v>Misc. Expense for Insolvent Companies</v>
      </c>
      <c r="AF3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8" spans="18:32" x14ac:dyDescent="0.2">
      <c r="R3648" t="s">
        <v>47</v>
      </c>
      <c r="S3648" t="s">
        <v>230</v>
      </c>
      <c r="T3648" t="s">
        <v>442</v>
      </c>
      <c r="U3648" s="21">
        <v>40374.43</v>
      </c>
      <c r="V3648" s="21" t="s">
        <v>368</v>
      </c>
      <c r="W3648" t="str">
        <f>VLOOKUP(Table_Query_from_Actuarial___Production[[#This Row],[Kor1]],$AI$3:$AK$105,3,FALSE)</f>
        <v>Investment Income</v>
      </c>
      <c r="X3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8"/>
      <c r="Z3648" t="s">
        <v>3</v>
      </c>
      <c r="AA3648" t="s">
        <v>245</v>
      </c>
      <c r="AB3648" t="s">
        <v>433</v>
      </c>
      <c r="AC3648" s="21">
        <v>2129</v>
      </c>
      <c r="AD3648" s="21" t="s">
        <v>368</v>
      </c>
      <c r="AE3648" t="str">
        <f>VLOOKUP(Table_Query_from_Actuarial___Production3[[#This Row],[Kor1]],$AI$3:$AK$105,3,FALSE)</f>
        <v>Premiums Written</v>
      </c>
      <c r="AF3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49" spans="18:32" x14ac:dyDescent="0.2">
      <c r="R3649" t="s">
        <v>49</v>
      </c>
      <c r="S3649" t="s">
        <v>240</v>
      </c>
      <c r="T3649" t="s">
        <v>8</v>
      </c>
      <c r="U3649" s="21">
        <v>88012.21</v>
      </c>
      <c r="V3649" s="21" t="s">
        <v>368</v>
      </c>
      <c r="W3649" t="str">
        <f>VLOOKUP(Table_Query_from_Actuarial___Production[[#This Row],[Kor1]],$AI$3:$AK$105,3,FALSE)</f>
        <v>ALAE Paid</v>
      </c>
      <c r="X3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49"/>
      <c r="Z3649" t="s">
        <v>167</v>
      </c>
      <c r="AA3649" t="s">
        <v>354</v>
      </c>
      <c r="AB3649" t="s">
        <v>442</v>
      </c>
      <c r="AC3649" s="21">
        <v>78568346</v>
      </c>
      <c r="AD3649" s="21" t="s">
        <v>369</v>
      </c>
      <c r="AE3649" t="str">
        <f>VLOOKUP(Table_Query_from_Actuarial___Production3[[#This Row],[Kor1]],$AI$3:$AK$105,3,FALSE)</f>
        <v>Recoupment</v>
      </c>
      <c r="AF3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650" spans="18:32" x14ac:dyDescent="0.2">
      <c r="R3650" t="s">
        <v>14</v>
      </c>
      <c r="S3650" t="s">
        <v>266</v>
      </c>
      <c r="T3650" t="s">
        <v>9</v>
      </c>
      <c r="U3650" s="21">
        <v>30428.29</v>
      </c>
      <c r="V3650" s="21" t="s">
        <v>368</v>
      </c>
      <c r="W3650" t="str">
        <f>VLOOKUP(Table_Query_from_Actuarial___Production[[#This Row],[Kor1]],$AI$3:$AK$105,3,FALSE)</f>
        <v>Claims Expense</v>
      </c>
      <c r="X3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0"/>
      <c r="Z3650" t="s">
        <v>10</v>
      </c>
      <c r="AA3650" t="s">
        <v>352</v>
      </c>
      <c r="AB3650" t="s">
        <v>7</v>
      </c>
      <c r="AC3650" s="21">
        <v>1229.55</v>
      </c>
      <c r="AD3650" s="21" t="s">
        <v>368</v>
      </c>
      <c r="AE3650" t="str">
        <f>VLOOKUP(Table_Query_from_Actuarial___Production3[[#This Row],[Kor1]],$AI$3:$AK$105,3,FALSE)</f>
        <v>Commissions</v>
      </c>
      <c r="AF3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651" spans="18:32" x14ac:dyDescent="0.2">
      <c r="R3651" t="s">
        <v>41</v>
      </c>
      <c r="S3651" t="s">
        <v>231</v>
      </c>
      <c r="T3651" t="s">
        <v>9</v>
      </c>
      <c r="U3651" s="21">
        <v>300</v>
      </c>
      <c r="V3651" s="21" t="s">
        <v>368</v>
      </c>
      <c r="W3651" t="str">
        <f>VLOOKUP(Table_Query_from_Actuarial___Production[[#This Row],[Kor1]],$AI$3:$AK$105,3,FALSE)</f>
        <v>Misc. Income</v>
      </c>
      <c r="X3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1"/>
      <c r="Z3651" t="s">
        <v>13</v>
      </c>
      <c r="AA3651" t="s">
        <v>352</v>
      </c>
      <c r="AB3651" t="s">
        <v>427</v>
      </c>
      <c r="AC3651" s="21">
        <v>189.15</v>
      </c>
      <c r="AD3651" s="21" t="s">
        <v>368</v>
      </c>
      <c r="AE3651" t="str">
        <f>VLOOKUP(Table_Query_from_Actuarial___Production3[[#This Row],[Kor1]],$AI$3:$AK$105,3,FALSE)</f>
        <v>Operating Service Fees</v>
      </c>
      <c r="AF3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652" spans="18:32" x14ac:dyDescent="0.2">
      <c r="R3652" t="s">
        <v>3</v>
      </c>
      <c r="S3652" t="s">
        <v>243</v>
      </c>
      <c r="T3652" t="s">
        <v>445</v>
      </c>
      <c r="U3652" s="21">
        <v>146082</v>
      </c>
      <c r="V3652" s="21" t="s">
        <v>368</v>
      </c>
      <c r="W3652" t="str">
        <f>VLOOKUP(Table_Query_from_Actuarial___Production[[#This Row],[Kor1]],$AI$3:$AK$105,3,FALSE)</f>
        <v>Premiums Written</v>
      </c>
      <c r="X3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2"/>
      <c r="Z3652" t="s">
        <v>36</v>
      </c>
      <c r="AA3652" t="s">
        <v>4</v>
      </c>
      <c r="AB3652" t="s">
        <v>441</v>
      </c>
      <c r="AC3652" s="21">
        <v>381184.08</v>
      </c>
      <c r="AD3652" s="21" t="s">
        <v>368</v>
      </c>
      <c r="AE3652" t="str">
        <f>VLOOKUP(Table_Query_from_Actuarial___Production3[[#This Row],[Kor1]],$AI$3:$AK$105,3,FALSE)</f>
        <v>Misc. Expense</v>
      </c>
      <c r="AF3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3" spans="18:32" x14ac:dyDescent="0.2">
      <c r="R3653" t="s">
        <v>12</v>
      </c>
      <c r="S3653" t="s">
        <v>268</v>
      </c>
      <c r="T3653" t="s">
        <v>445</v>
      </c>
      <c r="U3653" s="21">
        <v>393.68</v>
      </c>
      <c r="V3653" s="21" t="s">
        <v>368</v>
      </c>
      <c r="W3653" t="str">
        <f>VLOOKUP(Table_Query_from_Actuarial___Production[[#This Row],[Kor1]],$AI$3:$AK$105,3,FALSE)</f>
        <v>Premium Tax</v>
      </c>
      <c r="X3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3"/>
      <c r="Z3653" t="s">
        <v>44</v>
      </c>
      <c r="AA3653" t="s">
        <v>234</v>
      </c>
      <c r="AB3653" t="s">
        <v>441</v>
      </c>
      <c r="AC3653" s="21">
        <v>7690.2</v>
      </c>
      <c r="AD3653" s="21" t="s">
        <v>368</v>
      </c>
      <c r="AE3653" t="str">
        <f>VLOOKUP(Table_Query_from_Actuarial___Production3[[#This Row],[Kor1]],$AI$3:$AK$105,3,FALSE)</f>
        <v>Charge-offs</v>
      </c>
      <c r="AF3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4" spans="18:32" x14ac:dyDescent="0.2">
      <c r="R3654" t="s">
        <v>16</v>
      </c>
      <c r="S3654" t="s">
        <v>239</v>
      </c>
      <c r="T3654" t="s">
        <v>443</v>
      </c>
      <c r="U3654" s="21">
        <v>646658.86</v>
      </c>
      <c r="V3654" s="21" t="s">
        <v>368</v>
      </c>
      <c r="W3654" t="str">
        <f>VLOOKUP(Table_Query_from_Actuarial___Production[[#This Row],[Kor1]],$AI$3:$AK$105,3,FALSE)</f>
        <v>Losses Outstanding</v>
      </c>
      <c r="X3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4"/>
      <c r="Z3654" t="s">
        <v>11</v>
      </c>
      <c r="AA3654" t="s">
        <v>352</v>
      </c>
      <c r="AB3654" t="s">
        <v>5</v>
      </c>
      <c r="AC3654" s="21">
        <v>150849.38</v>
      </c>
      <c r="AD3654" s="21" t="s">
        <v>369</v>
      </c>
      <c r="AE3654" t="str">
        <f>VLOOKUP(Table_Query_from_Actuarial___Production3[[#This Row],[Kor1]],$AI$3:$AK$105,3,FALSE)</f>
        <v>Losses Paid</v>
      </c>
      <c r="AF3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655" spans="18:32" x14ac:dyDescent="0.2">
      <c r="R3655" t="s">
        <v>20</v>
      </c>
      <c r="S3655" t="s">
        <v>241</v>
      </c>
      <c r="T3655" t="s">
        <v>6</v>
      </c>
      <c r="U3655" s="21">
        <v>322.67</v>
      </c>
      <c r="V3655" s="21" t="s">
        <v>368</v>
      </c>
      <c r="W3655" t="str">
        <f>VLOOKUP(Table_Query_from_Actuarial___Production[[#This Row],[Kor1]],$AI$3:$AK$105,3,FALSE)</f>
        <v>Misc. Expense</v>
      </c>
      <c r="X3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5"/>
      <c r="Z3655" t="s">
        <v>44</v>
      </c>
      <c r="AA3655" t="s">
        <v>241</v>
      </c>
      <c r="AB3655" t="s">
        <v>9</v>
      </c>
      <c r="AC3655" s="21">
        <v>770.27</v>
      </c>
      <c r="AD3655" s="21" t="s">
        <v>368</v>
      </c>
      <c r="AE3655" t="str">
        <f>VLOOKUP(Table_Query_from_Actuarial___Production3[[#This Row],[Kor1]],$AI$3:$AK$105,3,FALSE)</f>
        <v>Charge-offs</v>
      </c>
      <c r="AF3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6" spans="18:32" x14ac:dyDescent="0.2">
      <c r="R3656" t="s">
        <v>36</v>
      </c>
      <c r="S3656" t="s">
        <v>4</v>
      </c>
      <c r="T3656" t="s">
        <v>351</v>
      </c>
      <c r="U3656" s="21">
        <v>22582.21</v>
      </c>
      <c r="V3656" s="21" t="s">
        <v>368</v>
      </c>
      <c r="W3656" t="str">
        <f>VLOOKUP(Table_Query_from_Actuarial___Production[[#This Row],[Kor1]],$AI$3:$AK$105,3,FALSE)</f>
        <v>Misc. Expense</v>
      </c>
      <c r="X3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6"/>
      <c r="Z3656" t="s">
        <v>15</v>
      </c>
      <c r="AA3656" t="s">
        <v>231</v>
      </c>
      <c r="AB3656" t="s">
        <v>443</v>
      </c>
      <c r="AC3656" s="21">
        <v>651083.02</v>
      </c>
      <c r="AD3656" s="21" t="s">
        <v>368</v>
      </c>
      <c r="AE3656" t="str">
        <f>VLOOKUP(Table_Query_from_Actuarial___Production3[[#This Row],[Kor1]],$AI$3:$AK$105,3,FALSE)</f>
        <v>Unearned Premiums</v>
      </c>
      <c r="AF3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7" spans="18:32" x14ac:dyDescent="0.2">
      <c r="R3657" t="s">
        <v>14</v>
      </c>
      <c r="S3657" t="s">
        <v>228</v>
      </c>
      <c r="T3657" t="s">
        <v>356</v>
      </c>
      <c r="U3657" s="21">
        <v>8227.07</v>
      </c>
      <c r="V3657" s="21" t="s">
        <v>368</v>
      </c>
      <c r="W3657" t="str">
        <f>VLOOKUP(Table_Query_from_Actuarial___Production[[#This Row],[Kor1]],$AI$3:$AK$105,3,FALSE)</f>
        <v>Claims Expense</v>
      </c>
      <c r="X3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7"/>
      <c r="Z3657" t="s">
        <v>17</v>
      </c>
      <c r="AA3657" t="s">
        <v>253</v>
      </c>
      <c r="AB3657" t="s">
        <v>441</v>
      </c>
      <c r="AC3657" s="21">
        <v>5712.93</v>
      </c>
      <c r="AD3657" s="21" t="s">
        <v>368</v>
      </c>
      <c r="AE3657" t="str">
        <f>VLOOKUP(Table_Query_from_Actuarial___Production3[[#This Row],[Kor1]],$AI$3:$AK$105,3,FALSE)</f>
        <v>IBNR</v>
      </c>
      <c r="AF3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8" spans="18:32" x14ac:dyDescent="0.2">
      <c r="R3658" t="s">
        <v>33</v>
      </c>
      <c r="S3658" t="s">
        <v>228</v>
      </c>
      <c r="T3658" t="s">
        <v>441</v>
      </c>
      <c r="U3658" s="21">
        <v>14666.64</v>
      </c>
      <c r="V3658" s="21" t="s">
        <v>368</v>
      </c>
      <c r="W3658" t="str">
        <f>VLOOKUP(Table_Query_from_Actuarial___Production[[#This Row],[Kor1]],$AI$3:$AK$105,3,FALSE)</f>
        <v>Misc. Expense</v>
      </c>
      <c r="X3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8"/>
      <c r="Z3658" t="s">
        <v>20</v>
      </c>
      <c r="AA3658" t="s">
        <v>227</v>
      </c>
      <c r="AB3658" t="s">
        <v>351</v>
      </c>
      <c r="AC3658" s="21">
        <v>386.87</v>
      </c>
      <c r="AD3658" s="21" t="s">
        <v>368</v>
      </c>
      <c r="AE3658" t="str">
        <f>VLOOKUP(Table_Query_from_Actuarial___Production3[[#This Row],[Kor1]],$AI$3:$AK$105,3,FALSE)</f>
        <v>Misc. Expense</v>
      </c>
      <c r="AF3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59" spans="18:32" x14ac:dyDescent="0.2">
      <c r="R3659" t="s">
        <v>47</v>
      </c>
      <c r="S3659" t="s">
        <v>267</v>
      </c>
      <c r="T3659" t="s">
        <v>433</v>
      </c>
      <c r="U3659" s="21">
        <v>483.08</v>
      </c>
      <c r="V3659" s="21" t="s">
        <v>368</v>
      </c>
      <c r="W3659" t="str">
        <f>VLOOKUP(Table_Query_from_Actuarial___Production[[#This Row],[Kor1]],$AI$3:$AK$105,3,FALSE)</f>
        <v>Investment Income</v>
      </c>
      <c r="X3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59"/>
      <c r="Z3659" t="s">
        <v>50</v>
      </c>
      <c r="AA3659" t="s">
        <v>267</v>
      </c>
      <c r="AB3659" t="s">
        <v>427</v>
      </c>
      <c r="AC3659" s="21">
        <v>2379.02</v>
      </c>
      <c r="AD3659" s="21" t="s">
        <v>368</v>
      </c>
      <c r="AE3659" t="str">
        <f>VLOOKUP(Table_Query_from_Actuarial___Production3[[#This Row],[Kor1]],$AI$3:$AK$105,3,FALSE)</f>
        <v>ALAE Reserve</v>
      </c>
      <c r="AF3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0" spans="18:32" x14ac:dyDescent="0.2">
      <c r="R3660" t="s">
        <v>10</v>
      </c>
      <c r="S3660" t="s">
        <v>352</v>
      </c>
      <c r="T3660" t="s">
        <v>6</v>
      </c>
      <c r="U3660" s="21">
        <v>30904.35</v>
      </c>
      <c r="V3660" s="21" t="s">
        <v>369</v>
      </c>
      <c r="W3660" t="str">
        <f>VLOOKUP(Table_Query_from_Actuarial___Production[[#This Row],[Kor1]],$AI$3:$AK$105,3,FALSE)</f>
        <v>Commissions</v>
      </c>
      <c r="X3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660"/>
      <c r="Z3660" t="s">
        <v>14</v>
      </c>
      <c r="AA3660" t="s">
        <v>265</v>
      </c>
      <c r="AB3660" t="s">
        <v>356</v>
      </c>
      <c r="AC3660" s="21">
        <v>65898.94</v>
      </c>
      <c r="AD3660" s="21" t="s">
        <v>368</v>
      </c>
      <c r="AE3660" t="str">
        <f>VLOOKUP(Table_Query_from_Actuarial___Production3[[#This Row],[Kor1]],$AI$3:$AK$105,3,FALSE)</f>
        <v>Claims Expense</v>
      </c>
      <c r="AF3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1" spans="18:32" x14ac:dyDescent="0.2">
      <c r="R3661" t="s">
        <v>31</v>
      </c>
      <c r="S3661" t="s">
        <v>266</v>
      </c>
      <c r="T3661" t="s">
        <v>351</v>
      </c>
      <c r="U3661" s="21">
        <v>441.69</v>
      </c>
      <c r="V3661" s="21" t="s">
        <v>368</v>
      </c>
      <c r="W3661" t="str">
        <f>VLOOKUP(Table_Query_from_Actuarial___Production[[#This Row],[Kor1]],$AI$3:$AK$105,3,FALSE)</f>
        <v>Misc. Expense</v>
      </c>
      <c r="X3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1"/>
      <c r="Z3661" t="s">
        <v>31</v>
      </c>
      <c r="AA3661" t="s">
        <v>4</v>
      </c>
      <c r="AB3661" t="s">
        <v>433</v>
      </c>
      <c r="AC3661" s="21">
        <v>-259.91000000000003</v>
      </c>
      <c r="AD3661" s="21" t="s">
        <v>368</v>
      </c>
      <c r="AE3661" t="str">
        <f>VLOOKUP(Table_Query_from_Actuarial___Production3[[#This Row],[Kor1]],$AI$3:$AK$105,3,FALSE)</f>
        <v>Misc. Expense</v>
      </c>
      <c r="AF3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2" spans="18:32" x14ac:dyDescent="0.2">
      <c r="R3662" t="s">
        <v>11</v>
      </c>
      <c r="S3662" t="s">
        <v>261</v>
      </c>
      <c r="T3662" t="s">
        <v>441</v>
      </c>
      <c r="U3662" s="21">
        <v>13192.16</v>
      </c>
      <c r="V3662" s="21" t="s">
        <v>368</v>
      </c>
      <c r="W3662" t="str">
        <f>VLOOKUP(Table_Query_from_Actuarial___Production[[#This Row],[Kor1]],$AI$3:$AK$105,3,FALSE)</f>
        <v>Losses Paid</v>
      </c>
      <c r="X3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2"/>
      <c r="Z3662" t="s">
        <v>11</v>
      </c>
      <c r="AA3662" t="s">
        <v>261</v>
      </c>
      <c r="AB3662" t="s">
        <v>351</v>
      </c>
      <c r="AC3662" s="21">
        <v>73731.5</v>
      </c>
      <c r="AD3662" s="21" t="s">
        <v>368</v>
      </c>
      <c r="AE3662" t="str">
        <f>VLOOKUP(Table_Query_from_Actuarial___Production3[[#This Row],[Kor1]],$AI$3:$AK$105,3,FALSE)</f>
        <v>Losses Paid</v>
      </c>
      <c r="AF3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3" spans="18:32" x14ac:dyDescent="0.2">
      <c r="R3663" t="s">
        <v>19</v>
      </c>
      <c r="S3663" t="s">
        <v>264</v>
      </c>
      <c r="T3663" t="s">
        <v>351</v>
      </c>
      <c r="U3663" s="21">
        <v>2488</v>
      </c>
      <c r="V3663" s="21" t="s">
        <v>368</v>
      </c>
      <c r="W3663" t="str">
        <f>VLOOKUP(Table_Query_from_Actuarial___Production[[#This Row],[Kor1]],$AI$3:$AK$105,3,FALSE)</f>
        <v>Misc. Expense for Insolvent Companies</v>
      </c>
      <c r="X3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3"/>
      <c r="Z3663" t="s">
        <v>19</v>
      </c>
      <c r="AA3663" t="s">
        <v>264</v>
      </c>
      <c r="AB3663" t="s">
        <v>441</v>
      </c>
      <c r="AC3663" s="21">
        <v>1442.99</v>
      </c>
      <c r="AD3663" s="21" t="s">
        <v>368</v>
      </c>
      <c r="AE3663" t="str">
        <f>VLOOKUP(Table_Query_from_Actuarial___Production3[[#This Row],[Kor1]],$AI$3:$AK$105,3,FALSE)</f>
        <v>Misc. Expense for Insolvent Companies</v>
      </c>
      <c r="AF3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4" spans="18:32" x14ac:dyDescent="0.2">
      <c r="R3664" t="s">
        <v>31</v>
      </c>
      <c r="S3664" t="s">
        <v>240</v>
      </c>
      <c r="T3664" t="s">
        <v>445</v>
      </c>
      <c r="U3664" s="21">
        <v>311.5</v>
      </c>
      <c r="V3664" s="21" t="s">
        <v>368</v>
      </c>
      <c r="W3664" t="str">
        <f>VLOOKUP(Table_Query_from_Actuarial___Production[[#This Row],[Kor1]],$AI$3:$AK$105,3,FALSE)</f>
        <v>Misc. Expense</v>
      </c>
      <c r="X3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4"/>
      <c r="Z3664" t="s">
        <v>43</v>
      </c>
      <c r="AA3664" t="s">
        <v>236</v>
      </c>
      <c r="AB3664" t="s">
        <v>351</v>
      </c>
      <c r="AC3664" s="21">
        <v>-37.26</v>
      </c>
      <c r="AD3664" s="21" t="s">
        <v>368</v>
      </c>
      <c r="AE3664" t="str">
        <f>VLOOKUP(Table_Query_from_Actuarial___Production3[[#This Row],[Kor1]],$AI$3:$AK$105,3,FALSE)</f>
        <v>Charge-offs</v>
      </c>
      <c r="AF3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5" spans="18:32" x14ac:dyDescent="0.2">
      <c r="R3665" t="s">
        <v>34</v>
      </c>
      <c r="S3665" t="s">
        <v>267</v>
      </c>
      <c r="T3665" t="s">
        <v>356</v>
      </c>
      <c r="U3665" s="21">
        <v>13.5</v>
      </c>
      <c r="V3665" s="21" t="s">
        <v>368</v>
      </c>
      <c r="W3665" t="str">
        <f>VLOOKUP(Table_Query_from_Actuarial___Production[[#This Row],[Kor1]],$AI$3:$AK$105,3,FALSE)</f>
        <v>Misc. Expense</v>
      </c>
      <c r="X3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5"/>
      <c r="Z3665" t="s">
        <v>47</v>
      </c>
      <c r="AA3665" t="s">
        <v>244</v>
      </c>
      <c r="AB3665" t="s">
        <v>351</v>
      </c>
      <c r="AC3665" s="21">
        <v>1231.97</v>
      </c>
      <c r="AD3665" s="21" t="s">
        <v>368</v>
      </c>
      <c r="AE3665" t="str">
        <f>VLOOKUP(Table_Query_from_Actuarial___Production3[[#This Row],[Kor1]],$AI$3:$AK$105,3,FALSE)</f>
        <v>Investment Income</v>
      </c>
      <c r="AF3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6" spans="18:32" x14ac:dyDescent="0.2">
      <c r="R3666" t="s">
        <v>18</v>
      </c>
      <c r="S3666" t="s">
        <v>225</v>
      </c>
      <c r="T3666" t="s">
        <v>7</v>
      </c>
      <c r="U3666" s="21">
        <v>574557.29</v>
      </c>
      <c r="V3666" s="21" t="s">
        <v>368</v>
      </c>
      <c r="W3666" t="str">
        <f>VLOOKUP(Table_Query_from_Actuarial___Production[[#This Row],[Kor1]],$AI$3:$AK$105,3,FALSE)</f>
        <v>Misc. Expense</v>
      </c>
      <c r="X3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666"/>
      <c r="Z3666" t="s">
        <v>17</v>
      </c>
      <c r="AA3666" t="s">
        <v>4</v>
      </c>
      <c r="AB3666" t="s">
        <v>443</v>
      </c>
      <c r="AC3666" s="21">
        <v>2556365.16</v>
      </c>
      <c r="AD3666" s="21" t="s">
        <v>368</v>
      </c>
      <c r="AE3666" t="str">
        <f>VLOOKUP(Table_Query_from_Actuarial___Production3[[#This Row],[Kor1]],$AI$3:$AK$105,3,FALSE)</f>
        <v>IBNR</v>
      </c>
      <c r="AF3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7" spans="18:32" x14ac:dyDescent="0.2">
      <c r="R3667" t="s">
        <v>46</v>
      </c>
      <c r="S3667" t="s">
        <v>224</v>
      </c>
      <c r="T3667" t="s">
        <v>7</v>
      </c>
      <c r="U3667" s="21">
        <v>729.83</v>
      </c>
      <c r="V3667" s="21" t="s">
        <v>368</v>
      </c>
      <c r="W3667" t="str">
        <f>VLOOKUP(Table_Query_from_Actuarial___Production[[#This Row],[Kor1]],$AI$3:$AK$105,3,FALSE)</f>
        <v>Investment Income</v>
      </c>
      <c r="X3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667"/>
      <c r="Z3667" t="s">
        <v>10</v>
      </c>
      <c r="AA3667" t="s">
        <v>238</v>
      </c>
      <c r="AB3667" t="s">
        <v>443</v>
      </c>
      <c r="AC3667" s="21">
        <v>33477</v>
      </c>
      <c r="AD3667" s="21" t="s">
        <v>368</v>
      </c>
      <c r="AE3667" t="str">
        <f>VLOOKUP(Table_Query_from_Actuarial___Production3[[#This Row],[Kor1]],$AI$3:$AK$105,3,FALSE)</f>
        <v>Commissions</v>
      </c>
      <c r="AF3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8" spans="18:32" x14ac:dyDescent="0.2">
      <c r="R3668" t="s">
        <v>10</v>
      </c>
      <c r="S3668" t="s">
        <v>235</v>
      </c>
      <c r="T3668" t="s">
        <v>441</v>
      </c>
      <c r="U3668" s="21">
        <v>18216.349999999999</v>
      </c>
      <c r="V3668" s="21" t="s">
        <v>368</v>
      </c>
      <c r="W3668" t="str">
        <f>VLOOKUP(Table_Query_from_Actuarial___Production[[#This Row],[Kor1]],$AI$3:$AK$105,3,FALSE)</f>
        <v>Commissions</v>
      </c>
      <c r="X3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68"/>
      <c r="Z3668" t="s">
        <v>31</v>
      </c>
      <c r="AA3668" t="s">
        <v>262</v>
      </c>
      <c r="AB3668" t="s">
        <v>9</v>
      </c>
      <c r="AC3668" s="21">
        <v>439.09</v>
      </c>
      <c r="AD3668" s="21" t="s">
        <v>368</v>
      </c>
      <c r="AE3668" t="str">
        <f>VLOOKUP(Table_Query_from_Actuarial___Production3[[#This Row],[Kor1]],$AI$3:$AK$105,3,FALSE)</f>
        <v>Misc. Expense</v>
      </c>
      <c r="AF3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69" spans="18:32" x14ac:dyDescent="0.2">
      <c r="R3669" t="s">
        <v>10</v>
      </c>
      <c r="S3669" t="s">
        <v>224</v>
      </c>
      <c r="T3669" t="s">
        <v>442</v>
      </c>
      <c r="U3669" s="21">
        <v>825.71</v>
      </c>
      <c r="V3669" s="21" t="s">
        <v>425</v>
      </c>
      <c r="W3669" t="str">
        <f>VLOOKUP(Table_Query_from_Actuarial___Production[[#This Row],[Kor1]],$AI$3:$AK$105,3,FALSE)</f>
        <v>Commissions</v>
      </c>
      <c r="X3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669"/>
      <c r="Z3669" t="s">
        <v>31</v>
      </c>
      <c r="AA3669" t="s">
        <v>253</v>
      </c>
      <c r="AB3669" t="s">
        <v>351</v>
      </c>
      <c r="AC3669" s="21">
        <v>619.12</v>
      </c>
      <c r="AD3669" s="21" t="s">
        <v>368</v>
      </c>
      <c r="AE3669" t="str">
        <f>VLOOKUP(Table_Query_from_Actuarial___Production3[[#This Row],[Kor1]],$AI$3:$AK$105,3,FALSE)</f>
        <v>Misc. Expense</v>
      </c>
      <c r="AF3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0" spans="18:32" x14ac:dyDescent="0.2">
      <c r="R3670" t="s">
        <v>13</v>
      </c>
      <c r="S3670" t="s">
        <v>233</v>
      </c>
      <c r="T3670" t="s">
        <v>8</v>
      </c>
      <c r="U3670" s="21">
        <v>112284.58</v>
      </c>
      <c r="V3670" s="21" t="s">
        <v>368</v>
      </c>
      <c r="W3670" t="str">
        <f>VLOOKUP(Table_Query_from_Actuarial___Production[[#This Row],[Kor1]],$AI$3:$AK$105,3,FALSE)</f>
        <v>Operating Service Fees</v>
      </c>
      <c r="X3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0"/>
      <c r="Z3670" t="s">
        <v>47</v>
      </c>
      <c r="AA3670" t="s">
        <v>246</v>
      </c>
      <c r="AB3670" t="s">
        <v>7</v>
      </c>
      <c r="AC3670" s="21">
        <v>0.05</v>
      </c>
      <c r="AD3670" s="21" t="s">
        <v>368</v>
      </c>
      <c r="AE3670" t="str">
        <f>VLOOKUP(Table_Query_from_Actuarial___Production3[[#This Row],[Kor1]],$AI$3:$AK$105,3,FALSE)</f>
        <v>Investment Income</v>
      </c>
      <c r="AF3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1" spans="18:32" x14ac:dyDescent="0.2">
      <c r="R3671" t="s">
        <v>33</v>
      </c>
      <c r="S3671" t="s">
        <v>268</v>
      </c>
      <c r="T3671" t="s">
        <v>443</v>
      </c>
      <c r="U3671" s="21">
        <v>21224.19</v>
      </c>
      <c r="V3671" s="21" t="s">
        <v>368</v>
      </c>
      <c r="W3671" t="str">
        <f>VLOOKUP(Table_Query_from_Actuarial___Production[[#This Row],[Kor1]],$AI$3:$AK$105,3,FALSE)</f>
        <v>Misc. Expense</v>
      </c>
      <c r="X3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1"/>
      <c r="Z3671" t="s">
        <v>33</v>
      </c>
      <c r="AA3671" t="s">
        <v>257</v>
      </c>
      <c r="AB3671" t="s">
        <v>442</v>
      </c>
      <c r="AC3671" s="21">
        <v>21105.06</v>
      </c>
      <c r="AD3671" s="21" t="s">
        <v>368</v>
      </c>
      <c r="AE3671" t="str">
        <f>VLOOKUP(Table_Query_from_Actuarial___Production3[[#This Row],[Kor1]],$AI$3:$AK$105,3,FALSE)</f>
        <v>Misc. Expense</v>
      </c>
      <c r="AF3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2" spans="18:32" x14ac:dyDescent="0.2">
      <c r="R3672" t="s">
        <v>49</v>
      </c>
      <c r="S3672" t="s">
        <v>238</v>
      </c>
      <c r="T3672" t="s">
        <v>356</v>
      </c>
      <c r="U3672" s="21">
        <v>7482</v>
      </c>
      <c r="V3672" s="21" t="s">
        <v>368</v>
      </c>
      <c r="W3672" t="str">
        <f>VLOOKUP(Table_Query_from_Actuarial___Production[[#This Row],[Kor1]],$AI$3:$AK$105,3,FALSE)</f>
        <v>ALAE Paid</v>
      </c>
      <c r="X3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2"/>
      <c r="Z3672" t="s">
        <v>17</v>
      </c>
      <c r="AA3672" t="s">
        <v>228</v>
      </c>
      <c r="AB3672" t="s">
        <v>427</v>
      </c>
      <c r="AC3672" s="21">
        <v>816923.66</v>
      </c>
      <c r="AD3672" s="21" t="s">
        <v>368</v>
      </c>
      <c r="AE3672" t="str">
        <f>VLOOKUP(Table_Query_from_Actuarial___Production3[[#This Row],[Kor1]],$AI$3:$AK$105,3,FALSE)</f>
        <v>IBNR</v>
      </c>
      <c r="AF3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3" spans="18:32" x14ac:dyDescent="0.2">
      <c r="R3673" t="s">
        <v>43</v>
      </c>
      <c r="S3673" t="s">
        <v>264</v>
      </c>
      <c r="T3673" t="s">
        <v>7</v>
      </c>
      <c r="U3673" s="21">
        <v>4732.92</v>
      </c>
      <c r="V3673" s="21" t="s">
        <v>368</v>
      </c>
      <c r="W3673" t="str">
        <f>VLOOKUP(Table_Query_from_Actuarial___Production[[#This Row],[Kor1]],$AI$3:$AK$105,3,FALSE)</f>
        <v>Charge-offs</v>
      </c>
      <c r="X3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3"/>
      <c r="Z3673" t="s">
        <v>39</v>
      </c>
      <c r="AA3673" t="s">
        <v>257</v>
      </c>
      <c r="AB3673" t="s">
        <v>9</v>
      </c>
      <c r="AC3673" s="21">
        <v>1970.02</v>
      </c>
      <c r="AD3673" s="21" t="s">
        <v>368</v>
      </c>
      <c r="AE3673" t="str">
        <f>VLOOKUP(Table_Query_from_Actuarial___Production3[[#This Row],[Kor1]],$AI$3:$AK$105,3,FALSE)</f>
        <v>Misc. Income for Insolvent Companies</v>
      </c>
      <c r="AF3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4" spans="18:32" x14ac:dyDescent="0.2">
      <c r="R3674" t="s">
        <v>12</v>
      </c>
      <c r="S3674" t="s">
        <v>258</v>
      </c>
      <c r="T3674" t="s">
        <v>9</v>
      </c>
      <c r="U3674" s="21">
        <v>51167.3</v>
      </c>
      <c r="V3674" s="21" t="s">
        <v>368</v>
      </c>
      <c r="W3674" t="str">
        <f>VLOOKUP(Table_Query_from_Actuarial___Production[[#This Row],[Kor1]],$AI$3:$AK$105,3,FALSE)</f>
        <v>Premium Tax</v>
      </c>
      <c r="X3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4"/>
      <c r="Z3674" t="s">
        <v>13</v>
      </c>
      <c r="AA3674" t="s">
        <v>352</v>
      </c>
      <c r="AB3674" t="s">
        <v>7</v>
      </c>
      <c r="AC3674" s="21">
        <v>2213.31</v>
      </c>
      <c r="AD3674" s="21" t="s">
        <v>368</v>
      </c>
      <c r="AE3674" t="str">
        <f>VLOOKUP(Table_Query_from_Actuarial___Production3[[#This Row],[Kor1]],$AI$3:$AK$105,3,FALSE)</f>
        <v>Operating Service Fees</v>
      </c>
      <c r="AF3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675" spans="18:32" x14ac:dyDescent="0.2">
      <c r="R3675" t="s">
        <v>21</v>
      </c>
      <c r="S3675" t="s">
        <v>248</v>
      </c>
      <c r="T3675" t="s">
        <v>433</v>
      </c>
      <c r="U3675" s="21">
        <v>2958.25</v>
      </c>
      <c r="V3675" s="21" t="s">
        <v>368</v>
      </c>
      <c r="W3675" t="str">
        <f>VLOOKUP(Table_Query_from_Actuarial___Production[[#This Row],[Kor1]],$AI$3:$AK$105,3,FALSE)</f>
        <v>Misc. Expense</v>
      </c>
      <c r="X3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5"/>
      <c r="Z3675" t="s">
        <v>39</v>
      </c>
      <c r="AA3675" t="s">
        <v>243</v>
      </c>
      <c r="AB3675" t="s">
        <v>6</v>
      </c>
      <c r="AC3675" s="21">
        <v>6.36</v>
      </c>
      <c r="AD3675" s="21" t="s">
        <v>368</v>
      </c>
      <c r="AE3675" t="str">
        <f>VLOOKUP(Table_Query_from_Actuarial___Production3[[#This Row],[Kor1]],$AI$3:$AK$105,3,FALSE)</f>
        <v>Misc. Income for Insolvent Companies</v>
      </c>
      <c r="AF3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6" spans="18:32" x14ac:dyDescent="0.2">
      <c r="R3676" t="s">
        <v>3</v>
      </c>
      <c r="S3676" t="s">
        <v>263</v>
      </c>
      <c r="T3676" t="s">
        <v>6</v>
      </c>
      <c r="U3676" s="21">
        <v>398435</v>
      </c>
      <c r="V3676" s="21" t="s">
        <v>368</v>
      </c>
      <c r="W3676" t="str">
        <f>VLOOKUP(Table_Query_from_Actuarial___Production[[#This Row],[Kor1]],$AI$3:$AK$105,3,FALSE)</f>
        <v>Premiums Written</v>
      </c>
      <c r="X3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6"/>
      <c r="Z3676" t="s">
        <v>40</v>
      </c>
      <c r="AA3676" t="s">
        <v>260</v>
      </c>
      <c r="AB3676" t="s">
        <v>6</v>
      </c>
      <c r="AC3676" s="21">
        <v>54</v>
      </c>
      <c r="AD3676" s="21" t="s">
        <v>368</v>
      </c>
      <c r="AE3676" t="str">
        <f>VLOOKUP(Table_Query_from_Actuarial___Production3[[#This Row],[Kor1]],$AI$3:$AK$105,3,FALSE)</f>
        <v>Misc. Income</v>
      </c>
      <c r="AF3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7" spans="18:32" x14ac:dyDescent="0.2">
      <c r="R3677" t="s">
        <v>14</v>
      </c>
      <c r="S3677" t="s">
        <v>267</v>
      </c>
      <c r="T3677" t="s">
        <v>443</v>
      </c>
      <c r="U3677" s="21">
        <v>57626.64</v>
      </c>
      <c r="V3677" s="21" t="s">
        <v>368</v>
      </c>
      <c r="W3677" t="str">
        <f>VLOOKUP(Table_Query_from_Actuarial___Production[[#This Row],[Kor1]],$AI$3:$AK$105,3,FALSE)</f>
        <v>Claims Expense</v>
      </c>
      <c r="X3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7"/>
      <c r="Z3677" t="s">
        <v>3</v>
      </c>
      <c r="AA3677" t="s">
        <v>235</v>
      </c>
      <c r="AB3677" t="s">
        <v>351</v>
      </c>
      <c r="AC3677" s="21">
        <v>683055</v>
      </c>
      <c r="AD3677" s="21" t="s">
        <v>368</v>
      </c>
      <c r="AE3677" t="str">
        <f>VLOOKUP(Table_Query_from_Actuarial___Production3[[#This Row],[Kor1]],$AI$3:$AK$105,3,FALSE)</f>
        <v>Premiums Written</v>
      </c>
      <c r="AF3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8" spans="18:32" x14ac:dyDescent="0.2">
      <c r="R3678" t="s">
        <v>11</v>
      </c>
      <c r="S3678" t="s">
        <v>235</v>
      </c>
      <c r="T3678" t="s">
        <v>9</v>
      </c>
      <c r="U3678" s="21">
        <v>636924.06000000006</v>
      </c>
      <c r="V3678" s="21" t="s">
        <v>368</v>
      </c>
      <c r="W3678" t="str">
        <f>VLOOKUP(Table_Query_from_Actuarial___Production[[#This Row],[Kor1]],$AI$3:$AK$105,3,FALSE)</f>
        <v>Losses Paid</v>
      </c>
      <c r="X3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8"/>
      <c r="Z3678" t="s">
        <v>39</v>
      </c>
      <c r="AA3678" t="s">
        <v>236</v>
      </c>
      <c r="AB3678" t="s">
        <v>5</v>
      </c>
      <c r="AC3678" s="21">
        <v>4917.16</v>
      </c>
      <c r="AD3678" s="21" t="s">
        <v>368</v>
      </c>
      <c r="AE3678" t="str">
        <f>VLOOKUP(Table_Query_from_Actuarial___Production3[[#This Row],[Kor1]],$AI$3:$AK$105,3,FALSE)</f>
        <v>Misc. Income for Insolvent Companies</v>
      </c>
      <c r="AF3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79" spans="18:32" x14ac:dyDescent="0.2">
      <c r="R3679" t="s">
        <v>31</v>
      </c>
      <c r="S3679" t="s">
        <v>253</v>
      </c>
      <c r="T3679" t="s">
        <v>441</v>
      </c>
      <c r="U3679" s="21">
        <v>723.23</v>
      </c>
      <c r="V3679" s="21" t="s">
        <v>368</v>
      </c>
      <c r="W3679" t="str">
        <f>VLOOKUP(Table_Query_from_Actuarial___Production[[#This Row],[Kor1]],$AI$3:$AK$105,3,FALSE)</f>
        <v>Misc. Expense</v>
      </c>
      <c r="X3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79"/>
      <c r="Z3679" t="s">
        <v>40</v>
      </c>
      <c r="AA3679" t="s">
        <v>262</v>
      </c>
      <c r="AB3679" t="s">
        <v>7</v>
      </c>
      <c r="AC3679" s="21">
        <v>282.99</v>
      </c>
      <c r="AD3679" s="21" t="s">
        <v>368</v>
      </c>
      <c r="AE3679" t="str">
        <f>VLOOKUP(Table_Query_from_Actuarial___Production3[[#This Row],[Kor1]],$AI$3:$AK$105,3,FALSE)</f>
        <v>Misc. Income</v>
      </c>
      <c r="AF3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0" spans="18:32" x14ac:dyDescent="0.2">
      <c r="R3680" t="s">
        <v>12</v>
      </c>
      <c r="S3680" t="s">
        <v>260</v>
      </c>
      <c r="T3680" t="s">
        <v>356</v>
      </c>
      <c r="U3680" s="21">
        <v>1416.22</v>
      </c>
      <c r="V3680" s="21" t="s">
        <v>368</v>
      </c>
      <c r="W3680" t="str">
        <f>VLOOKUP(Table_Query_from_Actuarial___Production[[#This Row],[Kor1]],$AI$3:$AK$105,3,FALSE)</f>
        <v>Premium Tax</v>
      </c>
      <c r="X3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0"/>
      <c r="Z3680" t="s">
        <v>47</v>
      </c>
      <c r="AA3680" t="s">
        <v>230</v>
      </c>
      <c r="AB3680" t="s">
        <v>442</v>
      </c>
      <c r="AC3680" s="21">
        <v>40374.43</v>
      </c>
      <c r="AD3680" s="21" t="s">
        <v>368</v>
      </c>
      <c r="AE3680" t="str">
        <f>VLOOKUP(Table_Query_from_Actuarial___Production3[[#This Row],[Kor1]],$AI$3:$AK$105,3,FALSE)</f>
        <v>Investment Income</v>
      </c>
      <c r="AF3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1" spans="18:32" x14ac:dyDescent="0.2">
      <c r="R3681" t="s">
        <v>11</v>
      </c>
      <c r="S3681" t="s">
        <v>352</v>
      </c>
      <c r="T3681" t="s">
        <v>441</v>
      </c>
      <c r="U3681" s="21">
        <v>136163.84</v>
      </c>
      <c r="V3681" s="21" t="s">
        <v>369</v>
      </c>
      <c r="W3681" t="str">
        <f>VLOOKUP(Table_Query_from_Actuarial___Production[[#This Row],[Kor1]],$AI$3:$AK$105,3,FALSE)</f>
        <v>Losses Paid</v>
      </c>
      <c r="X3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681"/>
      <c r="Z3681" t="s">
        <v>49</v>
      </c>
      <c r="AA3681" t="s">
        <v>240</v>
      </c>
      <c r="AB3681" t="s">
        <v>8</v>
      </c>
      <c r="AC3681" s="21">
        <v>88012.21</v>
      </c>
      <c r="AD3681" s="21" t="s">
        <v>368</v>
      </c>
      <c r="AE3681" t="str">
        <f>VLOOKUP(Table_Query_from_Actuarial___Production3[[#This Row],[Kor1]],$AI$3:$AK$105,3,FALSE)</f>
        <v>ALAE Paid</v>
      </c>
      <c r="AF3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2" spans="18:32" x14ac:dyDescent="0.2">
      <c r="R3682" t="s">
        <v>47</v>
      </c>
      <c r="S3682" t="s">
        <v>249</v>
      </c>
      <c r="T3682" t="s">
        <v>356</v>
      </c>
      <c r="U3682" s="21">
        <v>1954.39</v>
      </c>
      <c r="V3682" s="21" t="s">
        <v>368</v>
      </c>
      <c r="W3682" t="str">
        <f>VLOOKUP(Table_Query_from_Actuarial___Production[[#This Row],[Kor1]],$AI$3:$AK$105,3,FALSE)</f>
        <v>Investment Income</v>
      </c>
      <c r="X3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2"/>
      <c r="Z3682" t="s">
        <v>14</v>
      </c>
      <c r="AA3682" t="s">
        <v>266</v>
      </c>
      <c r="AB3682" t="s">
        <v>9</v>
      </c>
      <c r="AC3682" s="21">
        <v>30428.29</v>
      </c>
      <c r="AD3682" s="21" t="s">
        <v>368</v>
      </c>
      <c r="AE3682" t="str">
        <f>VLOOKUP(Table_Query_from_Actuarial___Production3[[#This Row],[Kor1]],$AI$3:$AK$105,3,FALSE)</f>
        <v>Claims Expense</v>
      </c>
      <c r="AF3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3" spans="18:32" x14ac:dyDescent="0.2">
      <c r="R3683" t="s">
        <v>12</v>
      </c>
      <c r="S3683" t="s">
        <v>236</v>
      </c>
      <c r="T3683" t="s">
        <v>8</v>
      </c>
      <c r="U3683" s="21">
        <v>1129.82</v>
      </c>
      <c r="V3683" s="21" t="s">
        <v>368</v>
      </c>
      <c r="W3683" t="str">
        <f>VLOOKUP(Table_Query_from_Actuarial___Production[[#This Row],[Kor1]],$AI$3:$AK$105,3,FALSE)</f>
        <v>Premium Tax</v>
      </c>
      <c r="X3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3"/>
      <c r="Z3683" t="s">
        <v>41</v>
      </c>
      <c r="AA3683" t="s">
        <v>231</v>
      </c>
      <c r="AB3683" t="s">
        <v>9</v>
      </c>
      <c r="AC3683" s="21">
        <v>300</v>
      </c>
      <c r="AD3683" s="21" t="s">
        <v>368</v>
      </c>
      <c r="AE3683" t="str">
        <f>VLOOKUP(Table_Query_from_Actuarial___Production3[[#This Row],[Kor1]],$AI$3:$AK$105,3,FALSE)</f>
        <v>Misc. Income</v>
      </c>
      <c r="AF3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4" spans="18:32" x14ac:dyDescent="0.2">
      <c r="R3684" t="s">
        <v>39</v>
      </c>
      <c r="S3684" t="s">
        <v>235</v>
      </c>
      <c r="T3684" t="s">
        <v>351</v>
      </c>
      <c r="U3684" s="21">
        <v>2962.99</v>
      </c>
      <c r="V3684" s="21" t="s">
        <v>368</v>
      </c>
      <c r="W3684" t="str">
        <f>VLOOKUP(Table_Query_from_Actuarial___Production[[#This Row],[Kor1]],$AI$3:$AK$105,3,FALSE)</f>
        <v>Misc. Income for Insolvent Companies</v>
      </c>
      <c r="X3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4"/>
      <c r="Z3684" t="s">
        <v>16</v>
      </c>
      <c r="AA3684" t="s">
        <v>239</v>
      </c>
      <c r="AB3684" t="s">
        <v>443</v>
      </c>
      <c r="AC3684" s="21">
        <v>19860.75</v>
      </c>
      <c r="AD3684" s="21" t="s">
        <v>368</v>
      </c>
      <c r="AE3684" t="str">
        <f>VLOOKUP(Table_Query_from_Actuarial___Production3[[#This Row],[Kor1]],$AI$3:$AK$105,3,FALSE)</f>
        <v>Losses Outstanding</v>
      </c>
      <c r="AF3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5" spans="18:32" x14ac:dyDescent="0.2">
      <c r="R3685" t="s">
        <v>31</v>
      </c>
      <c r="S3685" t="s">
        <v>264</v>
      </c>
      <c r="T3685" t="s">
        <v>442</v>
      </c>
      <c r="U3685" s="21">
        <v>1081.53</v>
      </c>
      <c r="V3685" s="21" t="s">
        <v>368</v>
      </c>
      <c r="W3685" t="str">
        <f>VLOOKUP(Table_Query_from_Actuarial___Production[[#This Row],[Kor1]],$AI$3:$AK$105,3,FALSE)</f>
        <v>Misc. Expense</v>
      </c>
      <c r="X3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5"/>
      <c r="Z3685" t="s">
        <v>20</v>
      </c>
      <c r="AA3685" t="s">
        <v>241</v>
      </c>
      <c r="AB3685" t="s">
        <v>6</v>
      </c>
      <c r="AC3685" s="21">
        <v>322.67</v>
      </c>
      <c r="AD3685" s="21" t="s">
        <v>368</v>
      </c>
      <c r="AE3685" t="str">
        <f>VLOOKUP(Table_Query_from_Actuarial___Production3[[#This Row],[Kor1]],$AI$3:$AK$105,3,FALSE)</f>
        <v>Misc. Expense</v>
      </c>
      <c r="AF3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6" spans="18:32" x14ac:dyDescent="0.2">
      <c r="R3686" t="s">
        <v>41</v>
      </c>
      <c r="S3686" t="s">
        <v>230</v>
      </c>
      <c r="T3686" t="s">
        <v>443</v>
      </c>
      <c r="U3686" s="21">
        <v>2431.9699999999998</v>
      </c>
      <c r="V3686" s="21" t="s">
        <v>368</v>
      </c>
      <c r="W3686" t="str">
        <f>VLOOKUP(Table_Query_from_Actuarial___Production[[#This Row],[Kor1]],$AI$3:$AK$105,3,FALSE)</f>
        <v>Misc. Income</v>
      </c>
      <c r="X3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6"/>
      <c r="Z3686" t="s">
        <v>36</v>
      </c>
      <c r="AA3686" t="s">
        <v>4</v>
      </c>
      <c r="AB3686" t="s">
        <v>351</v>
      </c>
      <c r="AC3686" s="21">
        <v>22582.21</v>
      </c>
      <c r="AD3686" s="21" t="s">
        <v>368</v>
      </c>
      <c r="AE3686" t="str">
        <f>VLOOKUP(Table_Query_from_Actuarial___Production3[[#This Row],[Kor1]],$AI$3:$AK$105,3,FALSE)</f>
        <v>Misc. Expense</v>
      </c>
      <c r="AF3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7" spans="18:32" x14ac:dyDescent="0.2">
      <c r="R3687" t="s">
        <v>37</v>
      </c>
      <c r="S3687" t="s">
        <v>257</v>
      </c>
      <c r="T3687" t="s">
        <v>442</v>
      </c>
      <c r="U3687" s="21">
        <v>88266.89</v>
      </c>
      <c r="V3687" s="21" t="s">
        <v>368</v>
      </c>
      <c r="W3687" t="str">
        <f>VLOOKUP(Table_Query_from_Actuarial___Production[[#This Row],[Kor1]],$AI$3:$AK$105,3,FALSE)</f>
        <v>Misc. Expense</v>
      </c>
      <c r="X3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7"/>
      <c r="Z3687" t="s">
        <v>14</v>
      </c>
      <c r="AA3687" t="s">
        <v>228</v>
      </c>
      <c r="AB3687" t="s">
        <v>356</v>
      </c>
      <c r="AC3687" s="21">
        <v>8227.07</v>
      </c>
      <c r="AD3687" s="21" t="s">
        <v>368</v>
      </c>
      <c r="AE3687" t="str">
        <f>VLOOKUP(Table_Query_from_Actuarial___Production3[[#This Row],[Kor1]],$AI$3:$AK$105,3,FALSE)</f>
        <v>Claims Expense</v>
      </c>
      <c r="AF3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8" spans="18:32" x14ac:dyDescent="0.2">
      <c r="R3688" t="s">
        <v>3</v>
      </c>
      <c r="S3688" t="s">
        <v>354</v>
      </c>
      <c r="T3688" t="s">
        <v>9</v>
      </c>
      <c r="U3688" s="21">
        <v>97349346.810000002</v>
      </c>
      <c r="V3688" s="21" t="s">
        <v>368</v>
      </c>
      <c r="W3688" t="str">
        <f>VLOOKUP(Table_Query_from_Actuarial___Production[[#This Row],[Kor1]],$AI$3:$AK$105,3,FALSE)</f>
        <v>Premiums Written</v>
      </c>
      <c r="X3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688"/>
      <c r="Z3688" t="s">
        <v>33</v>
      </c>
      <c r="AA3688" t="s">
        <v>256</v>
      </c>
      <c r="AB3688" t="s">
        <v>5</v>
      </c>
      <c r="AC3688" s="21">
        <v>14348.18</v>
      </c>
      <c r="AD3688" s="21" t="s">
        <v>368</v>
      </c>
      <c r="AE3688" t="str">
        <f>VLOOKUP(Table_Query_from_Actuarial___Production3[[#This Row],[Kor1]],$AI$3:$AK$105,3,FALSE)</f>
        <v>Misc. Expense</v>
      </c>
      <c r="AF3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89" spans="18:32" x14ac:dyDescent="0.2">
      <c r="R3689" t="s">
        <v>37</v>
      </c>
      <c r="S3689" t="s">
        <v>248</v>
      </c>
      <c r="T3689" t="s">
        <v>427</v>
      </c>
      <c r="U3689" s="21">
        <v>20.91</v>
      </c>
      <c r="V3689" s="21" t="s">
        <v>368</v>
      </c>
      <c r="W3689" t="str">
        <f>VLOOKUP(Table_Query_from_Actuarial___Production[[#This Row],[Kor1]],$AI$3:$AK$105,3,FALSE)</f>
        <v>Misc. Expense</v>
      </c>
      <c r="X3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89"/>
      <c r="Z3689" t="s">
        <v>22</v>
      </c>
      <c r="AA3689" t="s">
        <v>4</v>
      </c>
      <c r="AB3689" t="s">
        <v>5</v>
      </c>
      <c r="AC3689" s="21">
        <v>-4713.03</v>
      </c>
      <c r="AD3689" s="21" t="s">
        <v>368</v>
      </c>
      <c r="AE3689" t="str">
        <f>VLOOKUP(Table_Query_from_Actuarial___Production3[[#This Row],[Kor1]],$AI$3:$AK$105,3,FALSE)</f>
        <v>Misc. Expense</v>
      </c>
      <c r="AF3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0" spans="18:32" x14ac:dyDescent="0.2">
      <c r="R3690" t="s">
        <v>3</v>
      </c>
      <c r="S3690" t="s">
        <v>265</v>
      </c>
      <c r="T3690" t="s">
        <v>441</v>
      </c>
      <c r="U3690" s="21">
        <v>1048025</v>
      </c>
      <c r="V3690" s="21" t="s">
        <v>368</v>
      </c>
      <c r="W3690" t="str">
        <f>VLOOKUP(Table_Query_from_Actuarial___Production[[#This Row],[Kor1]],$AI$3:$AK$105,3,FALSE)</f>
        <v>Premiums Written</v>
      </c>
      <c r="X3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0"/>
      <c r="Z3690" t="s">
        <v>33</v>
      </c>
      <c r="AA3690" t="s">
        <v>228</v>
      </c>
      <c r="AB3690" t="s">
        <v>441</v>
      </c>
      <c r="AC3690" s="21">
        <v>14666.64</v>
      </c>
      <c r="AD3690" s="21" t="s">
        <v>368</v>
      </c>
      <c r="AE3690" t="str">
        <f>VLOOKUP(Table_Query_from_Actuarial___Production3[[#This Row],[Kor1]],$AI$3:$AK$105,3,FALSE)</f>
        <v>Misc. Expense</v>
      </c>
      <c r="AF3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1" spans="18:32" x14ac:dyDescent="0.2">
      <c r="R3691" t="s">
        <v>50</v>
      </c>
      <c r="S3691" t="s">
        <v>242</v>
      </c>
      <c r="T3691" t="s">
        <v>442</v>
      </c>
      <c r="U3691" s="21">
        <v>565.25</v>
      </c>
      <c r="V3691" s="21" t="s">
        <v>368</v>
      </c>
      <c r="W3691" t="str">
        <f>VLOOKUP(Table_Query_from_Actuarial___Production[[#This Row],[Kor1]],$AI$3:$AK$105,3,FALSE)</f>
        <v>ALAE Reserve</v>
      </c>
      <c r="X3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1"/>
      <c r="Z3691" t="s">
        <v>47</v>
      </c>
      <c r="AA3691" t="s">
        <v>267</v>
      </c>
      <c r="AB3691" t="s">
        <v>433</v>
      </c>
      <c r="AC3691" s="21">
        <v>483.08</v>
      </c>
      <c r="AD3691" s="21" t="s">
        <v>368</v>
      </c>
      <c r="AE3691" t="str">
        <f>VLOOKUP(Table_Query_from_Actuarial___Production3[[#This Row],[Kor1]],$AI$3:$AK$105,3,FALSE)</f>
        <v>Investment Income</v>
      </c>
      <c r="AF3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2" spans="18:32" x14ac:dyDescent="0.2">
      <c r="R3692" t="s">
        <v>17</v>
      </c>
      <c r="S3692" t="s">
        <v>249</v>
      </c>
      <c r="T3692" t="s">
        <v>441</v>
      </c>
      <c r="U3692" s="21">
        <v>103307.17</v>
      </c>
      <c r="V3692" s="21" t="s">
        <v>368</v>
      </c>
      <c r="W3692" t="str">
        <f>VLOOKUP(Table_Query_from_Actuarial___Production[[#This Row],[Kor1]],$AI$3:$AK$105,3,FALSE)</f>
        <v>IBNR</v>
      </c>
      <c r="X3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2"/>
      <c r="Z3692" t="s">
        <v>10</v>
      </c>
      <c r="AA3692" t="s">
        <v>352</v>
      </c>
      <c r="AB3692" t="s">
        <v>6</v>
      </c>
      <c r="AC3692" s="21">
        <v>30904.35</v>
      </c>
      <c r="AD3692" s="21" t="s">
        <v>369</v>
      </c>
      <c r="AE3692" t="str">
        <f>VLOOKUP(Table_Query_from_Actuarial___Production3[[#This Row],[Kor1]],$AI$3:$AK$105,3,FALSE)</f>
        <v>Commissions</v>
      </c>
      <c r="AF3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693" spans="18:32" x14ac:dyDescent="0.2">
      <c r="R3693" t="s">
        <v>15</v>
      </c>
      <c r="S3693" t="s">
        <v>242</v>
      </c>
      <c r="T3693" t="s">
        <v>443</v>
      </c>
      <c r="U3693" s="21">
        <v>306777.94</v>
      </c>
      <c r="V3693" s="21" t="s">
        <v>368</v>
      </c>
      <c r="W3693" t="str">
        <f>VLOOKUP(Table_Query_from_Actuarial___Production[[#This Row],[Kor1]],$AI$3:$AK$105,3,FALSE)</f>
        <v>Unearned Premiums</v>
      </c>
      <c r="X3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3"/>
      <c r="Z3693" t="s">
        <v>12</v>
      </c>
      <c r="AA3693" t="s">
        <v>230</v>
      </c>
      <c r="AB3693" t="s">
        <v>5</v>
      </c>
      <c r="AC3693" s="21">
        <v>194502.52</v>
      </c>
      <c r="AD3693" s="21" t="s">
        <v>368</v>
      </c>
      <c r="AE3693" t="str">
        <f>VLOOKUP(Table_Query_from_Actuarial___Production3[[#This Row],[Kor1]],$AI$3:$AK$105,3,FALSE)</f>
        <v>Premium Tax</v>
      </c>
      <c r="AF3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4" spans="18:32" x14ac:dyDescent="0.2">
      <c r="R3694" t="s">
        <v>46</v>
      </c>
      <c r="S3694" t="s">
        <v>225</v>
      </c>
      <c r="T3694" t="s">
        <v>356</v>
      </c>
      <c r="U3694" s="21">
        <v>36243.61</v>
      </c>
      <c r="V3694" s="21" t="s">
        <v>369</v>
      </c>
      <c r="W3694" t="str">
        <f>VLOOKUP(Table_Query_from_Actuarial___Production[[#This Row],[Kor1]],$AI$3:$AK$105,3,FALSE)</f>
        <v>Investment Income</v>
      </c>
      <c r="X3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694"/>
      <c r="Z3694" t="s">
        <v>31</v>
      </c>
      <c r="AA3694" t="s">
        <v>266</v>
      </c>
      <c r="AB3694" t="s">
        <v>351</v>
      </c>
      <c r="AC3694" s="21">
        <v>441.69</v>
      </c>
      <c r="AD3694" s="21" t="s">
        <v>368</v>
      </c>
      <c r="AE3694" t="str">
        <f>VLOOKUP(Table_Query_from_Actuarial___Production3[[#This Row],[Kor1]],$AI$3:$AK$105,3,FALSE)</f>
        <v>Misc. Expense</v>
      </c>
      <c r="AF3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5" spans="18:32" x14ac:dyDescent="0.2">
      <c r="R3695" t="s">
        <v>16</v>
      </c>
      <c r="S3695" t="s">
        <v>239</v>
      </c>
      <c r="T3695" t="s">
        <v>427</v>
      </c>
      <c r="U3695" s="21">
        <v>4414521.04</v>
      </c>
      <c r="V3695" s="21" t="s">
        <v>368</v>
      </c>
      <c r="W3695" t="str">
        <f>VLOOKUP(Table_Query_from_Actuarial___Production[[#This Row],[Kor1]],$AI$3:$AK$105,3,FALSE)</f>
        <v>Losses Outstanding</v>
      </c>
      <c r="X3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5"/>
      <c r="Z3695" t="s">
        <v>11</v>
      </c>
      <c r="AA3695" t="s">
        <v>261</v>
      </c>
      <c r="AB3695" t="s">
        <v>441</v>
      </c>
      <c r="AC3695" s="21">
        <v>13192.16</v>
      </c>
      <c r="AD3695" s="21" t="s">
        <v>368</v>
      </c>
      <c r="AE3695" t="str">
        <f>VLOOKUP(Table_Query_from_Actuarial___Production3[[#This Row],[Kor1]],$AI$3:$AK$105,3,FALSE)</f>
        <v>Losses Paid</v>
      </c>
      <c r="AF3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6" spans="18:32" x14ac:dyDescent="0.2">
      <c r="R3696" t="s">
        <v>43</v>
      </c>
      <c r="S3696" t="s">
        <v>231</v>
      </c>
      <c r="T3696" t="s">
        <v>9</v>
      </c>
      <c r="U3696" s="21">
        <v>-59.92</v>
      </c>
      <c r="V3696" s="21" t="s">
        <v>368</v>
      </c>
      <c r="W3696" t="str">
        <f>VLOOKUP(Table_Query_from_Actuarial___Production[[#This Row],[Kor1]],$AI$3:$AK$105,3,FALSE)</f>
        <v>Charge-offs</v>
      </c>
      <c r="X3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6"/>
      <c r="Z3696" t="s">
        <v>19</v>
      </c>
      <c r="AA3696" t="s">
        <v>264</v>
      </c>
      <c r="AB3696" t="s">
        <v>351</v>
      </c>
      <c r="AC3696" s="21">
        <v>2488</v>
      </c>
      <c r="AD3696" s="21" t="s">
        <v>368</v>
      </c>
      <c r="AE3696" t="str">
        <f>VLOOKUP(Table_Query_from_Actuarial___Production3[[#This Row],[Kor1]],$AI$3:$AK$105,3,FALSE)</f>
        <v>Misc. Expense for Insolvent Companies</v>
      </c>
      <c r="AF3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7" spans="18:32" x14ac:dyDescent="0.2">
      <c r="R3697" t="s">
        <v>3</v>
      </c>
      <c r="S3697" t="s">
        <v>224</v>
      </c>
      <c r="T3697" t="s">
        <v>9</v>
      </c>
      <c r="U3697" s="21">
        <v>145361.14000000001</v>
      </c>
      <c r="V3697" s="21" t="s">
        <v>369</v>
      </c>
      <c r="W3697" t="str">
        <f>VLOOKUP(Table_Query_from_Actuarial___Production[[#This Row],[Kor1]],$AI$3:$AK$105,3,FALSE)</f>
        <v>Premiums Written</v>
      </c>
      <c r="X3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697"/>
      <c r="Z3697" t="s">
        <v>34</v>
      </c>
      <c r="AA3697" t="s">
        <v>267</v>
      </c>
      <c r="AB3697" t="s">
        <v>356</v>
      </c>
      <c r="AC3697" s="21">
        <v>13.5</v>
      </c>
      <c r="AD3697" s="21" t="s">
        <v>368</v>
      </c>
      <c r="AE3697" t="str">
        <f>VLOOKUP(Table_Query_from_Actuarial___Production3[[#This Row],[Kor1]],$AI$3:$AK$105,3,FALSE)</f>
        <v>Misc. Expense</v>
      </c>
      <c r="AF3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698" spans="18:32" x14ac:dyDescent="0.2">
      <c r="R3698" t="s">
        <v>10</v>
      </c>
      <c r="S3698" t="s">
        <v>245</v>
      </c>
      <c r="T3698" t="s">
        <v>441</v>
      </c>
      <c r="U3698" s="21">
        <v>405.3</v>
      </c>
      <c r="V3698" s="21" t="s">
        <v>368</v>
      </c>
      <c r="W3698" t="str">
        <f>VLOOKUP(Table_Query_from_Actuarial___Production[[#This Row],[Kor1]],$AI$3:$AK$105,3,FALSE)</f>
        <v>Commissions</v>
      </c>
      <c r="X3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8"/>
      <c r="Z3698" t="s">
        <v>18</v>
      </c>
      <c r="AA3698" t="s">
        <v>225</v>
      </c>
      <c r="AB3698" t="s">
        <v>7</v>
      </c>
      <c r="AC3698" s="21">
        <v>574557.29</v>
      </c>
      <c r="AD3698" s="21" t="s">
        <v>368</v>
      </c>
      <c r="AE3698" t="str">
        <f>VLOOKUP(Table_Query_from_Actuarial___Production3[[#This Row],[Kor1]],$AI$3:$AK$105,3,FALSE)</f>
        <v>Misc. Expense</v>
      </c>
      <c r="AF3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699" spans="18:32" x14ac:dyDescent="0.2">
      <c r="R3699" t="s">
        <v>33</v>
      </c>
      <c r="S3699" t="s">
        <v>249</v>
      </c>
      <c r="T3699" t="s">
        <v>9</v>
      </c>
      <c r="U3699" s="21">
        <v>11275.69</v>
      </c>
      <c r="V3699" s="21" t="s">
        <v>368</v>
      </c>
      <c r="W3699" t="str">
        <f>VLOOKUP(Table_Query_from_Actuarial___Production[[#This Row],[Kor1]],$AI$3:$AK$105,3,FALSE)</f>
        <v>Misc. Expense</v>
      </c>
      <c r="X3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699"/>
      <c r="Z3699" t="s">
        <v>46</v>
      </c>
      <c r="AA3699" t="s">
        <v>224</v>
      </c>
      <c r="AB3699" t="s">
        <v>7</v>
      </c>
      <c r="AC3699" s="21">
        <v>729.83</v>
      </c>
      <c r="AD3699" s="21" t="s">
        <v>368</v>
      </c>
      <c r="AE3699" t="str">
        <f>VLOOKUP(Table_Query_from_Actuarial___Production3[[#This Row],[Kor1]],$AI$3:$AK$105,3,FALSE)</f>
        <v>Investment Income</v>
      </c>
      <c r="AF3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700" spans="18:32" x14ac:dyDescent="0.2">
      <c r="R3700" t="s">
        <v>10</v>
      </c>
      <c r="S3700" t="s">
        <v>229</v>
      </c>
      <c r="T3700" t="s">
        <v>441</v>
      </c>
      <c r="U3700" s="21">
        <v>5847.9</v>
      </c>
      <c r="V3700" s="21" t="s">
        <v>368</v>
      </c>
      <c r="W3700" t="str">
        <f>VLOOKUP(Table_Query_from_Actuarial___Production[[#This Row],[Kor1]],$AI$3:$AK$105,3,FALSE)</f>
        <v>Commissions</v>
      </c>
      <c r="X3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0"/>
      <c r="Z3700" t="s">
        <v>10</v>
      </c>
      <c r="AA3700" t="s">
        <v>235</v>
      </c>
      <c r="AB3700" t="s">
        <v>441</v>
      </c>
      <c r="AC3700" s="21">
        <v>18216.349999999999</v>
      </c>
      <c r="AD3700" s="21" t="s">
        <v>368</v>
      </c>
      <c r="AE3700" t="str">
        <f>VLOOKUP(Table_Query_from_Actuarial___Production3[[#This Row],[Kor1]],$AI$3:$AK$105,3,FALSE)</f>
        <v>Commissions</v>
      </c>
      <c r="AF3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1" spans="18:32" x14ac:dyDescent="0.2">
      <c r="R3701" t="s">
        <v>47</v>
      </c>
      <c r="S3701" t="s">
        <v>236</v>
      </c>
      <c r="T3701" t="s">
        <v>356</v>
      </c>
      <c r="U3701" s="21">
        <v>311.83</v>
      </c>
      <c r="V3701" s="21" t="s">
        <v>368</v>
      </c>
      <c r="W3701" t="str">
        <f>VLOOKUP(Table_Query_from_Actuarial___Production[[#This Row],[Kor1]],$AI$3:$AK$105,3,FALSE)</f>
        <v>Investment Income</v>
      </c>
      <c r="X3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1"/>
      <c r="Z3701" t="s">
        <v>10</v>
      </c>
      <c r="AA3701" t="s">
        <v>224</v>
      </c>
      <c r="AB3701" t="s">
        <v>442</v>
      </c>
      <c r="AC3701" s="21">
        <v>825.71</v>
      </c>
      <c r="AD3701" s="21" t="s">
        <v>425</v>
      </c>
      <c r="AE3701" t="str">
        <f>VLOOKUP(Table_Query_from_Actuarial___Production3[[#This Row],[Kor1]],$AI$3:$AK$105,3,FALSE)</f>
        <v>Commissions</v>
      </c>
      <c r="AF3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702" spans="18:32" x14ac:dyDescent="0.2">
      <c r="R3702" t="s">
        <v>50</v>
      </c>
      <c r="S3702" t="s">
        <v>253</v>
      </c>
      <c r="T3702" t="s">
        <v>433</v>
      </c>
      <c r="U3702" s="21">
        <v>227.09</v>
      </c>
      <c r="V3702" s="21" t="s">
        <v>368</v>
      </c>
      <c r="W3702" t="str">
        <f>VLOOKUP(Table_Query_from_Actuarial___Production[[#This Row],[Kor1]],$AI$3:$AK$105,3,FALSE)</f>
        <v>ALAE Reserve</v>
      </c>
      <c r="X3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2"/>
      <c r="Z3702" t="s">
        <v>13</v>
      </c>
      <c r="AA3702" t="s">
        <v>233</v>
      </c>
      <c r="AB3702" t="s">
        <v>8</v>
      </c>
      <c r="AC3702" s="21">
        <v>112284.58</v>
      </c>
      <c r="AD3702" s="21" t="s">
        <v>368</v>
      </c>
      <c r="AE3702" t="str">
        <f>VLOOKUP(Table_Query_from_Actuarial___Production3[[#This Row],[Kor1]],$AI$3:$AK$105,3,FALSE)</f>
        <v>Operating Service Fees</v>
      </c>
      <c r="AF3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3" spans="18:32" x14ac:dyDescent="0.2">
      <c r="R3703" t="s">
        <v>3</v>
      </c>
      <c r="S3703" t="s">
        <v>254</v>
      </c>
      <c r="T3703" t="s">
        <v>7</v>
      </c>
      <c r="U3703" s="21">
        <v>382748</v>
      </c>
      <c r="V3703" s="21" t="s">
        <v>368</v>
      </c>
      <c r="W3703" t="str">
        <f>VLOOKUP(Table_Query_from_Actuarial___Production[[#This Row],[Kor1]],$AI$3:$AK$105,3,FALSE)</f>
        <v>Premiums Written</v>
      </c>
      <c r="X3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3"/>
      <c r="Z3703" t="s">
        <v>33</v>
      </c>
      <c r="AA3703" t="s">
        <v>268</v>
      </c>
      <c r="AB3703" t="s">
        <v>443</v>
      </c>
      <c r="AC3703" s="21">
        <v>8282</v>
      </c>
      <c r="AD3703" s="21" t="s">
        <v>368</v>
      </c>
      <c r="AE3703" t="str">
        <f>VLOOKUP(Table_Query_from_Actuarial___Production3[[#This Row],[Kor1]],$AI$3:$AK$105,3,FALSE)</f>
        <v>Misc. Expense</v>
      </c>
      <c r="AF3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4" spans="18:32" x14ac:dyDescent="0.2">
      <c r="R3704" t="s">
        <v>10</v>
      </c>
      <c r="S3704" t="s">
        <v>234</v>
      </c>
      <c r="T3704" t="s">
        <v>441</v>
      </c>
      <c r="U3704" s="21">
        <v>86522.91</v>
      </c>
      <c r="V3704" s="21" t="s">
        <v>368</v>
      </c>
      <c r="W3704" t="str">
        <f>VLOOKUP(Table_Query_from_Actuarial___Production[[#This Row],[Kor1]],$AI$3:$AK$105,3,FALSE)</f>
        <v>Commissions</v>
      </c>
      <c r="X3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4"/>
      <c r="Z3704" t="s">
        <v>49</v>
      </c>
      <c r="AA3704" t="s">
        <v>238</v>
      </c>
      <c r="AB3704" t="s">
        <v>356</v>
      </c>
      <c r="AC3704" s="21">
        <v>7482</v>
      </c>
      <c r="AD3704" s="21" t="s">
        <v>368</v>
      </c>
      <c r="AE3704" t="str">
        <f>VLOOKUP(Table_Query_from_Actuarial___Production3[[#This Row],[Kor1]],$AI$3:$AK$105,3,FALSE)</f>
        <v>ALAE Paid</v>
      </c>
      <c r="AF3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5" spans="18:32" x14ac:dyDescent="0.2">
      <c r="R3705" t="s">
        <v>13</v>
      </c>
      <c r="S3705" t="s">
        <v>252</v>
      </c>
      <c r="T3705" t="s">
        <v>433</v>
      </c>
      <c r="U3705" s="21">
        <v>5324894.1900000004</v>
      </c>
      <c r="V3705" s="21" t="s">
        <v>368</v>
      </c>
      <c r="W3705" t="str">
        <f>VLOOKUP(Table_Query_from_Actuarial___Production[[#This Row],[Kor1]],$AI$3:$AK$105,3,FALSE)</f>
        <v>Operating Service Fees</v>
      </c>
      <c r="X3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5"/>
      <c r="Z3705" t="s">
        <v>43</v>
      </c>
      <c r="AA3705" t="s">
        <v>264</v>
      </c>
      <c r="AB3705" t="s">
        <v>7</v>
      </c>
      <c r="AC3705" s="21">
        <v>4732.92</v>
      </c>
      <c r="AD3705" s="21" t="s">
        <v>368</v>
      </c>
      <c r="AE3705" t="str">
        <f>VLOOKUP(Table_Query_from_Actuarial___Production3[[#This Row],[Kor1]],$AI$3:$AK$105,3,FALSE)</f>
        <v>Charge-offs</v>
      </c>
      <c r="AF3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6" spans="18:32" x14ac:dyDescent="0.2">
      <c r="R3706" t="s">
        <v>43</v>
      </c>
      <c r="S3706" t="s">
        <v>230</v>
      </c>
      <c r="T3706" t="s">
        <v>8</v>
      </c>
      <c r="U3706" s="21">
        <v>8181.72</v>
      </c>
      <c r="V3706" s="21" t="s">
        <v>368</v>
      </c>
      <c r="W3706" t="str">
        <f>VLOOKUP(Table_Query_from_Actuarial___Production[[#This Row],[Kor1]],$AI$3:$AK$105,3,FALSE)</f>
        <v>Charge-offs</v>
      </c>
      <c r="X3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6"/>
      <c r="Z3706" t="s">
        <v>12</v>
      </c>
      <c r="AA3706" t="s">
        <v>258</v>
      </c>
      <c r="AB3706" t="s">
        <v>9</v>
      </c>
      <c r="AC3706" s="21">
        <v>51167.3</v>
      </c>
      <c r="AD3706" s="21" t="s">
        <v>368</v>
      </c>
      <c r="AE3706" t="str">
        <f>VLOOKUP(Table_Query_from_Actuarial___Production3[[#This Row],[Kor1]],$AI$3:$AK$105,3,FALSE)</f>
        <v>Premium Tax</v>
      </c>
      <c r="AF3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7" spans="18:32" x14ac:dyDescent="0.2">
      <c r="R3707" t="s">
        <v>144</v>
      </c>
      <c r="S3707" t="s">
        <v>224</v>
      </c>
      <c r="T3707" t="s">
        <v>443</v>
      </c>
      <c r="U3707" s="21">
        <v>-27600</v>
      </c>
      <c r="V3707" s="21" t="s">
        <v>368</v>
      </c>
      <c r="W3707" t="str">
        <f>VLOOKUP(Table_Query_from_Actuarial___Production[[#This Row],[Kor1]],$AI$3:$AK$105,3,FALSE)</f>
        <v>Claims Expense</v>
      </c>
      <c r="X3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707"/>
      <c r="Z3707" t="s">
        <v>15</v>
      </c>
      <c r="AA3707" t="s">
        <v>224</v>
      </c>
      <c r="AB3707" t="s">
        <v>442</v>
      </c>
      <c r="AC3707" s="21">
        <v>1475.93</v>
      </c>
      <c r="AD3707" s="21" t="s">
        <v>425</v>
      </c>
      <c r="AE3707" t="str">
        <f>VLOOKUP(Table_Query_from_Actuarial___Production3[[#This Row],[Kor1]],$AI$3:$AK$105,3,FALSE)</f>
        <v>Unearned Premiums</v>
      </c>
      <c r="AF3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708" spans="18:32" x14ac:dyDescent="0.2">
      <c r="R3708" t="s">
        <v>11</v>
      </c>
      <c r="S3708" t="s">
        <v>257</v>
      </c>
      <c r="T3708" t="s">
        <v>427</v>
      </c>
      <c r="U3708" s="21">
        <v>1697269.15</v>
      </c>
      <c r="V3708" s="21" t="s">
        <v>368</v>
      </c>
      <c r="W3708" t="str">
        <f>VLOOKUP(Table_Query_from_Actuarial___Production[[#This Row],[Kor1]],$AI$3:$AK$105,3,FALSE)</f>
        <v>Losses Paid</v>
      </c>
      <c r="X3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8"/>
      <c r="Z3708" t="s">
        <v>21</v>
      </c>
      <c r="AA3708" t="s">
        <v>248</v>
      </c>
      <c r="AB3708" t="s">
        <v>433</v>
      </c>
      <c r="AC3708" s="21">
        <v>2958.25</v>
      </c>
      <c r="AD3708" s="21" t="s">
        <v>368</v>
      </c>
      <c r="AE3708" t="str">
        <f>VLOOKUP(Table_Query_from_Actuarial___Production3[[#This Row],[Kor1]],$AI$3:$AK$105,3,FALSE)</f>
        <v>Misc. Expense</v>
      </c>
      <c r="AF3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09" spans="18:32" x14ac:dyDescent="0.2">
      <c r="R3709" t="s">
        <v>19</v>
      </c>
      <c r="S3709" t="s">
        <v>237</v>
      </c>
      <c r="T3709" t="s">
        <v>433</v>
      </c>
      <c r="U3709" s="21">
        <v>174280.3</v>
      </c>
      <c r="V3709" s="21" t="s">
        <v>368</v>
      </c>
      <c r="W3709" t="str">
        <f>VLOOKUP(Table_Query_from_Actuarial___Production[[#This Row],[Kor1]],$AI$3:$AK$105,3,FALSE)</f>
        <v>Misc. Expense for Insolvent Companies</v>
      </c>
      <c r="X3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09"/>
      <c r="Z3709" t="s">
        <v>3</v>
      </c>
      <c r="AA3709" t="s">
        <v>263</v>
      </c>
      <c r="AB3709" t="s">
        <v>6</v>
      </c>
      <c r="AC3709" s="21">
        <v>398435</v>
      </c>
      <c r="AD3709" s="21" t="s">
        <v>368</v>
      </c>
      <c r="AE3709" t="str">
        <f>VLOOKUP(Table_Query_from_Actuarial___Production3[[#This Row],[Kor1]],$AI$3:$AK$105,3,FALSE)</f>
        <v>Premiums Written</v>
      </c>
      <c r="AF3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0" spans="18:32" x14ac:dyDescent="0.2">
      <c r="R3710" t="s">
        <v>44</v>
      </c>
      <c r="S3710" t="s">
        <v>226</v>
      </c>
      <c r="T3710" t="s">
        <v>443</v>
      </c>
      <c r="U3710" s="21">
        <v>1599</v>
      </c>
      <c r="V3710" s="21" t="s">
        <v>368</v>
      </c>
      <c r="W3710" t="str">
        <f>VLOOKUP(Table_Query_from_Actuarial___Production[[#This Row],[Kor1]],$AI$3:$AK$105,3,FALSE)</f>
        <v>Charge-offs</v>
      </c>
      <c r="X3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710"/>
      <c r="Z3710" t="s">
        <v>14</v>
      </c>
      <c r="AA3710" t="s">
        <v>267</v>
      </c>
      <c r="AB3710" t="s">
        <v>443</v>
      </c>
      <c r="AC3710" s="21">
        <v>28732.55</v>
      </c>
      <c r="AD3710" s="21" t="s">
        <v>368</v>
      </c>
      <c r="AE3710" t="str">
        <f>VLOOKUP(Table_Query_from_Actuarial___Production3[[#This Row],[Kor1]],$AI$3:$AK$105,3,FALSE)</f>
        <v>Claims Expense</v>
      </c>
      <c r="AF3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1" spans="18:32" x14ac:dyDescent="0.2">
      <c r="R3711" t="s">
        <v>48</v>
      </c>
      <c r="S3711" t="s">
        <v>234</v>
      </c>
      <c r="T3711" t="s">
        <v>441</v>
      </c>
      <c r="U3711" s="21">
        <v>2137.2800000000002</v>
      </c>
      <c r="V3711" s="21" t="s">
        <v>368</v>
      </c>
      <c r="W3711" t="str">
        <f>VLOOKUP(Table_Query_from_Actuarial___Production[[#This Row],[Kor1]],$AI$3:$AK$105,3,FALSE)</f>
        <v>Anticipated Salvage</v>
      </c>
      <c r="X3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1"/>
      <c r="Z3711" t="s">
        <v>11</v>
      </c>
      <c r="AA3711" t="s">
        <v>235</v>
      </c>
      <c r="AB3711" t="s">
        <v>9</v>
      </c>
      <c r="AC3711" s="21">
        <v>636924.06000000006</v>
      </c>
      <c r="AD3711" s="21" t="s">
        <v>368</v>
      </c>
      <c r="AE3711" t="str">
        <f>VLOOKUP(Table_Query_from_Actuarial___Production3[[#This Row],[Kor1]],$AI$3:$AK$105,3,FALSE)</f>
        <v>Losses Paid</v>
      </c>
      <c r="AF3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2" spans="18:32" x14ac:dyDescent="0.2">
      <c r="R3712" t="s">
        <v>39</v>
      </c>
      <c r="S3712" t="s">
        <v>233</v>
      </c>
      <c r="T3712" t="s">
        <v>356</v>
      </c>
      <c r="U3712" s="21">
        <v>359</v>
      </c>
      <c r="V3712" s="21" t="s">
        <v>368</v>
      </c>
      <c r="W3712" t="str">
        <f>VLOOKUP(Table_Query_from_Actuarial___Production[[#This Row],[Kor1]],$AI$3:$AK$105,3,FALSE)</f>
        <v>Misc. Income for Insolvent Companies</v>
      </c>
      <c r="X3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2"/>
      <c r="Z3712" t="s">
        <v>31</v>
      </c>
      <c r="AA3712" t="s">
        <v>253</v>
      </c>
      <c r="AB3712" t="s">
        <v>441</v>
      </c>
      <c r="AC3712" s="21">
        <v>723.23</v>
      </c>
      <c r="AD3712" s="21" t="s">
        <v>368</v>
      </c>
      <c r="AE3712" t="str">
        <f>VLOOKUP(Table_Query_from_Actuarial___Production3[[#This Row],[Kor1]],$AI$3:$AK$105,3,FALSE)</f>
        <v>Misc. Expense</v>
      </c>
      <c r="AF3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3" spans="18:32" x14ac:dyDescent="0.2">
      <c r="R3713" t="s">
        <v>16</v>
      </c>
      <c r="S3713" t="s">
        <v>253</v>
      </c>
      <c r="T3713" t="s">
        <v>443</v>
      </c>
      <c r="U3713" s="21">
        <v>9952.84</v>
      </c>
      <c r="V3713" s="21" t="s">
        <v>368</v>
      </c>
      <c r="W3713" t="str">
        <f>VLOOKUP(Table_Query_from_Actuarial___Production[[#This Row],[Kor1]],$AI$3:$AK$105,3,FALSE)</f>
        <v>Losses Outstanding</v>
      </c>
      <c r="X3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3"/>
      <c r="Z3713" t="s">
        <v>12</v>
      </c>
      <c r="AA3713" t="s">
        <v>260</v>
      </c>
      <c r="AB3713" t="s">
        <v>356</v>
      </c>
      <c r="AC3713" s="21">
        <v>1416.22</v>
      </c>
      <c r="AD3713" s="21" t="s">
        <v>368</v>
      </c>
      <c r="AE3713" t="str">
        <f>VLOOKUP(Table_Query_from_Actuarial___Production3[[#This Row],[Kor1]],$AI$3:$AK$105,3,FALSE)</f>
        <v>Premium Tax</v>
      </c>
      <c r="AF3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4" spans="18:32" x14ac:dyDescent="0.2">
      <c r="R3714" t="s">
        <v>48</v>
      </c>
      <c r="S3714" t="s">
        <v>354</v>
      </c>
      <c r="T3714" t="s">
        <v>8</v>
      </c>
      <c r="U3714" s="21">
        <v>884</v>
      </c>
      <c r="V3714" s="21" t="s">
        <v>368</v>
      </c>
      <c r="W3714" t="str">
        <f>VLOOKUP(Table_Query_from_Actuarial___Production[[#This Row],[Kor1]],$AI$3:$AK$105,3,FALSE)</f>
        <v>Anticipated Salvage</v>
      </c>
      <c r="X3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714"/>
      <c r="Z3714" t="s">
        <v>31</v>
      </c>
      <c r="AA3714" t="s">
        <v>238</v>
      </c>
      <c r="AB3714" t="s">
        <v>5</v>
      </c>
      <c r="AC3714" s="21">
        <v>782</v>
      </c>
      <c r="AD3714" s="21" t="s">
        <v>368</v>
      </c>
      <c r="AE3714" t="str">
        <f>VLOOKUP(Table_Query_from_Actuarial___Production3[[#This Row],[Kor1]],$AI$3:$AK$105,3,FALSE)</f>
        <v>Misc. Expense</v>
      </c>
      <c r="AF3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5" spans="18:32" x14ac:dyDescent="0.2">
      <c r="R3715" t="s">
        <v>14</v>
      </c>
      <c r="S3715" t="s">
        <v>263</v>
      </c>
      <c r="T3715" t="s">
        <v>427</v>
      </c>
      <c r="U3715" s="21">
        <v>28361.279999999999</v>
      </c>
      <c r="V3715" s="21" t="s">
        <v>368</v>
      </c>
      <c r="W3715" t="str">
        <f>VLOOKUP(Table_Query_from_Actuarial___Production[[#This Row],[Kor1]],$AI$3:$AK$105,3,FALSE)</f>
        <v>Claims Expense</v>
      </c>
      <c r="X3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5"/>
      <c r="Z3715" t="s">
        <v>11</v>
      </c>
      <c r="AA3715" t="s">
        <v>352</v>
      </c>
      <c r="AB3715" t="s">
        <v>441</v>
      </c>
      <c r="AC3715" s="21">
        <v>137229.01999999999</v>
      </c>
      <c r="AD3715" s="21" t="s">
        <v>369</v>
      </c>
      <c r="AE3715" t="str">
        <f>VLOOKUP(Table_Query_from_Actuarial___Production3[[#This Row],[Kor1]],$AI$3:$AK$105,3,FALSE)</f>
        <v>Losses Paid</v>
      </c>
      <c r="AF3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716" spans="18:32" x14ac:dyDescent="0.2">
      <c r="R3716" t="s">
        <v>44</v>
      </c>
      <c r="S3716" t="s">
        <v>243</v>
      </c>
      <c r="T3716" t="s">
        <v>443</v>
      </c>
      <c r="U3716" s="21">
        <v>2304.0500000000002</v>
      </c>
      <c r="V3716" s="21" t="s">
        <v>368</v>
      </c>
      <c r="W3716" t="str">
        <f>VLOOKUP(Table_Query_from_Actuarial___Production[[#This Row],[Kor1]],$AI$3:$AK$105,3,FALSE)</f>
        <v>Charge-offs</v>
      </c>
      <c r="X3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6"/>
      <c r="Z3716" t="s">
        <v>47</v>
      </c>
      <c r="AA3716" t="s">
        <v>249</v>
      </c>
      <c r="AB3716" t="s">
        <v>356</v>
      </c>
      <c r="AC3716" s="21">
        <v>1954.39</v>
      </c>
      <c r="AD3716" s="21" t="s">
        <v>368</v>
      </c>
      <c r="AE3716" t="str">
        <f>VLOOKUP(Table_Query_from_Actuarial___Production3[[#This Row],[Kor1]],$AI$3:$AK$105,3,FALSE)</f>
        <v>Investment Income</v>
      </c>
      <c r="AF3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7" spans="18:32" x14ac:dyDescent="0.2">
      <c r="R3717" t="s">
        <v>49</v>
      </c>
      <c r="S3717" t="s">
        <v>252</v>
      </c>
      <c r="T3717" t="s">
        <v>9</v>
      </c>
      <c r="U3717" s="21">
        <v>1134411.76</v>
      </c>
      <c r="V3717" s="21" t="s">
        <v>368</v>
      </c>
      <c r="W3717" t="str">
        <f>VLOOKUP(Table_Query_from_Actuarial___Production[[#This Row],[Kor1]],$AI$3:$AK$105,3,FALSE)</f>
        <v>ALAE Paid</v>
      </c>
      <c r="X3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7"/>
      <c r="Z3717" t="s">
        <v>12</v>
      </c>
      <c r="AA3717" t="s">
        <v>236</v>
      </c>
      <c r="AB3717" t="s">
        <v>8</v>
      </c>
      <c r="AC3717" s="21">
        <v>1129.82</v>
      </c>
      <c r="AD3717" s="21" t="s">
        <v>368</v>
      </c>
      <c r="AE3717" t="str">
        <f>VLOOKUP(Table_Query_from_Actuarial___Production3[[#This Row],[Kor1]],$AI$3:$AK$105,3,FALSE)</f>
        <v>Premium Tax</v>
      </c>
      <c r="AF3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8" spans="18:32" x14ac:dyDescent="0.2">
      <c r="R3718" t="s">
        <v>3</v>
      </c>
      <c r="S3718" t="s">
        <v>4</v>
      </c>
      <c r="T3718" t="s">
        <v>9</v>
      </c>
      <c r="U3718" s="21">
        <v>20157775</v>
      </c>
      <c r="V3718" s="21" t="s">
        <v>368</v>
      </c>
      <c r="W3718" t="str">
        <f>VLOOKUP(Table_Query_from_Actuarial___Production[[#This Row],[Kor1]],$AI$3:$AK$105,3,FALSE)</f>
        <v>Premiums Written</v>
      </c>
      <c r="X3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8"/>
      <c r="Z3718" t="s">
        <v>39</v>
      </c>
      <c r="AA3718" t="s">
        <v>235</v>
      </c>
      <c r="AB3718" t="s">
        <v>351</v>
      </c>
      <c r="AC3718" s="21">
        <v>2962.99</v>
      </c>
      <c r="AD3718" s="21" t="s">
        <v>368</v>
      </c>
      <c r="AE3718" t="str">
        <f>VLOOKUP(Table_Query_from_Actuarial___Production3[[#This Row],[Kor1]],$AI$3:$AK$105,3,FALSE)</f>
        <v>Misc. Income for Insolvent Companies</v>
      </c>
      <c r="AF3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19" spans="18:32" x14ac:dyDescent="0.2">
      <c r="R3719" t="s">
        <v>40</v>
      </c>
      <c r="S3719" t="s">
        <v>266</v>
      </c>
      <c r="T3719" t="s">
        <v>7</v>
      </c>
      <c r="U3719" s="21">
        <v>2</v>
      </c>
      <c r="V3719" s="21" t="s">
        <v>368</v>
      </c>
      <c r="W3719" t="str">
        <f>VLOOKUP(Table_Query_from_Actuarial___Production[[#This Row],[Kor1]],$AI$3:$AK$105,3,FALSE)</f>
        <v>Misc. Income</v>
      </c>
      <c r="X3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19"/>
      <c r="Z3719" t="s">
        <v>31</v>
      </c>
      <c r="AA3719" t="s">
        <v>264</v>
      </c>
      <c r="AB3719" t="s">
        <v>442</v>
      </c>
      <c r="AC3719" s="21">
        <v>1081.53</v>
      </c>
      <c r="AD3719" s="21" t="s">
        <v>368</v>
      </c>
      <c r="AE3719" t="str">
        <f>VLOOKUP(Table_Query_from_Actuarial___Production3[[#This Row],[Kor1]],$AI$3:$AK$105,3,FALSE)</f>
        <v>Misc. Expense</v>
      </c>
      <c r="AF3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0" spans="18:32" x14ac:dyDescent="0.2">
      <c r="R3720" t="s">
        <v>16</v>
      </c>
      <c r="S3720" t="s">
        <v>354</v>
      </c>
      <c r="T3720" t="s">
        <v>6</v>
      </c>
      <c r="U3720" s="21">
        <v>805573.41</v>
      </c>
      <c r="V3720" s="21" t="s">
        <v>369</v>
      </c>
      <c r="W3720" t="str">
        <f>VLOOKUP(Table_Query_from_Actuarial___Production[[#This Row],[Kor1]],$AI$3:$AK$105,3,FALSE)</f>
        <v>Losses Outstanding</v>
      </c>
      <c r="X3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720"/>
      <c r="Z3720" t="s">
        <v>41</v>
      </c>
      <c r="AA3720" t="s">
        <v>230</v>
      </c>
      <c r="AB3720" t="s">
        <v>443</v>
      </c>
      <c r="AC3720" s="21">
        <v>623.02</v>
      </c>
      <c r="AD3720" s="21" t="s">
        <v>368</v>
      </c>
      <c r="AE3720" t="str">
        <f>VLOOKUP(Table_Query_from_Actuarial___Production3[[#This Row],[Kor1]],$AI$3:$AK$105,3,FALSE)</f>
        <v>Misc. Income</v>
      </c>
      <c r="AF3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1" spans="18:32" x14ac:dyDescent="0.2">
      <c r="R3721" t="s">
        <v>50</v>
      </c>
      <c r="S3721" t="s">
        <v>251</v>
      </c>
      <c r="T3721" t="s">
        <v>433</v>
      </c>
      <c r="U3721" s="21">
        <v>3854.79</v>
      </c>
      <c r="V3721" s="21" t="s">
        <v>368</v>
      </c>
      <c r="W3721" t="str">
        <f>VLOOKUP(Table_Query_from_Actuarial___Production[[#This Row],[Kor1]],$AI$3:$AK$105,3,FALSE)</f>
        <v>ALAE Reserve</v>
      </c>
      <c r="X3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1"/>
      <c r="Z3721" t="s">
        <v>37</v>
      </c>
      <c r="AA3721" t="s">
        <v>257</v>
      </c>
      <c r="AB3721" t="s">
        <v>442</v>
      </c>
      <c r="AC3721" s="21">
        <v>88562.6</v>
      </c>
      <c r="AD3721" s="21" t="s">
        <v>368</v>
      </c>
      <c r="AE3721" t="str">
        <f>VLOOKUP(Table_Query_from_Actuarial___Production3[[#This Row],[Kor1]],$AI$3:$AK$105,3,FALSE)</f>
        <v>Misc. Expense</v>
      </c>
      <c r="AF3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2" spans="18:32" x14ac:dyDescent="0.2">
      <c r="R3722" t="s">
        <v>50</v>
      </c>
      <c r="S3722" t="s">
        <v>230</v>
      </c>
      <c r="T3722" t="s">
        <v>427</v>
      </c>
      <c r="U3722" s="21">
        <v>98386.96</v>
      </c>
      <c r="V3722" s="21" t="s">
        <v>368</v>
      </c>
      <c r="W3722" t="str">
        <f>VLOOKUP(Table_Query_from_Actuarial___Production[[#This Row],[Kor1]],$AI$3:$AK$105,3,FALSE)</f>
        <v>ALAE Reserve</v>
      </c>
      <c r="X3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2"/>
      <c r="Z3722" t="s">
        <v>3</v>
      </c>
      <c r="AA3722" t="s">
        <v>354</v>
      </c>
      <c r="AB3722" t="s">
        <v>9</v>
      </c>
      <c r="AC3722" s="21">
        <v>97348046.790000007</v>
      </c>
      <c r="AD3722" s="21" t="s">
        <v>368</v>
      </c>
      <c r="AE3722" t="str">
        <f>VLOOKUP(Table_Query_from_Actuarial___Production3[[#This Row],[Kor1]],$AI$3:$AK$105,3,FALSE)</f>
        <v>Premiums Written</v>
      </c>
      <c r="AF3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723" spans="18:32" x14ac:dyDescent="0.2">
      <c r="R3723" t="s">
        <v>13</v>
      </c>
      <c r="S3723" t="s">
        <v>354</v>
      </c>
      <c r="T3723" t="s">
        <v>445</v>
      </c>
      <c r="U3723" s="21">
        <v>182049301</v>
      </c>
      <c r="V3723" s="21" t="s">
        <v>369</v>
      </c>
      <c r="W3723" t="str">
        <f>VLOOKUP(Table_Query_from_Actuarial___Production[[#This Row],[Kor1]],$AI$3:$AK$105,3,FALSE)</f>
        <v>Operating Service Fees</v>
      </c>
      <c r="X3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723"/>
      <c r="Z3723" t="s">
        <v>19</v>
      </c>
      <c r="AA3723" t="s">
        <v>256</v>
      </c>
      <c r="AB3723" t="s">
        <v>5</v>
      </c>
      <c r="AC3723" s="21">
        <v>690</v>
      </c>
      <c r="AD3723" s="21" t="s">
        <v>368</v>
      </c>
      <c r="AE3723" t="str">
        <f>VLOOKUP(Table_Query_from_Actuarial___Production3[[#This Row],[Kor1]],$AI$3:$AK$105,3,FALSE)</f>
        <v>Misc. Expense for Insolvent Companies</v>
      </c>
      <c r="AF3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4" spans="18:32" x14ac:dyDescent="0.2">
      <c r="R3724" t="s">
        <v>14</v>
      </c>
      <c r="S3724" t="s">
        <v>240</v>
      </c>
      <c r="T3724" t="s">
        <v>441</v>
      </c>
      <c r="U3724" s="21">
        <v>389702.56</v>
      </c>
      <c r="V3724" s="21" t="s">
        <v>368</v>
      </c>
      <c r="W3724" t="str">
        <f>VLOOKUP(Table_Query_from_Actuarial___Production[[#This Row],[Kor1]],$AI$3:$AK$105,3,FALSE)</f>
        <v>Claims Expense</v>
      </c>
      <c r="X3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4"/>
      <c r="Z3724" t="s">
        <v>37</v>
      </c>
      <c r="AA3724" t="s">
        <v>248</v>
      </c>
      <c r="AB3724" t="s">
        <v>427</v>
      </c>
      <c r="AC3724" s="21">
        <v>20.91</v>
      </c>
      <c r="AD3724" s="21" t="s">
        <v>368</v>
      </c>
      <c r="AE3724" t="str">
        <f>VLOOKUP(Table_Query_from_Actuarial___Production3[[#This Row],[Kor1]],$AI$3:$AK$105,3,FALSE)</f>
        <v>Misc. Expense</v>
      </c>
      <c r="AF3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5" spans="18:32" x14ac:dyDescent="0.2">
      <c r="R3725" t="s">
        <v>20</v>
      </c>
      <c r="S3725" t="s">
        <v>229</v>
      </c>
      <c r="T3725" t="s">
        <v>442</v>
      </c>
      <c r="U3725" s="21">
        <v>72.3</v>
      </c>
      <c r="V3725" s="21" t="s">
        <v>368</v>
      </c>
      <c r="W3725" t="str">
        <f>VLOOKUP(Table_Query_from_Actuarial___Production[[#This Row],[Kor1]],$AI$3:$AK$105,3,FALSE)</f>
        <v>Misc. Expense</v>
      </c>
      <c r="X3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5"/>
      <c r="Z3725" t="s">
        <v>3</v>
      </c>
      <c r="AA3725" t="s">
        <v>265</v>
      </c>
      <c r="AB3725" t="s">
        <v>441</v>
      </c>
      <c r="AC3725" s="21">
        <v>1048025</v>
      </c>
      <c r="AD3725" s="21" t="s">
        <v>368</v>
      </c>
      <c r="AE3725" t="str">
        <f>VLOOKUP(Table_Query_from_Actuarial___Production3[[#This Row],[Kor1]],$AI$3:$AK$105,3,FALSE)</f>
        <v>Premiums Written</v>
      </c>
      <c r="AF3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6" spans="18:32" x14ac:dyDescent="0.2">
      <c r="R3726" t="s">
        <v>33</v>
      </c>
      <c r="S3726" t="s">
        <v>250</v>
      </c>
      <c r="T3726" t="s">
        <v>433</v>
      </c>
      <c r="U3726" s="21">
        <v>30216.36</v>
      </c>
      <c r="V3726" s="21" t="s">
        <v>368</v>
      </c>
      <c r="W3726" t="str">
        <f>VLOOKUP(Table_Query_from_Actuarial___Production[[#This Row],[Kor1]],$AI$3:$AK$105,3,FALSE)</f>
        <v>Misc. Expense</v>
      </c>
      <c r="X3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6"/>
      <c r="Z3726" t="s">
        <v>50</v>
      </c>
      <c r="AA3726" t="s">
        <v>242</v>
      </c>
      <c r="AB3726" t="s">
        <v>442</v>
      </c>
      <c r="AC3726" s="21">
        <v>327.64</v>
      </c>
      <c r="AD3726" s="21" t="s">
        <v>368</v>
      </c>
      <c r="AE3726" t="str">
        <f>VLOOKUP(Table_Query_from_Actuarial___Production3[[#This Row],[Kor1]],$AI$3:$AK$105,3,FALSE)</f>
        <v>ALAE Reserve</v>
      </c>
      <c r="AF3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7" spans="18:32" x14ac:dyDescent="0.2">
      <c r="R3727" t="s">
        <v>39</v>
      </c>
      <c r="S3727" t="s">
        <v>4</v>
      </c>
      <c r="T3727" t="s">
        <v>442</v>
      </c>
      <c r="U3727" s="21">
        <v>50106.67</v>
      </c>
      <c r="V3727" s="21" t="s">
        <v>368</v>
      </c>
      <c r="W3727" t="str">
        <f>VLOOKUP(Table_Query_from_Actuarial___Production[[#This Row],[Kor1]],$AI$3:$AK$105,3,FALSE)</f>
        <v>Misc. Income for Insolvent Companies</v>
      </c>
      <c r="X3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7"/>
      <c r="Z3727" t="s">
        <v>17</v>
      </c>
      <c r="AA3727" t="s">
        <v>249</v>
      </c>
      <c r="AB3727" t="s">
        <v>441</v>
      </c>
      <c r="AC3727" s="21">
        <v>168823.06</v>
      </c>
      <c r="AD3727" s="21" t="s">
        <v>368</v>
      </c>
      <c r="AE3727" t="str">
        <f>VLOOKUP(Table_Query_from_Actuarial___Production3[[#This Row],[Kor1]],$AI$3:$AK$105,3,FALSE)</f>
        <v>IBNR</v>
      </c>
      <c r="AF3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8" spans="18:32" x14ac:dyDescent="0.2">
      <c r="R3728" t="s">
        <v>39</v>
      </c>
      <c r="S3728" t="s">
        <v>237</v>
      </c>
      <c r="T3728" t="s">
        <v>427</v>
      </c>
      <c r="U3728" s="21">
        <v>77953.16</v>
      </c>
      <c r="V3728" s="21" t="s">
        <v>368</v>
      </c>
      <c r="W3728" t="str">
        <f>VLOOKUP(Table_Query_from_Actuarial___Production[[#This Row],[Kor1]],$AI$3:$AK$105,3,FALSE)</f>
        <v>Misc. Income for Insolvent Companies</v>
      </c>
      <c r="X3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8"/>
      <c r="Z3728" t="s">
        <v>15</v>
      </c>
      <c r="AA3728" t="s">
        <v>242</v>
      </c>
      <c r="AB3728" t="s">
        <v>443</v>
      </c>
      <c r="AC3728" s="21">
        <v>24723.49</v>
      </c>
      <c r="AD3728" s="21" t="s">
        <v>368</v>
      </c>
      <c r="AE3728" t="str">
        <f>VLOOKUP(Table_Query_from_Actuarial___Production3[[#This Row],[Kor1]],$AI$3:$AK$105,3,FALSE)</f>
        <v>Unearned Premiums</v>
      </c>
      <c r="AF3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29" spans="18:32" x14ac:dyDescent="0.2">
      <c r="R3729" t="s">
        <v>40</v>
      </c>
      <c r="S3729" t="s">
        <v>246</v>
      </c>
      <c r="T3729" t="s">
        <v>443</v>
      </c>
      <c r="U3729" s="21">
        <v>153</v>
      </c>
      <c r="V3729" s="21" t="s">
        <v>368</v>
      </c>
      <c r="W3729" t="str">
        <f>VLOOKUP(Table_Query_from_Actuarial___Production[[#This Row],[Kor1]],$AI$3:$AK$105,3,FALSE)</f>
        <v>Misc. Income</v>
      </c>
      <c r="X3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29"/>
      <c r="Z3729" t="s">
        <v>46</v>
      </c>
      <c r="AA3729" t="s">
        <v>225</v>
      </c>
      <c r="AB3729" t="s">
        <v>356</v>
      </c>
      <c r="AC3729" s="21">
        <v>36243.61</v>
      </c>
      <c r="AD3729" s="21" t="s">
        <v>369</v>
      </c>
      <c r="AE3729" t="str">
        <f>VLOOKUP(Table_Query_from_Actuarial___Production3[[#This Row],[Kor1]],$AI$3:$AK$105,3,FALSE)</f>
        <v>Investment Income</v>
      </c>
      <c r="AF3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730" spans="18:32" x14ac:dyDescent="0.2">
      <c r="R3730" t="s">
        <v>10</v>
      </c>
      <c r="S3730" t="s">
        <v>259</v>
      </c>
      <c r="T3730" t="s">
        <v>441</v>
      </c>
      <c r="U3730" s="21">
        <v>2679.83</v>
      </c>
      <c r="V3730" s="21" t="s">
        <v>368</v>
      </c>
      <c r="W3730" t="str">
        <f>VLOOKUP(Table_Query_from_Actuarial___Production[[#This Row],[Kor1]],$AI$3:$AK$105,3,FALSE)</f>
        <v>Commissions</v>
      </c>
      <c r="X3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0"/>
      <c r="Z3730" t="s">
        <v>16</v>
      </c>
      <c r="AA3730" t="s">
        <v>239</v>
      </c>
      <c r="AB3730" t="s">
        <v>427</v>
      </c>
      <c r="AC3730" s="21">
        <v>5219405.9800000004</v>
      </c>
      <c r="AD3730" s="21" t="s">
        <v>368</v>
      </c>
      <c r="AE3730" t="str">
        <f>VLOOKUP(Table_Query_from_Actuarial___Production3[[#This Row],[Kor1]],$AI$3:$AK$105,3,FALSE)</f>
        <v>Losses Outstanding</v>
      </c>
      <c r="AF3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1" spans="18:32" x14ac:dyDescent="0.2">
      <c r="R3731" t="s">
        <v>44</v>
      </c>
      <c r="S3731" t="s">
        <v>242</v>
      </c>
      <c r="T3731" t="s">
        <v>433</v>
      </c>
      <c r="U3731" s="21">
        <v>49</v>
      </c>
      <c r="V3731" s="21" t="s">
        <v>368</v>
      </c>
      <c r="W3731" t="str">
        <f>VLOOKUP(Table_Query_from_Actuarial___Production[[#This Row],[Kor1]],$AI$3:$AK$105,3,FALSE)</f>
        <v>Charge-offs</v>
      </c>
      <c r="X3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1"/>
      <c r="Z3731" t="s">
        <v>43</v>
      </c>
      <c r="AA3731" t="s">
        <v>231</v>
      </c>
      <c r="AB3731" t="s">
        <v>9</v>
      </c>
      <c r="AC3731" s="21">
        <v>-59.92</v>
      </c>
      <c r="AD3731" s="21" t="s">
        <v>368</v>
      </c>
      <c r="AE3731" t="str">
        <f>VLOOKUP(Table_Query_from_Actuarial___Production3[[#This Row],[Kor1]],$AI$3:$AK$105,3,FALSE)</f>
        <v>Charge-offs</v>
      </c>
      <c r="AF3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2" spans="18:32" x14ac:dyDescent="0.2">
      <c r="R3732" t="s">
        <v>10</v>
      </c>
      <c r="S3732" t="s">
        <v>267</v>
      </c>
      <c r="T3732" t="s">
        <v>356</v>
      </c>
      <c r="U3732" s="21">
        <v>13283.14</v>
      </c>
      <c r="V3732" s="21" t="s">
        <v>368</v>
      </c>
      <c r="W3732" t="str">
        <f>VLOOKUP(Table_Query_from_Actuarial___Production[[#This Row],[Kor1]],$AI$3:$AK$105,3,FALSE)</f>
        <v>Commissions</v>
      </c>
      <c r="X3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2"/>
      <c r="Z3732" t="s">
        <v>3</v>
      </c>
      <c r="AA3732" t="s">
        <v>224</v>
      </c>
      <c r="AB3732" t="s">
        <v>9</v>
      </c>
      <c r="AC3732" s="21">
        <v>145361.14000000001</v>
      </c>
      <c r="AD3732" s="21" t="s">
        <v>369</v>
      </c>
      <c r="AE3732" t="str">
        <f>VLOOKUP(Table_Query_from_Actuarial___Production3[[#This Row],[Kor1]],$AI$3:$AK$105,3,FALSE)</f>
        <v>Premiums Written</v>
      </c>
      <c r="AF3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733" spans="18:32" x14ac:dyDescent="0.2">
      <c r="R3733" t="s">
        <v>39</v>
      </c>
      <c r="S3733" t="s">
        <v>236</v>
      </c>
      <c r="T3733" t="s">
        <v>441</v>
      </c>
      <c r="U3733" s="21">
        <v>815.58</v>
      </c>
      <c r="V3733" s="21" t="s">
        <v>368</v>
      </c>
      <c r="W3733" t="str">
        <f>VLOOKUP(Table_Query_from_Actuarial___Production[[#This Row],[Kor1]],$AI$3:$AK$105,3,FALSE)</f>
        <v>Misc. Income for Insolvent Companies</v>
      </c>
      <c r="X3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3"/>
      <c r="Z3733" t="s">
        <v>10</v>
      </c>
      <c r="AA3733" t="s">
        <v>245</v>
      </c>
      <c r="AB3733" t="s">
        <v>441</v>
      </c>
      <c r="AC3733" s="21">
        <v>405.3</v>
      </c>
      <c r="AD3733" s="21" t="s">
        <v>368</v>
      </c>
      <c r="AE3733" t="str">
        <f>VLOOKUP(Table_Query_from_Actuarial___Production3[[#This Row],[Kor1]],$AI$3:$AK$105,3,FALSE)</f>
        <v>Commissions</v>
      </c>
      <c r="AF3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4" spans="18:32" x14ac:dyDescent="0.2">
      <c r="R3734" t="s">
        <v>3</v>
      </c>
      <c r="S3734" t="s">
        <v>261</v>
      </c>
      <c r="T3734" t="s">
        <v>445</v>
      </c>
      <c r="U3734" s="21">
        <v>849890</v>
      </c>
      <c r="V3734" s="21" t="s">
        <v>368</v>
      </c>
      <c r="W3734" t="str">
        <f>VLOOKUP(Table_Query_from_Actuarial___Production[[#This Row],[Kor1]],$AI$3:$AK$105,3,FALSE)</f>
        <v>Premiums Written</v>
      </c>
      <c r="X3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4"/>
      <c r="Z3734" t="s">
        <v>33</v>
      </c>
      <c r="AA3734" t="s">
        <v>249</v>
      </c>
      <c r="AB3734" t="s">
        <v>9</v>
      </c>
      <c r="AC3734" s="21">
        <v>11275.69</v>
      </c>
      <c r="AD3734" s="21" t="s">
        <v>368</v>
      </c>
      <c r="AE3734" t="str">
        <f>VLOOKUP(Table_Query_from_Actuarial___Production3[[#This Row],[Kor1]],$AI$3:$AK$105,3,FALSE)</f>
        <v>Misc. Expense</v>
      </c>
      <c r="AF3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5" spans="18:32" x14ac:dyDescent="0.2">
      <c r="R3735" t="s">
        <v>13</v>
      </c>
      <c r="S3735" t="s">
        <v>264</v>
      </c>
      <c r="T3735" t="s">
        <v>445</v>
      </c>
      <c r="U3735" s="21">
        <v>356605.47</v>
      </c>
      <c r="V3735" s="21" t="s">
        <v>368</v>
      </c>
      <c r="W3735" t="str">
        <f>VLOOKUP(Table_Query_from_Actuarial___Production[[#This Row],[Kor1]],$AI$3:$AK$105,3,FALSE)</f>
        <v>Operating Service Fees</v>
      </c>
      <c r="X3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5"/>
      <c r="Z3735" t="s">
        <v>10</v>
      </c>
      <c r="AA3735" t="s">
        <v>229</v>
      </c>
      <c r="AB3735" t="s">
        <v>441</v>
      </c>
      <c r="AC3735" s="21">
        <v>5847.9</v>
      </c>
      <c r="AD3735" s="21" t="s">
        <v>368</v>
      </c>
      <c r="AE3735" t="str">
        <f>VLOOKUP(Table_Query_from_Actuarial___Production3[[#This Row],[Kor1]],$AI$3:$AK$105,3,FALSE)</f>
        <v>Commissions</v>
      </c>
      <c r="AF3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6" spans="18:32" x14ac:dyDescent="0.2">
      <c r="R3736" t="s">
        <v>33</v>
      </c>
      <c r="S3736" t="s">
        <v>260</v>
      </c>
      <c r="T3736" t="s">
        <v>8</v>
      </c>
      <c r="U3736" s="21">
        <v>14873.95</v>
      </c>
      <c r="V3736" s="21" t="s">
        <v>368</v>
      </c>
      <c r="W3736" t="str">
        <f>VLOOKUP(Table_Query_from_Actuarial___Production[[#This Row],[Kor1]],$AI$3:$AK$105,3,FALSE)</f>
        <v>Misc. Expense</v>
      </c>
      <c r="X3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6"/>
      <c r="Z3736" t="s">
        <v>47</v>
      </c>
      <c r="AA3736" t="s">
        <v>236</v>
      </c>
      <c r="AB3736" t="s">
        <v>356</v>
      </c>
      <c r="AC3736" s="21">
        <v>311.83</v>
      </c>
      <c r="AD3736" s="21" t="s">
        <v>368</v>
      </c>
      <c r="AE3736" t="str">
        <f>VLOOKUP(Table_Query_from_Actuarial___Production3[[#This Row],[Kor1]],$AI$3:$AK$105,3,FALSE)</f>
        <v>Investment Income</v>
      </c>
      <c r="AF3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7" spans="18:32" x14ac:dyDescent="0.2">
      <c r="R3737" t="s">
        <v>40</v>
      </c>
      <c r="S3737" t="s">
        <v>227</v>
      </c>
      <c r="T3737" t="s">
        <v>427</v>
      </c>
      <c r="U3737" s="21">
        <v>1</v>
      </c>
      <c r="V3737" s="21" t="s">
        <v>368</v>
      </c>
      <c r="W3737" t="str">
        <f>VLOOKUP(Table_Query_from_Actuarial___Production[[#This Row],[Kor1]],$AI$3:$AK$105,3,FALSE)</f>
        <v>Misc. Income</v>
      </c>
      <c r="X3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7"/>
      <c r="Z3737" t="s">
        <v>50</v>
      </c>
      <c r="AA3737" t="s">
        <v>253</v>
      </c>
      <c r="AB3737" t="s">
        <v>433</v>
      </c>
      <c r="AC3737" s="21">
        <v>185.98</v>
      </c>
      <c r="AD3737" s="21" t="s">
        <v>368</v>
      </c>
      <c r="AE3737" t="str">
        <f>VLOOKUP(Table_Query_from_Actuarial___Production3[[#This Row],[Kor1]],$AI$3:$AK$105,3,FALSE)</f>
        <v>ALAE Reserve</v>
      </c>
      <c r="AF3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8" spans="18:32" x14ac:dyDescent="0.2">
      <c r="R3738" t="s">
        <v>3</v>
      </c>
      <c r="S3738" t="s">
        <v>264</v>
      </c>
      <c r="T3738" t="s">
        <v>8</v>
      </c>
      <c r="U3738" s="21">
        <v>2302928</v>
      </c>
      <c r="V3738" s="21" t="s">
        <v>368</v>
      </c>
      <c r="W3738" t="str">
        <f>VLOOKUP(Table_Query_from_Actuarial___Production[[#This Row],[Kor1]],$AI$3:$AK$105,3,FALSE)</f>
        <v>Premiums Written</v>
      </c>
      <c r="X3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8"/>
      <c r="Z3738" t="s">
        <v>3</v>
      </c>
      <c r="AA3738" t="s">
        <v>254</v>
      </c>
      <c r="AB3738" t="s">
        <v>7</v>
      </c>
      <c r="AC3738" s="21">
        <v>382748</v>
      </c>
      <c r="AD3738" s="21" t="s">
        <v>368</v>
      </c>
      <c r="AE3738" t="str">
        <f>VLOOKUP(Table_Query_from_Actuarial___Production3[[#This Row],[Kor1]],$AI$3:$AK$105,3,FALSE)</f>
        <v>Premiums Written</v>
      </c>
      <c r="AF3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39" spans="18:32" x14ac:dyDescent="0.2">
      <c r="R3739" t="s">
        <v>10</v>
      </c>
      <c r="S3739" t="s">
        <v>242</v>
      </c>
      <c r="T3739" t="s">
        <v>441</v>
      </c>
      <c r="U3739" s="21">
        <v>42158.85</v>
      </c>
      <c r="V3739" s="21" t="s">
        <v>368</v>
      </c>
      <c r="W3739" t="str">
        <f>VLOOKUP(Table_Query_from_Actuarial___Production[[#This Row],[Kor1]],$AI$3:$AK$105,3,FALSE)</f>
        <v>Commissions</v>
      </c>
      <c r="X3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39"/>
      <c r="Z3739" t="s">
        <v>10</v>
      </c>
      <c r="AA3739" t="s">
        <v>234</v>
      </c>
      <c r="AB3739" t="s">
        <v>441</v>
      </c>
      <c r="AC3739" s="21">
        <v>86522.91</v>
      </c>
      <c r="AD3739" s="21" t="s">
        <v>368</v>
      </c>
      <c r="AE3739" t="str">
        <f>VLOOKUP(Table_Query_from_Actuarial___Production3[[#This Row],[Kor1]],$AI$3:$AK$105,3,FALSE)</f>
        <v>Commissions</v>
      </c>
      <c r="AF3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0" spans="18:32" x14ac:dyDescent="0.2">
      <c r="R3740" t="s">
        <v>37</v>
      </c>
      <c r="S3740" t="s">
        <v>258</v>
      </c>
      <c r="T3740" t="s">
        <v>8</v>
      </c>
      <c r="U3740" s="21">
        <v>328.3</v>
      </c>
      <c r="V3740" s="21" t="s">
        <v>368</v>
      </c>
      <c r="W3740" t="str">
        <f>VLOOKUP(Table_Query_from_Actuarial___Production[[#This Row],[Kor1]],$AI$3:$AK$105,3,FALSE)</f>
        <v>Misc. Expense</v>
      </c>
      <c r="X3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0"/>
      <c r="Z3740" t="s">
        <v>13</v>
      </c>
      <c r="AA3740" t="s">
        <v>252</v>
      </c>
      <c r="AB3740" t="s">
        <v>433</v>
      </c>
      <c r="AC3740" s="21">
        <v>5324894.1900000004</v>
      </c>
      <c r="AD3740" s="21" t="s">
        <v>368</v>
      </c>
      <c r="AE3740" t="str">
        <f>VLOOKUP(Table_Query_from_Actuarial___Production3[[#This Row],[Kor1]],$AI$3:$AK$105,3,FALSE)</f>
        <v>Operating Service Fees</v>
      </c>
      <c r="AF3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1" spans="18:32" x14ac:dyDescent="0.2">
      <c r="R3741" t="s">
        <v>16</v>
      </c>
      <c r="S3741" t="s">
        <v>265</v>
      </c>
      <c r="T3741" t="s">
        <v>442</v>
      </c>
      <c r="U3741" s="21">
        <v>149433.68</v>
      </c>
      <c r="V3741" s="21" t="s">
        <v>368</v>
      </c>
      <c r="W3741" t="str">
        <f>VLOOKUP(Table_Query_from_Actuarial___Production[[#This Row],[Kor1]],$AI$3:$AK$105,3,FALSE)</f>
        <v>Losses Outstanding</v>
      </c>
      <c r="X3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1"/>
      <c r="Z3741" t="s">
        <v>17</v>
      </c>
      <c r="AA3741" t="s">
        <v>262</v>
      </c>
      <c r="AB3741" t="s">
        <v>427</v>
      </c>
      <c r="AC3741" s="21">
        <v>42315.97</v>
      </c>
      <c r="AD3741" s="21" t="s">
        <v>368</v>
      </c>
      <c r="AE3741" t="str">
        <f>VLOOKUP(Table_Query_from_Actuarial___Production3[[#This Row],[Kor1]],$AI$3:$AK$105,3,FALSE)</f>
        <v>IBNR</v>
      </c>
      <c r="AF3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2" spans="18:32" x14ac:dyDescent="0.2">
      <c r="R3742" t="s">
        <v>19</v>
      </c>
      <c r="S3742" t="s">
        <v>251</v>
      </c>
      <c r="T3742" t="s">
        <v>351</v>
      </c>
      <c r="U3742" s="21">
        <v>318</v>
      </c>
      <c r="V3742" s="21" t="s">
        <v>368</v>
      </c>
      <c r="W3742" t="str">
        <f>VLOOKUP(Table_Query_from_Actuarial___Production[[#This Row],[Kor1]],$AI$3:$AK$105,3,FALSE)</f>
        <v>Misc. Expense for Insolvent Companies</v>
      </c>
      <c r="X3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2"/>
      <c r="Z3742" t="s">
        <v>43</v>
      </c>
      <c r="AA3742" t="s">
        <v>230</v>
      </c>
      <c r="AB3742" t="s">
        <v>8</v>
      </c>
      <c r="AC3742" s="21">
        <v>8181.72</v>
      </c>
      <c r="AD3742" s="21" t="s">
        <v>368</v>
      </c>
      <c r="AE3742" t="str">
        <f>VLOOKUP(Table_Query_from_Actuarial___Production3[[#This Row],[Kor1]],$AI$3:$AK$105,3,FALSE)</f>
        <v>Charge-offs</v>
      </c>
      <c r="AF3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3" spans="18:32" x14ac:dyDescent="0.2">
      <c r="R3743" t="s">
        <v>11</v>
      </c>
      <c r="S3743" t="s">
        <v>257</v>
      </c>
      <c r="T3743" t="s">
        <v>443</v>
      </c>
      <c r="U3743" s="21">
        <v>1342613.95</v>
      </c>
      <c r="V3743" s="21" t="s">
        <v>368</v>
      </c>
      <c r="W3743" t="str">
        <f>VLOOKUP(Table_Query_from_Actuarial___Production[[#This Row],[Kor1]],$AI$3:$AK$105,3,FALSE)</f>
        <v>Losses Paid</v>
      </c>
      <c r="X3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3"/>
      <c r="Z3743" t="s">
        <v>144</v>
      </c>
      <c r="AA3743" t="s">
        <v>224</v>
      </c>
      <c r="AB3743" t="s">
        <v>443</v>
      </c>
      <c r="AC3743" s="21">
        <v>7700</v>
      </c>
      <c r="AD3743" s="21" t="s">
        <v>368</v>
      </c>
      <c r="AE3743" t="str">
        <f>VLOOKUP(Table_Query_from_Actuarial___Production3[[#This Row],[Kor1]],$AI$3:$AK$105,3,FALSE)</f>
        <v>Claims Expense</v>
      </c>
      <c r="AF3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744" spans="18:32" x14ac:dyDescent="0.2">
      <c r="R3744" t="s">
        <v>21</v>
      </c>
      <c r="S3744" t="s">
        <v>262</v>
      </c>
      <c r="T3744" t="s">
        <v>433</v>
      </c>
      <c r="U3744" s="21">
        <v>599.5</v>
      </c>
      <c r="V3744" s="21" t="s">
        <v>368</v>
      </c>
      <c r="W3744" t="str">
        <f>VLOOKUP(Table_Query_from_Actuarial___Production[[#This Row],[Kor1]],$AI$3:$AK$105,3,FALSE)</f>
        <v>Misc. Expense</v>
      </c>
      <c r="X3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4"/>
      <c r="Z3744" t="s">
        <v>11</v>
      </c>
      <c r="AA3744" t="s">
        <v>257</v>
      </c>
      <c r="AB3744" t="s">
        <v>427</v>
      </c>
      <c r="AC3744" s="21">
        <v>607269.15</v>
      </c>
      <c r="AD3744" s="21" t="s">
        <v>368</v>
      </c>
      <c r="AE3744" t="str">
        <f>VLOOKUP(Table_Query_from_Actuarial___Production3[[#This Row],[Kor1]],$AI$3:$AK$105,3,FALSE)</f>
        <v>Losses Paid</v>
      </c>
      <c r="AF3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5" spans="18:32" x14ac:dyDescent="0.2">
      <c r="R3745" t="s">
        <v>18</v>
      </c>
      <c r="S3745" t="s">
        <v>354</v>
      </c>
      <c r="T3745" t="s">
        <v>351</v>
      </c>
      <c r="U3745" s="21">
        <v>559686.98</v>
      </c>
      <c r="V3745" s="21" t="s">
        <v>368</v>
      </c>
      <c r="W3745" t="str">
        <f>VLOOKUP(Table_Query_from_Actuarial___Production[[#This Row],[Kor1]],$AI$3:$AK$105,3,FALSE)</f>
        <v>Misc. Expense</v>
      </c>
      <c r="X3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745"/>
      <c r="Z3745" t="s">
        <v>19</v>
      </c>
      <c r="AA3745" t="s">
        <v>237</v>
      </c>
      <c r="AB3745" t="s">
        <v>433</v>
      </c>
      <c r="AC3745" s="21">
        <v>174280.3</v>
      </c>
      <c r="AD3745" s="21" t="s">
        <v>368</v>
      </c>
      <c r="AE3745" t="str">
        <f>VLOOKUP(Table_Query_from_Actuarial___Production3[[#This Row],[Kor1]],$AI$3:$AK$105,3,FALSE)</f>
        <v>Misc. Expense for Insolvent Companies</v>
      </c>
      <c r="AF3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6" spans="18:32" x14ac:dyDescent="0.2">
      <c r="R3746" t="s">
        <v>3</v>
      </c>
      <c r="S3746" t="s">
        <v>261</v>
      </c>
      <c r="T3746" t="s">
        <v>6</v>
      </c>
      <c r="U3746" s="21">
        <v>619807</v>
      </c>
      <c r="V3746" s="21" t="s">
        <v>368</v>
      </c>
      <c r="W3746" t="str">
        <f>VLOOKUP(Table_Query_from_Actuarial___Production[[#This Row],[Kor1]],$AI$3:$AK$105,3,FALSE)</f>
        <v>Premiums Written</v>
      </c>
      <c r="X3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6"/>
      <c r="Z3746" t="s">
        <v>75</v>
      </c>
      <c r="AA3746" t="s">
        <v>258</v>
      </c>
      <c r="AB3746" t="s">
        <v>441</v>
      </c>
      <c r="AC3746" s="21">
        <v>4438</v>
      </c>
      <c r="AD3746" s="21" t="s">
        <v>368</v>
      </c>
      <c r="AE3746" t="str">
        <f>VLOOKUP(Table_Query_from_Actuarial___Production3[[#This Row],[Kor1]],$AI$3:$AK$105,3,FALSE)</f>
        <v>EBUB</v>
      </c>
      <c r="AF3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7" spans="18:32" x14ac:dyDescent="0.2">
      <c r="R3747" t="s">
        <v>33</v>
      </c>
      <c r="S3747" t="s">
        <v>244</v>
      </c>
      <c r="T3747" t="s">
        <v>442</v>
      </c>
      <c r="U3747" s="21">
        <v>15988.15</v>
      </c>
      <c r="V3747" s="21" t="s">
        <v>368</v>
      </c>
      <c r="W3747" t="str">
        <f>VLOOKUP(Table_Query_from_Actuarial___Production[[#This Row],[Kor1]],$AI$3:$AK$105,3,FALSE)</f>
        <v>Misc. Expense</v>
      </c>
      <c r="X3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7"/>
      <c r="Z3747" t="s">
        <v>48</v>
      </c>
      <c r="AA3747" t="s">
        <v>234</v>
      </c>
      <c r="AB3747" t="s">
        <v>441</v>
      </c>
      <c r="AC3747" s="21">
        <v>3567.7</v>
      </c>
      <c r="AD3747" s="21" t="s">
        <v>368</v>
      </c>
      <c r="AE3747" t="str">
        <f>VLOOKUP(Table_Query_from_Actuarial___Production3[[#This Row],[Kor1]],$AI$3:$AK$105,3,FALSE)</f>
        <v>Anticipated Salvage</v>
      </c>
      <c r="AF3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8" spans="18:32" x14ac:dyDescent="0.2">
      <c r="R3748" t="s">
        <v>41</v>
      </c>
      <c r="S3748" t="s">
        <v>233</v>
      </c>
      <c r="T3748" t="s">
        <v>9</v>
      </c>
      <c r="U3748" s="21">
        <v>50.01</v>
      </c>
      <c r="V3748" s="21" t="s">
        <v>368</v>
      </c>
      <c r="W3748" t="str">
        <f>VLOOKUP(Table_Query_from_Actuarial___Production[[#This Row],[Kor1]],$AI$3:$AK$105,3,FALSE)</f>
        <v>Misc. Income</v>
      </c>
      <c r="X3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8"/>
      <c r="Z3748" t="s">
        <v>39</v>
      </c>
      <c r="AA3748" t="s">
        <v>233</v>
      </c>
      <c r="AB3748" t="s">
        <v>356</v>
      </c>
      <c r="AC3748" s="21">
        <v>359</v>
      </c>
      <c r="AD3748" s="21" t="s">
        <v>368</v>
      </c>
      <c r="AE3748" t="str">
        <f>VLOOKUP(Table_Query_from_Actuarial___Production3[[#This Row],[Kor1]],$AI$3:$AK$105,3,FALSE)</f>
        <v>Misc. Income for Insolvent Companies</v>
      </c>
      <c r="AF3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49" spans="18:32" x14ac:dyDescent="0.2">
      <c r="R3749" t="s">
        <v>41</v>
      </c>
      <c r="S3749" t="s">
        <v>252</v>
      </c>
      <c r="T3749" t="s">
        <v>8</v>
      </c>
      <c r="U3749" s="21">
        <v>3584.25</v>
      </c>
      <c r="V3749" s="21" t="s">
        <v>368</v>
      </c>
      <c r="W3749" t="str">
        <f>VLOOKUP(Table_Query_from_Actuarial___Production[[#This Row],[Kor1]],$AI$3:$AK$105,3,FALSE)</f>
        <v>Misc. Income</v>
      </c>
      <c r="X3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49"/>
      <c r="Z3749" t="s">
        <v>20</v>
      </c>
      <c r="AA3749" t="s">
        <v>237</v>
      </c>
      <c r="AB3749" t="s">
        <v>5</v>
      </c>
      <c r="AC3749" s="21">
        <v>8.8699999999999992</v>
      </c>
      <c r="AD3749" s="21" t="s">
        <v>368</v>
      </c>
      <c r="AE3749" t="str">
        <f>VLOOKUP(Table_Query_from_Actuarial___Production3[[#This Row],[Kor1]],$AI$3:$AK$105,3,FALSE)</f>
        <v>Misc. Expense</v>
      </c>
      <c r="AF3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0" spans="18:32" x14ac:dyDescent="0.2">
      <c r="R3750" t="s">
        <v>48</v>
      </c>
      <c r="S3750" t="s">
        <v>251</v>
      </c>
      <c r="T3750" t="s">
        <v>443</v>
      </c>
      <c r="U3750" s="21">
        <v>2313.21</v>
      </c>
      <c r="V3750" s="21" t="s">
        <v>368</v>
      </c>
      <c r="W3750" t="str">
        <f>VLOOKUP(Table_Query_from_Actuarial___Production[[#This Row],[Kor1]],$AI$3:$AK$105,3,FALSE)</f>
        <v>Anticipated Salvage</v>
      </c>
      <c r="X3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0"/>
      <c r="Z3750" t="s">
        <v>48</v>
      </c>
      <c r="AA3750" t="s">
        <v>354</v>
      </c>
      <c r="AB3750" t="s">
        <v>8</v>
      </c>
      <c r="AC3750" s="21">
        <v>208.86</v>
      </c>
      <c r="AD3750" s="21" t="s">
        <v>368</v>
      </c>
      <c r="AE3750" t="str">
        <f>VLOOKUP(Table_Query_from_Actuarial___Production3[[#This Row],[Kor1]],$AI$3:$AK$105,3,FALSE)</f>
        <v>Anticipated Salvage</v>
      </c>
      <c r="AF3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751" spans="18:32" x14ac:dyDescent="0.2">
      <c r="R3751" t="s">
        <v>15</v>
      </c>
      <c r="S3751" t="s">
        <v>234</v>
      </c>
      <c r="T3751" t="s">
        <v>443</v>
      </c>
      <c r="U3751" s="21">
        <v>437496.1</v>
      </c>
      <c r="V3751" s="21" t="s">
        <v>368</v>
      </c>
      <c r="W3751" t="str">
        <f>VLOOKUP(Table_Query_from_Actuarial___Production[[#This Row],[Kor1]],$AI$3:$AK$105,3,FALSE)</f>
        <v>Unearned Premiums</v>
      </c>
      <c r="X3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1"/>
      <c r="Z3751" t="s">
        <v>14</v>
      </c>
      <c r="AA3751" t="s">
        <v>263</v>
      </c>
      <c r="AB3751" t="s">
        <v>427</v>
      </c>
      <c r="AC3751" s="21">
        <v>28361.279999999999</v>
      </c>
      <c r="AD3751" s="21" t="s">
        <v>368</v>
      </c>
      <c r="AE3751" t="str">
        <f>VLOOKUP(Table_Query_from_Actuarial___Production3[[#This Row],[Kor1]],$AI$3:$AK$105,3,FALSE)</f>
        <v>Claims Expense</v>
      </c>
      <c r="AF3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2" spans="18:32" x14ac:dyDescent="0.2">
      <c r="R3752" t="s">
        <v>16</v>
      </c>
      <c r="S3752" t="s">
        <v>230</v>
      </c>
      <c r="T3752" t="s">
        <v>445</v>
      </c>
      <c r="U3752" s="21">
        <v>94420.53</v>
      </c>
      <c r="V3752" s="21" t="s">
        <v>368</v>
      </c>
      <c r="W3752" t="str">
        <f>VLOOKUP(Table_Query_from_Actuarial___Production[[#This Row],[Kor1]],$AI$3:$AK$105,3,FALSE)</f>
        <v>Losses Outstanding</v>
      </c>
      <c r="X3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2"/>
      <c r="Z3752" t="s">
        <v>49</v>
      </c>
      <c r="AA3752" t="s">
        <v>252</v>
      </c>
      <c r="AB3752" t="s">
        <v>9</v>
      </c>
      <c r="AC3752" s="21">
        <v>1091505.04</v>
      </c>
      <c r="AD3752" s="21" t="s">
        <v>368</v>
      </c>
      <c r="AE3752" t="str">
        <f>VLOOKUP(Table_Query_from_Actuarial___Production3[[#This Row],[Kor1]],$AI$3:$AK$105,3,FALSE)</f>
        <v>ALAE Paid</v>
      </c>
      <c r="AF3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3" spans="18:32" x14ac:dyDescent="0.2">
      <c r="R3753" t="s">
        <v>13</v>
      </c>
      <c r="S3753" t="s">
        <v>238</v>
      </c>
      <c r="T3753" t="s">
        <v>6</v>
      </c>
      <c r="U3753" s="21">
        <v>8742.2900000000009</v>
      </c>
      <c r="V3753" s="21" t="s">
        <v>368</v>
      </c>
      <c r="W3753" t="str">
        <f>VLOOKUP(Table_Query_from_Actuarial___Production[[#This Row],[Kor1]],$AI$3:$AK$105,3,FALSE)</f>
        <v>Operating Service Fees</v>
      </c>
      <c r="X3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3"/>
      <c r="Z3753" t="s">
        <v>3</v>
      </c>
      <c r="AA3753" t="s">
        <v>4</v>
      </c>
      <c r="AB3753" t="s">
        <v>9</v>
      </c>
      <c r="AC3753" s="21">
        <v>20157775</v>
      </c>
      <c r="AD3753" s="21" t="s">
        <v>368</v>
      </c>
      <c r="AE3753" t="str">
        <f>VLOOKUP(Table_Query_from_Actuarial___Production3[[#This Row],[Kor1]],$AI$3:$AK$105,3,FALSE)</f>
        <v>Premiums Written</v>
      </c>
      <c r="AF3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4" spans="18:32" x14ac:dyDescent="0.2">
      <c r="R3754" t="s">
        <v>44</v>
      </c>
      <c r="S3754" t="s">
        <v>258</v>
      </c>
      <c r="T3754" t="s">
        <v>433</v>
      </c>
      <c r="U3754" s="21">
        <v>3895.23</v>
      </c>
      <c r="V3754" s="21" t="s">
        <v>368</v>
      </c>
      <c r="W3754" t="str">
        <f>VLOOKUP(Table_Query_from_Actuarial___Production[[#This Row],[Kor1]],$AI$3:$AK$105,3,FALSE)</f>
        <v>Charge-offs</v>
      </c>
      <c r="X3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4"/>
      <c r="Z3754" t="s">
        <v>40</v>
      </c>
      <c r="AA3754" t="s">
        <v>266</v>
      </c>
      <c r="AB3754" t="s">
        <v>7</v>
      </c>
      <c r="AC3754" s="21">
        <v>2</v>
      </c>
      <c r="AD3754" s="21" t="s">
        <v>368</v>
      </c>
      <c r="AE3754" t="str">
        <f>VLOOKUP(Table_Query_from_Actuarial___Production3[[#This Row],[Kor1]],$AI$3:$AK$105,3,FALSE)</f>
        <v>Misc. Income</v>
      </c>
      <c r="AF3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5" spans="18:32" x14ac:dyDescent="0.2">
      <c r="R3755" t="s">
        <v>17</v>
      </c>
      <c r="S3755" t="s">
        <v>243</v>
      </c>
      <c r="T3755" t="s">
        <v>442</v>
      </c>
      <c r="U3755" s="21">
        <v>62908.42</v>
      </c>
      <c r="V3755" s="21" t="s">
        <v>368</v>
      </c>
      <c r="W3755" t="str">
        <f>VLOOKUP(Table_Query_from_Actuarial___Production[[#This Row],[Kor1]],$AI$3:$AK$105,3,FALSE)</f>
        <v>IBNR</v>
      </c>
      <c r="X3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5"/>
      <c r="Z3755" t="s">
        <v>16</v>
      </c>
      <c r="AA3755" t="s">
        <v>354</v>
      </c>
      <c r="AB3755" t="s">
        <v>6</v>
      </c>
      <c r="AC3755" s="21">
        <v>78307.7</v>
      </c>
      <c r="AD3755" s="21" t="s">
        <v>369</v>
      </c>
      <c r="AE3755" t="str">
        <f>VLOOKUP(Table_Query_from_Actuarial___Production3[[#This Row],[Kor1]],$AI$3:$AK$105,3,FALSE)</f>
        <v>Losses Outstanding</v>
      </c>
      <c r="AF3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756" spans="18:32" x14ac:dyDescent="0.2">
      <c r="R3756" t="s">
        <v>41</v>
      </c>
      <c r="S3756" t="s">
        <v>257</v>
      </c>
      <c r="T3756" t="s">
        <v>442</v>
      </c>
      <c r="U3756" s="21">
        <v>1878.91</v>
      </c>
      <c r="V3756" s="21" t="s">
        <v>368</v>
      </c>
      <c r="W3756" t="str">
        <f>VLOOKUP(Table_Query_from_Actuarial___Production[[#This Row],[Kor1]],$AI$3:$AK$105,3,FALSE)</f>
        <v>Misc. Income</v>
      </c>
      <c r="X3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6"/>
      <c r="Z3756" t="s">
        <v>50</v>
      </c>
      <c r="AA3756" t="s">
        <v>251</v>
      </c>
      <c r="AB3756" t="s">
        <v>433</v>
      </c>
      <c r="AC3756" s="21">
        <v>2897.36</v>
      </c>
      <c r="AD3756" s="21" t="s">
        <v>368</v>
      </c>
      <c r="AE3756" t="str">
        <f>VLOOKUP(Table_Query_from_Actuarial___Production3[[#This Row],[Kor1]],$AI$3:$AK$105,3,FALSE)</f>
        <v>ALAE Reserve</v>
      </c>
      <c r="AF3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7" spans="18:32" x14ac:dyDescent="0.2">
      <c r="R3757" t="s">
        <v>13</v>
      </c>
      <c r="S3757" t="s">
        <v>225</v>
      </c>
      <c r="T3757" t="s">
        <v>9</v>
      </c>
      <c r="U3757" s="21">
        <v>155172.26</v>
      </c>
      <c r="V3757" s="21" t="s">
        <v>368</v>
      </c>
      <c r="W3757" t="str">
        <f>VLOOKUP(Table_Query_from_Actuarial___Production[[#This Row],[Kor1]],$AI$3:$AK$105,3,FALSE)</f>
        <v>Operating Service Fees</v>
      </c>
      <c r="X3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757"/>
      <c r="Z3757" t="s">
        <v>50</v>
      </c>
      <c r="AA3757" t="s">
        <v>230</v>
      </c>
      <c r="AB3757" t="s">
        <v>427</v>
      </c>
      <c r="AC3757" s="21">
        <v>408169.92</v>
      </c>
      <c r="AD3757" s="21" t="s">
        <v>368</v>
      </c>
      <c r="AE3757" t="str">
        <f>VLOOKUP(Table_Query_from_Actuarial___Production3[[#This Row],[Kor1]],$AI$3:$AK$105,3,FALSE)</f>
        <v>ALAE Reserve</v>
      </c>
      <c r="AF3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8" spans="18:32" x14ac:dyDescent="0.2">
      <c r="R3758" t="s">
        <v>14</v>
      </c>
      <c r="S3758" t="s">
        <v>237</v>
      </c>
      <c r="T3758" t="s">
        <v>351</v>
      </c>
      <c r="U3758" s="21">
        <v>3382389.67</v>
      </c>
      <c r="V3758" s="21" t="s">
        <v>368</v>
      </c>
      <c r="W3758" t="str">
        <f>VLOOKUP(Table_Query_from_Actuarial___Production[[#This Row],[Kor1]],$AI$3:$AK$105,3,FALSE)</f>
        <v>Claims Expense</v>
      </c>
      <c r="X3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8"/>
      <c r="Z3758" t="s">
        <v>14</v>
      </c>
      <c r="AA3758" t="s">
        <v>240</v>
      </c>
      <c r="AB3758" t="s">
        <v>441</v>
      </c>
      <c r="AC3758" s="21">
        <v>389702.56</v>
      </c>
      <c r="AD3758" s="21" t="s">
        <v>368</v>
      </c>
      <c r="AE3758" t="str">
        <f>VLOOKUP(Table_Query_from_Actuarial___Production3[[#This Row],[Kor1]],$AI$3:$AK$105,3,FALSE)</f>
        <v>Claims Expense</v>
      </c>
      <c r="AF3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59" spans="18:32" x14ac:dyDescent="0.2">
      <c r="R3759" t="s">
        <v>44</v>
      </c>
      <c r="S3759" t="s">
        <v>230</v>
      </c>
      <c r="T3759" t="s">
        <v>356</v>
      </c>
      <c r="U3759" s="21">
        <v>3208877.62</v>
      </c>
      <c r="V3759" s="21" t="s">
        <v>368</v>
      </c>
      <c r="W3759" t="str">
        <f>VLOOKUP(Table_Query_from_Actuarial___Production[[#This Row],[Kor1]],$AI$3:$AK$105,3,FALSE)</f>
        <v>Charge-offs</v>
      </c>
      <c r="X3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59"/>
      <c r="Z3759" t="s">
        <v>20</v>
      </c>
      <c r="AA3759" t="s">
        <v>229</v>
      </c>
      <c r="AB3759" t="s">
        <v>442</v>
      </c>
      <c r="AC3759" s="21">
        <v>72.3</v>
      </c>
      <c r="AD3759" s="21" t="s">
        <v>368</v>
      </c>
      <c r="AE3759" t="str">
        <f>VLOOKUP(Table_Query_from_Actuarial___Production3[[#This Row],[Kor1]],$AI$3:$AK$105,3,FALSE)</f>
        <v>Misc. Expense</v>
      </c>
      <c r="AF3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0" spans="18:32" x14ac:dyDescent="0.2">
      <c r="R3760" t="s">
        <v>20</v>
      </c>
      <c r="S3760" t="s">
        <v>252</v>
      </c>
      <c r="T3760" t="s">
        <v>445</v>
      </c>
      <c r="U3760" s="21">
        <v>854.35</v>
      </c>
      <c r="V3760" s="21" t="s">
        <v>368</v>
      </c>
      <c r="W3760" t="str">
        <f>VLOOKUP(Table_Query_from_Actuarial___Production[[#This Row],[Kor1]],$AI$3:$AK$105,3,FALSE)</f>
        <v>Misc. Expense</v>
      </c>
      <c r="X3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0"/>
      <c r="Z3760" t="s">
        <v>33</v>
      </c>
      <c r="AA3760" t="s">
        <v>250</v>
      </c>
      <c r="AB3760" t="s">
        <v>433</v>
      </c>
      <c r="AC3760" s="21">
        <v>30216.36</v>
      </c>
      <c r="AD3760" s="21" t="s">
        <v>368</v>
      </c>
      <c r="AE3760" t="str">
        <f>VLOOKUP(Table_Query_from_Actuarial___Production3[[#This Row],[Kor1]],$AI$3:$AK$105,3,FALSE)</f>
        <v>Misc. Expense</v>
      </c>
      <c r="AF3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1" spans="18:32" x14ac:dyDescent="0.2">
      <c r="R3761" t="s">
        <v>37</v>
      </c>
      <c r="S3761" t="s">
        <v>232</v>
      </c>
      <c r="T3761" t="s">
        <v>445</v>
      </c>
      <c r="U3761" s="21">
        <v>2379.9499999999998</v>
      </c>
      <c r="V3761" s="21" t="s">
        <v>368</v>
      </c>
      <c r="W3761" t="str">
        <f>VLOOKUP(Table_Query_from_Actuarial___Production[[#This Row],[Kor1]],$AI$3:$AK$105,3,FALSE)</f>
        <v>Misc. Expense</v>
      </c>
      <c r="X3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1"/>
      <c r="Z3761" t="s">
        <v>39</v>
      </c>
      <c r="AA3761" t="s">
        <v>4</v>
      </c>
      <c r="AB3761" t="s">
        <v>442</v>
      </c>
      <c r="AC3761" s="21">
        <v>50106.67</v>
      </c>
      <c r="AD3761" s="21" t="s">
        <v>368</v>
      </c>
      <c r="AE3761" t="str">
        <f>VLOOKUP(Table_Query_from_Actuarial___Production3[[#This Row],[Kor1]],$AI$3:$AK$105,3,FALSE)</f>
        <v>Misc. Income for Insolvent Companies</v>
      </c>
      <c r="AF3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2" spans="18:32" x14ac:dyDescent="0.2">
      <c r="R3762" t="s">
        <v>39</v>
      </c>
      <c r="S3762" t="s">
        <v>237</v>
      </c>
      <c r="T3762" t="s">
        <v>443</v>
      </c>
      <c r="U3762" s="21">
        <v>6106.74</v>
      </c>
      <c r="V3762" s="21" t="s">
        <v>368</v>
      </c>
      <c r="W3762" t="str">
        <f>VLOOKUP(Table_Query_from_Actuarial___Production[[#This Row],[Kor1]],$AI$3:$AK$105,3,FALSE)</f>
        <v>Misc. Income for Insolvent Companies</v>
      </c>
      <c r="X3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2"/>
      <c r="Z3762" t="s">
        <v>39</v>
      </c>
      <c r="AA3762" t="s">
        <v>237</v>
      </c>
      <c r="AB3762" t="s">
        <v>427</v>
      </c>
      <c r="AC3762" s="21">
        <v>77560.160000000003</v>
      </c>
      <c r="AD3762" s="21" t="s">
        <v>368</v>
      </c>
      <c r="AE3762" t="str">
        <f>VLOOKUP(Table_Query_from_Actuarial___Production3[[#This Row],[Kor1]],$AI$3:$AK$105,3,FALSE)</f>
        <v>Misc. Income for Insolvent Companies</v>
      </c>
      <c r="AF3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3" spans="18:32" x14ac:dyDescent="0.2">
      <c r="R3763" t="s">
        <v>50</v>
      </c>
      <c r="S3763" t="s">
        <v>226</v>
      </c>
      <c r="T3763" t="s">
        <v>442</v>
      </c>
      <c r="U3763" s="21">
        <v>71775</v>
      </c>
      <c r="V3763" s="21" t="s">
        <v>368</v>
      </c>
      <c r="W3763" t="str">
        <f>VLOOKUP(Table_Query_from_Actuarial___Production[[#This Row],[Kor1]],$AI$3:$AK$105,3,FALSE)</f>
        <v>ALAE Reserve</v>
      </c>
      <c r="X3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763"/>
      <c r="Z3763" t="s">
        <v>10</v>
      </c>
      <c r="AA3763" t="s">
        <v>259</v>
      </c>
      <c r="AB3763" t="s">
        <v>441</v>
      </c>
      <c r="AC3763" s="21">
        <v>2679.83</v>
      </c>
      <c r="AD3763" s="21" t="s">
        <v>368</v>
      </c>
      <c r="AE3763" t="str">
        <f>VLOOKUP(Table_Query_from_Actuarial___Production3[[#This Row],[Kor1]],$AI$3:$AK$105,3,FALSE)</f>
        <v>Commissions</v>
      </c>
      <c r="AF3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4" spans="18:32" x14ac:dyDescent="0.2">
      <c r="R3764" t="s">
        <v>47</v>
      </c>
      <c r="S3764" t="s">
        <v>4</v>
      </c>
      <c r="T3764" t="s">
        <v>356</v>
      </c>
      <c r="U3764" s="21">
        <v>95408.18</v>
      </c>
      <c r="V3764" s="21" t="s">
        <v>368</v>
      </c>
      <c r="W3764" t="str">
        <f>VLOOKUP(Table_Query_from_Actuarial___Production[[#This Row],[Kor1]],$AI$3:$AK$105,3,FALSE)</f>
        <v>Investment Income</v>
      </c>
      <c r="X3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4"/>
      <c r="Z3764" t="s">
        <v>44</v>
      </c>
      <c r="AA3764" t="s">
        <v>242</v>
      </c>
      <c r="AB3764" t="s">
        <v>433</v>
      </c>
      <c r="AC3764" s="21">
        <v>49</v>
      </c>
      <c r="AD3764" s="21" t="s">
        <v>368</v>
      </c>
      <c r="AE3764" t="str">
        <f>VLOOKUP(Table_Query_from_Actuarial___Production3[[#This Row],[Kor1]],$AI$3:$AK$105,3,FALSE)</f>
        <v>Charge-offs</v>
      </c>
      <c r="AF3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5" spans="18:32" x14ac:dyDescent="0.2">
      <c r="R3765" t="s">
        <v>15</v>
      </c>
      <c r="S3765" t="s">
        <v>243</v>
      </c>
      <c r="T3765" t="s">
        <v>445</v>
      </c>
      <c r="U3765" s="21">
        <v>104639.19</v>
      </c>
      <c r="V3765" s="21" t="s">
        <v>368</v>
      </c>
      <c r="W3765" t="str">
        <f>VLOOKUP(Table_Query_from_Actuarial___Production[[#This Row],[Kor1]],$AI$3:$AK$105,3,FALSE)</f>
        <v>Unearned Premiums</v>
      </c>
      <c r="X3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5"/>
      <c r="Z3765" t="s">
        <v>10</v>
      </c>
      <c r="AA3765" t="s">
        <v>267</v>
      </c>
      <c r="AB3765" t="s">
        <v>356</v>
      </c>
      <c r="AC3765" s="21">
        <v>13283.14</v>
      </c>
      <c r="AD3765" s="21" t="s">
        <v>368</v>
      </c>
      <c r="AE3765" t="str">
        <f>VLOOKUP(Table_Query_from_Actuarial___Production3[[#This Row],[Kor1]],$AI$3:$AK$105,3,FALSE)</f>
        <v>Commissions</v>
      </c>
      <c r="AF3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6" spans="18:32" x14ac:dyDescent="0.2">
      <c r="R3766" t="s">
        <v>3</v>
      </c>
      <c r="S3766" t="s">
        <v>235</v>
      </c>
      <c r="T3766" t="s">
        <v>441</v>
      </c>
      <c r="U3766" s="21">
        <v>332403</v>
      </c>
      <c r="V3766" s="21" t="s">
        <v>368</v>
      </c>
      <c r="W3766" t="str">
        <f>VLOOKUP(Table_Query_from_Actuarial___Production[[#This Row],[Kor1]],$AI$3:$AK$105,3,FALSE)</f>
        <v>Premiums Written</v>
      </c>
      <c r="X3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6"/>
      <c r="Z3766" t="s">
        <v>39</v>
      </c>
      <c r="AA3766" t="s">
        <v>236</v>
      </c>
      <c r="AB3766" t="s">
        <v>441</v>
      </c>
      <c r="AC3766" s="21">
        <v>815.58</v>
      </c>
      <c r="AD3766" s="21" t="s">
        <v>368</v>
      </c>
      <c r="AE3766" t="str">
        <f>VLOOKUP(Table_Query_from_Actuarial___Production3[[#This Row],[Kor1]],$AI$3:$AK$105,3,FALSE)</f>
        <v>Misc. Income for Insolvent Companies</v>
      </c>
      <c r="AF3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7" spans="18:32" x14ac:dyDescent="0.2">
      <c r="R3767" t="s">
        <v>33</v>
      </c>
      <c r="S3767" t="s">
        <v>239</v>
      </c>
      <c r="T3767" t="s">
        <v>445</v>
      </c>
      <c r="U3767" s="21">
        <v>8687.4699999999993</v>
      </c>
      <c r="V3767" s="21" t="s">
        <v>368</v>
      </c>
      <c r="W3767" t="str">
        <f>VLOOKUP(Table_Query_from_Actuarial___Production[[#This Row],[Kor1]],$AI$3:$AK$105,3,FALSE)</f>
        <v>Misc. Expense</v>
      </c>
      <c r="X3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7"/>
      <c r="Z3767" t="s">
        <v>33</v>
      </c>
      <c r="AA3767" t="s">
        <v>260</v>
      </c>
      <c r="AB3767" t="s">
        <v>8</v>
      </c>
      <c r="AC3767" s="21">
        <v>14873.95</v>
      </c>
      <c r="AD3767" s="21" t="s">
        <v>368</v>
      </c>
      <c r="AE3767" t="str">
        <f>VLOOKUP(Table_Query_from_Actuarial___Production3[[#This Row],[Kor1]],$AI$3:$AK$105,3,FALSE)</f>
        <v>Misc. Expense</v>
      </c>
      <c r="AF3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8" spans="18:32" x14ac:dyDescent="0.2">
      <c r="R3768" t="s">
        <v>34</v>
      </c>
      <c r="S3768" t="s">
        <v>243</v>
      </c>
      <c r="T3768" t="s">
        <v>441</v>
      </c>
      <c r="U3768" s="21">
        <v>8.25</v>
      </c>
      <c r="V3768" s="21" t="s">
        <v>368</v>
      </c>
      <c r="W3768" t="str">
        <f>VLOOKUP(Table_Query_from_Actuarial___Production[[#This Row],[Kor1]],$AI$3:$AK$105,3,FALSE)</f>
        <v>Misc. Expense</v>
      </c>
      <c r="X3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8"/>
      <c r="Z3768" t="s">
        <v>40</v>
      </c>
      <c r="AA3768" t="s">
        <v>227</v>
      </c>
      <c r="AB3768" t="s">
        <v>427</v>
      </c>
      <c r="AC3768" s="21">
        <v>1</v>
      </c>
      <c r="AD3768" s="21" t="s">
        <v>368</v>
      </c>
      <c r="AE3768" t="str">
        <f>VLOOKUP(Table_Query_from_Actuarial___Production3[[#This Row],[Kor1]],$AI$3:$AK$105,3,FALSE)</f>
        <v>Misc. Income</v>
      </c>
      <c r="AF3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69" spans="18:32" x14ac:dyDescent="0.2">
      <c r="R3769" t="s">
        <v>41</v>
      </c>
      <c r="S3769" t="s">
        <v>231</v>
      </c>
      <c r="T3769" t="s">
        <v>445</v>
      </c>
      <c r="U3769" s="21">
        <v>600.01</v>
      </c>
      <c r="V3769" s="21" t="s">
        <v>368</v>
      </c>
      <c r="W3769" t="str">
        <f>VLOOKUP(Table_Query_from_Actuarial___Production[[#This Row],[Kor1]],$AI$3:$AK$105,3,FALSE)</f>
        <v>Misc. Income</v>
      </c>
      <c r="X3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69"/>
      <c r="Z3769" t="s">
        <v>3</v>
      </c>
      <c r="AA3769" t="s">
        <v>264</v>
      </c>
      <c r="AB3769" t="s">
        <v>8</v>
      </c>
      <c r="AC3769" s="21">
        <v>2302928</v>
      </c>
      <c r="AD3769" s="21" t="s">
        <v>368</v>
      </c>
      <c r="AE3769" t="str">
        <f>VLOOKUP(Table_Query_from_Actuarial___Production3[[#This Row],[Kor1]],$AI$3:$AK$105,3,FALSE)</f>
        <v>Premiums Written</v>
      </c>
      <c r="AF3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0" spans="18:32" x14ac:dyDescent="0.2">
      <c r="R3770" t="s">
        <v>43</v>
      </c>
      <c r="S3770" t="s">
        <v>243</v>
      </c>
      <c r="T3770" t="s">
        <v>351</v>
      </c>
      <c r="U3770" s="21">
        <v>-195.36</v>
      </c>
      <c r="V3770" s="21" t="s">
        <v>368</v>
      </c>
      <c r="W3770" t="str">
        <f>VLOOKUP(Table_Query_from_Actuarial___Production[[#This Row],[Kor1]],$AI$3:$AK$105,3,FALSE)</f>
        <v>Charge-offs</v>
      </c>
      <c r="X3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0"/>
      <c r="Z3770" t="s">
        <v>10</v>
      </c>
      <c r="AA3770" t="s">
        <v>242</v>
      </c>
      <c r="AB3770" t="s">
        <v>441</v>
      </c>
      <c r="AC3770" s="21">
        <v>42158.85</v>
      </c>
      <c r="AD3770" s="21" t="s">
        <v>368</v>
      </c>
      <c r="AE3770" t="str">
        <f>VLOOKUP(Table_Query_from_Actuarial___Production3[[#This Row],[Kor1]],$AI$3:$AK$105,3,FALSE)</f>
        <v>Commissions</v>
      </c>
      <c r="AF3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1" spans="18:32" x14ac:dyDescent="0.2">
      <c r="R3771" t="s">
        <v>43</v>
      </c>
      <c r="S3771" t="s">
        <v>258</v>
      </c>
      <c r="T3771" t="s">
        <v>433</v>
      </c>
      <c r="U3771" s="21">
        <v>121.74</v>
      </c>
      <c r="V3771" s="21" t="s">
        <v>368</v>
      </c>
      <c r="W3771" t="str">
        <f>VLOOKUP(Table_Query_from_Actuarial___Production[[#This Row],[Kor1]],$AI$3:$AK$105,3,FALSE)</f>
        <v>Charge-offs</v>
      </c>
      <c r="X3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1"/>
      <c r="Z3771" t="s">
        <v>37</v>
      </c>
      <c r="AA3771" t="s">
        <v>258</v>
      </c>
      <c r="AB3771" t="s">
        <v>8</v>
      </c>
      <c r="AC3771" s="21">
        <v>328.3</v>
      </c>
      <c r="AD3771" s="21" t="s">
        <v>368</v>
      </c>
      <c r="AE3771" t="str">
        <f>VLOOKUP(Table_Query_from_Actuarial___Production3[[#This Row],[Kor1]],$AI$3:$AK$105,3,FALSE)</f>
        <v>Misc. Expense</v>
      </c>
      <c r="AF3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2" spans="18:32" x14ac:dyDescent="0.2">
      <c r="R3772" t="s">
        <v>12</v>
      </c>
      <c r="S3772" t="s">
        <v>263</v>
      </c>
      <c r="T3772" t="s">
        <v>9</v>
      </c>
      <c r="U3772" s="21">
        <v>7794.6</v>
      </c>
      <c r="V3772" s="21" t="s">
        <v>368</v>
      </c>
      <c r="W3772" t="str">
        <f>VLOOKUP(Table_Query_from_Actuarial___Production[[#This Row],[Kor1]],$AI$3:$AK$105,3,FALSE)</f>
        <v>Premium Tax</v>
      </c>
      <c r="X3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2"/>
      <c r="Z3772" t="s">
        <v>16</v>
      </c>
      <c r="AA3772" t="s">
        <v>265</v>
      </c>
      <c r="AB3772" t="s">
        <v>442</v>
      </c>
      <c r="AC3772" s="21">
        <v>153721.51</v>
      </c>
      <c r="AD3772" s="21" t="s">
        <v>368</v>
      </c>
      <c r="AE3772" t="str">
        <f>VLOOKUP(Table_Query_from_Actuarial___Production3[[#This Row],[Kor1]],$AI$3:$AK$105,3,FALSE)</f>
        <v>Losses Outstanding</v>
      </c>
      <c r="AF3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3" spans="18:32" x14ac:dyDescent="0.2">
      <c r="R3773" t="s">
        <v>37</v>
      </c>
      <c r="S3773" t="s">
        <v>242</v>
      </c>
      <c r="T3773" t="s">
        <v>9</v>
      </c>
      <c r="U3773" s="21">
        <v>2.99</v>
      </c>
      <c r="V3773" s="21" t="s">
        <v>368</v>
      </c>
      <c r="W3773" t="str">
        <f>VLOOKUP(Table_Query_from_Actuarial___Production[[#This Row],[Kor1]],$AI$3:$AK$105,3,FALSE)</f>
        <v>Misc. Expense</v>
      </c>
      <c r="X3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3"/>
      <c r="Z3773" t="s">
        <v>19</v>
      </c>
      <c r="AA3773" t="s">
        <v>251</v>
      </c>
      <c r="AB3773" t="s">
        <v>351</v>
      </c>
      <c r="AC3773" s="21">
        <v>318</v>
      </c>
      <c r="AD3773" s="21" t="s">
        <v>368</v>
      </c>
      <c r="AE3773" t="str">
        <f>VLOOKUP(Table_Query_from_Actuarial___Production3[[#This Row],[Kor1]],$AI$3:$AK$105,3,FALSE)</f>
        <v>Misc. Expense for Insolvent Companies</v>
      </c>
      <c r="AF3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4" spans="18:32" x14ac:dyDescent="0.2">
      <c r="R3774" t="s">
        <v>44</v>
      </c>
      <c r="S3774" t="s">
        <v>224</v>
      </c>
      <c r="T3774" t="s">
        <v>442</v>
      </c>
      <c r="U3774" s="21">
        <v>1295</v>
      </c>
      <c r="V3774" s="21" t="s">
        <v>368</v>
      </c>
      <c r="W3774" t="str">
        <f>VLOOKUP(Table_Query_from_Actuarial___Production[[#This Row],[Kor1]],$AI$3:$AK$105,3,FALSE)</f>
        <v>Charge-offs</v>
      </c>
      <c r="X3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774"/>
      <c r="Z3774" t="s">
        <v>11</v>
      </c>
      <c r="AA3774" t="s">
        <v>257</v>
      </c>
      <c r="AB3774" t="s">
        <v>443</v>
      </c>
      <c r="AC3774" s="21">
        <v>387.72</v>
      </c>
      <c r="AD3774" s="21" t="s">
        <v>368</v>
      </c>
      <c r="AE3774" t="str">
        <f>VLOOKUP(Table_Query_from_Actuarial___Production3[[#This Row],[Kor1]],$AI$3:$AK$105,3,FALSE)</f>
        <v>Losses Paid</v>
      </c>
      <c r="AF3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5" spans="18:32" x14ac:dyDescent="0.2">
      <c r="R3775" t="s">
        <v>41</v>
      </c>
      <c r="S3775" t="s">
        <v>256</v>
      </c>
      <c r="T3775" t="s">
        <v>9</v>
      </c>
      <c r="U3775" s="21">
        <v>550</v>
      </c>
      <c r="V3775" s="21" t="s">
        <v>368</v>
      </c>
      <c r="W3775" t="str">
        <f>VLOOKUP(Table_Query_from_Actuarial___Production[[#This Row],[Kor1]],$AI$3:$AK$105,3,FALSE)</f>
        <v>Misc. Income</v>
      </c>
      <c r="X3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5"/>
      <c r="Z3775" t="s">
        <v>21</v>
      </c>
      <c r="AA3775" t="s">
        <v>262</v>
      </c>
      <c r="AB3775" t="s">
        <v>433</v>
      </c>
      <c r="AC3775" s="21">
        <v>599.5</v>
      </c>
      <c r="AD3775" s="21" t="s">
        <v>368</v>
      </c>
      <c r="AE3775" t="str">
        <f>VLOOKUP(Table_Query_from_Actuarial___Production3[[#This Row],[Kor1]],$AI$3:$AK$105,3,FALSE)</f>
        <v>Misc. Expense</v>
      </c>
      <c r="AF3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6" spans="18:32" x14ac:dyDescent="0.2">
      <c r="R3776" t="s">
        <v>39</v>
      </c>
      <c r="S3776" t="s">
        <v>252</v>
      </c>
      <c r="T3776" t="s">
        <v>351</v>
      </c>
      <c r="U3776" s="21">
        <v>512330.33</v>
      </c>
      <c r="V3776" s="21" t="s">
        <v>368</v>
      </c>
      <c r="W3776" t="str">
        <f>VLOOKUP(Table_Query_from_Actuarial___Production[[#This Row],[Kor1]],$AI$3:$AK$105,3,FALSE)</f>
        <v>Misc. Income for Insolvent Companies</v>
      </c>
      <c r="X3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6"/>
      <c r="Z3776" t="s">
        <v>18</v>
      </c>
      <c r="AA3776" t="s">
        <v>354</v>
      </c>
      <c r="AB3776" t="s">
        <v>351</v>
      </c>
      <c r="AC3776" s="21">
        <v>559686.98</v>
      </c>
      <c r="AD3776" s="21" t="s">
        <v>368</v>
      </c>
      <c r="AE3776" t="str">
        <f>VLOOKUP(Table_Query_from_Actuarial___Production3[[#This Row],[Kor1]],$AI$3:$AK$105,3,FALSE)</f>
        <v>Misc. Expense</v>
      </c>
      <c r="AF3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777" spans="18:32" x14ac:dyDescent="0.2">
      <c r="R3777" t="s">
        <v>18</v>
      </c>
      <c r="S3777" t="s">
        <v>224</v>
      </c>
      <c r="T3777" t="s">
        <v>351</v>
      </c>
      <c r="U3777" s="21">
        <v>7083.65</v>
      </c>
      <c r="V3777" s="21" t="s">
        <v>369</v>
      </c>
      <c r="W3777" t="str">
        <f>VLOOKUP(Table_Query_from_Actuarial___Production[[#This Row],[Kor1]],$AI$3:$AK$105,3,FALSE)</f>
        <v>Misc. Expense</v>
      </c>
      <c r="X3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777"/>
      <c r="Z3777" t="s">
        <v>3</v>
      </c>
      <c r="AA3777" t="s">
        <v>261</v>
      </c>
      <c r="AB3777" t="s">
        <v>6</v>
      </c>
      <c r="AC3777" s="21">
        <v>619807</v>
      </c>
      <c r="AD3777" s="21" t="s">
        <v>368</v>
      </c>
      <c r="AE3777" t="str">
        <f>VLOOKUP(Table_Query_from_Actuarial___Production3[[#This Row],[Kor1]],$AI$3:$AK$105,3,FALSE)</f>
        <v>Premiums Written</v>
      </c>
      <c r="AF3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8" spans="18:32" x14ac:dyDescent="0.2">
      <c r="R3778" t="s">
        <v>12</v>
      </c>
      <c r="S3778" t="s">
        <v>227</v>
      </c>
      <c r="T3778" t="s">
        <v>442</v>
      </c>
      <c r="U3778" s="21">
        <v>1423.69</v>
      </c>
      <c r="V3778" s="21" t="s">
        <v>368</v>
      </c>
      <c r="W3778" t="str">
        <f>VLOOKUP(Table_Query_from_Actuarial___Production[[#This Row],[Kor1]],$AI$3:$AK$105,3,FALSE)</f>
        <v>Premium Tax</v>
      </c>
      <c r="X3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8"/>
      <c r="Z3778" t="s">
        <v>47</v>
      </c>
      <c r="AA3778" t="s">
        <v>258</v>
      </c>
      <c r="AB3778" t="s">
        <v>5</v>
      </c>
      <c r="AC3778" s="21">
        <v>5.5</v>
      </c>
      <c r="AD3778" s="21" t="s">
        <v>368</v>
      </c>
      <c r="AE3778" t="str">
        <f>VLOOKUP(Table_Query_from_Actuarial___Production3[[#This Row],[Kor1]],$AI$3:$AK$105,3,FALSE)</f>
        <v>Investment Income</v>
      </c>
      <c r="AF3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79" spans="18:32" x14ac:dyDescent="0.2">
      <c r="R3779" t="s">
        <v>37</v>
      </c>
      <c r="S3779" t="s">
        <v>263</v>
      </c>
      <c r="T3779" t="s">
        <v>433</v>
      </c>
      <c r="U3779" s="21">
        <v>0.31</v>
      </c>
      <c r="V3779" s="21" t="s">
        <v>368</v>
      </c>
      <c r="W3779" t="str">
        <f>VLOOKUP(Table_Query_from_Actuarial___Production[[#This Row],[Kor1]],$AI$3:$AK$105,3,FALSE)</f>
        <v>Misc. Expense</v>
      </c>
      <c r="X3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79"/>
      <c r="Z3779" t="s">
        <v>33</v>
      </c>
      <c r="AA3779" t="s">
        <v>244</v>
      </c>
      <c r="AB3779" t="s">
        <v>442</v>
      </c>
      <c r="AC3779" s="21">
        <v>15988.15</v>
      </c>
      <c r="AD3779" s="21" t="s">
        <v>368</v>
      </c>
      <c r="AE3779" t="str">
        <f>VLOOKUP(Table_Query_from_Actuarial___Production3[[#This Row],[Kor1]],$AI$3:$AK$105,3,FALSE)</f>
        <v>Misc. Expense</v>
      </c>
      <c r="AF3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0" spans="18:32" x14ac:dyDescent="0.2">
      <c r="R3780" t="s">
        <v>39</v>
      </c>
      <c r="S3780" t="s">
        <v>258</v>
      </c>
      <c r="T3780" t="s">
        <v>351</v>
      </c>
      <c r="U3780" s="21">
        <v>2265.0300000000002</v>
      </c>
      <c r="V3780" s="21" t="s">
        <v>368</v>
      </c>
      <c r="W3780" t="str">
        <f>VLOOKUP(Table_Query_from_Actuarial___Production[[#This Row],[Kor1]],$AI$3:$AK$105,3,FALSE)</f>
        <v>Misc. Income for Insolvent Companies</v>
      </c>
      <c r="X3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0"/>
      <c r="Z3780" t="s">
        <v>41</v>
      </c>
      <c r="AA3780" t="s">
        <v>233</v>
      </c>
      <c r="AB3780" t="s">
        <v>9</v>
      </c>
      <c r="AC3780" s="21">
        <v>50.01</v>
      </c>
      <c r="AD3780" s="21" t="s">
        <v>368</v>
      </c>
      <c r="AE3780" t="str">
        <f>VLOOKUP(Table_Query_from_Actuarial___Production3[[#This Row],[Kor1]],$AI$3:$AK$105,3,FALSE)</f>
        <v>Misc. Income</v>
      </c>
      <c r="AF3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1" spans="18:32" x14ac:dyDescent="0.2">
      <c r="R3781" t="s">
        <v>47</v>
      </c>
      <c r="S3781" t="s">
        <v>228</v>
      </c>
      <c r="T3781" t="s">
        <v>6</v>
      </c>
      <c r="U3781" s="21">
        <v>0.06</v>
      </c>
      <c r="V3781" s="21" t="s">
        <v>368</v>
      </c>
      <c r="W3781" t="str">
        <f>VLOOKUP(Table_Query_from_Actuarial___Production[[#This Row],[Kor1]],$AI$3:$AK$105,3,FALSE)</f>
        <v>Investment Income</v>
      </c>
      <c r="X3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1"/>
      <c r="Z3781" t="s">
        <v>41</v>
      </c>
      <c r="AA3781" t="s">
        <v>252</v>
      </c>
      <c r="AB3781" t="s">
        <v>8</v>
      </c>
      <c r="AC3781" s="21">
        <v>3584.25</v>
      </c>
      <c r="AD3781" s="21" t="s">
        <v>368</v>
      </c>
      <c r="AE3781" t="str">
        <f>VLOOKUP(Table_Query_from_Actuarial___Production3[[#This Row],[Kor1]],$AI$3:$AK$105,3,FALSE)</f>
        <v>Misc. Income</v>
      </c>
      <c r="AF3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2" spans="18:32" x14ac:dyDescent="0.2">
      <c r="R3782" t="s">
        <v>36</v>
      </c>
      <c r="S3782" t="s">
        <v>266</v>
      </c>
      <c r="T3782" t="s">
        <v>443</v>
      </c>
      <c r="U3782" s="21">
        <v>174.99</v>
      </c>
      <c r="V3782" s="21" t="s">
        <v>368</v>
      </c>
      <c r="W3782" t="str">
        <f>VLOOKUP(Table_Query_from_Actuarial___Production[[#This Row],[Kor1]],$AI$3:$AK$105,3,FALSE)</f>
        <v>Misc. Expense</v>
      </c>
      <c r="X3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2"/>
      <c r="Z3782" t="s">
        <v>48</v>
      </c>
      <c r="AA3782" t="s">
        <v>251</v>
      </c>
      <c r="AB3782" t="s">
        <v>443</v>
      </c>
      <c r="AC3782" s="21">
        <v>177.84</v>
      </c>
      <c r="AD3782" s="21" t="s">
        <v>368</v>
      </c>
      <c r="AE3782" t="str">
        <f>VLOOKUP(Table_Query_from_Actuarial___Production3[[#This Row],[Kor1]],$AI$3:$AK$105,3,FALSE)</f>
        <v>Anticipated Salvage</v>
      </c>
      <c r="AF3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3" spans="18:32" x14ac:dyDescent="0.2">
      <c r="R3783" t="s">
        <v>47</v>
      </c>
      <c r="S3783" t="s">
        <v>255</v>
      </c>
      <c r="T3783" t="s">
        <v>445</v>
      </c>
      <c r="U3783" s="21">
        <v>8017.87</v>
      </c>
      <c r="V3783" s="21" t="s">
        <v>368</v>
      </c>
      <c r="W3783" t="str">
        <f>VLOOKUP(Table_Query_from_Actuarial___Production[[#This Row],[Kor1]],$AI$3:$AK$105,3,FALSE)</f>
        <v>Investment Income</v>
      </c>
      <c r="X3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3"/>
      <c r="Z3783" t="s">
        <v>15</v>
      </c>
      <c r="AA3783" t="s">
        <v>234</v>
      </c>
      <c r="AB3783" t="s">
        <v>443</v>
      </c>
      <c r="AC3783" s="21">
        <v>168887.81</v>
      </c>
      <c r="AD3783" s="21" t="s">
        <v>368</v>
      </c>
      <c r="AE3783" t="str">
        <f>VLOOKUP(Table_Query_from_Actuarial___Production3[[#This Row],[Kor1]],$AI$3:$AK$105,3,FALSE)</f>
        <v>Unearned Premiums</v>
      </c>
      <c r="AF3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4" spans="18:32" x14ac:dyDescent="0.2">
      <c r="R3784" t="s">
        <v>15</v>
      </c>
      <c r="S3784" t="s">
        <v>256</v>
      </c>
      <c r="T3784" t="s">
        <v>443</v>
      </c>
      <c r="U3784" s="21">
        <v>3267.75</v>
      </c>
      <c r="V3784" s="21" t="s">
        <v>368</v>
      </c>
      <c r="W3784" t="str">
        <f>VLOOKUP(Table_Query_from_Actuarial___Production[[#This Row],[Kor1]],$AI$3:$AK$105,3,FALSE)</f>
        <v>Unearned Premiums</v>
      </c>
      <c r="X3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4"/>
      <c r="Z3784" t="s">
        <v>13</v>
      </c>
      <c r="AA3784" t="s">
        <v>238</v>
      </c>
      <c r="AB3784" t="s">
        <v>6</v>
      </c>
      <c r="AC3784" s="21">
        <v>8742.2900000000009</v>
      </c>
      <c r="AD3784" s="21" t="s">
        <v>368</v>
      </c>
      <c r="AE3784" t="str">
        <f>VLOOKUP(Table_Query_from_Actuarial___Production3[[#This Row],[Kor1]],$AI$3:$AK$105,3,FALSE)</f>
        <v>Operating Service Fees</v>
      </c>
      <c r="AF3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5" spans="18:32" x14ac:dyDescent="0.2">
      <c r="R3785" t="s">
        <v>50</v>
      </c>
      <c r="S3785" t="s">
        <v>230</v>
      </c>
      <c r="T3785" t="s">
        <v>443</v>
      </c>
      <c r="U3785" s="21">
        <v>9981.18</v>
      </c>
      <c r="V3785" s="21" t="s">
        <v>368</v>
      </c>
      <c r="W3785" t="str">
        <f>VLOOKUP(Table_Query_from_Actuarial___Production[[#This Row],[Kor1]],$AI$3:$AK$105,3,FALSE)</f>
        <v>ALAE Reserve</v>
      </c>
      <c r="X3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5"/>
      <c r="Z3785" t="s">
        <v>44</v>
      </c>
      <c r="AA3785" t="s">
        <v>258</v>
      </c>
      <c r="AB3785" t="s">
        <v>433</v>
      </c>
      <c r="AC3785" s="21">
        <v>3895.23</v>
      </c>
      <c r="AD3785" s="21" t="s">
        <v>368</v>
      </c>
      <c r="AE3785" t="str">
        <f>VLOOKUP(Table_Query_from_Actuarial___Production3[[#This Row],[Kor1]],$AI$3:$AK$105,3,FALSE)</f>
        <v>Charge-offs</v>
      </c>
      <c r="AF3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6" spans="18:32" x14ac:dyDescent="0.2">
      <c r="R3786" t="s">
        <v>50</v>
      </c>
      <c r="S3786" t="s">
        <v>259</v>
      </c>
      <c r="T3786" t="s">
        <v>441</v>
      </c>
      <c r="U3786" s="21">
        <v>189.37</v>
      </c>
      <c r="V3786" s="21" t="s">
        <v>368</v>
      </c>
      <c r="W3786" t="str">
        <f>VLOOKUP(Table_Query_from_Actuarial___Production[[#This Row],[Kor1]],$AI$3:$AK$105,3,FALSE)</f>
        <v>ALAE Reserve</v>
      </c>
      <c r="X3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6"/>
      <c r="Z3786" t="s">
        <v>17</v>
      </c>
      <c r="AA3786" t="s">
        <v>243</v>
      </c>
      <c r="AB3786" t="s">
        <v>442</v>
      </c>
      <c r="AC3786" s="21">
        <v>74423.47</v>
      </c>
      <c r="AD3786" s="21" t="s">
        <v>368</v>
      </c>
      <c r="AE3786" t="str">
        <f>VLOOKUP(Table_Query_from_Actuarial___Production3[[#This Row],[Kor1]],$AI$3:$AK$105,3,FALSE)</f>
        <v>IBNR</v>
      </c>
      <c r="AF3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7" spans="18:32" x14ac:dyDescent="0.2">
      <c r="R3787" t="s">
        <v>37</v>
      </c>
      <c r="S3787" t="s">
        <v>228</v>
      </c>
      <c r="T3787" t="s">
        <v>351</v>
      </c>
      <c r="U3787" s="21">
        <v>1462.04</v>
      </c>
      <c r="V3787" s="21" t="s">
        <v>368</v>
      </c>
      <c r="W3787" t="str">
        <f>VLOOKUP(Table_Query_from_Actuarial___Production[[#This Row],[Kor1]],$AI$3:$AK$105,3,FALSE)</f>
        <v>Misc. Expense</v>
      </c>
      <c r="X3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7"/>
      <c r="Z3787" t="s">
        <v>41</v>
      </c>
      <c r="AA3787" t="s">
        <v>257</v>
      </c>
      <c r="AB3787" t="s">
        <v>442</v>
      </c>
      <c r="AC3787" s="21">
        <v>1878.91</v>
      </c>
      <c r="AD3787" s="21" t="s">
        <v>368</v>
      </c>
      <c r="AE3787" t="str">
        <f>VLOOKUP(Table_Query_from_Actuarial___Production3[[#This Row],[Kor1]],$AI$3:$AK$105,3,FALSE)</f>
        <v>Misc. Income</v>
      </c>
      <c r="AF3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88" spans="18:32" x14ac:dyDescent="0.2">
      <c r="R3788" t="s">
        <v>36</v>
      </c>
      <c r="S3788" t="s">
        <v>252</v>
      </c>
      <c r="T3788" t="s">
        <v>443</v>
      </c>
      <c r="U3788" s="21">
        <v>516217.39</v>
      </c>
      <c r="V3788" s="21" t="s">
        <v>368</v>
      </c>
      <c r="W3788" t="str">
        <f>VLOOKUP(Table_Query_from_Actuarial___Production[[#This Row],[Kor1]],$AI$3:$AK$105,3,FALSE)</f>
        <v>Misc. Expense</v>
      </c>
      <c r="X3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8"/>
      <c r="Z3788" t="s">
        <v>13</v>
      </c>
      <c r="AA3788" t="s">
        <v>225</v>
      </c>
      <c r="AB3788" t="s">
        <v>9</v>
      </c>
      <c r="AC3788" s="21">
        <v>155172.26</v>
      </c>
      <c r="AD3788" s="21" t="s">
        <v>368</v>
      </c>
      <c r="AE3788" t="str">
        <f>VLOOKUP(Table_Query_from_Actuarial___Production3[[#This Row],[Kor1]],$AI$3:$AK$105,3,FALSE)</f>
        <v>Operating Service Fees</v>
      </c>
      <c r="AF3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789" spans="18:32" x14ac:dyDescent="0.2">
      <c r="R3789" t="s">
        <v>47</v>
      </c>
      <c r="S3789" t="s">
        <v>231</v>
      </c>
      <c r="T3789" t="s">
        <v>9</v>
      </c>
      <c r="U3789" s="21">
        <v>106.12</v>
      </c>
      <c r="V3789" s="21" t="s">
        <v>368</v>
      </c>
      <c r="W3789" t="str">
        <f>VLOOKUP(Table_Query_from_Actuarial___Production[[#This Row],[Kor1]],$AI$3:$AK$105,3,FALSE)</f>
        <v>Investment Income</v>
      </c>
      <c r="X3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89"/>
      <c r="Z3789" t="s">
        <v>14</v>
      </c>
      <c r="AA3789" t="s">
        <v>237</v>
      </c>
      <c r="AB3789" t="s">
        <v>351</v>
      </c>
      <c r="AC3789" s="21">
        <v>3382389.67</v>
      </c>
      <c r="AD3789" s="21" t="s">
        <v>368</v>
      </c>
      <c r="AE3789" t="str">
        <f>VLOOKUP(Table_Query_from_Actuarial___Production3[[#This Row],[Kor1]],$AI$3:$AK$105,3,FALSE)</f>
        <v>Claims Expense</v>
      </c>
      <c r="AF3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0" spans="18:32" x14ac:dyDescent="0.2">
      <c r="R3790" t="s">
        <v>31</v>
      </c>
      <c r="S3790" t="s">
        <v>251</v>
      </c>
      <c r="T3790" t="s">
        <v>8</v>
      </c>
      <c r="U3790" s="21">
        <v>554.82000000000005</v>
      </c>
      <c r="V3790" s="21" t="s">
        <v>368</v>
      </c>
      <c r="W3790" t="str">
        <f>VLOOKUP(Table_Query_from_Actuarial___Production[[#This Row],[Kor1]],$AI$3:$AK$105,3,FALSE)</f>
        <v>Misc. Expense</v>
      </c>
      <c r="X3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0"/>
      <c r="Z3790" t="s">
        <v>44</v>
      </c>
      <c r="AA3790" t="s">
        <v>230</v>
      </c>
      <c r="AB3790" t="s">
        <v>356</v>
      </c>
      <c r="AC3790" s="21">
        <v>3295960.98</v>
      </c>
      <c r="AD3790" s="21" t="s">
        <v>368</v>
      </c>
      <c r="AE3790" t="str">
        <f>VLOOKUP(Table_Query_from_Actuarial___Production3[[#This Row],[Kor1]],$AI$3:$AK$105,3,FALSE)</f>
        <v>Charge-offs</v>
      </c>
      <c r="AF3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1" spans="18:32" x14ac:dyDescent="0.2">
      <c r="R3791" t="s">
        <v>18</v>
      </c>
      <c r="S3791" t="s">
        <v>354</v>
      </c>
      <c r="T3791" t="s">
        <v>441</v>
      </c>
      <c r="U3791" s="21">
        <v>960911.83</v>
      </c>
      <c r="V3791" s="21" t="s">
        <v>368</v>
      </c>
      <c r="W3791" t="str">
        <f>VLOOKUP(Table_Query_from_Actuarial___Production[[#This Row],[Kor1]],$AI$3:$AK$105,3,FALSE)</f>
        <v>Misc. Expense</v>
      </c>
      <c r="X3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791"/>
      <c r="Z3791" t="s">
        <v>20</v>
      </c>
      <c r="AA3791" t="s">
        <v>265</v>
      </c>
      <c r="AB3791" t="s">
        <v>5</v>
      </c>
      <c r="AC3791" s="21">
        <v>25.82</v>
      </c>
      <c r="AD3791" s="21" t="s">
        <v>368</v>
      </c>
      <c r="AE3791" t="str">
        <f>VLOOKUP(Table_Query_from_Actuarial___Production3[[#This Row],[Kor1]],$AI$3:$AK$105,3,FALSE)</f>
        <v>Misc. Expense</v>
      </c>
      <c r="AF3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2" spans="18:32" x14ac:dyDescent="0.2">
      <c r="R3792" t="s">
        <v>17</v>
      </c>
      <c r="S3792" t="s">
        <v>230</v>
      </c>
      <c r="T3792" t="s">
        <v>433</v>
      </c>
      <c r="U3792" s="21">
        <v>2296730.33</v>
      </c>
      <c r="V3792" s="21" t="s">
        <v>368</v>
      </c>
      <c r="W3792" t="str">
        <f>VLOOKUP(Table_Query_from_Actuarial___Production[[#This Row],[Kor1]],$AI$3:$AK$105,3,FALSE)</f>
        <v>IBNR</v>
      </c>
      <c r="X3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2"/>
      <c r="Z3792" t="s">
        <v>39</v>
      </c>
      <c r="AA3792" t="s">
        <v>237</v>
      </c>
      <c r="AB3792" t="s">
        <v>443</v>
      </c>
      <c r="AC3792" s="21">
        <v>6106.74</v>
      </c>
      <c r="AD3792" s="21" t="s">
        <v>368</v>
      </c>
      <c r="AE3792" t="str">
        <f>VLOOKUP(Table_Query_from_Actuarial___Production3[[#This Row],[Kor1]],$AI$3:$AK$105,3,FALSE)</f>
        <v>Misc. Income for Insolvent Companies</v>
      </c>
      <c r="AF3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3" spans="18:32" x14ac:dyDescent="0.2">
      <c r="R3793" t="s">
        <v>31</v>
      </c>
      <c r="S3793" t="s">
        <v>267</v>
      </c>
      <c r="T3793" t="s">
        <v>351</v>
      </c>
      <c r="U3793" s="21">
        <v>569.70000000000005</v>
      </c>
      <c r="V3793" s="21" t="s">
        <v>368</v>
      </c>
      <c r="W3793" t="str">
        <f>VLOOKUP(Table_Query_from_Actuarial___Production[[#This Row],[Kor1]],$AI$3:$AK$105,3,FALSE)</f>
        <v>Misc. Expense</v>
      </c>
      <c r="X3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3"/>
      <c r="Z3793" t="s">
        <v>50</v>
      </c>
      <c r="AA3793" t="s">
        <v>226</v>
      </c>
      <c r="AB3793" t="s">
        <v>442</v>
      </c>
      <c r="AC3793" s="21">
        <v>92745</v>
      </c>
      <c r="AD3793" s="21" t="s">
        <v>368</v>
      </c>
      <c r="AE3793" t="str">
        <f>VLOOKUP(Table_Query_from_Actuarial___Production3[[#This Row],[Kor1]],$AI$3:$AK$105,3,FALSE)</f>
        <v>ALAE Reserve</v>
      </c>
      <c r="AF3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794" spans="18:32" x14ac:dyDescent="0.2">
      <c r="R3794" t="s">
        <v>33</v>
      </c>
      <c r="S3794" t="s">
        <v>248</v>
      </c>
      <c r="T3794" t="s">
        <v>356</v>
      </c>
      <c r="U3794" s="21">
        <v>15484.12</v>
      </c>
      <c r="V3794" s="21" t="s">
        <v>368</v>
      </c>
      <c r="W3794" t="str">
        <f>VLOOKUP(Table_Query_from_Actuarial___Production[[#This Row],[Kor1]],$AI$3:$AK$105,3,FALSE)</f>
        <v>Misc. Expense</v>
      </c>
      <c r="X3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4"/>
      <c r="Z3794" t="s">
        <v>47</v>
      </c>
      <c r="AA3794" t="s">
        <v>4</v>
      </c>
      <c r="AB3794" t="s">
        <v>356</v>
      </c>
      <c r="AC3794" s="21">
        <v>95408.18</v>
      </c>
      <c r="AD3794" s="21" t="s">
        <v>368</v>
      </c>
      <c r="AE3794" t="str">
        <f>VLOOKUP(Table_Query_from_Actuarial___Production3[[#This Row],[Kor1]],$AI$3:$AK$105,3,FALSE)</f>
        <v>Investment Income</v>
      </c>
      <c r="AF3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5" spans="18:32" x14ac:dyDescent="0.2">
      <c r="R3795" t="s">
        <v>49</v>
      </c>
      <c r="S3795" t="s">
        <v>239</v>
      </c>
      <c r="T3795" t="s">
        <v>441</v>
      </c>
      <c r="U3795" s="21">
        <v>103279.73</v>
      </c>
      <c r="V3795" s="21" t="s">
        <v>368</v>
      </c>
      <c r="W3795" t="str">
        <f>VLOOKUP(Table_Query_from_Actuarial___Production[[#This Row],[Kor1]],$AI$3:$AK$105,3,FALSE)</f>
        <v>ALAE Paid</v>
      </c>
      <c r="X3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5"/>
      <c r="Z3795" t="s">
        <v>3</v>
      </c>
      <c r="AA3795" t="s">
        <v>235</v>
      </c>
      <c r="AB3795" t="s">
        <v>441</v>
      </c>
      <c r="AC3795" s="21">
        <v>332403</v>
      </c>
      <c r="AD3795" s="21" t="s">
        <v>368</v>
      </c>
      <c r="AE3795" t="str">
        <f>VLOOKUP(Table_Query_from_Actuarial___Production3[[#This Row],[Kor1]],$AI$3:$AK$105,3,FALSE)</f>
        <v>Premiums Written</v>
      </c>
      <c r="AF3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6" spans="18:32" x14ac:dyDescent="0.2">
      <c r="R3796" t="s">
        <v>14</v>
      </c>
      <c r="S3796" t="s">
        <v>248</v>
      </c>
      <c r="T3796" t="s">
        <v>433</v>
      </c>
      <c r="U3796" s="21">
        <v>44969.37</v>
      </c>
      <c r="V3796" s="21" t="s">
        <v>368</v>
      </c>
      <c r="W3796" t="str">
        <f>VLOOKUP(Table_Query_from_Actuarial___Production[[#This Row],[Kor1]],$AI$3:$AK$105,3,FALSE)</f>
        <v>Claims Expense</v>
      </c>
      <c r="X3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6"/>
      <c r="Z3796" t="s">
        <v>34</v>
      </c>
      <c r="AA3796" t="s">
        <v>243</v>
      </c>
      <c r="AB3796" t="s">
        <v>441</v>
      </c>
      <c r="AC3796" s="21">
        <v>8.25</v>
      </c>
      <c r="AD3796" s="21" t="s">
        <v>368</v>
      </c>
      <c r="AE3796" t="str">
        <f>VLOOKUP(Table_Query_from_Actuarial___Production3[[#This Row],[Kor1]],$AI$3:$AK$105,3,FALSE)</f>
        <v>Misc. Expense</v>
      </c>
      <c r="AF3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7" spans="18:32" x14ac:dyDescent="0.2">
      <c r="R3797" t="s">
        <v>12</v>
      </c>
      <c r="S3797" t="s">
        <v>239</v>
      </c>
      <c r="T3797" t="s">
        <v>8</v>
      </c>
      <c r="U3797" s="21">
        <v>5468.94</v>
      </c>
      <c r="V3797" s="21" t="s">
        <v>368</v>
      </c>
      <c r="W3797" t="str">
        <f>VLOOKUP(Table_Query_from_Actuarial___Production[[#This Row],[Kor1]],$AI$3:$AK$105,3,FALSE)</f>
        <v>Premium Tax</v>
      </c>
      <c r="X3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7"/>
      <c r="Z3797" t="s">
        <v>43</v>
      </c>
      <c r="AA3797" t="s">
        <v>243</v>
      </c>
      <c r="AB3797" t="s">
        <v>351</v>
      </c>
      <c r="AC3797" s="21">
        <v>-195.36</v>
      </c>
      <c r="AD3797" s="21" t="s">
        <v>368</v>
      </c>
      <c r="AE3797" t="str">
        <f>VLOOKUP(Table_Query_from_Actuarial___Production3[[#This Row],[Kor1]],$AI$3:$AK$105,3,FALSE)</f>
        <v>Charge-offs</v>
      </c>
      <c r="AF3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8" spans="18:32" x14ac:dyDescent="0.2">
      <c r="R3798" t="s">
        <v>17</v>
      </c>
      <c r="S3798" t="s">
        <v>253</v>
      </c>
      <c r="T3798" t="s">
        <v>433</v>
      </c>
      <c r="U3798" s="21">
        <v>4013.82</v>
      </c>
      <c r="V3798" s="21" t="s">
        <v>368</v>
      </c>
      <c r="W3798" t="str">
        <f>VLOOKUP(Table_Query_from_Actuarial___Production[[#This Row],[Kor1]],$AI$3:$AK$105,3,FALSE)</f>
        <v>IBNR</v>
      </c>
      <c r="X3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8"/>
      <c r="Z3798" t="s">
        <v>43</v>
      </c>
      <c r="AA3798" t="s">
        <v>258</v>
      </c>
      <c r="AB3798" t="s">
        <v>433</v>
      </c>
      <c r="AC3798" s="21">
        <v>121.74</v>
      </c>
      <c r="AD3798" s="21" t="s">
        <v>368</v>
      </c>
      <c r="AE3798" t="str">
        <f>VLOOKUP(Table_Query_from_Actuarial___Production3[[#This Row],[Kor1]],$AI$3:$AK$105,3,FALSE)</f>
        <v>Charge-offs</v>
      </c>
      <c r="AF3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799" spans="18:32" x14ac:dyDescent="0.2">
      <c r="R3799" t="s">
        <v>19</v>
      </c>
      <c r="S3799" t="s">
        <v>251</v>
      </c>
      <c r="T3799" t="s">
        <v>7</v>
      </c>
      <c r="U3799" s="21">
        <v>95</v>
      </c>
      <c r="V3799" s="21" t="s">
        <v>368</v>
      </c>
      <c r="W3799" t="str">
        <f>VLOOKUP(Table_Query_from_Actuarial___Production[[#This Row],[Kor1]],$AI$3:$AK$105,3,FALSE)</f>
        <v>Misc. Expense for Insolvent Companies</v>
      </c>
      <c r="X3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799"/>
      <c r="Z3799" t="s">
        <v>12</v>
      </c>
      <c r="AA3799" t="s">
        <v>263</v>
      </c>
      <c r="AB3799" t="s">
        <v>9</v>
      </c>
      <c r="AC3799" s="21">
        <v>7794.6</v>
      </c>
      <c r="AD3799" s="21" t="s">
        <v>368</v>
      </c>
      <c r="AE3799" t="str">
        <f>VLOOKUP(Table_Query_from_Actuarial___Production3[[#This Row],[Kor1]],$AI$3:$AK$105,3,FALSE)</f>
        <v>Premium Tax</v>
      </c>
      <c r="AF3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0" spans="18:32" x14ac:dyDescent="0.2">
      <c r="R3800" t="s">
        <v>12</v>
      </c>
      <c r="S3800" t="s">
        <v>230</v>
      </c>
      <c r="T3800" t="s">
        <v>433</v>
      </c>
      <c r="U3800" s="21">
        <v>503239.49</v>
      </c>
      <c r="V3800" s="21" t="s">
        <v>368</v>
      </c>
      <c r="W3800" t="str">
        <f>VLOOKUP(Table_Query_from_Actuarial___Production[[#This Row],[Kor1]],$AI$3:$AK$105,3,FALSE)</f>
        <v>Premium Tax</v>
      </c>
      <c r="X3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0"/>
      <c r="Z3800" t="s">
        <v>37</v>
      </c>
      <c r="AA3800" t="s">
        <v>242</v>
      </c>
      <c r="AB3800" t="s">
        <v>9</v>
      </c>
      <c r="AC3800" s="21">
        <v>2.99</v>
      </c>
      <c r="AD3800" s="21" t="s">
        <v>368</v>
      </c>
      <c r="AE3800" t="str">
        <f>VLOOKUP(Table_Query_from_Actuarial___Production3[[#This Row],[Kor1]],$AI$3:$AK$105,3,FALSE)</f>
        <v>Misc. Expense</v>
      </c>
      <c r="AF3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1" spans="18:32" x14ac:dyDescent="0.2">
      <c r="R3801" t="s">
        <v>44</v>
      </c>
      <c r="S3801" t="s">
        <v>247</v>
      </c>
      <c r="T3801" t="s">
        <v>427</v>
      </c>
      <c r="U3801" s="21">
        <v>-1</v>
      </c>
      <c r="V3801" s="21" t="s">
        <v>368</v>
      </c>
      <c r="W3801" t="str">
        <f>VLOOKUP(Table_Query_from_Actuarial___Production[[#This Row],[Kor1]],$AI$3:$AK$105,3,FALSE)</f>
        <v>Charge-offs</v>
      </c>
      <c r="X3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1"/>
      <c r="Z3801" t="s">
        <v>44</v>
      </c>
      <c r="AA3801" t="s">
        <v>224</v>
      </c>
      <c r="AB3801" t="s">
        <v>442</v>
      </c>
      <c r="AC3801" s="21">
        <v>961</v>
      </c>
      <c r="AD3801" s="21" t="s">
        <v>368</v>
      </c>
      <c r="AE3801" t="str">
        <f>VLOOKUP(Table_Query_from_Actuarial___Production3[[#This Row],[Kor1]],$AI$3:$AK$105,3,FALSE)</f>
        <v>Charge-offs</v>
      </c>
      <c r="AF3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802" spans="18:32" x14ac:dyDescent="0.2">
      <c r="R3802" t="s">
        <v>31</v>
      </c>
      <c r="S3802" t="s">
        <v>234</v>
      </c>
      <c r="T3802" t="s">
        <v>442</v>
      </c>
      <c r="U3802" s="21">
        <v>1034.79</v>
      </c>
      <c r="V3802" s="21" t="s">
        <v>368</v>
      </c>
      <c r="W3802" t="str">
        <f>VLOOKUP(Table_Query_from_Actuarial___Production[[#This Row],[Kor1]],$AI$3:$AK$105,3,FALSE)</f>
        <v>Misc. Expense</v>
      </c>
      <c r="X3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2"/>
      <c r="Z3802" t="s">
        <v>41</v>
      </c>
      <c r="AA3802" t="s">
        <v>256</v>
      </c>
      <c r="AB3802" t="s">
        <v>9</v>
      </c>
      <c r="AC3802" s="21">
        <v>550</v>
      </c>
      <c r="AD3802" s="21" t="s">
        <v>368</v>
      </c>
      <c r="AE3802" t="str">
        <f>VLOOKUP(Table_Query_from_Actuarial___Production3[[#This Row],[Kor1]],$AI$3:$AK$105,3,FALSE)</f>
        <v>Misc. Income</v>
      </c>
      <c r="AF3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3" spans="18:32" x14ac:dyDescent="0.2">
      <c r="R3803" t="s">
        <v>33</v>
      </c>
      <c r="S3803" t="s">
        <v>252</v>
      </c>
      <c r="T3803" t="s">
        <v>433</v>
      </c>
      <c r="U3803" s="21">
        <v>23617.19</v>
      </c>
      <c r="V3803" s="21" t="s">
        <v>368</v>
      </c>
      <c r="W3803" t="str">
        <f>VLOOKUP(Table_Query_from_Actuarial___Production[[#This Row],[Kor1]],$AI$3:$AK$105,3,FALSE)</f>
        <v>Misc. Expense</v>
      </c>
      <c r="X3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3"/>
      <c r="Z3803" t="s">
        <v>39</v>
      </c>
      <c r="AA3803" t="s">
        <v>252</v>
      </c>
      <c r="AB3803" t="s">
        <v>351</v>
      </c>
      <c r="AC3803" s="21">
        <v>512303.33</v>
      </c>
      <c r="AD3803" s="21" t="s">
        <v>368</v>
      </c>
      <c r="AE3803" t="str">
        <f>VLOOKUP(Table_Query_from_Actuarial___Production3[[#This Row],[Kor1]],$AI$3:$AK$105,3,FALSE)</f>
        <v>Misc. Income for Insolvent Companies</v>
      </c>
      <c r="AF3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4" spans="18:32" x14ac:dyDescent="0.2">
      <c r="R3804" t="s">
        <v>40</v>
      </c>
      <c r="S3804" t="s">
        <v>261</v>
      </c>
      <c r="T3804" t="s">
        <v>356</v>
      </c>
      <c r="U3804" s="21">
        <v>353</v>
      </c>
      <c r="V3804" s="21" t="s">
        <v>368</v>
      </c>
      <c r="W3804" t="str">
        <f>VLOOKUP(Table_Query_from_Actuarial___Production[[#This Row],[Kor1]],$AI$3:$AK$105,3,FALSE)</f>
        <v>Misc. Income</v>
      </c>
      <c r="X3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4"/>
      <c r="Z3804" t="s">
        <v>18</v>
      </c>
      <c r="AA3804" t="s">
        <v>224</v>
      </c>
      <c r="AB3804" t="s">
        <v>351</v>
      </c>
      <c r="AC3804" s="21">
        <v>7083.65</v>
      </c>
      <c r="AD3804" s="21" t="s">
        <v>369</v>
      </c>
      <c r="AE3804" t="str">
        <f>VLOOKUP(Table_Query_from_Actuarial___Production3[[#This Row],[Kor1]],$AI$3:$AK$105,3,FALSE)</f>
        <v>Misc. Expense</v>
      </c>
      <c r="AF3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805" spans="18:32" x14ac:dyDescent="0.2">
      <c r="R3805" t="s">
        <v>31</v>
      </c>
      <c r="S3805" t="s">
        <v>229</v>
      </c>
      <c r="T3805" t="s">
        <v>442</v>
      </c>
      <c r="U3805" s="21">
        <v>968.63</v>
      </c>
      <c r="V3805" s="21" t="s">
        <v>368</v>
      </c>
      <c r="W3805" t="str">
        <f>VLOOKUP(Table_Query_from_Actuarial___Production[[#This Row],[Kor1]],$AI$3:$AK$105,3,FALSE)</f>
        <v>Misc. Expense</v>
      </c>
      <c r="X3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5"/>
      <c r="Z3805" t="s">
        <v>12</v>
      </c>
      <c r="AA3805" t="s">
        <v>227</v>
      </c>
      <c r="AB3805" t="s">
        <v>442</v>
      </c>
      <c r="AC3805" s="21">
        <v>1423.69</v>
      </c>
      <c r="AD3805" s="21" t="s">
        <v>368</v>
      </c>
      <c r="AE3805" t="str">
        <f>VLOOKUP(Table_Query_from_Actuarial___Production3[[#This Row],[Kor1]],$AI$3:$AK$105,3,FALSE)</f>
        <v>Premium Tax</v>
      </c>
      <c r="AF3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6" spans="18:32" x14ac:dyDescent="0.2">
      <c r="R3806" t="s">
        <v>31</v>
      </c>
      <c r="S3806" t="s">
        <v>257</v>
      </c>
      <c r="T3806" t="s">
        <v>433</v>
      </c>
      <c r="U3806" s="21">
        <v>811.9</v>
      </c>
      <c r="V3806" s="21" t="s">
        <v>368</v>
      </c>
      <c r="W3806" t="str">
        <f>VLOOKUP(Table_Query_from_Actuarial___Production[[#This Row],[Kor1]],$AI$3:$AK$105,3,FALSE)</f>
        <v>Misc. Expense</v>
      </c>
      <c r="X3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6"/>
      <c r="Z3806" t="s">
        <v>37</v>
      </c>
      <c r="AA3806" t="s">
        <v>263</v>
      </c>
      <c r="AB3806" t="s">
        <v>433</v>
      </c>
      <c r="AC3806" s="21">
        <v>0.31</v>
      </c>
      <c r="AD3806" s="21" t="s">
        <v>368</v>
      </c>
      <c r="AE3806" t="str">
        <f>VLOOKUP(Table_Query_from_Actuarial___Production3[[#This Row],[Kor1]],$AI$3:$AK$105,3,FALSE)</f>
        <v>Misc. Expense</v>
      </c>
      <c r="AF3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7" spans="18:32" x14ac:dyDescent="0.2">
      <c r="R3807" t="s">
        <v>44</v>
      </c>
      <c r="S3807" t="s">
        <v>243</v>
      </c>
      <c r="T3807" t="s">
        <v>7</v>
      </c>
      <c r="U3807" s="21">
        <v>468.11</v>
      </c>
      <c r="V3807" s="21" t="s">
        <v>368</v>
      </c>
      <c r="W3807" t="str">
        <f>VLOOKUP(Table_Query_from_Actuarial___Production[[#This Row],[Kor1]],$AI$3:$AK$105,3,FALSE)</f>
        <v>Charge-offs</v>
      </c>
      <c r="X3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7"/>
      <c r="Z3807" t="s">
        <v>39</v>
      </c>
      <c r="AA3807" t="s">
        <v>258</v>
      </c>
      <c r="AB3807" t="s">
        <v>351</v>
      </c>
      <c r="AC3807" s="21">
        <v>2265.0300000000002</v>
      </c>
      <c r="AD3807" s="21" t="s">
        <v>368</v>
      </c>
      <c r="AE3807" t="str">
        <f>VLOOKUP(Table_Query_from_Actuarial___Production3[[#This Row],[Kor1]],$AI$3:$AK$105,3,FALSE)</f>
        <v>Misc. Income for Insolvent Companies</v>
      </c>
      <c r="AF3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8" spans="18:32" x14ac:dyDescent="0.2">
      <c r="R3808" t="s">
        <v>10</v>
      </c>
      <c r="S3808" t="s">
        <v>240</v>
      </c>
      <c r="T3808" t="s">
        <v>443</v>
      </c>
      <c r="U3808" s="21">
        <v>229519.41</v>
      </c>
      <c r="V3808" s="21" t="s">
        <v>368</v>
      </c>
      <c r="W3808" t="str">
        <f>VLOOKUP(Table_Query_from_Actuarial___Production[[#This Row],[Kor1]],$AI$3:$AK$105,3,FALSE)</f>
        <v>Commissions</v>
      </c>
      <c r="X3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8"/>
      <c r="Z3808" t="s">
        <v>47</v>
      </c>
      <c r="AA3808" t="s">
        <v>228</v>
      </c>
      <c r="AB3808" t="s">
        <v>6</v>
      </c>
      <c r="AC3808" s="21">
        <v>0.06</v>
      </c>
      <c r="AD3808" s="21" t="s">
        <v>368</v>
      </c>
      <c r="AE3808" t="str">
        <f>VLOOKUP(Table_Query_from_Actuarial___Production3[[#This Row],[Kor1]],$AI$3:$AK$105,3,FALSE)</f>
        <v>Investment Income</v>
      </c>
      <c r="AF3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09" spans="18:32" x14ac:dyDescent="0.2">
      <c r="R3809" t="s">
        <v>34</v>
      </c>
      <c r="S3809" t="s">
        <v>235</v>
      </c>
      <c r="T3809" t="s">
        <v>356</v>
      </c>
      <c r="U3809" s="21">
        <v>1106.77</v>
      </c>
      <c r="V3809" s="21" t="s">
        <v>368</v>
      </c>
      <c r="W3809" t="str">
        <f>VLOOKUP(Table_Query_from_Actuarial___Production[[#This Row],[Kor1]],$AI$3:$AK$105,3,FALSE)</f>
        <v>Misc. Expense</v>
      </c>
      <c r="X3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09"/>
      <c r="Z3809" t="s">
        <v>17</v>
      </c>
      <c r="AA3809" t="s">
        <v>240</v>
      </c>
      <c r="AB3809" t="s">
        <v>427</v>
      </c>
      <c r="AC3809" s="21">
        <v>433399.98</v>
      </c>
      <c r="AD3809" s="21" t="s">
        <v>368</v>
      </c>
      <c r="AE3809" t="str">
        <f>VLOOKUP(Table_Query_from_Actuarial___Production3[[#This Row],[Kor1]],$AI$3:$AK$105,3,FALSE)</f>
        <v>IBNR</v>
      </c>
      <c r="AF3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0" spans="18:32" x14ac:dyDescent="0.2">
      <c r="R3810" t="s">
        <v>43</v>
      </c>
      <c r="S3810" t="s">
        <v>247</v>
      </c>
      <c r="T3810" t="s">
        <v>427</v>
      </c>
      <c r="U3810" s="21">
        <v>0.02</v>
      </c>
      <c r="V3810" s="21" t="s">
        <v>368</v>
      </c>
      <c r="W3810" t="str">
        <f>VLOOKUP(Table_Query_from_Actuarial___Production[[#This Row],[Kor1]],$AI$3:$AK$105,3,FALSE)</f>
        <v>Charge-offs</v>
      </c>
      <c r="X3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0"/>
      <c r="Z3810" t="s">
        <v>15</v>
      </c>
      <c r="AA3810" t="s">
        <v>256</v>
      </c>
      <c r="AB3810" t="s">
        <v>443</v>
      </c>
      <c r="AC3810" s="21">
        <v>23997.5</v>
      </c>
      <c r="AD3810" s="21" t="s">
        <v>368</v>
      </c>
      <c r="AE3810" t="str">
        <f>VLOOKUP(Table_Query_from_Actuarial___Production3[[#This Row],[Kor1]],$AI$3:$AK$105,3,FALSE)</f>
        <v>Unearned Premiums</v>
      </c>
      <c r="AF3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1" spans="18:32" x14ac:dyDescent="0.2">
      <c r="R3811" t="s">
        <v>11</v>
      </c>
      <c r="S3811" t="s">
        <v>264</v>
      </c>
      <c r="T3811" t="s">
        <v>441</v>
      </c>
      <c r="U3811" s="21">
        <v>2357528.09</v>
      </c>
      <c r="V3811" s="21" t="s">
        <v>368</v>
      </c>
      <c r="W3811" t="str">
        <f>VLOOKUP(Table_Query_from_Actuarial___Production[[#This Row],[Kor1]],$AI$3:$AK$105,3,FALSE)</f>
        <v>Losses Paid</v>
      </c>
      <c r="X3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1"/>
      <c r="Z3811" t="s">
        <v>50</v>
      </c>
      <c r="AA3811" t="s">
        <v>259</v>
      </c>
      <c r="AB3811" t="s">
        <v>441</v>
      </c>
      <c r="AC3811" s="21">
        <v>126.7</v>
      </c>
      <c r="AD3811" s="21" t="s">
        <v>368</v>
      </c>
      <c r="AE3811" t="str">
        <f>VLOOKUP(Table_Query_from_Actuarial___Production3[[#This Row],[Kor1]],$AI$3:$AK$105,3,FALSE)</f>
        <v>ALAE Reserve</v>
      </c>
      <c r="AF3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2" spans="18:32" x14ac:dyDescent="0.2">
      <c r="R3812" t="s">
        <v>17</v>
      </c>
      <c r="S3812" t="s">
        <v>240</v>
      </c>
      <c r="T3812" t="s">
        <v>443</v>
      </c>
      <c r="U3812" s="21">
        <v>1333443.98</v>
      </c>
      <c r="V3812" s="21" t="s">
        <v>368</v>
      </c>
      <c r="W3812" t="str">
        <f>VLOOKUP(Table_Query_from_Actuarial___Production[[#This Row],[Kor1]],$AI$3:$AK$105,3,FALSE)</f>
        <v>IBNR</v>
      </c>
      <c r="X3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2"/>
      <c r="Z3812" t="s">
        <v>37</v>
      </c>
      <c r="AA3812" t="s">
        <v>228</v>
      </c>
      <c r="AB3812" t="s">
        <v>351</v>
      </c>
      <c r="AC3812" s="21">
        <v>1462.04</v>
      </c>
      <c r="AD3812" s="21" t="s">
        <v>368</v>
      </c>
      <c r="AE3812" t="str">
        <f>VLOOKUP(Table_Query_from_Actuarial___Production3[[#This Row],[Kor1]],$AI$3:$AK$105,3,FALSE)</f>
        <v>Misc. Expense</v>
      </c>
      <c r="AF3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3" spans="18:32" x14ac:dyDescent="0.2">
      <c r="R3813" t="s">
        <v>37</v>
      </c>
      <c r="S3813" t="s">
        <v>231</v>
      </c>
      <c r="T3813" t="s">
        <v>427</v>
      </c>
      <c r="U3813" s="21">
        <v>91.68</v>
      </c>
      <c r="V3813" s="21" t="s">
        <v>368</v>
      </c>
      <c r="W3813" t="str">
        <f>VLOOKUP(Table_Query_from_Actuarial___Production[[#This Row],[Kor1]],$AI$3:$AK$105,3,FALSE)</f>
        <v>Misc. Expense</v>
      </c>
      <c r="X3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3"/>
      <c r="Z3813" t="s">
        <v>36</v>
      </c>
      <c r="AA3813" t="s">
        <v>252</v>
      </c>
      <c r="AB3813" t="s">
        <v>443</v>
      </c>
      <c r="AC3813" s="21">
        <v>297642.98</v>
      </c>
      <c r="AD3813" s="21" t="s">
        <v>368</v>
      </c>
      <c r="AE3813" t="str">
        <f>VLOOKUP(Table_Query_from_Actuarial___Production3[[#This Row],[Kor1]],$AI$3:$AK$105,3,FALSE)</f>
        <v>Misc. Expense</v>
      </c>
      <c r="AF3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4" spans="18:32" x14ac:dyDescent="0.2">
      <c r="R3814" t="s">
        <v>13</v>
      </c>
      <c r="S3814" t="s">
        <v>241</v>
      </c>
      <c r="T3814" t="s">
        <v>6</v>
      </c>
      <c r="U3814" s="21">
        <v>66148.75</v>
      </c>
      <c r="V3814" s="21" t="s">
        <v>368</v>
      </c>
      <c r="W3814" t="str">
        <f>VLOOKUP(Table_Query_from_Actuarial___Production[[#This Row],[Kor1]],$AI$3:$AK$105,3,FALSE)</f>
        <v>Operating Service Fees</v>
      </c>
      <c r="X3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4"/>
      <c r="Z3814" t="s">
        <v>47</v>
      </c>
      <c r="AA3814" t="s">
        <v>231</v>
      </c>
      <c r="AB3814" t="s">
        <v>9</v>
      </c>
      <c r="AC3814" s="21">
        <v>106.12</v>
      </c>
      <c r="AD3814" s="21" t="s">
        <v>368</v>
      </c>
      <c r="AE3814" t="str">
        <f>VLOOKUP(Table_Query_from_Actuarial___Production3[[#This Row],[Kor1]],$AI$3:$AK$105,3,FALSE)</f>
        <v>Investment Income</v>
      </c>
      <c r="AF3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5" spans="18:32" x14ac:dyDescent="0.2">
      <c r="R3815" t="s">
        <v>19</v>
      </c>
      <c r="S3815" t="s">
        <v>264</v>
      </c>
      <c r="T3815" t="s">
        <v>433</v>
      </c>
      <c r="U3815" s="21">
        <v>24298.99</v>
      </c>
      <c r="V3815" s="21" t="s">
        <v>368</v>
      </c>
      <c r="W3815" t="str">
        <f>VLOOKUP(Table_Query_from_Actuarial___Production[[#This Row],[Kor1]],$AI$3:$AK$105,3,FALSE)</f>
        <v>Misc. Expense for Insolvent Companies</v>
      </c>
      <c r="X3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5"/>
      <c r="Z3815" t="s">
        <v>31</v>
      </c>
      <c r="AA3815" t="s">
        <v>251</v>
      </c>
      <c r="AB3815" t="s">
        <v>8</v>
      </c>
      <c r="AC3815" s="21">
        <v>554.82000000000005</v>
      </c>
      <c r="AD3815" s="21" t="s">
        <v>368</v>
      </c>
      <c r="AE3815" t="str">
        <f>VLOOKUP(Table_Query_from_Actuarial___Production3[[#This Row],[Kor1]],$AI$3:$AK$105,3,FALSE)</f>
        <v>Misc. Expense</v>
      </c>
      <c r="AF3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6" spans="18:32" x14ac:dyDescent="0.2">
      <c r="R3816" t="s">
        <v>21</v>
      </c>
      <c r="S3816" t="s">
        <v>262</v>
      </c>
      <c r="T3816" t="s">
        <v>351</v>
      </c>
      <c r="U3816" s="21">
        <v>3058.51</v>
      </c>
      <c r="V3816" s="21" t="s">
        <v>368</v>
      </c>
      <c r="W3816" t="str">
        <f>VLOOKUP(Table_Query_from_Actuarial___Production[[#This Row],[Kor1]],$AI$3:$AK$105,3,FALSE)</f>
        <v>Misc. Expense</v>
      </c>
      <c r="X3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6"/>
      <c r="Z3816" t="s">
        <v>18</v>
      </c>
      <c r="AA3816" t="s">
        <v>354</v>
      </c>
      <c r="AB3816" t="s">
        <v>441</v>
      </c>
      <c r="AC3816" s="21">
        <v>960911.83</v>
      </c>
      <c r="AD3816" s="21" t="s">
        <v>368</v>
      </c>
      <c r="AE3816" t="str">
        <f>VLOOKUP(Table_Query_from_Actuarial___Production3[[#This Row],[Kor1]],$AI$3:$AK$105,3,FALSE)</f>
        <v>Misc. Expense</v>
      </c>
      <c r="AF3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817" spans="18:32" x14ac:dyDescent="0.2">
      <c r="R3817" t="s">
        <v>40</v>
      </c>
      <c r="S3817" t="s">
        <v>266</v>
      </c>
      <c r="T3817" t="s">
        <v>351</v>
      </c>
      <c r="U3817" s="21">
        <v>-31</v>
      </c>
      <c r="V3817" s="21" t="s">
        <v>368</v>
      </c>
      <c r="W3817" t="str">
        <f>VLOOKUP(Table_Query_from_Actuarial___Production[[#This Row],[Kor1]],$AI$3:$AK$105,3,FALSE)</f>
        <v>Misc. Income</v>
      </c>
      <c r="X3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7"/>
      <c r="Z3817" t="s">
        <v>17</v>
      </c>
      <c r="AA3817" t="s">
        <v>230</v>
      </c>
      <c r="AB3817" t="s">
        <v>433</v>
      </c>
      <c r="AC3817" s="21">
        <v>1993011.27</v>
      </c>
      <c r="AD3817" s="21" t="s">
        <v>368</v>
      </c>
      <c r="AE3817" t="str">
        <f>VLOOKUP(Table_Query_from_Actuarial___Production3[[#This Row],[Kor1]],$AI$3:$AK$105,3,FALSE)</f>
        <v>IBNR</v>
      </c>
      <c r="AF3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8" spans="18:32" x14ac:dyDescent="0.2">
      <c r="R3818" t="s">
        <v>48</v>
      </c>
      <c r="S3818" t="s">
        <v>240</v>
      </c>
      <c r="T3818" t="s">
        <v>443</v>
      </c>
      <c r="U3818" s="21">
        <v>18937.36</v>
      </c>
      <c r="V3818" s="21" t="s">
        <v>368</v>
      </c>
      <c r="W3818" t="str">
        <f>VLOOKUP(Table_Query_from_Actuarial___Production[[#This Row],[Kor1]],$AI$3:$AK$105,3,FALSE)</f>
        <v>Anticipated Salvage</v>
      </c>
      <c r="X3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18"/>
      <c r="Z3818" t="s">
        <v>31</v>
      </c>
      <c r="AA3818" t="s">
        <v>267</v>
      </c>
      <c r="AB3818" t="s">
        <v>351</v>
      </c>
      <c r="AC3818" s="21">
        <v>569.70000000000005</v>
      </c>
      <c r="AD3818" s="21" t="s">
        <v>368</v>
      </c>
      <c r="AE3818" t="str">
        <f>VLOOKUP(Table_Query_from_Actuarial___Production3[[#This Row],[Kor1]],$AI$3:$AK$105,3,FALSE)</f>
        <v>Misc. Expense</v>
      </c>
      <c r="AF3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19" spans="18:32" x14ac:dyDescent="0.2">
      <c r="R3819" t="s">
        <v>17</v>
      </c>
      <c r="S3819" t="s">
        <v>224</v>
      </c>
      <c r="T3819" t="s">
        <v>445</v>
      </c>
      <c r="U3819" s="21">
        <v>9257.5499999999993</v>
      </c>
      <c r="V3819" s="21" t="s">
        <v>369</v>
      </c>
      <c r="W3819" t="str">
        <f>VLOOKUP(Table_Query_from_Actuarial___Production[[#This Row],[Kor1]],$AI$3:$AK$105,3,FALSE)</f>
        <v>IBNR</v>
      </c>
      <c r="X3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819"/>
      <c r="Z3819" t="s">
        <v>14</v>
      </c>
      <c r="AA3819" t="s">
        <v>240</v>
      </c>
      <c r="AB3819" t="s">
        <v>5</v>
      </c>
      <c r="AC3819" s="21">
        <v>51491.96</v>
      </c>
      <c r="AD3819" s="21" t="s">
        <v>368</v>
      </c>
      <c r="AE3819" t="str">
        <f>VLOOKUP(Table_Query_from_Actuarial___Production3[[#This Row],[Kor1]],$AI$3:$AK$105,3,FALSE)</f>
        <v>Claims Expense</v>
      </c>
      <c r="AF3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0" spans="18:32" x14ac:dyDescent="0.2">
      <c r="R3820" t="s">
        <v>40</v>
      </c>
      <c r="S3820" t="s">
        <v>246</v>
      </c>
      <c r="T3820" t="s">
        <v>7</v>
      </c>
      <c r="U3820" s="21">
        <v>6231.17</v>
      </c>
      <c r="V3820" s="21" t="s">
        <v>368</v>
      </c>
      <c r="W3820" t="str">
        <f>VLOOKUP(Table_Query_from_Actuarial___Production[[#This Row],[Kor1]],$AI$3:$AK$105,3,FALSE)</f>
        <v>Misc. Income</v>
      </c>
      <c r="X3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0"/>
      <c r="Z3820" t="s">
        <v>33</v>
      </c>
      <c r="AA3820" t="s">
        <v>248</v>
      </c>
      <c r="AB3820" t="s">
        <v>356</v>
      </c>
      <c r="AC3820" s="21">
        <v>15484.12</v>
      </c>
      <c r="AD3820" s="21" t="s">
        <v>368</v>
      </c>
      <c r="AE3820" t="str">
        <f>VLOOKUP(Table_Query_from_Actuarial___Production3[[#This Row],[Kor1]],$AI$3:$AK$105,3,FALSE)</f>
        <v>Misc. Expense</v>
      </c>
      <c r="AF3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1" spans="18:32" x14ac:dyDescent="0.2">
      <c r="R3821" t="s">
        <v>14</v>
      </c>
      <c r="S3821" t="s">
        <v>354</v>
      </c>
      <c r="T3821" t="s">
        <v>442</v>
      </c>
      <c r="U3821" s="21">
        <v>17271479.850000001</v>
      </c>
      <c r="V3821" s="21" t="s">
        <v>368</v>
      </c>
      <c r="W3821" t="str">
        <f>VLOOKUP(Table_Query_from_Actuarial___Production[[#This Row],[Kor1]],$AI$3:$AK$105,3,FALSE)</f>
        <v>Claims Expense</v>
      </c>
      <c r="X3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821"/>
      <c r="Z3821" t="s">
        <v>49</v>
      </c>
      <c r="AA3821" t="s">
        <v>239</v>
      </c>
      <c r="AB3821" t="s">
        <v>441</v>
      </c>
      <c r="AC3821" s="21">
        <v>50045.09</v>
      </c>
      <c r="AD3821" s="21" t="s">
        <v>368</v>
      </c>
      <c r="AE3821" t="str">
        <f>VLOOKUP(Table_Query_from_Actuarial___Production3[[#This Row],[Kor1]],$AI$3:$AK$105,3,FALSE)</f>
        <v>ALAE Paid</v>
      </c>
      <c r="AF3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2" spans="18:32" x14ac:dyDescent="0.2">
      <c r="R3822" t="s">
        <v>39</v>
      </c>
      <c r="S3822" t="s">
        <v>254</v>
      </c>
      <c r="T3822" t="s">
        <v>441</v>
      </c>
      <c r="U3822" s="21">
        <v>320.68</v>
      </c>
      <c r="V3822" s="21" t="s">
        <v>368</v>
      </c>
      <c r="W3822" t="str">
        <f>VLOOKUP(Table_Query_from_Actuarial___Production[[#This Row],[Kor1]],$AI$3:$AK$105,3,FALSE)</f>
        <v>Misc. Income for Insolvent Companies</v>
      </c>
      <c r="X3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2"/>
      <c r="Z3822" t="s">
        <v>14</v>
      </c>
      <c r="AA3822" t="s">
        <v>248</v>
      </c>
      <c r="AB3822" t="s">
        <v>433</v>
      </c>
      <c r="AC3822" s="21">
        <v>44969.37</v>
      </c>
      <c r="AD3822" s="21" t="s">
        <v>368</v>
      </c>
      <c r="AE3822" t="str">
        <f>VLOOKUP(Table_Query_from_Actuarial___Production3[[#This Row],[Kor1]],$AI$3:$AK$105,3,FALSE)</f>
        <v>Claims Expense</v>
      </c>
      <c r="AF3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3" spans="18:32" x14ac:dyDescent="0.2">
      <c r="R3823" t="s">
        <v>13</v>
      </c>
      <c r="S3823" t="s">
        <v>256</v>
      </c>
      <c r="T3823" t="s">
        <v>443</v>
      </c>
      <c r="U3823" s="21">
        <v>5406.26</v>
      </c>
      <c r="V3823" s="21" t="s">
        <v>368</v>
      </c>
      <c r="W3823" t="str">
        <f>VLOOKUP(Table_Query_from_Actuarial___Production[[#This Row],[Kor1]],$AI$3:$AK$105,3,FALSE)</f>
        <v>Operating Service Fees</v>
      </c>
      <c r="X3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3"/>
      <c r="Z3823" t="s">
        <v>12</v>
      </c>
      <c r="AA3823" t="s">
        <v>239</v>
      </c>
      <c r="AB3823" t="s">
        <v>8</v>
      </c>
      <c r="AC3823" s="21">
        <v>5468.94</v>
      </c>
      <c r="AD3823" s="21" t="s">
        <v>368</v>
      </c>
      <c r="AE3823" t="str">
        <f>VLOOKUP(Table_Query_from_Actuarial___Production3[[#This Row],[Kor1]],$AI$3:$AK$105,3,FALSE)</f>
        <v>Premium Tax</v>
      </c>
      <c r="AF3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4" spans="18:32" x14ac:dyDescent="0.2">
      <c r="R3824" t="s">
        <v>49</v>
      </c>
      <c r="S3824" t="s">
        <v>246</v>
      </c>
      <c r="T3824" t="s">
        <v>356</v>
      </c>
      <c r="U3824" s="21">
        <v>190637.45</v>
      </c>
      <c r="V3824" s="21" t="s">
        <v>368</v>
      </c>
      <c r="W3824" t="str">
        <f>VLOOKUP(Table_Query_from_Actuarial___Production[[#This Row],[Kor1]],$AI$3:$AK$105,3,FALSE)</f>
        <v>ALAE Paid</v>
      </c>
      <c r="X3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4"/>
      <c r="Z3824" t="s">
        <v>14</v>
      </c>
      <c r="AA3824" t="s">
        <v>237</v>
      </c>
      <c r="AB3824" t="s">
        <v>5</v>
      </c>
      <c r="AC3824" s="21">
        <v>149526.5</v>
      </c>
      <c r="AD3824" s="21" t="s">
        <v>368</v>
      </c>
      <c r="AE3824" t="str">
        <f>VLOOKUP(Table_Query_from_Actuarial___Production3[[#This Row],[Kor1]],$AI$3:$AK$105,3,FALSE)</f>
        <v>Claims Expense</v>
      </c>
      <c r="AF3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5" spans="18:32" x14ac:dyDescent="0.2">
      <c r="R3825" t="s">
        <v>18</v>
      </c>
      <c r="S3825" t="s">
        <v>226</v>
      </c>
      <c r="T3825" t="s">
        <v>6</v>
      </c>
      <c r="U3825" s="21">
        <v>978938.13</v>
      </c>
      <c r="V3825" s="21" t="s">
        <v>368</v>
      </c>
      <c r="W3825" t="str">
        <f>VLOOKUP(Table_Query_from_Actuarial___Production[[#This Row],[Kor1]],$AI$3:$AK$105,3,FALSE)</f>
        <v>Misc. Expense</v>
      </c>
      <c r="X3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825"/>
      <c r="Z3825" t="s">
        <v>17</v>
      </c>
      <c r="AA3825" t="s">
        <v>253</v>
      </c>
      <c r="AB3825" t="s">
        <v>433</v>
      </c>
      <c r="AC3825" s="21">
        <v>3977.09</v>
      </c>
      <c r="AD3825" s="21" t="s">
        <v>368</v>
      </c>
      <c r="AE3825" t="str">
        <f>VLOOKUP(Table_Query_from_Actuarial___Production3[[#This Row],[Kor1]],$AI$3:$AK$105,3,FALSE)</f>
        <v>IBNR</v>
      </c>
      <c r="AF3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6" spans="18:32" x14ac:dyDescent="0.2">
      <c r="R3826" t="s">
        <v>13</v>
      </c>
      <c r="S3826" t="s">
        <v>258</v>
      </c>
      <c r="T3826" t="s">
        <v>427</v>
      </c>
      <c r="U3826" s="21">
        <v>668751.31000000006</v>
      </c>
      <c r="V3826" s="21" t="s">
        <v>368</v>
      </c>
      <c r="W3826" t="str">
        <f>VLOOKUP(Table_Query_from_Actuarial___Production[[#This Row],[Kor1]],$AI$3:$AK$105,3,FALSE)</f>
        <v>Operating Service Fees</v>
      </c>
      <c r="X3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6"/>
      <c r="Z3826" t="s">
        <v>132</v>
      </c>
      <c r="AA3826" t="s">
        <v>354</v>
      </c>
      <c r="AB3826" t="s">
        <v>5</v>
      </c>
      <c r="AC3826" s="21">
        <v>120672920.36</v>
      </c>
      <c r="AD3826" s="21" t="s">
        <v>369</v>
      </c>
      <c r="AE3826" t="str">
        <f>VLOOKUP(Table_Query_from_Actuarial___Production3[[#This Row],[Kor1]],$AI$3:$AK$105,3,FALSE)</f>
        <v>Clean Risk Subsidy</v>
      </c>
      <c r="AF3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827" spans="18:32" x14ac:dyDescent="0.2">
      <c r="R3827" t="s">
        <v>20</v>
      </c>
      <c r="S3827" t="s">
        <v>263</v>
      </c>
      <c r="T3827" t="s">
        <v>7</v>
      </c>
      <c r="U3827" s="21">
        <v>764.03</v>
      </c>
      <c r="V3827" s="21" t="s">
        <v>368</v>
      </c>
      <c r="W3827" t="str">
        <f>VLOOKUP(Table_Query_from_Actuarial___Production[[#This Row],[Kor1]],$AI$3:$AK$105,3,FALSE)</f>
        <v>Misc. Expense</v>
      </c>
      <c r="X3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7"/>
      <c r="Z3827" t="s">
        <v>19</v>
      </c>
      <c r="AA3827" t="s">
        <v>251</v>
      </c>
      <c r="AB3827" t="s">
        <v>7</v>
      </c>
      <c r="AC3827" s="21">
        <v>95</v>
      </c>
      <c r="AD3827" s="21" t="s">
        <v>368</v>
      </c>
      <c r="AE3827" t="str">
        <f>VLOOKUP(Table_Query_from_Actuarial___Production3[[#This Row],[Kor1]],$AI$3:$AK$105,3,FALSE)</f>
        <v>Misc. Expense for Insolvent Companies</v>
      </c>
      <c r="AF3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8" spans="18:32" x14ac:dyDescent="0.2">
      <c r="R3828" t="s">
        <v>37</v>
      </c>
      <c r="S3828" t="s">
        <v>242</v>
      </c>
      <c r="T3828" t="s">
        <v>427</v>
      </c>
      <c r="U3828" s="21">
        <v>27.65</v>
      </c>
      <c r="V3828" s="21" t="s">
        <v>368</v>
      </c>
      <c r="W3828" t="str">
        <f>VLOOKUP(Table_Query_from_Actuarial___Production[[#This Row],[Kor1]],$AI$3:$AK$105,3,FALSE)</f>
        <v>Misc. Expense</v>
      </c>
      <c r="X3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8"/>
      <c r="Z3828" t="s">
        <v>12</v>
      </c>
      <c r="AA3828" t="s">
        <v>230</v>
      </c>
      <c r="AB3828" t="s">
        <v>433</v>
      </c>
      <c r="AC3828" s="21">
        <v>503239.49</v>
      </c>
      <c r="AD3828" s="21" t="s">
        <v>368</v>
      </c>
      <c r="AE3828" t="str">
        <f>VLOOKUP(Table_Query_from_Actuarial___Production3[[#This Row],[Kor1]],$AI$3:$AK$105,3,FALSE)</f>
        <v>Premium Tax</v>
      </c>
      <c r="AF3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29" spans="18:32" x14ac:dyDescent="0.2">
      <c r="R3829" t="s">
        <v>77</v>
      </c>
      <c r="S3829" t="s">
        <v>242</v>
      </c>
      <c r="T3829" t="s">
        <v>443</v>
      </c>
      <c r="U3829" s="21">
        <v>136915</v>
      </c>
      <c r="V3829" s="21" t="s">
        <v>368</v>
      </c>
      <c r="W3829" t="str">
        <f>VLOOKUP(Table_Query_from_Actuarial___Production[[#This Row],[Kor1]],$AI$3:$AK$105,3,FALSE)</f>
        <v>PDR</v>
      </c>
      <c r="X3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29"/>
      <c r="Z3829" t="s">
        <v>44</v>
      </c>
      <c r="AA3829" t="s">
        <v>247</v>
      </c>
      <c r="AB3829" t="s">
        <v>427</v>
      </c>
      <c r="AC3829" s="21">
        <v>-1</v>
      </c>
      <c r="AD3829" s="21" t="s">
        <v>368</v>
      </c>
      <c r="AE3829" t="str">
        <f>VLOOKUP(Table_Query_from_Actuarial___Production3[[#This Row],[Kor1]],$AI$3:$AK$105,3,FALSE)</f>
        <v>Charge-offs</v>
      </c>
      <c r="AF3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0" spans="18:32" x14ac:dyDescent="0.2">
      <c r="R3830" t="s">
        <v>48</v>
      </c>
      <c r="S3830" t="s">
        <v>258</v>
      </c>
      <c r="T3830" t="s">
        <v>442</v>
      </c>
      <c r="U3830" s="21">
        <v>8407.1200000000008</v>
      </c>
      <c r="V3830" s="21" t="s">
        <v>368</v>
      </c>
      <c r="W3830" t="str">
        <f>VLOOKUP(Table_Query_from_Actuarial___Production[[#This Row],[Kor1]],$AI$3:$AK$105,3,FALSE)</f>
        <v>Anticipated Salvage</v>
      </c>
      <c r="X3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0"/>
      <c r="Z3830" t="s">
        <v>31</v>
      </c>
      <c r="AA3830" t="s">
        <v>234</v>
      </c>
      <c r="AB3830" t="s">
        <v>442</v>
      </c>
      <c r="AC3830" s="21">
        <v>1034.79</v>
      </c>
      <c r="AD3830" s="21" t="s">
        <v>368</v>
      </c>
      <c r="AE3830" t="str">
        <f>VLOOKUP(Table_Query_from_Actuarial___Production3[[#This Row],[Kor1]],$AI$3:$AK$105,3,FALSE)</f>
        <v>Misc. Expense</v>
      </c>
      <c r="AF3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1" spans="18:32" x14ac:dyDescent="0.2">
      <c r="R3831" t="s">
        <v>17</v>
      </c>
      <c r="S3831" t="s">
        <v>225</v>
      </c>
      <c r="T3831" t="s">
        <v>442</v>
      </c>
      <c r="U3831" s="21">
        <v>106546.62</v>
      </c>
      <c r="V3831" s="21" t="s">
        <v>369</v>
      </c>
      <c r="W3831" t="str">
        <f>VLOOKUP(Table_Query_from_Actuarial___Production[[#This Row],[Kor1]],$AI$3:$AK$105,3,FALSE)</f>
        <v>IBNR</v>
      </c>
      <c r="X3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3831"/>
      <c r="Z3831" t="s">
        <v>33</v>
      </c>
      <c r="AA3831" t="s">
        <v>252</v>
      </c>
      <c r="AB3831" t="s">
        <v>433</v>
      </c>
      <c r="AC3831" s="21">
        <v>23617.19</v>
      </c>
      <c r="AD3831" s="21" t="s">
        <v>368</v>
      </c>
      <c r="AE3831" t="str">
        <f>VLOOKUP(Table_Query_from_Actuarial___Production3[[#This Row],[Kor1]],$AI$3:$AK$105,3,FALSE)</f>
        <v>Misc. Expense</v>
      </c>
      <c r="AF3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2" spans="18:32" x14ac:dyDescent="0.2">
      <c r="R3832" t="s">
        <v>13</v>
      </c>
      <c r="S3832" t="s">
        <v>265</v>
      </c>
      <c r="T3832" t="s">
        <v>443</v>
      </c>
      <c r="U3832" s="21">
        <v>132978.60999999999</v>
      </c>
      <c r="V3832" s="21" t="s">
        <v>368</v>
      </c>
      <c r="W3832" t="str">
        <f>VLOOKUP(Table_Query_from_Actuarial___Production[[#This Row],[Kor1]],$AI$3:$AK$105,3,FALSE)</f>
        <v>Operating Service Fees</v>
      </c>
      <c r="X3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2"/>
      <c r="Z3832" t="s">
        <v>40</v>
      </c>
      <c r="AA3832" t="s">
        <v>261</v>
      </c>
      <c r="AB3832" t="s">
        <v>356</v>
      </c>
      <c r="AC3832" s="21">
        <v>353</v>
      </c>
      <c r="AD3832" s="21" t="s">
        <v>368</v>
      </c>
      <c r="AE3832" t="str">
        <f>VLOOKUP(Table_Query_from_Actuarial___Production3[[#This Row],[Kor1]],$AI$3:$AK$105,3,FALSE)</f>
        <v>Misc. Income</v>
      </c>
      <c r="AF3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3" spans="18:32" x14ac:dyDescent="0.2">
      <c r="R3833" t="s">
        <v>40</v>
      </c>
      <c r="S3833" t="s">
        <v>243</v>
      </c>
      <c r="T3833" t="s">
        <v>7</v>
      </c>
      <c r="U3833" s="21">
        <v>1</v>
      </c>
      <c r="V3833" s="21" t="s">
        <v>368</v>
      </c>
      <c r="W3833" t="str">
        <f>VLOOKUP(Table_Query_from_Actuarial___Production[[#This Row],[Kor1]],$AI$3:$AK$105,3,FALSE)</f>
        <v>Misc. Income</v>
      </c>
      <c r="X3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3"/>
      <c r="Z3833" t="s">
        <v>31</v>
      </c>
      <c r="AA3833" t="s">
        <v>229</v>
      </c>
      <c r="AB3833" t="s">
        <v>442</v>
      </c>
      <c r="AC3833" s="21">
        <v>968.63</v>
      </c>
      <c r="AD3833" s="21" t="s">
        <v>368</v>
      </c>
      <c r="AE3833" t="str">
        <f>VLOOKUP(Table_Query_from_Actuarial___Production3[[#This Row],[Kor1]],$AI$3:$AK$105,3,FALSE)</f>
        <v>Misc. Expense</v>
      </c>
      <c r="AF3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4" spans="18:32" x14ac:dyDescent="0.2">
      <c r="R3834" t="s">
        <v>40</v>
      </c>
      <c r="S3834" t="s">
        <v>251</v>
      </c>
      <c r="T3834" t="s">
        <v>351</v>
      </c>
      <c r="U3834" s="21">
        <v>152</v>
      </c>
      <c r="V3834" s="21" t="s">
        <v>368</v>
      </c>
      <c r="W3834" t="str">
        <f>VLOOKUP(Table_Query_from_Actuarial___Production[[#This Row],[Kor1]],$AI$3:$AK$105,3,FALSE)</f>
        <v>Misc. Income</v>
      </c>
      <c r="X3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4"/>
      <c r="Z3834" t="s">
        <v>31</v>
      </c>
      <c r="AA3834" t="s">
        <v>257</v>
      </c>
      <c r="AB3834" t="s">
        <v>433</v>
      </c>
      <c r="AC3834" s="21">
        <v>811.9</v>
      </c>
      <c r="AD3834" s="21" t="s">
        <v>368</v>
      </c>
      <c r="AE3834" t="str">
        <f>VLOOKUP(Table_Query_from_Actuarial___Production3[[#This Row],[Kor1]],$AI$3:$AK$105,3,FALSE)</f>
        <v>Misc. Expense</v>
      </c>
      <c r="AF3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5" spans="18:32" x14ac:dyDescent="0.2">
      <c r="R3835" t="s">
        <v>17</v>
      </c>
      <c r="S3835" t="s">
        <v>251</v>
      </c>
      <c r="T3835" t="s">
        <v>443</v>
      </c>
      <c r="U3835" s="21">
        <v>115905.64</v>
      </c>
      <c r="V3835" s="21" t="s">
        <v>368</v>
      </c>
      <c r="W3835" t="str">
        <f>VLOOKUP(Table_Query_from_Actuarial___Production[[#This Row],[Kor1]],$AI$3:$AK$105,3,FALSE)</f>
        <v>IBNR</v>
      </c>
      <c r="X3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5"/>
      <c r="Z3835" t="s">
        <v>48</v>
      </c>
      <c r="AA3835" t="s">
        <v>257</v>
      </c>
      <c r="AB3835" t="s">
        <v>356</v>
      </c>
      <c r="AC3835" s="21">
        <v>282</v>
      </c>
      <c r="AD3835" s="21" t="s">
        <v>368</v>
      </c>
      <c r="AE3835" t="str">
        <f>VLOOKUP(Table_Query_from_Actuarial___Production3[[#This Row],[Kor1]],$AI$3:$AK$105,3,FALSE)</f>
        <v>Anticipated Salvage</v>
      </c>
      <c r="AF3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6" spans="18:32" x14ac:dyDescent="0.2">
      <c r="R3836" t="s">
        <v>13</v>
      </c>
      <c r="S3836" t="s">
        <v>241</v>
      </c>
      <c r="T3836" t="s">
        <v>445</v>
      </c>
      <c r="U3836" s="21">
        <v>42095.65</v>
      </c>
      <c r="V3836" s="21" t="s">
        <v>368</v>
      </c>
      <c r="W3836" t="str">
        <f>VLOOKUP(Table_Query_from_Actuarial___Production[[#This Row],[Kor1]],$AI$3:$AK$105,3,FALSE)</f>
        <v>Operating Service Fees</v>
      </c>
      <c r="X3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6"/>
      <c r="Z3836" t="s">
        <v>43</v>
      </c>
      <c r="AA3836" t="s">
        <v>243</v>
      </c>
      <c r="AB3836" t="s">
        <v>5</v>
      </c>
      <c r="AC3836" s="21">
        <v>6.79</v>
      </c>
      <c r="AD3836" s="21" t="s">
        <v>368</v>
      </c>
      <c r="AE3836" t="str">
        <f>VLOOKUP(Table_Query_from_Actuarial___Production3[[#This Row],[Kor1]],$AI$3:$AK$105,3,FALSE)</f>
        <v>Charge-offs</v>
      </c>
      <c r="AF3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7" spans="18:32" x14ac:dyDescent="0.2">
      <c r="R3837" t="s">
        <v>37</v>
      </c>
      <c r="S3837" t="s">
        <v>231</v>
      </c>
      <c r="T3837" t="s">
        <v>443</v>
      </c>
      <c r="U3837" s="21">
        <v>3722.64</v>
      </c>
      <c r="V3837" s="21" t="s">
        <v>368</v>
      </c>
      <c r="W3837" t="str">
        <f>VLOOKUP(Table_Query_from_Actuarial___Production[[#This Row],[Kor1]],$AI$3:$AK$105,3,FALSE)</f>
        <v>Misc. Expense</v>
      </c>
      <c r="X3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7"/>
      <c r="Z3837" t="s">
        <v>44</v>
      </c>
      <c r="AA3837" t="s">
        <v>243</v>
      </c>
      <c r="AB3837" t="s">
        <v>7</v>
      </c>
      <c r="AC3837" s="21">
        <v>468.11</v>
      </c>
      <c r="AD3837" s="21" t="s">
        <v>368</v>
      </c>
      <c r="AE3837" t="str">
        <f>VLOOKUP(Table_Query_from_Actuarial___Production3[[#This Row],[Kor1]],$AI$3:$AK$105,3,FALSE)</f>
        <v>Charge-offs</v>
      </c>
      <c r="AF3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8" spans="18:32" x14ac:dyDescent="0.2">
      <c r="R3838" t="s">
        <v>12</v>
      </c>
      <c r="S3838" t="s">
        <v>265</v>
      </c>
      <c r="T3838" t="s">
        <v>7</v>
      </c>
      <c r="U3838" s="21">
        <v>7123.62</v>
      </c>
      <c r="V3838" s="21" t="s">
        <v>368</v>
      </c>
      <c r="W3838" t="str">
        <f>VLOOKUP(Table_Query_from_Actuarial___Production[[#This Row],[Kor1]],$AI$3:$AK$105,3,FALSE)</f>
        <v>Premium Tax</v>
      </c>
      <c r="X3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8"/>
      <c r="Z3838" t="s">
        <v>10</v>
      </c>
      <c r="AA3838" t="s">
        <v>240</v>
      </c>
      <c r="AB3838" t="s">
        <v>443</v>
      </c>
      <c r="AC3838" s="21">
        <v>66446.55</v>
      </c>
      <c r="AD3838" s="21" t="s">
        <v>368</v>
      </c>
      <c r="AE3838" t="str">
        <f>VLOOKUP(Table_Query_from_Actuarial___Production3[[#This Row],[Kor1]],$AI$3:$AK$105,3,FALSE)</f>
        <v>Commissions</v>
      </c>
      <c r="AF3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39" spans="18:32" x14ac:dyDescent="0.2">
      <c r="R3839" t="s">
        <v>40</v>
      </c>
      <c r="S3839" t="s">
        <v>241</v>
      </c>
      <c r="T3839" t="s">
        <v>9</v>
      </c>
      <c r="U3839" s="21">
        <v>564.01</v>
      </c>
      <c r="V3839" s="21" t="s">
        <v>368</v>
      </c>
      <c r="W3839" t="str">
        <f>VLOOKUP(Table_Query_from_Actuarial___Production[[#This Row],[Kor1]],$AI$3:$AK$105,3,FALSE)</f>
        <v>Misc. Income</v>
      </c>
      <c r="X3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39"/>
      <c r="Z3839" t="s">
        <v>34</v>
      </c>
      <c r="AA3839" t="s">
        <v>235</v>
      </c>
      <c r="AB3839" t="s">
        <v>356</v>
      </c>
      <c r="AC3839" s="21">
        <v>1106.77</v>
      </c>
      <c r="AD3839" s="21" t="s">
        <v>368</v>
      </c>
      <c r="AE3839" t="str">
        <f>VLOOKUP(Table_Query_from_Actuarial___Production3[[#This Row],[Kor1]],$AI$3:$AK$105,3,FALSE)</f>
        <v>Misc. Expense</v>
      </c>
      <c r="AF3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0" spans="18:32" x14ac:dyDescent="0.2">
      <c r="R3840" t="s">
        <v>11</v>
      </c>
      <c r="S3840" t="s">
        <v>266</v>
      </c>
      <c r="T3840" t="s">
        <v>9</v>
      </c>
      <c r="U3840" s="21">
        <v>114212.39</v>
      </c>
      <c r="V3840" s="21" t="s">
        <v>368</v>
      </c>
      <c r="W3840" t="str">
        <f>VLOOKUP(Table_Query_from_Actuarial___Production[[#This Row],[Kor1]],$AI$3:$AK$105,3,FALSE)</f>
        <v>Losses Paid</v>
      </c>
      <c r="X3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0"/>
      <c r="Z3840" t="s">
        <v>43</v>
      </c>
      <c r="AA3840" t="s">
        <v>247</v>
      </c>
      <c r="AB3840" t="s">
        <v>427</v>
      </c>
      <c r="AC3840" s="21">
        <v>0.02</v>
      </c>
      <c r="AD3840" s="21" t="s">
        <v>368</v>
      </c>
      <c r="AE3840" t="str">
        <f>VLOOKUP(Table_Query_from_Actuarial___Production3[[#This Row],[Kor1]],$AI$3:$AK$105,3,FALSE)</f>
        <v>Charge-offs</v>
      </c>
      <c r="AF3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1" spans="18:32" x14ac:dyDescent="0.2">
      <c r="R3841" t="s">
        <v>33</v>
      </c>
      <c r="S3841" t="s">
        <v>265</v>
      </c>
      <c r="T3841" t="s">
        <v>442</v>
      </c>
      <c r="U3841" s="21">
        <v>20361.23</v>
      </c>
      <c r="V3841" s="21" t="s">
        <v>368</v>
      </c>
      <c r="W3841" t="str">
        <f>VLOOKUP(Table_Query_from_Actuarial___Production[[#This Row],[Kor1]],$AI$3:$AK$105,3,FALSE)</f>
        <v>Misc. Expense</v>
      </c>
      <c r="X3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1"/>
      <c r="Z3841" t="s">
        <v>11</v>
      </c>
      <c r="AA3841" t="s">
        <v>264</v>
      </c>
      <c r="AB3841" t="s">
        <v>441</v>
      </c>
      <c r="AC3841" s="21">
        <v>2209813.2799999998</v>
      </c>
      <c r="AD3841" s="21" t="s">
        <v>368</v>
      </c>
      <c r="AE3841" t="str">
        <f>VLOOKUP(Table_Query_from_Actuarial___Production3[[#This Row],[Kor1]],$AI$3:$AK$105,3,FALSE)</f>
        <v>Losses Paid</v>
      </c>
      <c r="AF3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2" spans="18:32" x14ac:dyDescent="0.2">
      <c r="R3842" t="s">
        <v>43</v>
      </c>
      <c r="S3842" t="s">
        <v>243</v>
      </c>
      <c r="T3842" t="s">
        <v>441</v>
      </c>
      <c r="U3842" s="21">
        <v>270.11</v>
      </c>
      <c r="V3842" s="21" t="s">
        <v>368</v>
      </c>
      <c r="W3842" t="str">
        <f>VLOOKUP(Table_Query_from_Actuarial___Production[[#This Row],[Kor1]],$AI$3:$AK$105,3,FALSE)</f>
        <v>Charge-offs</v>
      </c>
      <c r="X3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2"/>
      <c r="Z3842" t="s">
        <v>17</v>
      </c>
      <c r="AA3842" t="s">
        <v>240</v>
      </c>
      <c r="AB3842" t="s">
        <v>443</v>
      </c>
      <c r="AC3842" s="21">
        <v>140381.29</v>
      </c>
      <c r="AD3842" s="21" t="s">
        <v>368</v>
      </c>
      <c r="AE3842" t="str">
        <f>VLOOKUP(Table_Query_from_Actuarial___Production3[[#This Row],[Kor1]],$AI$3:$AK$105,3,FALSE)</f>
        <v>IBNR</v>
      </c>
      <c r="AF3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3" spans="18:32" x14ac:dyDescent="0.2">
      <c r="R3843" t="s">
        <v>12</v>
      </c>
      <c r="S3843" t="s">
        <v>235</v>
      </c>
      <c r="T3843" t="s">
        <v>445</v>
      </c>
      <c r="U3843" s="21">
        <v>5079.57</v>
      </c>
      <c r="V3843" s="21" t="s">
        <v>368</v>
      </c>
      <c r="W3843" t="str">
        <f>VLOOKUP(Table_Query_from_Actuarial___Production[[#This Row],[Kor1]],$AI$3:$AK$105,3,FALSE)</f>
        <v>Premium Tax</v>
      </c>
      <c r="X3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3"/>
      <c r="Z3843" t="s">
        <v>18</v>
      </c>
      <c r="AA3843" t="s">
        <v>352</v>
      </c>
      <c r="AB3843" t="s">
        <v>5</v>
      </c>
      <c r="AC3843" s="21">
        <v>183318.09</v>
      </c>
      <c r="AD3843" s="21" t="s">
        <v>369</v>
      </c>
      <c r="AE3843" t="str">
        <f>VLOOKUP(Table_Query_from_Actuarial___Production3[[#This Row],[Kor1]],$AI$3:$AK$105,3,FALSE)</f>
        <v>Misc. Expense</v>
      </c>
      <c r="AF3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844" spans="18:32" x14ac:dyDescent="0.2">
      <c r="R3844" t="s">
        <v>16</v>
      </c>
      <c r="S3844" t="s">
        <v>252</v>
      </c>
      <c r="T3844" t="s">
        <v>433</v>
      </c>
      <c r="U3844" s="21">
        <v>8599818.8399999999</v>
      </c>
      <c r="V3844" s="21" t="s">
        <v>368</v>
      </c>
      <c r="W3844" t="str">
        <f>VLOOKUP(Table_Query_from_Actuarial___Production[[#This Row],[Kor1]],$AI$3:$AK$105,3,FALSE)</f>
        <v>Losses Outstanding</v>
      </c>
      <c r="X3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4"/>
      <c r="Z3844" t="s">
        <v>37</v>
      </c>
      <c r="AA3844" t="s">
        <v>231</v>
      </c>
      <c r="AB3844" t="s">
        <v>427</v>
      </c>
      <c r="AC3844" s="21">
        <v>91.68</v>
      </c>
      <c r="AD3844" s="21" t="s">
        <v>368</v>
      </c>
      <c r="AE3844" t="str">
        <f>VLOOKUP(Table_Query_from_Actuarial___Production3[[#This Row],[Kor1]],$AI$3:$AK$105,3,FALSE)</f>
        <v>Misc. Expense</v>
      </c>
      <c r="AF3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5" spans="18:32" x14ac:dyDescent="0.2">
      <c r="R3845" t="s">
        <v>49</v>
      </c>
      <c r="S3845" t="s">
        <v>249</v>
      </c>
      <c r="T3845" t="s">
        <v>356</v>
      </c>
      <c r="U3845" s="21">
        <v>42704.05</v>
      </c>
      <c r="V3845" s="21" t="s">
        <v>368</v>
      </c>
      <c r="W3845" t="str">
        <f>VLOOKUP(Table_Query_from_Actuarial___Production[[#This Row],[Kor1]],$AI$3:$AK$105,3,FALSE)</f>
        <v>ALAE Paid</v>
      </c>
      <c r="X3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5"/>
      <c r="Z3845" t="s">
        <v>13</v>
      </c>
      <c r="AA3845" t="s">
        <v>241</v>
      </c>
      <c r="AB3845" t="s">
        <v>6</v>
      </c>
      <c r="AC3845" s="21">
        <v>66148.75</v>
      </c>
      <c r="AD3845" s="21" t="s">
        <v>368</v>
      </c>
      <c r="AE3845" t="str">
        <f>VLOOKUP(Table_Query_from_Actuarial___Production3[[#This Row],[Kor1]],$AI$3:$AK$105,3,FALSE)</f>
        <v>Operating Service Fees</v>
      </c>
      <c r="AF3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6" spans="18:32" x14ac:dyDescent="0.2">
      <c r="R3846" t="s">
        <v>439</v>
      </c>
      <c r="S3846" t="s">
        <v>251</v>
      </c>
      <c r="T3846" t="s">
        <v>443</v>
      </c>
      <c r="U3846" s="21">
        <v>-17948.3</v>
      </c>
      <c r="V3846" s="21" t="s">
        <v>368</v>
      </c>
      <c r="W3846" t="str">
        <f>VLOOKUP(Table_Query_from_Actuarial___Production[[#This Row],[Kor1]],$AI$3:$AK$105,3,FALSE)</f>
        <v>Operating Service Fees</v>
      </c>
      <c r="X3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6"/>
      <c r="Z3846" t="s">
        <v>19</v>
      </c>
      <c r="AA3846" t="s">
        <v>264</v>
      </c>
      <c r="AB3846" t="s">
        <v>433</v>
      </c>
      <c r="AC3846" s="21">
        <v>24298.99</v>
      </c>
      <c r="AD3846" s="21" t="s">
        <v>368</v>
      </c>
      <c r="AE3846" t="str">
        <f>VLOOKUP(Table_Query_from_Actuarial___Production3[[#This Row],[Kor1]],$AI$3:$AK$105,3,FALSE)</f>
        <v>Misc. Expense for Insolvent Companies</v>
      </c>
      <c r="AF3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7" spans="18:32" x14ac:dyDescent="0.2">
      <c r="R3847" t="s">
        <v>10</v>
      </c>
      <c r="S3847" t="s">
        <v>240</v>
      </c>
      <c r="T3847" t="s">
        <v>427</v>
      </c>
      <c r="U3847" s="21">
        <v>278572.37</v>
      </c>
      <c r="V3847" s="21" t="s">
        <v>368</v>
      </c>
      <c r="W3847" t="str">
        <f>VLOOKUP(Table_Query_from_Actuarial___Production[[#This Row],[Kor1]],$AI$3:$AK$105,3,FALSE)</f>
        <v>Commissions</v>
      </c>
      <c r="X3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7"/>
      <c r="Z3847" t="s">
        <v>21</v>
      </c>
      <c r="AA3847" t="s">
        <v>262</v>
      </c>
      <c r="AB3847" t="s">
        <v>351</v>
      </c>
      <c r="AC3847" s="21">
        <v>3058.51</v>
      </c>
      <c r="AD3847" s="21" t="s">
        <v>368</v>
      </c>
      <c r="AE3847" t="str">
        <f>VLOOKUP(Table_Query_from_Actuarial___Production3[[#This Row],[Kor1]],$AI$3:$AK$105,3,FALSE)</f>
        <v>Misc. Expense</v>
      </c>
      <c r="AF3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8" spans="18:32" x14ac:dyDescent="0.2">
      <c r="R3848" t="s">
        <v>34</v>
      </c>
      <c r="S3848" t="s">
        <v>238</v>
      </c>
      <c r="T3848" t="s">
        <v>443</v>
      </c>
      <c r="U3848" s="21">
        <v>2004.72</v>
      </c>
      <c r="V3848" s="21" t="s">
        <v>368</v>
      </c>
      <c r="W3848" t="str">
        <f>VLOOKUP(Table_Query_from_Actuarial___Production[[#This Row],[Kor1]],$AI$3:$AK$105,3,FALSE)</f>
        <v>Misc. Expense</v>
      </c>
      <c r="X3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8"/>
      <c r="Z3848" t="s">
        <v>40</v>
      </c>
      <c r="AA3848" t="s">
        <v>266</v>
      </c>
      <c r="AB3848" t="s">
        <v>351</v>
      </c>
      <c r="AC3848" s="21">
        <v>-31</v>
      </c>
      <c r="AD3848" s="21" t="s">
        <v>368</v>
      </c>
      <c r="AE3848" t="str">
        <f>VLOOKUP(Table_Query_from_Actuarial___Production3[[#This Row],[Kor1]],$AI$3:$AK$105,3,FALSE)</f>
        <v>Misc. Income</v>
      </c>
      <c r="AF3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49" spans="18:32" x14ac:dyDescent="0.2">
      <c r="R3849" t="s">
        <v>39</v>
      </c>
      <c r="S3849" t="s">
        <v>237</v>
      </c>
      <c r="T3849" t="s">
        <v>7</v>
      </c>
      <c r="U3849" s="21">
        <v>14698.98</v>
      </c>
      <c r="V3849" s="21" t="s">
        <v>368</v>
      </c>
      <c r="W3849" t="str">
        <f>VLOOKUP(Table_Query_from_Actuarial___Production[[#This Row],[Kor1]],$AI$3:$AK$105,3,FALSE)</f>
        <v>Misc. Income for Insolvent Companies</v>
      </c>
      <c r="X3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49"/>
      <c r="Z3849" t="s">
        <v>48</v>
      </c>
      <c r="AA3849" t="s">
        <v>240</v>
      </c>
      <c r="AB3849" t="s">
        <v>443</v>
      </c>
      <c r="AC3849" s="21">
        <v>2192.91</v>
      </c>
      <c r="AD3849" s="21" t="s">
        <v>368</v>
      </c>
      <c r="AE3849" t="str">
        <f>VLOOKUP(Table_Query_from_Actuarial___Production3[[#This Row],[Kor1]],$AI$3:$AK$105,3,FALSE)</f>
        <v>Anticipated Salvage</v>
      </c>
      <c r="AF3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0" spans="18:32" x14ac:dyDescent="0.2">
      <c r="R3850" t="s">
        <v>47</v>
      </c>
      <c r="S3850" t="s">
        <v>228</v>
      </c>
      <c r="T3850" t="s">
        <v>445</v>
      </c>
      <c r="U3850" s="21">
        <v>14171.76</v>
      </c>
      <c r="V3850" s="21" t="s">
        <v>368</v>
      </c>
      <c r="W3850" t="str">
        <f>VLOOKUP(Table_Query_from_Actuarial___Production[[#This Row],[Kor1]],$AI$3:$AK$105,3,FALSE)</f>
        <v>Investment Income</v>
      </c>
      <c r="X3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0"/>
      <c r="Z3850" t="s">
        <v>40</v>
      </c>
      <c r="AA3850" t="s">
        <v>246</v>
      </c>
      <c r="AB3850" t="s">
        <v>7</v>
      </c>
      <c r="AC3850" s="21">
        <v>6231.17</v>
      </c>
      <c r="AD3850" s="21" t="s">
        <v>368</v>
      </c>
      <c r="AE3850" t="str">
        <f>VLOOKUP(Table_Query_from_Actuarial___Production3[[#This Row],[Kor1]],$AI$3:$AK$105,3,FALSE)</f>
        <v>Misc. Income</v>
      </c>
      <c r="AF3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1" spans="18:32" x14ac:dyDescent="0.2">
      <c r="R3851" t="s">
        <v>12</v>
      </c>
      <c r="S3851" t="s">
        <v>246</v>
      </c>
      <c r="T3851" t="s">
        <v>433</v>
      </c>
      <c r="U3851" s="21">
        <v>75980.92</v>
      </c>
      <c r="V3851" s="21" t="s">
        <v>368</v>
      </c>
      <c r="W3851" t="str">
        <f>VLOOKUP(Table_Query_from_Actuarial___Production[[#This Row],[Kor1]],$AI$3:$AK$105,3,FALSE)</f>
        <v>Premium Tax</v>
      </c>
      <c r="X3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1"/>
      <c r="Z3851" t="s">
        <v>34</v>
      </c>
      <c r="AA3851" t="s">
        <v>259</v>
      </c>
      <c r="AB3851" t="s">
        <v>5</v>
      </c>
      <c r="AC3851" s="21">
        <v>9.15</v>
      </c>
      <c r="AD3851" s="21" t="s">
        <v>368</v>
      </c>
      <c r="AE3851" t="str">
        <f>VLOOKUP(Table_Query_from_Actuarial___Production3[[#This Row],[Kor1]],$AI$3:$AK$105,3,FALSE)</f>
        <v>Misc. Expense</v>
      </c>
      <c r="AF3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2" spans="18:32" x14ac:dyDescent="0.2">
      <c r="R3852" t="s">
        <v>31</v>
      </c>
      <c r="S3852" t="s">
        <v>230</v>
      </c>
      <c r="T3852" t="s">
        <v>441</v>
      </c>
      <c r="U3852" s="21">
        <v>677.55</v>
      </c>
      <c r="V3852" s="21" t="s">
        <v>368</v>
      </c>
      <c r="W3852" t="str">
        <f>VLOOKUP(Table_Query_from_Actuarial___Production[[#This Row],[Kor1]],$AI$3:$AK$105,3,FALSE)</f>
        <v>Misc. Expense</v>
      </c>
      <c r="X3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2"/>
      <c r="Z3852" t="s">
        <v>14</v>
      </c>
      <c r="AA3852" t="s">
        <v>354</v>
      </c>
      <c r="AB3852" t="s">
        <v>442</v>
      </c>
      <c r="AC3852" s="21">
        <v>17345218.079999998</v>
      </c>
      <c r="AD3852" s="21" t="s">
        <v>368</v>
      </c>
      <c r="AE3852" t="str">
        <f>VLOOKUP(Table_Query_from_Actuarial___Production3[[#This Row],[Kor1]],$AI$3:$AK$105,3,FALSE)</f>
        <v>Claims Expense</v>
      </c>
      <c r="AF3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853" spans="18:32" x14ac:dyDescent="0.2">
      <c r="R3853" t="s">
        <v>34</v>
      </c>
      <c r="S3853" t="s">
        <v>263</v>
      </c>
      <c r="T3853" t="s">
        <v>441</v>
      </c>
      <c r="U3853" s="21">
        <v>2.23</v>
      </c>
      <c r="V3853" s="21" t="s">
        <v>368</v>
      </c>
      <c r="W3853" t="str">
        <f>VLOOKUP(Table_Query_from_Actuarial___Production[[#This Row],[Kor1]],$AI$3:$AK$105,3,FALSE)</f>
        <v>Misc. Expense</v>
      </c>
      <c r="X3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3"/>
      <c r="Z3853" t="s">
        <v>20</v>
      </c>
      <c r="AA3853" t="s">
        <v>227</v>
      </c>
      <c r="AB3853" t="s">
        <v>5</v>
      </c>
      <c r="AC3853" s="21">
        <v>3.93</v>
      </c>
      <c r="AD3853" s="21" t="s">
        <v>368</v>
      </c>
      <c r="AE3853" t="str">
        <f>VLOOKUP(Table_Query_from_Actuarial___Production3[[#This Row],[Kor1]],$AI$3:$AK$105,3,FALSE)</f>
        <v>Misc. Expense</v>
      </c>
      <c r="AF3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4" spans="18:32" x14ac:dyDescent="0.2">
      <c r="R3854" t="s">
        <v>3</v>
      </c>
      <c r="S3854" t="s">
        <v>239</v>
      </c>
      <c r="T3854" t="s">
        <v>6</v>
      </c>
      <c r="U3854" s="21">
        <v>80643</v>
      </c>
      <c r="V3854" s="21" t="s">
        <v>368</v>
      </c>
      <c r="W3854" t="str">
        <f>VLOOKUP(Table_Query_from_Actuarial___Production[[#This Row],[Kor1]],$AI$3:$AK$105,3,FALSE)</f>
        <v>Premiums Written</v>
      </c>
      <c r="X3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4"/>
      <c r="Z3854" t="s">
        <v>39</v>
      </c>
      <c r="AA3854" t="s">
        <v>254</v>
      </c>
      <c r="AB3854" t="s">
        <v>441</v>
      </c>
      <c r="AC3854" s="21">
        <v>320.68</v>
      </c>
      <c r="AD3854" s="21" t="s">
        <v>368</v>
      </c>
      <c r="AE3854" t="str">
        <f>VLOOKUP(Table_Query_from_Actuarial___Production3[[#This Row],[Kor1]],$AI$3:$AK$105,3,FALSE)</f>
        <v>Misc. Income for Insolvent Companies</v>
      </c>
      <c r="AF3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5" spans="18:32" x14ac:dyDescent="0.2">
      <c r="R3855" t="s">
        <v>14</v>
      </c>
      <c r="S3855" t="s">
        <v>237</v>
      </c>
      <c r="T3855" t="s">
        <v>441</v>
      </c>
      <c r="U3855" s="21">
        <v>6365669.6100000003</v>
      </c>
      <c r="V3855" s="21" t="s">
        <v>368</v>
      </c>
      <c r="W3855" t="str">
        <f>VLOOKUP(Table_Query_from_Actuarial___Production[[#This Row],[Kor1]],$AI$3:$AK$105,3,FALSE)</f>
        <v>Claims Expense</v>
      </c>
      <c r="X3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5"/>
      <c r="Z3855" t="s">
        <v>77</v>
      </c>
      <c r="AA3855" t="s">
        <v>237</v>
      </c>
      <c r="AB3855" t="s">
        <v>442</v>
      </c>
      <c r="AC3855" s="21">
        <v>3081885</v>
      </c>
      <c r="AD3855" s="21" t="s">
        <v>368</v>
      </c>
      <c r="AE3855" t="str">
        <f>VLOOKUP(Table_Query_from_Actuarial___Production3[[#This Row],[Kor1]],$AI$3:$AK$105,3,FALSE)</f>
        <v>PDR</v>
      </c>
      <c r="AF3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6" spans="18:32" x14ac:dyDescent="0.2">
      <c r="R3856" t="s">
        <v>11</v>
      </c>
      <c r="S3856" t="s">
        <v>224</v>
      </c>
      <c r="T3856" t="s">
        <v>427</v>
      </c>
      <c r="U3856" s="21">
        <v>1685302.15</v>
      </c>
      <c r="V3856" s="21" t="s">
        <v>368</v>
      </c>
      <c r="W3856" t="str">
        <f>VLOOKUP(Table_Query_from_Actuarial___Production[[#This Row],[Kor1]],$AI$3:$AK$105,3,FALSE)</f>
        <v>Losses Paid</v>
      </c>
      <c r="X3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856"/>
      <c r="Z3856" t="s">
        <v>13</v>
      </c>
      <c r="AA3856" t="s">
        <v>256</v>
      </c>
      <c r="AB3856" t="s">
        <v>443</v>
      </c>
      <c r="AC3856" s="21">
        <v>5183.46</v>
      </c>
      <c r="AD3856" s="21" t="s">
        <v>368</v>
      </c>
      <c r="AE3856" t="str">
        <f>VLOOKUP(Table_Query_from_Actuarial___Production3[[#This Row],[Kor1]],$AI$3:$AK$105,3,FALSE)</f>
        <v>Operating Service Fees</v>
      </c>
      <c r="AF3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7" spans="18:32" x14ac:dyDescent="0.2">
      <c r="R3857" t="s">
        <v>33</v>
      </c>
      <c r="S3857" t="s">
        <v>253</v>
      </c>
      <c r="T3857" t="s">
        <v>427</v>
      </c>
      <c r="U3857" s="21">
        <v>6157.7</v>
      </c>
      <c r="V3857" s="21" t="s">
        <v>368</v>
      </c>
      <c r="W3857" t="str">
        <f>VLOOKUP(Table_Query_from_Actuarial___Production[[#This Row],[Kor1]],$AI$3:$AK$105,3,FALSE)</f>
        <v>Misc. Expense</v>
      </c>
      <c r="X3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7"/>
      <c r="Z3857" t="s">
        <v>49</v>
      </c>
      <c r="AA3857" t="s">
        <v>246</v>
      </c>
      <c r="AB3857" t="s">
        <v>356</v>
      </c>
      <c r="AC3857" s="21">
        <v>179707.15</v>
      </c>
      <c r="AD3857" s="21" t="s">
        <v>368</v>
      </c>
      <c r="AE3857" t="str">
        <f>VLOOKUP(Table_Query_from_Actuarial___Production3[[#This Row],[Kor1]],$AI$3:$AK$105,3,FALSE)</f>
        <v>ALAE Paid</v>
      </c>
      <c r="AF3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58" spans="18:32" x14ac:dyDescent="0.2">
      <c r="R3858" t="s">
        <v>47</v>
      </c>
      <c r="S3858" t="s">
        <v>253</v>
      </c>
      <c r="T3858" t="s">
        <v>442</v>
      </c>
      <c r="U3858" s="21">
        <v>627.5</v>
      </c>
      <c r="V3858" s="21" t="s">
        <v>368</v>
      </c>
      <c r="W3858" t="str">
        <f>VLOOKUP(Table_Query_from_Actuarial___Production[[#This Row],[Kor1]],$AI$3:$AK$105,3,FALSE)</f>
        <v>Investment Income</v>
      </c>
      <c r="X3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8"/>
      <c r="Z3858" t="s">
        <v>18</v>
      </c>
      <c r="AA3858" t="s">
        <v>226</v>
      </c>
      <c r="AB3858" t="s">
        <v>6</v>
      </c>
      <c r="AC3858" s="21">
        <v>978938.13</v>
      </c>
      <c r="AD3858" s="21" t="s">
        <v>368</v>
      </c>
      <c r="AE3858" t="str">
        <f>VLOOKUP(Table_Query_from_Actuarial___Production3[[#This Row],[Kor1]],$AI$3:$AK$105,3,FALSE)</f>
        <v>Misc. Expense</v>
      </c>
      <c r="AF3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859" spans="18:32" x14ac:dyDescent="0.2">
      <c r="R3859" t="s">
        <v>21</v>
      </c>
      <c r="S3859" t="s">
        <v>227</v>
      </c>
      <c r="T3859" t="s">
        <v>7</v>
      </c>
      <c r="U3859" s="21">
        <v>750</v>
      </c>
      <c r="V3859" s="21" t="s">
        <v>368</v>
      </c>
      <c r="W3859" t="str">
        <f>VLOOKUP(Table_Query_from_Actuarial___Production[[#This Row],[Kor1]],$AI$3:$AK$105,3,FALSE)</f>
        <v>Misc. Expense</v>
      </c>
      <c r="X3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59"/>
      <c r="Z3859" t="s">
        <v>13</v>
      </c>
      <c r="AA3859" t="s">
        <v>258</v>
      </c>
      <c r="AB3859" t="s">
        <v>427</v>
      </c>
      <c r="AC3859" s="21">
        <v>668751.31000000006</v>
      </c>
      <c r="AD3859" s="21" t="s">
        <v>368</v>
      </c>
      <c r="AE3859" t="str">
        <f>VLOOKUP(Table_Query_from_Actuarial___Production3[[#This Row],[Kor1]],$AI$3:$AK$105,3,FALSE)</f>
        <v>Operating Service Fees</v>
      </c>
      <c r="AF3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0" spans="18:32" x14ac:dyDescent="0.2">
      <c r="R3860" t="s">
        <v>48</v>
      </c>
      <c r="S3860" t="s">
        <v>240</v>
      </c>
      <c r="T3860" t="s">
        <v>427</v>
      </c>
      <c r="U3860" s="21">
        <v>1705</v>
      </c>
      <c r="V3860" s="21" t="s">
        <v>368</v>
      </c>
      <c r="W3860" t="str">
        <f>VLOOKUP(Table_Query_from_Actuarial___Production[[#This Row],[Kor1]],$AI$3:$AK$105,3,FALSE)</f>
        <v>Anticipated Salvage</v>
      </c>
      <c r="X3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0"/>
      <c r="Z3860" t="s">
        <v>20</v>
      </c>
      <c r="AA3860" t="s">
        <v>263</v>
      </c>
      <c r="AB3860" t="s">
        <v>7</v>
      </c>
      <c r="AC3860" s="21">
        <v>764.03</v>
      </c>
      <c r="AD3860" s="21" t="s">
        <v>368</v>
      </c>
      <c r="AE3860" t="str">
        <f>VLOOKUP(Table_Query_from_Actuarial___Production3[[#This Row],[Kor1]],$AI$3:$AK$105,3,FALSE)</f>
        <v>Misc. Expense</v>
      </c>
      <c r="AF3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1" spans="18:32" x14ac:dyDescent="0.2">
      <c r="R3861" t="s">
        <v>14</v>
      </c>
      <c r="S3861" t="s">
        <v>225</v>
      </c>
      <c r="T3861" t="s">
        <v>443</v>
      </c>
      <c r="U3861" s="21">
        <v>15698</v>
      </c>
      <c r="V3861" s="21" t="s">
        <v>368</v>
      </c>
      <c r="W3861" t="str">
        <f>VLOOKUP(Table_Query_from_Actuarial___Production[[#This Row],[Kor1]],$AI$3:$AK$105,3,FALSE)</f>
        <v>Claims Expense</v>
      </c>
      <c r="X3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861"/>
      <c r="Z3861" t="s">
        <v>37</v>
      </c>
      <c r="AA3861" t="s">
        <v>242</v>
      </c>
      <c r="AB3861" t="s">
        <v>427</v>
      </c>
      <c r="AC3861" s="21">
        <v>27.65</v>
      </c>
      <c r="AD3861" s="21" t="s">
        <v>368</v>
      </c>
      <c r="AE3861" t="str">
        <f>VLOOKUP(Table_Query_from_Actuarial___Production3[[#This Row],[Kor1]],$AI$3:$AK$105,3,FALSE)</f>
        <v>Misc. Expense</v>
      </c>
      <c r="AF3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2" spans="18:32" x14ac:dyDescent="0.2">
      <c r="R3862" t="s">
        <v>36</v>
      </c>
      <c r="S3862" t="s">
        <v>252</v>
      </c>
      <c r="T3862" t="s">
        <v>7</v>
      </c>
      <c r="U3862" s="21">
        <v>165999.51999999999</v>
      </c>
      <c r="V3862" s="21" t="s">
        <v>368</v>
      </c>
      <c r="W3862" t="str">
        <f>VLOOKUP(Table_Query_from_Actuarial___Production[[#This Row],[Kor1]],$AI$3:$AK$105,3,FALSE)</f>
        <v>Misc. Expense</v>
      </c>
      <c r="X3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2"/>
      <c r="Z3862" t="s">
        <v>77</v>
      </c>
      <c r="AA3862" t="s">
        <v>242</v>
      </c>
      <c r="AB3862" t="s">
        <v>443</v>
      </c>
      <c r="AC3862" s="21">
        <v>11667</v>
      </c>
      <c r="AD3862" s="21" t="s">
        <v>368</v>
      </c>
      <c r="AE3862" t="str">
        <f>VLOOKUP(Table_Query_from_Actuarial___Production3[[#This Row],[Kor1]],$AI$3:$AK$105,3,FALSE)</f>
        <v>PDR</v>
      </c>
      <c r="AF3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3" spans="18:32" x14ac:dyDescent="0.2">
      <c r="R3863" t="s">
        <v>41</v>
      </c>
      <c r="S3863" t="s">
        <v>245</v>
      </c>
      <c r="T3863" t="s">
        <v>442</v>
      </c>
      <c r="U3863" s="21">
        <v>750</v>
      </c>
      <c r="V3863" s="21" t="s">
        <v>368</v>
      </c>
      <c r="W3863" t="str">
        <f>VLOOKUP(Table_Query_from_Actuarial___Production[[#This Row],[Kor1]],$AI$3:$AK$105,3,FALSE)</f>
        <v>Misc. Income</v>
      </c>
      <c r="X3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3"/>
      <c r="Z3863" t="s">
        <v>48</v>
      </c>
      <c r="AA3863" t="s">
        <v>258</v>
      </c>
      <c r="AB3863" t="s">
        <v>442</v>
      </c>
      <c r="AC3863" s="21">
        <v>15217.32</v>
      </c>
      <c r="AD3863" s="21" t="s">
        <v>368</v>
      </c>
      <c r="AE3863" t="str">
        <f>VLOOKUP(Table_Query_from_Actuarial___Production3[[#This Row],[Kor1]],$AI$3:$AK$105,3,FALSE)</f>
        <v>Anticipated Salvage</v>
      </c>
      <c r="AF3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4" spans="18:32" x14ac:dyDescent="0.2">
      <c r="R3864" t="s">
        <v>33</v>
      </c>
      <c r="S3864" t="s">
        <v>239</v>
      </c>
      <c r="T3864" t="s">
        <v>6</v>
      </c>
      <c r="U3864" s="21">
        <v>16091.82</v>
      </c>
      <c r="V3864" s="21" t="s">
        <v>368</v>
      </c>
      <c r="W3864" t="str">
        <f>VLOOKUP(Table_Query_from_Actuarial___Production[[#This Row],[Kor1]],$AI$3:$AK$105,3,FALSE)</f>
        <v>Misc. Expense</v>
      </c>
      <c r="X3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4"/>
      <c r="Z3864" t="s">
        <v>17</v>
      </c>
      <c r="AA3864" t="s">
        <v>225</v>
      </c>
      <c r="AB3864" t="s">
        <v>442</v>
      </c>
      <c r="AC3864" s="21">
        <v>70963.03</v>
      </c>
      <c r="AD3864" s="21" t="s">
        <v>369</v>
      </c>
      <c r="AE3864" t="str">
        <f>VLOOKUP(Table_Query_from_Actuarial___Production3[[#This Row],[Kor1]],$AI$3:$AK$105,3,FALSE)</f>
        <v>IBNR</v>
      </c>
      <c r="AF3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3865" spans="18:32" x14ac:dyDescent="0.2">
      <c r="R3865" t="s">
        <v>41</v>
      </c>
      <c r="S3865" t="s">
        <v>258</v>
      </c>
      <c r="T3865" t="s">
        <v>445</v>
      </c>
      <c r="U3865" s="21">
        <v>926.23</v>
      </c>
      <c r="V3865" s="21" t="s">
        <v>368</v>
      </c>
      <c r="W3865" t="str">
        <f>VLOOKUP(Table_Query_from_Actuarial___Production[[#This Row],[Kor1]],$AI$3:$AK$105,3,FALSE)</f>
        <v>Misc. Income</v>
      </c>
      <c r="X3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5"/>
      <c r="Z3865" t="s">
        <v>13</v>
      </c>
      <c r="AA3865" t="s">
        <v>265</v>
      </c>
      <c r="AB3865" t="s">
        <v>443</v>
      </c>
      <c r="AC3865" s="21">
        <v>17031.96</v>
      </c>
      <c r="AD3865" s="21" t="s">
        <v>368</v>
      </c>
      <c r="AE3865" t="str">
        <f>VLOOKUP(Table_Query_from_Actuarial___Production3[[#This Row],[Kor1]],$AI$3:$AK$105,3,FALSE)</f>
        <v>Operating Service Fees</v>
      </c>
      <c r="AF3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6" spans="18:32" x14ac:dyDescent="0.2">
      <c r="R3866" t="s">
        <v>48</v>
      </c>
      <c r="S3866" t="s">
        <v>262</v>
      </c>
      <c r="T3866" t="s">
        <v>442</v>
      </c>
      <c r="U3866" s="21">
        <v>64.41</v>
      </c>
      <c r="V3866" s="21" t="s">
        <v>368</v>
      </c>
      <c r="W3866" t="str">
        <f>VLOOKUP(Table_Query_from_Actuarial___Production[[#This Row],[Kor1]],$AI$3:$AK$105,3,FALSE)</f>
        <v>Anticipated Salvage</v>
      </c>
      <c r="X3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6"/>
      <c r="Z3866" t="s">
        <v>19</v>
      </c>
      <c r="AA3866" t="s">
        <v>250</v>
      </c>
      <c r="AB3866" t="s">
        <v>5</v>
      </c>
      <c r="AC3866" s="21">
        <v>8970</v>
      </c>
      <c r="AD3866" s="21" t="s">
        <v>368</v>
      </c>
      <c r="AE3866" t="str">
        <f>VLOOKUP(Table_Query_from_Actuarial___Production3[[#This Row],[Kor1]],$AI$3:$AK$105,3,FALSE)</f>
        <v>Misc. Expense for Insolvent Companies</v>
      </c>
      <c r="AF3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7" spans="18:32" x14ac:dyDescent="0.2">
      <c r="R3867" t="s">
        <v>18</v>
      </c>
      <c r="S3867" t="s">
        <v>352</v>
      </c>
      <c r="T3867" t="s">
        <v>356</v>
      </c>
      <c r="U3867" s="21">
        <v>1933.33</v>
      </c>
      <c r="V3867" s="21" t="s">
        <v>368</v>
      </c>
      <c r="W3867" t="str">
        <f>VLOOKUP(Table_Query_from_Actuarial___Production[[#This Row],[Kor1]],$AI$3:$AK$105,3,FALSE)</f>
        <v>Misc. Expense</v>
      </c>
      <c r="X3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3867"/>
      <c r="Z3867" t="s">
        <v>40</v>
      </c>
      <c r="AA3867" t="s">
        <v>243</v>
      </c>
      <c r="AB3867" t="s">
        <v>7</v>
      </c>
      <c r="AC3867" s="21">
        <v>1</v>
      </c>
      <c r="AD3867" s="21" t="s">
        <v>368</v>
      </c>
      <c r="AE3867" t="str">
        <f>VLOOKUP(Table_Query_from_Actuarial___Production3[[#This Row],[Kor1]],$AI$3:$AK$105,3,FALSE)</f>
        <v>Misc. Income</v>
      </c>
      <c r="AF3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8" spans="18:32" x14ac:dyDescent="0.2">
      <c r="R3868" t="s">
        <v>11</v>
      </c>
      <c r="S3868" t="s">
        <v>225</v>
      </c>
      <c r="T3868" t="s">
        <v>445</v>
      </c>
      <c r="U3868" s="21">
        <v>4702.43</v>
      </c>
      <c r="V3868" s="21" t="s">
        <v>368</v>
      </c>
      <c r="W3868" t="str">
        <f>VLOOKUP(Table_Query_from_Actuarial___Production[[#This Row],[Kor1]],$AI$3:$AK$105,3,FALSE)</f>
        <v>Losses Paid</v>
      </c>
      <c r="X3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868"/>
      <c r="Z3868" t="s">
        <v>40</v>
      </c>
      <c r="AA3868" t="s">
        <v>251</v>
      </c>
      <c r="AB3868" t="s">
        <v>351</v>
      </c>
      <c r="AC3868" s="21">
        <v>152</v>
      </c>
      <c r="AD3868" s="21" t="s">
        <v>368</v>
      </c>
      <c r="AE3868" t="str">
        <f>VLOOKUP(Table_Query_from_Actuarial___Production3[[#This Row],[Kor1]],$AI$3:$AK$105,3,FALSE)</f>
        <v>Misc. Income</v>
      </c>
      <c r="AF3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69" spans="18:32" x14ac:dyDescent="0.2">
      <c r="R3869" t="s">
        <v>33</v>
      </c>
      <c r="S3869" t="s">
        <v>237</v>
      </c>
      <c r="T3869" t="s">
        <v>433</v>
      </c>
      <c r="U3869" s="21">
        <v>22712.87</v>
      </c>
      <c r="V3869" s="21" t="s">
        <v>368</v>
      </c>
      <c r="W3869" t="str">
        <f>VLOOKUP(Table_Query_from_Actuarial___Production[[#This Row],[Kor1]],$AI$3:$AK$105,3,FALSE)</f>
        <v>Misc. Expense</v>
      </c>
      <c r="X3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69"/>
      <c r="Z3869" t="s">
        <v>17</v>
      </c>
      <c r="AA3869" t="s">
        <v>251</v>
      </c>
      <c r="AB3869" t="s">
        <v>443</v>
      </c>
      <c r="AC3869" s="21">
        <v>26407.16</v>
      </c>
      <c r="AD3869" s="21" t="s">
        <v>368</v>
      </c>
      <c r="AE3869" t="str">
        <f>VLOOKUP(Table_Query_from_Actuarial___Production3[[#This Row],[Kor1]],$AI$3:$AK$105,3,FALSE)</f>
        <v>IBNR</v>
      </c>
      <c r="AF3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0" spans="18:32" x14ac:dyDescent="0.2">
      <c r="R3870" t="s">
        <v>43</v>
      </c>
      <c r="S3870" t="s">
        <v>267</v>
      </c>
      <c r="T3870" t="s">
        <v>443</v>
      </c>
      <c r="U3870" s="21">
        <v>716.36</v>
      </c>
      <c r="V3870" s="21" t="s">
        <v>368</v>
      </c>
      <c r="W3870" t="str">
        <f>VLOOKUP(Table_Query_from_Actuarial___Production[[#This Row],[Kor1]],$AI$3:$AK$105,3,FALSE)</f>
        <v>Charge-offs</v>
      </c>
      <c r="X3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0"/>
      <c r="Z3870" t="s">
        <v>10</v>
      </c>
      <c r="AA3870" t="s">
        <v>242</v>
      </c>
      <c r="AB3870" t="s">
        <v>5</v>
      </c>
      <c r="AC3870" s="21">
        <v>26801.15</v>
      </c>
      <c r="AD3870" s="21" t="s">
        <v>368</v>
      </c>
      <c r="AE3870" t="str">
        <f>VLOOKUP(Table_Query_from_Actuarial___Production3[[#This Row],[Kor1]],$AI$3:$AK$105,3,FALSE)</f>
        <v>Commissions</v>
      </c>
      <c r="AF3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1" spans="18:32" x14ac:dyDescent="0.2">
      <c r="R3871" t="s">
        <v>18</v>
      </c>
      <c r="S3871" t="s">
        <v>352</v>
      </c>
      <c r="T3871" t="s">
        <v>351</v>
      </c>
      <c r="U3871" s="21">
        <v>153628.45000000001</v>
      </c>
      <c r="V3871" s="21" t="s">
        <v>369</v>
      </c>
      <c r="W3871" t="str">
        <f>VLOOKUP(Table_Query_from_Actuarial___Production[[#This Row],[Kor1]],$AI$3:$AK$105,3,FALSE)</f>
        <v>Misc. Expense</v>
      </c>
      <c r="X3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3871"/>
      <c r="Z3871" t="s">
        <v>37</v>
      </c>
      <c r="AA3871" t="s">
        <v>231</v>
      </c>
      <c r="AB3871" t="s">
        <v>443</v>
      </c>
      <c r="AC3871" s="21">
        <v>1004.25</v>
      </c>
      <c r="AD3871" s="21" t="s">
        <v>368</v>
      </c>
      <c r="AE3871" t="str">
        <f>VLOOKUP(Table_Query_from_Actuarial___Production3[[#This Row],[Kor1]],$AI$3:$AK$105,3,FALSE)</f>
        <v>Misc. Expense</v>
      </c>
      <c r="AF3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2" spans="18:32" x14ac:dyDescent="0.2">
      <c r="R3872" t="s">
        <v>37</v>
      </c>
      <c r="S3872" t="s">
        <v>252</v>
      </c>
      <c r="T3872" t="s">
        <v>427</v>
      </c>
      <c r="U3872" s="21">
        <v>79780.98</v>
      </c>
      <c r="V3872" s="21" t="s">
        <v>368</v>
      </c>
      <c r="W3872" t="str">
        <f>VLOOKUP(Table_Query_from_Actuarial___Production[[#This Row],[Kor1]],$AI$3:$AK$105,3,FALSE)</f>
        <v>Misc. Expense</v>
      </c>
      <c r="X3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2"/>
      <c r="Z3872" t="s">
        <v>75</v>
      </c>
      <c r="AA3872" t="s">
        <v>252</v>
      </c>
      <c r="AB3872" t="s">
        <v>441</v>
      </c>
      <c r="AC3872" s="21">
        <v>373440</v>
      </c>
      <c r="AD3872" s="21" t="s">
        <v>368</v>
      </c>
      <c r="AE3872" t="str">
        <f>VLOOKUP(Table_Query_from_Actuarial___Production3[[#This Row],[Kor1]],$AI$3:$AK$105,3,FALSE)</f>
        <v>EBUB</v>
      </c>
      <c r="AF3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3" spans="18:32" x14ac:dyDescent="0.2">
      <c r="R3873" t="s">
        <v>47</v>
      </c>
      <c r="S3873" t="s">
        <v>247</v>
      </c>
      <c r="T3873" t="s">
        <v>8</v>
      </c>
      <c r="U3873" s="21">
        <v>0.04</v>
      </c>
      <c r="V3873" s="21" t="s">
        <v>368</v>
      </c>
      <c r="W3873" t="str">
        <f>VLOOKUP(Table_Query_from_Actuarial___Production[[#This Row],[Kor1]],$AI$3:$AK$105,3,FALSE)</f>
        <v>Investment Income</v>
      </c>
      <c r="X3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3"/>
      <c r="Z3873" t="s">
        <v>12</v>
      </c>
      <c r="AA3873" t="s">
        <v>265</v>
      </c>
      <c r="AB3873" t="s">
        <v>7</v>
      </c>
      <c r="AC3873" s="21">
        <v>7123.62</v>
      </c>
      <c r="AD3873" s="21" t="s">
        <v>368</v>
      </c>
      <c r="AE3873" t="str">
        <f>VLOOKUP(Table_Query_from_Actuarial___Production3[[#This Row],[Kor1]],$AI$3:$AK$105,3,FALSE)</f>
        <v>Premium Tax</v>
      </c>
      <c r="AF3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4" spans="18:32" x14ac:dyDescent="0.2">
      <c r="R3874" t="s">
        <v>3</v>
      </c>
      <c r="S3874" t="s">
        <v>233</v>
      </c>
      <c r="T3874" t="s">
        <v>9</v>
      </c>
      <c r="U3874" s="21">
        <v>690878</v>
      </c>
      <c r="V3874" s="21" t="s">
        <v>368</v>
      </c>
      <c r="W3874" t="str">
        <f>VLOOKUP(Table_Query_from_Actuarial___Production[[#This Row],[Kor1]],$AI$3:$AK$105,3,FALSE)</f>
        <v>Premiums Written</v>
      </c>
      <c r="X3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4"/>
      <c r="Z3874" t="s">
        <v>40</v>
      </c>
      <c r="AA3874" t="s">
        <v>241</v>
      </c>
      <c r="AB3874" t="s">
        <v>9</v>
      </c>
      <c r="AC3874" s="21">
        <v>564.01</v>
      </c>
      <c r="AD3874" s="21" t="s">
        <v>368</v>
      </c>
      <c r="AE3874" t="str">
        <f>VLOOKUP(Table_Query_from_Actuarial___Production3[[#This Row],[Kor1]],$AI$3:$AK$105,3,FALSE)</f>
        <v>Misc. Income</v>
      </c>
      <c r="AF3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5" spans="18:32" x14ac:dyDescent="0.2">
      <c r="R3875" t="s">
        <v>12</v>
      </c>
      <c r="S3875" t="s">
        <v>244</v>
      </c>
      <c r="T3875" t="s">
        <v>445</v>
      </c>
      <c r="U3875" s="21">
        <v>45798.68</v>
      </c>
      <c r="V3875" s="21" t="s">
        <v>368</v>
      </c>
      <c r="W3875" t="str">
        <f>VLOOKUP(Table_Query_from_Actuarial___Production[[#This Row],[Kor1]],$AI$3:$AK$105,3,FALSE)</f>
        <v>Premium Tax</v>
      </c>
      <c r="X3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5"/>
      <c r="Z3875" t="s">
        <v>11</v>
      </c>
      <c r="AA3875" t="s">
        <v>266</v>
      </c>
      <c r="AB3875" t="s">
        <v>9</v>
      </c>
      <c r="AC3875" s="21">
        <v>114212.39</v>
      </c>
      <c r="AD3875" s="21" t="s">
        <v>368</v>
      </c>
      <c r="AE3875" t="str">
        <f>VLOOKUP(Table_Query_from_Actuarial___Production3[[#This Row],[Kor1]],$AI$3:$AK$105,3,FALSE)</f>
        <v>Losses Paid</v>
      </c>
      <c r="AF3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6" spans="18:32" x14ac:dyDescent="0.2">
      <c r="R3876" t="s">
        <v>11</v>
      </c>
      <c r="S3876" t="s">
        <v>250</v>
      </c>
      <c r="T3876" t="s">
        <v>441</v>
      </c>
      <c r="U3876" s="21">
        <v>197729.8</v>
      </c>
      <c r="V3876" s="21" t="s">
        <v>368</v>
      </c>
      <c r="W3876" t="str">
        <f>VLOOKUP(Table_Query_from_Actuarial___Production[[#This Row],[Kor1]],$AI$3:$AK$105,3,FALSE)</f>
        <v>Losses Paid</v>
      </c>
      <c r="X3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6"/>
      <c r="Z3876" t="s">
        <v>33</v>
      </c>
      <c r="AA3876" t="s">
        <v>265</v>
      </c>
      <c r="AB3876" t="s">
        <v>442</v>
      </c>
      <c r="AC3876" s="21">
        <v>20361.23</v>
      </c>
      <c r="AD3876" s="21" t="s">
        <v>368</v>
      </c>
      <c r="AE3876" t="str">
        <f>VLOOKUP(Table_Query_from_Actuarial___Production3[[#This Row],[Kor1]],$AI$3:$AK$105,3,FALSE)</f>
        <v>Misc. Expense</v>
      </c>
      <c r="AF3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7" spans="18:32" x14ac:dyDescent="0.2">
      <c r="R3877" t="s">
        <v>12</v>
      </c>
      <c r="S3877" t="s">
        <v>256</v>
      </c>
      <c r="T3877" t="s">
        <v>9</v>
      </c>
      <c r="U3877" s="21">
        <v>20.28</v>
      </c>
      <c r="V3877" s="21" t="s">
        <v>368</v>
      </c>
      <c r="W3877" t="str">
        <f>VLOOKUP(Table_Query_from_Actuarial___Production[[#This Row],[Kor1]],$AI$3:$AK$105,3,FALSE)</f>
        <v>Premium Tax</v>
      </c>
      <c r="X3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7"/>
      <c r="Z3877" t="s">
        <v>43</v>
      </c>
      <c r="AA3877" t="s">
        <v>243</v>
      </c>
      <c r="AB3877" t="s">
        <v>441</v>
      </c>
      <c r="AC3877" s="21">
        <v>270.11</v>
      </c>
      <c r="AD3877" s="21" t="s">
        <v>368</v>
      </c>
      <c r="AE3877" t="str">
        <f>VLOOKUP(Table_Query_from_Actuarial___Production3[[#This Row],[Kor1]],$AI$3:$AK$105,3,FALSE)</f>
        <v>Charge-offs</v>
      </c>
      <c r="AF3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8" spans="18:32" x14ac:dyDescent="0.2">
      <c r="R3878" t="s">
        <v>49</v>
      </c>
      <c r="S3878" t="s">
        <v>4</v>
      </c>
      <c r="T3878" t="s">
        <v>351</v>
      </c>
      <c r="U3878" s="21">
        <v>2639561.7000000002</v>
      </c>
      <c r="V3878" s="21" t="s">
        <v>368</v>
      </c>
      <c r="W3878" t="str">
        <f>VLOOKUP(Table_Query_from_Actuarial___Production[[#This Row],[Kor1]],$AI$3:$AK$105,3,FALSE)</f>
        <v>ALAE Paid</v>
      </c>
      <c r="X3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8"/>
      <c r="Z3878" t="s">
        <v>16</v>
      </c>
      <c r="AA3878" t="s">
        <v>252</v>
      </c>
      <c r="AB3878" t="s">
        <v>433</v>
      </c>
      <c r="AC3878" s="21">
        <v>10265100.369999999</v>
      </c>
      <c r="AD3878" s="21" t="s">
        <v>368</v>
      </c>
      <c r="AE3878" t="str">
        <f>VLOOKUP(Table_Query_from_Actuarial___Production3[[#This Row],[Kor1]],$AI$3:$AK$105,3,FALSE)</f>
        <v>Losses Outstanding</v>
      </c>
      <c r="AF3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79" spans="18:32" x14ac:dyDescent="0.2">
      <c r="R3879" t="s">
        <v>12</v>
      </c>
      <c r="S3879" t="s">
        <v>248</v>
      </c>
      <c r="T3879" t="s">
        <v>442</v>
      </c>
      <c r="U3879" s="21">
        <v>6368.39</v>
      </c>
      <c r="V3879" s="21" t="s">
        <v>368</v>
      </c>
      <c r="W3879" t="str">
        <f>VLOOKUP(Table_Query_from_Actuarial___Production[[#This Row],[Kor1]],$AI$3:$AK$105,3,FALSE)</f>
        <v>Premium Tax</v>
      </c>
      <c r="X3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79"/>
      <c r="Z3879" t="s">
        <v>49</v>
      </c>
      <c r="AA3879" t="s">
        <v>249</v>
      </c>
      <c r="AB3879" t="s">
        <v>356</v>
      </c>
      <c r="AC3879" s="21">
        <v>42704.05</v>
      </c>
      <c r="AD3879" s="21" t="s">
        <v>368</v>
      </c>
      <c r="AE3879" t="str">
        <f>VLOOKUP(Table_Query_from_Actuarial___Production3[[#This Row],[Kor1]],$AI$3:$AK$105,3,FALSE)</f>
        <v>ALAE Paid</v>
      </c>
      <c r="AF3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0" spans="18:32" x14ac:dyDescent="0.2">
      <c r="R3880" t="s">
        <v>31</v>
      </c>
      <c r="S3880" t="s">
        <v>260</v>
      </c>
      <c r="T3880" t="s">
        <v>443</v>
      </c>
      <c r="U3880" s="21">
        <v>805.85</v>
      </c>
      <c r="V3880" s="21" t="s">
        <v>368</v>
      </c>
      <c r="W3880" t="str">
        <f>VLOOKUP(Table_Query_from_Actuarial___Production[[#This Row],[Kor1]],$AI$3:$AK$105,3,FALSE)</f>
        <v>Misc. Expense</v>
      </c>
      <c r="X3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0"/>
      <c r="Z3880" t="s">
        <v>3</v>
      </c>
      <c r="AA3880" t="s">
        <v>235</v>
      </c>
      <c r="AB3880" t="s">
        <v>5</v>
      </c>
      <c r="AC3880" s="21">
        <v>107949</v>
      </c>
      <c r="AD3880" s="21" t="s">
        <v>368</v>
      </c>
      <c r="AE3880" t="str">
        <f>VLOOKUP(Table_Query_from_Actuarial___Production3[[#This Row],[Kor1]],$AI$3:$AK$105,3,FALSE)</f>
        <v>Premiums Written</v>
      </c>
      <c r="AF3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1" spans="18:32" x14ac:dyDescent="0.2">
      <c r="R3881" t="s">
        <v>3</v>
      </c>
      <c r="S3881" t="s">
        <v>246</v>
      </c>
      <c r="T3881" t="s">
        <v>6</v>
      </c>
      <c r="U3881" s="21">
        <v>68191</v>
      </c>
      <c r="V3881" s="21" t="s">
        <v>368</v>
      </c>
      <c r="W3881" t="str">
        <f>VLOOKUP(Table_Query_from_Actuarial___Production[[#This Row],[Kor1]],$AI$3:$AK$105,3,FALSE)</f>
        <v>Premiums Written</v>
      </c>
      <c r="X3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1"/>
      <c r="Z3881" t="s">
        <v>439</v>
      </c>
      <c r="AA3881" t="s">
        <v>251</v>
      </c>
      <c r="AB3881" t="s">
        <v>443</v>
      </c>
      <c r="AC3881" s="21">
        <v>-17948.3</v>
      </c>
      <c r="AD3881" s="21" t="s">
        <v>368</v>
      </c>
      <c r="AE3881" t="str">
        <f>VLOOKUP(Table_Query_from_Actuarial___Production3[[#This Row],[Kor1]],$AI$3:$AK$105,3,FALSE)</f>
        <v>Operating Service Fees</v>
      </c>
      <c r="AF3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2" spans="18:32" x14ac:dyDescent="0.2">
      <c r="R3882" t="s">
        <v>13</v>
      </c>
      <c r="S3882" t="s">
        <v>256</v>
      </c>
      <c r="T3882" t="s">
        <v>427</v>
      </c>
      <c r="U3882" s="21">
        <v>9194.02</v>
      </c>
      <c r="V3882" s="21" t="s">
        <v>368</v>
      </c>
      <c r="W3882" t="str">
        <f>VLOOKUP(Table_Query_from_Actuarial___Production[[#This Row],[Kor1]],$AI$3:$AK$105,3,FALSE)</f>
        <v>Operating Service Fees</v>
      </c>
      <c r="X3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2"/>
      <c r="Z3882" t="s">
        <v>10</v>
      </c>
      <c r="AA3882" t="s">
        <v>240</v>
      </c>
      <c r="AB3882" t="s">
        <v>427</v>
      </c>
      <c r="AC3882" s="21">
        <v>278572.37</v>
      </c>
      <c r="AD3882" s="21" t="s">
        <v>368</v>
      </c>
      <c r="AE3882" t="str">
        <f>VLOOKUP(Table_Query_from_Actuarial___Production3[[#This Row],[Kor1]],$AI$3:$AK$105,3,FALSE)</f>
        <v>Commissions</v>
      </c>
      <c r="AF3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3" spans="18:32" x14ac:dyDescent="0.2">
      <c r="R3883" t="s">
        <v>37</v>
      </c>
      <c r="S3883" t="s">
        <v>243</v>
      </c>
      <c r="T3883" t="s">
        <v>8</v>
      </c>
      <c r="U3883" s="21">
        <v>634.36</v>
      </c>
      <c r="V3883" s="21" t="s">
        <v>368</v>
      </c>
      <c r="W3883" t="str">
        <f>VLOOKUP(Table_Query_from_Actuarial___Production[[#This Row],[Kor1]],$AI$3:$AK$105,3,FALSE)</f>
        <v>Misc. Expense</v>
      </c>
      <c r="X3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3"/>
      <c r="Z3883" t="s">
        <v>39</v>
      </c>
      <c r="AA3883" t="s">
        <v>237</v>
      </c>
      <c r="AB3883" t="s">
        <v>7</v>
      </c>
      <c r="AC3883" s="21">
        <v>14684.98</v>
      </c>
      <c r="AD3883" s="21" t="s">
        <v>368</v>
      </c>
      <c r="AE3883" t="str">
        <f>VLOOKUP(Table_Query_from_Actuarial___Production3[[#This Row],[Kor1]],$AI$3:$AK$105,3,FALSE)</f>
        <v>Misc. Income for Insolvent Companies</v>
      </c>
      <c r="AF3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4" spans="18:32" x14ac:dyDescent="0.2">
      <c r="R3884" t="s">
        <v>47</v>
      </c>
      <c r="S3884" t="s">
        <v>241</v>
      </c>
      <c r="T3884" t="s">
        <v>442</v>
      </c>
      <c r="U3884" s="21">
        <v>3696.71</v>
      </c>
      <c r="V3884" s="21" t="s">
        <v>368</v>
      </c>
      <c r="W3884" t="str">
        <f>VLOOKUP(Table_Query_from_Actuarial___Production[[#This Row],[Kor1]],$AI$3:$AK$105,3,FALSE)</f>
        <v>Investment Income</v>
      </c>
      <c r="X3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4"/>
      <c r="Z3884" t="s">
        <v>12</v>
      </c>
      <c r="AA3884" t="s">
        <v>246</v>
      </c>
      <c r="AB3884" t="s">
        <v>433</v>
      </c>
      <c r="AC3884" s="21">
        <v>75980.92</v>
      </c>
      <c r="AD3884" s="21" t="s">
        <v>368</v>
      </c>
      <c r="AE3884" t="str">
        <f>VLOOKUP(Table_Query_from_Actuarial___Production3[[#This Row],[Kor1]],$AI$3:$AK$105,3,FALSE)</f>
        <v>Premium Tax</v>
      </c>
      <c r="AF3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5" spans="18:32" x14ac:dyDescent="0.2">
      <c r="R3885" t="s">
        <v>3</v>
      </c>
      <c r="S3885" t="s">
        <v>229</v>
      </c>
      <c r="T3885" t="s">
        <v>351</v>
      </c>
      <c r="U3885" s="21">
        <v>61614</v>
      </c>
      <c r="V3885" s="21" t="s">
        <v>368</v>
      </c>
      <c r="W3885" t="str">
        <f>VLOOKUP(Table_Query_from_Actuarial___Production[[#This Row],[Kor1]],$AI$3:$AK$105,3,FALSE)</f>
        <v>Premiums Written</v>
      </c>
      <c r="X3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5"/>
      <c r="Z3885" t="s">
        <v>31</v>
      </c>
      <c r="AA3885" t="s">
        <v>230</v>
      </c>
      <c r="AB3885" t="s">
        <v>441</v>
      </c>
      <c r="AC3885" s="21">
        <v>677.55</v>
      </c>
      <c r="AD3885" s="21" t="s">
        <v>368</v>
      </c>
      <c r="AE3885" t="str">
        <f>VLOOKUP(Table_Query_from_Actuarial___Production3[[#This Row],[Kor1]],$AI$3:$AK$105,3,FALSE)</f>
        <v>Misc. Expense</v>
      </c>
      <c r="AF3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6" spans="18:32" x14ac:dyDescent="0.2">
      <c r="R3886" t="s">
        <v>32</v>
      </c>
      <c r="S3886" t="s">
        <v>4</v>
      </c>
      <c r="T3886" t="s">
        <v>443</v>
      </c>
      <c r="U3886" s="21">
        <v>4747.1899999999996</v>
      </c>
      <c r="V3886" s="21" t="s">
        <v>368</v>
      </c>
      <c r="W3886" t="str">
        <f>VLOOKUP(Table_Query_from_Actuarial___Production[[#This Row],[Kor1]],$AI$3:$AK$105,3,FALSE)</f>
        <v>Misc. Expense</v>
      </c>
      <c r="X3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6"/>
      <c r="Z3886" t="s">
        <v>34</v>
      </c>
      <c r="AA3886" t="s">
        <v>263</v>
      </c>
      <c r="AB3886" t="s">
        <v>441</v>
      </c>
      <c r="AC3886" s="21">
        <v>2.23</v>
      </c>
      <c r="AD3886" s="21" t="s">
        <v>368</v>
      </c>
      <c r="AE3886" t="str">
        <f>VLOOKUP(Table_Query_from_Actuarial___Production3[[#This Row],[Kor1]],$AI$3:$AK$105,3,FALSE)</f>
        <v>Misc. Expense</v>
      </c>
      <c r="AF3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7" spans="18:32" x14ac:dyDescent="0.2">
      <c r="R3887" t="s">
        <v>10</v>
      </c>
      <c r="S3887" t="s">
        <v>255</v>
      </c>
      <c r="T3887" t="s">
        <v>445</v>
      </c>
      <c r="U3887" s="21">
        <v>13700.6</v>
      </c>
      <c r="V3887" s="21" t="s">
        <v>368</v>
      </c>
      <c r="W3887" t="str">
        <f>VLOOKUP(Table_Query_from_Actuarial___Production[[#This Row],[Kor1]],$AI$3:$AK$105,3,FALSE)</f>
        <v>Commissions</v>
      </c>
      <c r="X3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7"/>
      <c r="Z3887" t="s">
        <v>3</v>
      </c>
      <c r="AA3887" t="s">
        <v>239</v>
      </c>
      <c r="AB3887" t="s">
        <v>6</v>
      </c>
      <c r="AC3887" s="21">
        <v>80643</v>
      </c>
      <c r="AD3887" s="21" t="s">
        <v>368</v>
      </c>
      <c r="AE3887" t="str">
        <f>VLOOKUP(Table_Query_from_Actuarial___Production3[[#This Row],[Kor1]],$AI$3:$AK$105,3,FALSE)</f>
        <v>Premiums Written</v>
      </c>
      <c r="AF3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8" spans="18:32" x14ac:dyDescent="0.2">
      <c r="R3888" t="s">
        <v>34</v>
      </c>
      <c r="S3888" t="s">
        <v>229</v>
      </c>
      <c r="T3888" t="s">
        <v>433</v>
      </c>
      <c r="U3888" s="21">
        <v>1881.74</v>
      </c>
      <c r="V3888" s="21" t="s">
        <v>368</v>
      </c>
      <c r="W3888" t="str">
        <f>VLOOKUP(Table_Query_from_Actuarial___Production[[#This Row],[Kor1]],$AI$3:$AK$105,3,FALSE)</f>
        <v>Misc. Expense</v>
      </c>
      <c r="X3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8"/>
      <c r="Z3888" t="s">
        <v>14</v>
      </c>
      <c r="AA3888" t="s">
        <v>237</v>
      </c>
      <c r="AB3888" t="s">
        <v>441</v>
      </c>
      <c r="AC3888" s="21">
        <v>6412044.2400000002</v>
      </c>
      <c r="AD3888" s="21" t="s">
        <v>368</v>
      </c>
      <c r="AE3888" t="str">
        <f>VLOOKUP(Table_Query_from_Actuarial___Production3[[#This Row],[Kor1]],$AI$3:$AK$105,3,FALSE)</f>
        <v>Claims Expense</v>
      </c>
      <c r="AF3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89" spans="18:32" x14ac:dyDescent="0.2">
      <c r="R3889" t="s">
        <v>50</v>
      </c>
      <c r="S3889" t="s">
        <v>238</v>
      </c>
      <c r="T3889" t="s">
        <v>427</v>
      </c>
      <c r="U3889" s="21">
        <v>12013.7</v>
      </c>
      <c r="V3889" s="21" t="s">
        <v>368</v>
      </c>
      <c r="W3889" t="str">
        <f>VLOOKUP(Table_Query_from_Actuarial___Production[[#This Row],[Kor1]],$AI$3:$AK$105,3,FALSE)</f>
        <v>ALAE Reserve</v>
      </c>
      <c r="X3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89"/>
      <c r="Z3889" t="s">
        <v>11</v>
      </c>
      <c r="AA3889" t="s">
        <v>224</v>
      </c>
      <c r="AB3889" t="s">
        <v>427</v>
      </c>
      <c r="AC3889" s="21">
        <v>1340302.1499999999</v>
      </c>
      <c r="AD3889" s="21" t="s">
        <v>368</v>
      </c>
      <c r="AE3889" t="str">
        <f>VLOOKUP(Table_Query_from_Actuarial___Production3[[#This Row],[Kor1]],$AI$3:$AK$105,3,FALSE)</f>
        <v>Losses Paid</v>
      </c>
      <c r="AF3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890" spans="18:32" x14ac:dyDescent="0.2">
      <c r="R3890" t="s">
        <v>39</v>
      </c>
      <c r="S3890" t="s">
        <v>254</v>
      </c>
      <c r="T3890" t="s">
        <v>7</v>
      </c>
      <c r="U3890" s="21">
        <v>6</v>
      </c>
      <c r="V3890" s="21" t="s">
        <v>368</v>
      </c>
      <c r="W3890" t="str">
        <f>VLOOKUP(Table_Query_from_Actuarial___Production[[#This Row],[Kor1]],$AI$3:$AK$105,3,FALSE)</f>
        <v>Misc. Income for Insolvent Companies</v>
      </c>
      <c r="X3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0"/>
      <c r="Z3890" t="s">
        <v>19</v>
      </c>
      <c r="AA3890" t="s">
        <v>244</v>
      </c>
      <c r="AB3890" t="s">
        <v>5</v>
      </c>
      <c r="AC3890" s="21">
        <v>3932</v>
      </c>
      <c r="AD3890" s="21" t="s">
        <v>368</v>
      </c>
      <c r="AE3890" t="str">
        <f>VLOOKUP(Table_Query_from_Actuarial___Production3[[#This Row],[Kor1]],$AI$3:$AK$105,3,FALSE)</f>
        <v>Misc. Expense for Insolvent Companies</v>
      </c>
      <c r="AF3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1" spans="18:32" x14ac:dyDescent="0.2">
      <c r="R3891" t="s">
        <v>3</v>
      </c>
      <c r="S3891" t="s">
        <v>244</v>
      </c>
      <c r="T3891" t="s">
        <v>427</v>
      </c>
      <c r="U3891" s="21">
        <v>2405774</v>
      </c>
      <c r="V3891" s="21" t="s">
        <v>368</v>
      </c>
      <c r="W3891" t="str">
        <f>VLOOKUP(Table_Query_from_Actuarial___Production[[#This Row],[Kor1]],$AI$3:$AK$105,3,FALSE)</f>
        <v>Premiums Written</v>
      </c>
      <c r="X3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1"/>
      <c r="Z3891" t="s">
        <v>33</v>
      </c>
      <c r="AA3891" t="s">
        <v>253</v>
      </c>
      <c r="AB3891" t="s">
        <v>427</v>
      </c>
      <c r="AC3891" s="21">
        <v>6157.7</v>
      </c>
      <c r="AD3891" s="21" t="s">
        <v>368</v>
      </c>
      <c r="AE3891" t="str">
        <f>VLOOKUP(Table_Query_from_Actuarial___Production3[[#This Row],[Kor1]],$AI$3:$AK$105,3,FALSE)</f>
        <v>Misc. Expense</v>
      </c>
      <c r="AF3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2" spans="18:32" x14ac:dyDescent="0.2">
      <c r="R3892" t="s">
        <v>47</v>
      </c>
      <c r="S3892" t="s">
        <v>262</v>
      </c>
      <c r="T3892" t="s">
        <v>6</v>
      </c>
      <c r="U3892" s="21">
        <v>0.02</v>
      </c>
      <c r="V3892" s="21" t="s">
        <v>368</v>
      </c>
      <c r="W3892" t="str">
        <f>VLOOKUP(Table_Query_from_Actuarial___Production[[#This Row],[Kor1]],$AI$3:$AK$105,3,FALSE)</f>
        <v>Investment Income</v>
      </c>
      <c r="X3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2"/>
      <c r="Z3892" t="s">
        <v>47</v>
      </c>
      <c r="AA3892" t="s">
        <v>253</v>
      </c>
      <c r="AB3892" t="s">
        <v>442</v>
      </c>
      <c r="AC3892" s="21">
        <v>627.5</v>
      </c>
      <c r="AD3892" s="21" t="s">
        <v>368</v>
      </c>
      <c r="AE3892" t="str">
        <f>VLOOKUP(Table_Query_from_Actuarial___Production3[[#This Row],[Kor1]],$AI$3:$AK$105,3,FALSE)</f>
        <v>Investment Income</v>
      </c>
      <c r="AF3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3" spans="18:32" x14ac:dyDescent="0.2">
      <c r="R3893" t="s">
        <v>21</v>
      </c>
      <c r="S3893" t="s">
        <v>232</v>
      </c>
      <c r="T3893" t="s">
        <v>427</v>
      </c>
      <c r="U3893" s="21">
        <v>1662.73</v>
      </c>
      <c r="V3893" s="21" t="s">
        <v>368</v>
      </c>
      <c r="W3893" t="str">
        <f>VLOOKUP(Table_Query_from_Actuarial___Production[[#This Row],[Kor1]],$AI$3:$AK$105,3,FALSE)</f>
        <v>Misc. Expense</v>
      </c>
      <c r="X3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3"/>
      <c r="Z3893" t="s">
        <v>21</v>
      </c>
      <c r="AA3893" t="s">
        <v>227</v>
      </c>
      <c r="AB3893" t="s">
        <v>7</v>
      </c>
      <c r="AC3893" s="21">
        <v>750</v>
      </c>
      <c r="AD3893" s="21" t="s">
        <v>368</v>
      </c>
      <c r="AE3893" t="str">
        <f>VLOOKUP(Table_Query_from_Actuarial___Production3[[#This Row],[Kor1]],$AI$3:$AK$105,3,FALSE)</f>
        <v>Misc. Expense</v>
      </c>
      <c r="AF3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4" spans="18:32" x14ac:dyDescent="0.2">
      <c r="R3894" t="s">
        <v>132</v>
      </c>
      <c r="S3894" t="s">
        <v>354</v>
      </c>
      <c r="T3894" t="s">
        <v>441</v>
      </c>
      <c r="U3894" s="21">
        <v>259222757.41</v>
      </c>
      <c r="V3894" s="21" t="s">
        <v>369</v>
      </c>
      <c r="W3894" t="str">
        <f>VLOOKUP(Table_Query_from_Actuarial___Production[[#This Row],[Kor1]],$AI$3:$AK$105,3,FALSE)</f>
        <v>Clean Risk Subsidy</v>
      </c>
      <c r="X3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894"/>
      <c r="Z3894" t="s">
        <v>48</v>
      </c>
      <c r="AA3894" t="s">
        <v>240</v>
      </c>
      <c r="AB3894" t="s">
        <v>427</v>
      </c>
      <c r="AC3894" s="21">
        <v>4034.32</v>
      </c>
      <c r="AD3894" s="21" t="s">
        <v>368</v>
      </c>
      <c r="AE3894" t="str">
        <f>VLOOKUP(Table_Query_from_Actuarial___Production3[[#This Row],[Kor1]],$AI$3:$AK$105,3,FALSE)</f>
        <v>Anticipated Salvage</v>
      </c>
      <c r="AF3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5" spans="18:32" x14ac:dyDescent="0.2">
      <c r="R3895" t="s">
        <v>17</v>
      </c>
      <c r="S3895" t="s">
        <v>354</v>
      </c>
      <c r="T3895" t="s">
        <v>445</v>
      </c>
      <c r="U3895" s="21">
        <v>11491481.08</v>
      </c>
      <c r="V3895" s="21" t="s">
        <v>368</v>
      </c>
      <c r="W3895" t="str">
        <f>VLOOKUP(Table_Query_from_Actuarial___Production[[#This Row],[Kor1]],$AI$3:$AK$105,3,FALSE)</f>
        <v>IBNR</v>
      </c>
      <c r="X3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895"/>
      <c r="Z3895" t="s">
        <v>36</v>
      </c>
      <c r="AA3895" t="s">
        <v>252</v>
      </c>
      <c r="AB3895" t="s">
        <v>7</v>
      </c>
      <c r="AC3895" s="21">
        <v>165999.51999999999</v>
      </c>
      <c r="AD3895" s="21" t="s">
        <v>368</v>
      </c>
      <c r="AE3895" t="str">
        <f>VLOOKUP(Table_Query_from_Actuarial___Production3[[#This Row],[Kor1]],$AI$3:$AK$105,3,FALSE)</f>
        <v>Misc. Expense</v>
      </c>
      <c r="AF3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6" spans="18:32" x14ac:dyDescent="0.2">
      <c r="R3896" t="s">
        <v>14</v>
      </c>
      <c r="S3896" t="s">
        <v>226</v>
      </c>
      <c r="T3896" t="s">
        <v>427</v>
      </c>
      <c r="U3896" s="21">
        <v>474011.79</v>
      </c>
      <c r="V3896" s="21" t="s">
        <v>368</v>
      </c>
      <c r="W3896" t="str">
        <f>VLOOKUP(Table_Query_from_Actuarial___Production[[#This Row],[Kor1]],$AI$3:$AK$105,3,FALSE)</f>
        <v>Claims Expense</v>
      </c>
      <c r="X3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3896"/>
      <c r="Z3896" t="s">
        <v>41</v>
      </c>
      <c r="AA3896" t="s">
        <v>245</v>
      </c>
      <c r="AB3896" t="s">
        <v>442</v>
      </c>
      <c r="AC3896" s="21">
        <v>750</v>
      </c>
      <c r="AD3896" s="21" t="s">
        <v>368</v>
      </c>
      <c r="AE3896" t="str">
        <f>VLOOKUP(Table_Query_from_Actuarial___Production3[[#This Row],[Kor1]],$AI$3:$AK$105,3,FALSE)</f>
        <v>Misc. Income</v>
      </c>
      <c r="AF3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7" spans="18:32" x14ac:dyDescent="0.2">
      <c r="R3897" t="s">
        <v>19</v>
      </c>
      <c r="S3897" t="s">
        <v>236</v>
      </c>
      <c r="T3897" t="s">
        <v>7</v>
      </c>
      <c r="U3897" s="21">
        <v>3</v>
      </c>
      <c r="V3897" s="21" t="s">
        <v>368</v>
      </c>
      <c r="W3897" t="str">
        <f>VLOOKUP(Table_Query_from_Actuarial___Production[[#This Row],[Kor1]],$AI$3:$AK$105,3,FALSE)</f>
        <v>Misc. Expense for Insolvent Companies</v>
      </c>
      <c r="X3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7"/>
      <c r="Z3897" t="s">
        <v>33</v>
      </c>
      <c r="AA3897" t="s">
        <v>239</v>
      </c>
      <c r="AB3897" t="s">
        <v>6</v>
      </c>
      <c r="AC3897" s="21">
        <v>16091.82</v>
      </c>
      <c r="AD3897" s="21" t="s">
        <v>368</v>
      </c>
      <c r="AE3897" t="str">
        <f>VLOOKUP(Table_Query_from_Actuarial___Production3[[#This Row],[Kor1]],$AI$3:$AK$105,3,FALSE)</f>
        <v>Misc. Expense</v>
      </c>
      <c r="AF3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8" spans="18:32" x14ac:dyDescent="0.2">
      <c r="R3898" t="s">
        <v>43</v>
      </c>
      <c r="S3898" t="s">
        <v>234</v>
      </c>
      <c r="T3898" t="s">
        <v>356</v>
      </c>
      <c r="U3898" s="21">
        <v>-269.77999999999997</v>
      </c>
      <c r="V3898" s="21" t="s">
        <v>368</v>
      </c>
      <c r="W3898" t="str">
        <f>VLOOKUP(Table_Query_from_Actuarial___Production[[#This Row],[Kor1]],$AI$3:$AK$105,3,FALSE)</f>
        <v>Charge-offs</v>
      </c>
      <c r="X3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8"/>
      <c r="Z3898" t="s">
        <v>48</v>
      </c>
      <c r="AA3898" t="s">
        <v>262</v>
      </c>
      <c r="AB3898" t="s">
        <v>442</v>
      </c>
      <c r="AC3898" s="21">
        <v>103.16</v>
      </c>
      <c r="AD3898" s="21" t="s">
        <v>368</v>
      </c>
      <c r="AE3898" t="str">
        <f>VLOOKUP(Table_Query_from_Actuarial___Production3[[#This Row],[Kor1]],$AI$3:$AK$105,3,FALSE)</f>
        <v>Anticipated Salvage</v>
      </c>
      <c r="AF3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899" spans="18:32" x14ac:dyDescent="0.2">
      <c r="R3899" t="s">
        <v>44</v>
      </c>
      <c r="S3899" t="s">
        <v>267</v>
      </c>
      <c r="T3899" t="s">
        <v>8</v>
      </c>
      <c r="U3899" s="21">
        <v>2553</v>
      </c>
      <c r="V3899" s="21" t="s">
        <v>368</v>
      </c>
      <c r="W3899" t="str">
        <f>VLOOKUP(Table_Query_from_Actuarial___Production[[#This Row],[Kor1]],$AI$3:$AK$105,3,FALSE)</f>
        <v>Charge-offs</v>
      </c>
      <c r="X3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899"/>
      <c r="Z3899" t="s">
        <v>18</v>
      </c>
      <c r="AA3899" t="s">
        <v>352</v>
      </c>
      <c r="AB3899" t="s">
        <v>356</v>
      </c>
      <c r="AC3899" s="21">
        <v>1933.33</v>
      </c>
      <c r="AD3899" s="21" t="s">
        <v>368</v>
      </c>
      <c r="AE3899" t="str">
        <f>VLOOKUP(Table_Query_from_Actuarial___Production3[[#This Row],[Kor1]],$AI$3:$AK$105,3,FALSE)</f>
        <v>Misc. Expense</v>
      </c>
      <c r="AF3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3900" spans="18:32" x14ac:dyDescent="0.2">
      <c r="R3900" t="s">
        <v>11</v>
      </c>
      <c r="S3900" t="s">
        <v>224</v>
      </c>
      <c r="T3900" t="s">
        <v>443</v>
      </c>
      <c r="U3900" s="21">
        <v>435333.54</v>
      </c>
      <c r="V3900" s="21" t="s">
        <v>368</v>
      </c>
      <c r="W3900" t="str">
        <f>VLOOKUP(Table_Query_from_Actuarial___Production[[#This Row],[Kor1]],$AI$3:$AK$105,3,FALSE)</f>
        <v>Losses Paid</v>
      </c>
      <c r="X3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900"/>
      <c r="Z3900" t="s">
        <v>31</v>
      </c>
      <c r="AA3900" t="s">
        <v>257</v>
      </c>
      <c r="AB3900" t="s">
        <v>5</v>
      </c>
      <c r="AC3900" s="21">
        <v>-1132.02</v>
      </c>
      <c r="AD3900" s="21" t="s">
        <v>368</v>
      </c>
      <c r="AE3900" t="str">
        <f>VLOOKUP(Table_Query_from_Actuarial___Production3[[#This Row],[Kor1]],$AI$3:$AK$105,3,FALSE)</f>
        <v>Misc. Expense</v>
      </c>
      <c r="AF3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1" spans="18:32" x14ac:dyDescent="0.2">
      <c r="R3901" t="s">
        <v>21</v>
      </c>
      <c r="S3901" t="s">
        <v>236</v>
      </c>
      <c r="T3901" t="s">
        <v>8</v>
      </c>
      <c r="U3901" s="21">
        <v>172.5</v>
      </c>
      <c r="V3901" s="21" t="s">
        <v>368</v>
      </c>
      <c r="W3901" t="str">
        <f>VLOOKUP(Table_Query_from_Actuarial___Production[[#This Row],[Kor1]],$AI$3:$AK$105,3,FALSE)</f>
        <v>Misc. Expense</v>
      </c>
      <c r="X3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1"/>
      <c r="Z3901" t="s">
        <v>33</v>
      </c>
      <c r="AA3901" t="s">
        <v>237</v>
      </c>
      <c r="AB3901" t="s">
        <v>433</v>
      </c>
      <c r="AC3901" s="21">
        <v>22712.87</v>
      </c>
      <c r="AD3901" s="21" t="s">
        <v>368</v>
      </c>
      <c r="AE3901" t="str">
        <f>VLOOKUP(Table_Query_from_Actuarial___Production3[[#This Row],[Kor1]],$AI$3:$AK$105,3,FALSE)</f>
        <v>Misc. Expense</v>
      </c>
      <c r="AF3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2" spans="18:32" x14ac:dyDescent="0.2">
      <c r="R3902" t="s">
        <v>39</v>
      </c>
      <c r="S3902" t="s">
        <v>265</v>
      </c>
      <c r="T3902" t="s">
        <v>6</v>
      </c>
      <c r="U3902" s="21">
        <v>17.64</v>
      </c>
      <c r="V3902" s="21" t="s">
        <v>368</v>
      </c>
      <c r="W3902" t="str">
        <f>VLOOKUP(Table_Query_from_Actuarial___Production[[#This Row],[Kor1]],$AI$3:$AK$105,3,FALSE)</f>
        <v>Misc. Income for Insolvent Companies</v>
      </c>
      <c r="X3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2"/>
      <c r="Z3902" t="s">
        <v>18</v>
      </c>
      <c r="AA3902" t="s">
        <v>352</v>
      </c>
      <c r="AB3902" t="s">
        <v>351</v>
      </c>
      <c r="AC3902" s="21">
        <v>153628.45000000001</v>
      </c>
      <c r="AD3902" s="21" t="s">
        <v>369</v>
      </c>
      <c r="AE3902" t="str">
        <f>VLOOKUP(Table_Query_from_Actuarial___Production3[[#This Row],[Kor1]],$AI$3:$AK$105,3,FALSE)</f>
        <v>Misc. Expense</v>
      </c>
      <c r="AF3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3903" spans="18:32" x14ac:dyDescent="0.2">
      <c r="R3903" t="s">
        <v>14</v>
      </c>
      <c r="S3903" t="s">
        <v>225</v>
      </c>
      <c r="T3903" t="s">
        <v>427</v>
      </c>
      <c r="U3903" s="21">
        <v>76993</v>
      </c>
      <c r="V3903" s="21" t="s">
        <v>368</v>
      </c>
      <c r="W3903" t="str">
        <f>VLOOKUP(Table_Query_from_Actuarial___Production[[#This Row],[Kor1]],$AI$3:$AK$105,3,FALSE)</f>
        <v>Claims Expense</v>
      </c>
      <c r="X3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903"/>
      <c r="Z3903" t="s">
        <v>37</v>
      </c>
      <c r="AA3903" t="s">
        <v>252</v>
      </c>
      <c r="AB3903" t="s">
        <v>427</v>
      </c>
      <c r="AC3903" s="21">
        <v>79780.98</v>
      </c>
      <c r="AD3903" s="21" t="s">
        <v>368</v>
      </c>
      <c r="AE3903" t="str">
        <f>VLOOKUP(Table_Query_from_Actuarial___Production3[[#This Row],[Kor1]],$AI$3:$AK$105,3,FALSE)</f>
        <v>Misc. Expense</v>
      </c>
      <c r="AF3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4" spans="18:32" x14ac:dyDescent="0.2">
      <c r="R3904" t="s">
        <v>36</v>
      </c>
      <c r="S3904" t="s">
        <v>252</v>
      </c>
      <c r="T3904" t="s">
        <v>427</v>
      </c>
      <c r="U3904" s="21">
        <v>449652.24</v>
      </c>
      <c r="V3904" s="21" t="s">
        <v>368</v>
      </c>
      <c r="W3904" t="str">
        <f>VLOOKUP(Table_Query_from_Actuarial___Production[[#This Row],[Kor1]],$AI$3:$AK$105,3,FALSE)</f>
        <v>Misc. Expense</v>
      </c>
      <c r="X3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4"/>
      <c r="Z3904" t="s">
        <v>47</v>
      </c>
      <c r="AA3904" t="s">
        <v>247</v>
      </c>
      <c r="AB3904" t="s">
        <v>8</v>
      </c>
      <c r="AC3904" s="21">
        <v>0.04</v>
      </c>
      <c r="AD3904" s="21" t="s">
        <v>368</v>
      </c>
      <c r="AE3904" t="str">
        <f>VLOOKUP(Table_Query_from_Actuarial___Production3[[#This Row],[Kor1]],$AI$3:$AK$105,3,FALSE)</f>
        <v>Investment Income</v>
      </c>
      <c r="AF3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5" spans="18:32" x14ac:dyDescent="0.2">
      <c r="R3905" t="s">
        <v>47</v>
      </c>
      <c r="S3905" t="s">
        <v>259</v>
      </c>
      <c r="T3905" t="s">
        <v>351</v>
      </c>
      <c r="U3905" s="21">
        <v>2162.88</v>
      </c>
      <c r="V3905" s="21" t="s">
        <v>368</v>
      </c>
      <c r="W3905" t="str">
        <f>VLOOKUP(Table_Query_from_Actuarial___Production[[#This Row],[Kor1]],$AI$3:$AK$105,3,FALSE)</f>
        <v>Investment Income</v>
      </c>
      <c r="X3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5"/>
      <c r="Z3905" t="s">
        <v>3</v>
      </c>
      <c r="AA3905" t="s">
        <v>233</v>
      </c>
      <c r="AB3905" t="s">
        <v>9</v>
      </c>
      <c r="AC3905" s="21">
        <v>690878</v>
      </c>
      <c r="AD3905" s="21" t="s">
        <v>368</v>
      </c>
      <c r="AE3905" t="str">
        <f>VLOOKUP(Table_Query_from_Actuarial___Production3[[#This Row],[Kor1]],$AI$3:$AK$105,3,FALSE)</f>
        <v>Premiums Written</v>
      </c>
      <c r="AF3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6" spans="18:32" x14ac:dyDescent="0.2">
      <c r="R3906" t="s">
        <v>3</v>
      </c>
      <c r="S3906" t="s">
        <v>354</v>
      </c>
      <c r="T3906" t="s">
        <v>445</v>
      </c>
      <c r="U3906" s="21">
        <v>802042751.28999996</v>
      </c>
      <c r="V3906" s="21" t="s">
        <v>369</v>
      </c>
      <c r="W3906" t="str">
        <f>VLOOKUP(Table_Query_from_Actuarial___Production[[#This Row],[Kor1]],$AI$3:$AK$105,3,FALSE)</f>
        <v>Premiums Written</v>
      </c>
      <c r="X3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906"/>
      <c r="Z3906" t="s">
        <v>11</v>
      </c>
      <c r="AA3906" t="s">
        <v>250</v>
      </c>
      <c r="AB3906" t="s">
        <v>441</v>
      </c>
      <c r="AC3906" s="21">
        <v>143332.29999999999</v>
      </c>
      <c r="AD3906" s="21" t="s">
        <v>368</v>
      </c>
      <c r="AE3906" t="str">
        <f>VLOOKUP(Table_Query_from_Actuarial___Production3[[#This Row],[Kor1]],$AI$3:$AK$105,3,FALSE)</f>
        <v>Losses Paid</v>
      </c>
      <c r="AF3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7" spans="18:32" x14ac:dyDescent="0.2">
      <c r="R3907" t="s">
        <v>3</v>
      </c>
      <c r="S3907" t="s">
        <v>230</v>
      </c>
      <c r="T3907" t="s">
        <v>443</v>
      </c>
      <c r="U3907" s="21">
        <v>12378472</v>
      </c>
      <c r="V3907" s="21" t="s">
        <v>368</v>
      </c>
      <c r="W3907" t="str">
        <f>VLOOKUP(Table_Query_from_Actuarial___Production[[#This Row],[Kor1]],$AI$3:$AK$105,3,FALSE)</f>
        <v>Premiums Written</v>
      </c>
      <c r="X3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7"/>
      <c r="Z3907" t="s">
        <v>12</v>
      </c>
      <c r="AA3907" t="s">
        <v>256</v>
      </c>
      <c r="AB3907" t="s">
        <v>9</v>
      </c>
      <c r="AC3907" s="21">
        <v>20.28</v>
      </c>
      <c r="AD3907" s="21" t="s">
        <v>368</v>
      </c>
      <c r="AE3907" t="str">
        <f>VLOOKUP(Table_Query_from_Actuarial___Production3[[#This Row],[Kor1]],$AI$3:$AK$105,3,FALSE)</f>
        <v>Premium Tax</v>
      </c>
      <c r="AF3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8" spans="18:32" x14ac:dyDescent="0.2">
      <c r="R3908" t="s">
        <v>11</v>
      </c>
      <c r="S3908" t="s">
        <v>264</v>
      </c>
      <c r="T3908" t="s">
        <v>433</v>
      </c>
      <c r="U3908" s="21">
        <v>1410396.98</v>
      </c>
      <c r="V3908" s="21" t="s">
        <v>368</v>
      </c>
      <c r="W3908" t="str">
        <f>VLOOKUP(Table_Query_from_Actuarial___Production[[#This Row],[Kor1]],$AI$3:$AK$105,3,FALSE)</f>
        <v>Losses Paid</v>
      </c>
      <c r="X3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8"/>
      <c r="Z3908" t="s">
        <v>49</v>
      </c>
      <c r="AA3908" t="s">
        <v>4</v>
      </c>
      <c r="AB3908" t="s">
        <v>351</v>
      </c>
      <c r="AC3908" s="21">
        <v>2612379.25</v>
      </c>
      <c r="AD3908" s="21" t="s">
        <v>368</v>
      </c>
      <c r="AE3908" t="str">
        <f>VLOOKUP(Table_Query_from_Actuarial___Production3[[#This Row],[Kor1]],$AI$3:$AK$105,3,FALSE)</f>
        <v>ALAE Paid</v>
      </c>
      <c r="AF3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09" spans="18:32" x14ac:dyDescent="0.2">
      <c r="R3909" t="s">
        <v>14</v>
      </c>
      <c r="S3909" t="s">
        <v>233</v>
      </c>
      <c r="T3909" t="s">
        <v>442</v>
      </c>
      <c r="U3909" s="21">
        <v>121287.21</v>
      </c>
      <c r="V3909" s="21" t="s">
        <v>368</v>
      </c>
      <c r="W3909" t="str">
        <f>VLOOKUP(Table_Query_from_Actuarial___Production[[#This Row],[Kor1]],$AI$3:$AK$105,3,FALSE)</f>
        <v>Claims Expense</v>
      </c>
      <c r="X3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09"/>
      <c r="Z3909" t="s">
        <v>12</v>
      </c>
      <c r="AA3909" t="s">
        <v>248</v>
      </c>
      <c r="AB3909" t="s">
        <v>442</v>
      </c>
      <c r="AC3909" s="21">
        <v>6464.25</v>
      </c>
      <c r="AD3909" s="21" t="s">
        <v>368</v>
      </c>
      <c r="AE3909" t="str">
        <f>VLOOKUP(Table_Query_from_Actuarial___Production3[[#This Row],[Kor1]],$AI$3:$AK$105,3,FALSE)</f>
        <v>Premium Tax</v>
      </c>
      <c r="AF3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0" spans="18:32" x14ac:dyDescent="0.2">
      <c r="R3910" t="s">
        <v>27</v>
      </c>
      <c r="S3910" t="s">
        <v>259</v>
      </c>
      <c r="T3910" t="s">
        <v>6</v>
      </c>
      <c r="U3910" s="21">
        <v>276.17</v>
      </c>
      <c r="V3910" s="21" t="s">
        <v>368</v>
      </c>
      <c r="W3910" t="str">
        <f>VLOOKUP(Table_Query_from_Actuarial___Production[[#This Row],[Kor1]],$AI$3:$AK$105,3,FALSE)</f>
        <v>Misc. Expense</v>
      </c>
      <c r="X3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0"/>
      <c r="Z3910" t="s">
        <v>31</v>
      </c>
      <c r="AA3910" t="s">
        <v>260</v>
      </c>
      <c r="AB3910" t="s">
        <v>443</v>
      </c>
      <c r="AC3910" s="21">
        <v>272.68</v>
      </c>
      <c r="AD3910" s="21" t="s">
        <v>368</v>
      </c>
      <c r="AE3910" t="str">
        <f>VLOOKUP(Table_Query_from_Actuarial___Production3[[#This Row],[Kor1]],$AI$3:$AK$105,3,FALSE)</f>
        <v>Misc. Expense</v>
      </c>
      <c r="AF3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1" spans="18:32" x14ac:dyDescent="0.2">
      <c r="R3911" t="s">
        <v>16</v>
      </c>
      <c r="S3911" t="s">
        <v>237</v>
      </c>
      <c r="T3911" t="s">
        <v>433</v>
      </c>
      <c r="U3911" s="21">
        <v>19351285.170000002</v>
      </c>
      <c r="V3911" s="21" t="s">
        <v>368</v>
      </c>
      <c r="W3911" t="str">
        <f>VLOOKUP(Table_Query_from_Actuarial___Production[[#This Row],[Kor1]],$AI$3:$AK$105,3,FALSE)</f>
        <v>Losses Outstanding</v>
      </c>
      <c r="X3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1"/>
      <c r="Z3911" t="s">
        <v>3</v>
      </c>
      <c r="AA3911" t="s">
        <v>246</v>
      </c>
      <c r="AB3911" t="s">
        <v>6</v>
      </c>
      <c r="AC3911" s="21">
        <v>68191</v>
      </c>
      <c r="AD3911" s="21" t="s">
        <v>368</v>
      </c>
      <c r="AE3911" t="str">
        <f>VLOOKUP(Table_Query_from_Actuarial___Production3[[#This Row],[Kor1]],$AI$3:$AK$105,3,FALSE)</f>
        <v>Premiums Written</v>
      </c>
      <c r="AF3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2" spans="18:32" x14ac:dyDescent="0.2">
      <c r="R3912" t="s">
        <v>19</v>
      </c>
      <c r="S3912" t="s">
        <v>260</v>
      </c>
      <c r="T3912" t="s">
        <v>443</v>
      </c>
      <c r="U3912" s="21">
        <v>142</v>
      </c>
      <c r="V3912" s="21" t="s">
        <v>368</v>
      </c>
      <c r="W3912" t="str">
        <f>VLOOKUP(Table_Query_from_Actuarial___Production[[#This Row],[Kor1]],$AI$3:$AK$105,3,FALSE)</f>
        <v>Misc. Expense for Insolvent Companies</v>
      </c>
      <c r="X3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2"/>
      <c r="Z3912" t="s">
        <v>13</v>
      </c>
      <c r="AA3912" t="s">
        <v>256</v>
      </c>
      <c r="AB3912" t="s">
        <v>427</v>
      </c>
      <c r="AC3912" s="21">
        <v>9194.02</v>
      </c>
      <c r="AD3912" s="21" t="s">
        <v>368</v>
      </c>
      <c r="AE3912" t="str">
        <f>VLOOKUP(Table_Query_from_Actuarial___Production3[[#This Row],[Kor1]],$AI$3:$AK$105,3,FALSE)</f>
        <v>Operating Service Fees</v>
      </c>
      <c r="AF3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3" spans="18:32" x14ac:dyDescent="0.2">
      <c r="R3913" t="s">
        <v>37</v>
      </c>
      <c r="S3913" t="s">
        <v>252</v>
      </c>
      <c r="T3913" t="s">
        <v>443</v>
      </c>
      <c r="U3913" s="21">
        <v>21241.09</v>
      </c>
      <c r="V3913" s="21" t="s">
        <v>368</v>
      </c>
      <c r="W3913" t="str">
        <f>VLOOKUP(Table_Query_from_Actuarial___Production[[#This Row],[Kor1]],$AI$3:$AK$105,3,FALSE)</f>
        <v>Misc. Expense</v>
      </c>
      <c r="X3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3"/>
      <c r="Z3913" t="s">
        <v>47</v>
      </c>
      <c r="AA3913" t="s">
        <v>267</v>
      </c>
      <c r="AB3913" t="s">
        <v>5</v>
      </c>
      <c r="AC3913" s="21">
        <v>3.84</v>
      </c>
      <c r="AD3913" s="21" t="s">
        <v>368</v>
      </c>
      <c r="AE3913" t="str">
        <f>VLOOKUP(Table_Query_from_Actuarial___Production3[[#This Row],[Kor1]],$AI$3:$AK$105,3,FALSE)</f>
        <v>Investment Income</v>
      </c>
      <c r="AF3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4" spans="18:32" x14ac:dyDescent="0.2">
      <c r="R3914" t="s">
        <v>48</v>
      </c>
      <c r="S3914" t="s">
        <v>236</v>
      </c>
      <c r="T3914" t="s">
        <v>442</v>
      </c>
      <c r="U3914" s="21">
        <v>386.19</v>
      </c>
      <c r="V3914" s="21" t="s">
        <v>368</v>
      </c>
      <c r="W3914" t="str">
        <f>VLOOKUP(Table_Query_from_Actuarial___Production[[#This Row],[Kor1]],$AI$3:$AK$105,3,FALSE)</f>
        <v>Anticipated Salvage</v>
      </c>
      <c r="X3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4"/>
      <c r="Z3914" t="s">
        <v>37</v>
      </c>
      <c r="AA3914" t="s">
        <v>243</v>
      </c>
      <c r="AB3914" t="s">
        <v>8</v>
      </c>
      <c r="AC3914" s="21">
        <v>634.36</v>
      </c>
      <c r="AD3914" s="21" t="s">
        <v>368</v>
      </c>
      <c r="AE3914" t="str">
        <f>VLOOKUP(Table_Query_from_Actuarial___Production3[[#This Row],[Kor1]],$AI$3:$AK$105,3,FALSE)</f>
        <v>Misc. Expense</v>
      </c>
      <c r="AF3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5" spans="18:32" x14ac:dyDescent="0.2">
      <c r="R3915" t="s">
        <v>20</v>
      </c>
      <c r="S3915" t="s">
        <v>257</v>
      </c>
      <c r="T3915" t="s">
        <v>9</v>
      </c>
      <c r="U3915" s="21">
        <v>2800.27</v>
      </c>
      <c r="V3915" s="21" t="s">
        <v>368</v>
      </c>
      <c r="W3915" t="str">
        <f>VLOOKUP(Table_Query_from_Actuarial___Production[[#This Row],[Kor1]],$AI$3:$AK$105,3,FALSE)</f>
        <v>Misc. Expense</v>
      </c>
      <c r="X3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5"/>
      <c r="Z3915" t="s">
        <v>47</v>
      </c>
      <c r="AA3915" t="s">
        <v>241</v>
      </c>
      <c r="AB3915" t="s">
        <v>442</v>
      </c>
      <c r="AC3915" s="21">
        <v>3696.71</v>
      </c>
      <c r="AD3915" s="21" t="s">
        <v>368</v>
      </c>
      <c r="AE3915" t="str">
        <f>VLOOKUP(Table_Query_from_Actuarial___Production3[[#This Row],[Kor1]],$AI$3:$AK$105,3,FALSE)</f>
        <v>Investment Income</v>
      </c>
      <c r="AF3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6" spans="18:32" x14ac:dyDescent="0.2">
      <c r="R3916" t="s">
        <v>31</v>
      </c>
      <c r="S3916" t="s">
        <v>228</v>
      </c>
      <c r="T3916" t="s">
        <v>8</v>
      </c>
      <c r="U3916" s="21">
        <v>43171.73</v>
      </c>
      <c r="V3916" s="21" t="s">
        <v>368</v>
      </c>
      <c r="W3916" t="str">
        <f>VLOOKUP(Table_Query_from_Actuarial___Production[[#This Row],[Kor1]],$AI$3:$AK$105,3,FALSE)</f>
        <v>Misc. Expense</v>
      </c>
      <c r="X3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6"/>
      <c r="Z3916" t="s">
        <v>3</v>
      </c>
      <c r="AA3916" t="s">
        <v>229</v>
      </c>
      <c r="AB3916" t="s">
        <v>351</v>
      </c>
      <c r="AC3916" s="21">
        <v>61614</v>
      </c>
      <c r="AD3916" s="21" t="s">
        <v>368</v>
      </c>
      <c r="AE3916" t="str">
        <f>VLOOKUP(Table_Query_from_Actuarial___Production3[[#This Row],[Kor1]],$AI$3:$AK$105,3,FALSE)</f>
        <v>Premiums Written</v>
      </c>
      <c r="AF3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7" spans="18:32" x14ac:dyDescent="0.2">
      <c r="R3917" t="s">
        <v>41</v>
      </c>
      <c r="S3917" t="s">
        <v>232</v>
      </c>
      <c r="T3917" t="s">
        <v>441</v>
      </c>
      <c r="U3917" s="21">
        <v>399.99</v>
      </c>
      <c r="V3917" s="21" t="s">
        <v>368</v>
      </c>
      <c r="W3917" t="str">
        <f>VLOOKUP(Table_Query_from_Actuarial___Production[[#This Row],[Kor1]],$AI$3:$AK$105,3,FALSE)</f>
        <v>Misc. Income</v>
      </c>
      <c r="X3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7"/>
      <c r="Z3917" t="s">
        <v>34</v>
      </c>
      <c r="AA3917" t="s">
        <v>229</v>
      </c>
      <c r="AB3917" t="s">
        <v>433</v>
      </c>
      <c r="AC3917" s="21">
        <v>1881.74</v>
      </c>
      <c r="AD3917" s="21" t="s">
        <v>368</v>
      </c>
      <c r="AE3917" t="str">
        <f>VLOOKUP(Table_Query_from_Actuarial___Production3[[#This Row],[Kor1]],$AI$3:$AK$105,3,FALSE)</f>
        <v>Misc. Expense</v>
      </c>
      <c r="AF3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8" spans="18:32" x14ac:dyDescent="0.2">
      <c r="R3918" t="s">
        <v>10</v>
      </c>
      <c r="S3918" t="s">
        <v>230</v>
      </c>
      <c r="T3918" t="s">
        <v>7</v>
      </c>
      <c r="U3918" s="21">
        <v>1050970.52</v>
      </c>
      <c r="V3918" s="21" t="s">
        <v>368</v>
      </c>
      <c r="W3918" t="str">
        <f>VLOOKUP(Table_Query_from_Actuarial___Production[[#This Row],[Kor1]],$AI$3:$AK$105,3,FALSE)</f>
        <v>Commissions</v>
      </c>
      <c r="X3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8"/>
      <c r="Z3918" t="s">
        <v>50</v>
      </c>
      <c r="AA3918" t="s">
        <v>238</v>
      </c>
      <c r="AB3918" t="s">
        <v>427</v>
      </c>
      <c r="AC3918" s="21">
        <v>28299.96</v>
      </c>
      <c r="AD3918" s="21" t="s">
        <v>368</v>
      </c>
      <c r="AE3918" t="str">
        <f>VLOOKUP(Table_Query_from_Actuarial___Production3[[#This Row],[Kor1]],$AI$3:$AK$105,3,FALSE)</f>
        <v>ALAE Reserve</v>
      </c>
      <c r="AF3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19" spans="18:32" x14ac:dyDescent="0.2">
      <c r="R3919" t="s">
        <v>41</v>
      </c>
      <c r="S3919" t="s">
        <v>241</v>
      </c>
      <c r="T3919" t="s">
        <v>9</v>
      </c>
      <c r="U3919" s="21">
        <v>450</v>
      </c>
      <c r="V3919" s="21" t="s">
        <v>368</v>
      </c>
      <c r="W3919" t="str">
        <f>VLOOKUP(Table_Query_from_Actuarial___Production[[#This Row],[Kor1]],$AI$3:$AK$105,3,FALSE)</f>
        <v>Misc. Income</v>
      </c>
      <c r="X3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19"/>
      <c r="Z3919" t="s">
        <v>39</v>
      </c>
      <c r="AA3919" t="s">
        <v>254</v>
      </c>
      <c r="AB3919" t="s">
        <v>7</v>
      </c>
      <c r="AC3919" s="21">
        <v>6</v>
      </c>
      <c r="AD3919" s="21" t="s">
        <v>368</v>
      </c>
      <c r="AE3919" t="str">
        <f>VLOOKUP(Table_Query_from_Actuarial___Production3[[#This Row],[Kor1]],$AI$3:$AK$105,3,FALSE)</f>
        <v>Misc. Income for Insolvent Companies</v>
      </c>
      <c r="AF3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0" spans="18:32" x14ac:dyDescent="0.2">
      <c r="R3920" t="s">
        <v>49</v>
      </c>
      <c r="S3920" t="s">
        <v>4</v>
      </c>
      <c r="T3920" t="s">
        <v>441</v>
      </c>
      <c r="U3920" s="21">
        <v>2144797.41</v>
      </c>
      <c r="V3920" s="21" t="s">
        <v>368</v>
      </c>
      <c r="W3920" t="str">
        <f>VLOOKUP(Table_Query_from_Actuarial___Production[[#This Row],[Kor1]],$AI$3:$AK$105,3,FALSE)</f>
        <v>ALAE Paid</v>
      </c>
      <c r="X3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0"/>
      <c r="Z3920" t="s">
        <v>3</v>
      </c>
      <c r="AA3920" t="s">
        <v>244</v>
      </c>
      <c r="AB3920" t="s">
        <v>427</v>
      </c>
      <c r="AC3920" s="21">
        <v>2405774</v>
      </c>
      <c r="AD3920" s="21" t="s">
        <v>368</v>
      </c>
      <c r="AE3920" t="str">
        <f>VLOOKUP(Table_Query_from_Actuarial___Production3[[#This Row],[Kor1]],$AI$3:$AK$105,3,FALSE)</f>
        <v>Premiums Written</v>
      </c>
      <c r="AF3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1" spans="18:32" x14ac:dyDescent="0.2">
      <c r="R3921" t="s">
        <v>48</v>
      </c>
      <c r="S3921" t="s">
        <v>224</v>
      </c>
      <c r="T3921" t="s">
        <v>445</v>
      </c>
      <c r="U3921" s="21">
        <v>2535.0100000000002</v>
      </c>
      <c r="V3921" s="21" t="s">
        <v>370</v>
      </c>
      <c r="W3921" t="str">
        <f>VLOOKUP(Table_Query_from_Actuarial___Production[[#This Row],[Kor1]],$AI$3:$AK$105,3,FALSE)</f>
        <v>Anticipated Salvage</v>
      </c>
      <c r="X3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921"/>
      <c r="Z3921" t="s">
        <v>47</v>
      </c>
      <c r="AA3921" t="s">
        <v>262</v>
      </c>
      <c r="AB3921" t="s">
        <v>6</v>
      </c>
      <c r="AC3921" s="21">
        <v>0.02</v>
      </c>
      <c r="AD3921" s="21" t="s">
        <v>368</v>
      </c>
      <c r="AE3921" t="str">
        <f>VLOOKUP(Table_Query_from_Actuarial___Production3[[#This Row],[Kor1]],$AI$3:$AK$105,3,FALSE)</f>
        <v>Investment Income</v>
      </c>
      <c r="AF3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2" spans="18:32" x14ac:dyDescent="0.2">
      <c r="R3922" t="s">
        <v>33</v>
      </c>
      <c r="S3922" t="s">
        <v>229</v>
      </c>
      <c r="T3922" t="s">
        <v>8</v>
      </c>
      <c r="U3922" s="21">
        <v>7074.15</v>
      </c>
      <c r="V3922" s="21" t="s">
        <v>368</v>
      </c>
      <c r="W3922" t="str">
        <f>VLOOKUP(Table_Query_from_Actuarial___Production[[#This Row],[Kor1]],$AI$3:$AK$105,3,FALSE)</f>
        <v>Misc. Expense</v>
      </c>
      <c r="X3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2"/>
      <c r="Z3922" t="s">
        <v>21</v>
      </c>
      <c r="AA3922" t="s">
        <v>232</v>
      </c>
      <c r="AB3922" t="s">
        <v>427</v>
      </c>
      <c r="AC3922" s="21">
        <v>1662.73</v>
      </c>
      <c r="AD3922" s="21" t="s">
        <v>368</v>
      </c>
      <c r="AE3922" t="str">
        <f>VLOOKUP(Table_Query_from_Actuarial___Production3[[#This Row],[Kor1]],$AI$3:$AK$105,3,FALSE)</f>
        <v>Misc. Expense</v>
      </c>
      <c r="AF3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3" spans="18:32" x14ac:dyDescent="0.2">
      <c r="R3923" t="s">
        <v>16</v>
      </c>
      <c r="S3923" t="s">
        <v>236</v>
      </c>
      <c r="T3923" t="s">
        <v>433</v>
      </c>
      <c r="U3923" s="21">
        <v>4966.93</v>
      </c>
      <c r="V3923" s="21" t="s">
        <v>368</v>
      </c>
      <c r="W3923" t="str">
        <f>VLOOKUP(Table_Query_from_Actuarial___Production[[#This Row],[Kor1]],$AI$3:$AK$105,3,FALSE)</f>
        <v>Losses Outstanding</v>
      </c>
      <c r="X3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3"/>
      <c r="Z3923" t="s">
        <v>132</v>
      </c>
      <c r="AA3923" t="s">
        <v>354</v>
      </c>
      <c r="AB3923" t="s">
        <v>441</v>
      </c>
      <c r="AC3923" s="21">
        <v>258708315.69999999</v>
      </c>
      <c r="AD3923" s="21" t="s">
        <v>369</v>
      </c>
      <c r="AE3923" t="str">
        <f>VLOOKUP(Table_Query_from_Actuarial___Production3[[#This Row],[Kor1]],$AI$3:$AK$105,3,FALSE)</f>
        <v>Clean Risk Subsidy</v>
      </c>
      <c r="AF3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924" spans="18:32" x14ac:dyDescent="0.2">
      <c r="R3924" t="s">
        <v>19</v>
      </c>
      <c r="S3924" t="s">
        <v>257</v>
      </c>
      <c r="T3924" t="s">
        <v>427</v>
      </c>
      <c r="U3924" s="21">
        <v>585.99</v>
      </c>
      <c r="V3924" s="21" t="s">
        <v>368</v>
      </c>
      <c r="W3924" t="str">
        <f>VLOOKUP(Table_Query_from_Actuarial___Production[[#This Row],[Kor1]],$AI$3:$AK$105,3,FALSE)</f>
        <v>Misc. Expense for Insolvent Companies</v>
      </c>
      <c r="X3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4"/>
      <c r="Z3924" t="s">
        <v>14</v>
      </c>
      <c r="AA3924" t="s">
        <v>226</v>
      </c>
      <c r="AB3924" t="s">
        <v>427</v>
      </c>
      <c r="AC3924" s="21">
        <v>474032.22</v>
      </c>
      <c r="AD3924" s="21" t="s">
        <v>368</v>
      </c>
      <c r="AE3924" t="str">
        <f>VLOOKUP(Table_Query_from_Actuarial___Production3[[#This Row],[Kor1]],$AI$3:$AK$105,3,FALSE)</f>
        <v>Claims Expense</v>
      </c>
      <c r="AF3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3925" spans="18:32" x14ac:dyDescent="0.2">
      <c r="R3925" t="s">
        <v>31</v>
      </c>
      <c r="S3925" t="s">
        <v>236</v>
      </c>
      <c r="T3925" t="s">
        <v>442</v>
      </c>
      <c r="U3925" s="21">
        <v>996.42</v>
      </c>
      <c r="V3925" s="21" t="s">
        <v>368</v>
      </c>
      <c r="W3925" t="str">
        <f>VLOOKUP(Table_Query_from_Actuarial___Production[[#This Row],[Kor1]],$AI$3:$AK$105,3,FALSE)</f>
        <v>Misc. Expense</v>
      </c>
      <c r="X3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5"/>
      <c r="Z3925" t="s">
        <v>19</v>
      </c>
      <c r="AA3925" t="s">
        <v>236</v>
      </c>
      <c r="AB3925" t="s">
        <v>7</v>
      </c>
      <c r="AC3925" s="21">
        <v>3</v>
      </c>
      <c r="AD3925" s="21" t="s">
        <v>368</v>
      </c>
      <c r="AE3925" t="str">
        <f>VLOOKUP(Table_Query_from_Actuarial___Production3[[#This Row],[Kor1]],$AI$3:$AK$105,3,FALSE)</f>
        <v>Misc. Expense for Insolvent Companies</v>
      </c>
      <c r="AF3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6" spans="18:32" x14ac:dyDescent="0.2">
      <c r="R3926" t="s">
        <v>48</v>
      </c>
      <c r="S3926" t="s">
        <v>224</v>
      </c>
      <c r="T3926" t="s">
        <v>442</v>
      </c>
      <c r="U3926" s="21">
        <v>19042.099999999999</v>
      </c>
      <c r="V3926" s="21" t="s">
        <v>368</v>
      </c>
      <c r="W3926" t="str">
        <f>VLOOKUP(Table_Query_from_Actuarial___Production[[#This Row],[Kor1]],$AI$3:$AK$105,3,FALSE)</f>
        <v>Anticipated Salvage</v>
      </c>
      <c r="X3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926"/>
      <c r="Z3926" t="s">
        <v>43</v>
      </c>
      <c r="AA3926" t="s">
        <v>234</v>
      </c>
      <c r="AB3926" t="s">
        <v>356</v>
      </c>
      <c r="AC3926" s="21">
        <v>-269.77999999999997</v>
      </c>
      <c r="AD3926" s="21" t="s">
        <v>368</v>
      </c>
      <c r="AE3926" t="str">
        <f>VLOOKUP(Table_Query_from_Actuarial___Production3[[#This Row],[Kor1]],$AI$3:$AK$105,3,FALSE)</f>
        <v>Charge-offs</v>
      </c>
      <c r="AF3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7" spans="18:32" x14ac:dyDescent="0.2">
      <c r="R3927" t="s">
        <v>20</v>
      </c>
      <c r="S3927" t="s">
        <v>4</v>
      </c>
      <c r="T3927" t="s">
        <v>356</v>
      </c>
      <c r="U3927" s="21">
        <v>4143.91</v>
      </c>
      <c r="V3927" s="21" t="s">
        <v>368</v>
      </c>
      <c r="W3927" t="str">
        <f>VLOOKUP(Table_Query_from_Actuarial___Production[[#This Row],[Kor1]],$AI$3:$AK$105,3,FALSE)</f>
        <v>Misc. Expense</v>
      </c>
      <c r="X3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7"/>
      <c r="Z3927" t="s">
        <v>44</v>
      </c>
      <c r="AA3927" t="s">
        <v>267</v>
      </c>
      <c r="AB3927" t="s">
        <v>8</v>
      </c>
      <c r="AC3927" s="21">
        <v>2553</v>
      </c>
      <c r="AD3927" s="21" t="s">
        <v>368</v>
      </c>
      <c r="AE3927" t="str">
        <f>VLOOKUP(Table_Query_from_Actuarial___Production3[[#This Row],[Kor1]],$AI$3:$AK$105,3,FALSE)</f>
        <v>Charge-offs</v>
      </c>
      <c r="AF3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28" spans="18:32" x14ac:dyDescent="0.2">
      <c r="R3928" t="s">
        <v>40</v>
      </c>
      <c r="S3928" t="s">
        <v>227</v>
      </c>
      <c r="T3928" t="s">
        <v>9</v>
      </c>
      <c r="U3928" s="21">
        <v>202</v>
      </c>
      <c r="V3928" s="21" t="s">
        <v>368</v>
      </c>
      <c r="W3928" t="str">
        <f>VLOOKUP(Table_Query_from_Actuarial___Production[[#This Row],[Kor1]],$AI$3:$AK$105,3,FALSE)</f>
        <v>Misc. Income</v>
      </c>
      <c r="X3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28"/>
      <c r="Z3928" t="s">
        <v>11</v>
      </c>
      <c r="AA3928" t="s">
        <v>224</v>
      </c>
      <c r="AB3928" t="s">
        <v>443</v>
      </c>
      <c r="AC3928" s="21">
        <v>1885.62</v>
      </c>
      <c r="AD3928" s="21" t="s">
        <v>368</v>
      </c>
      <c r="AE3928" t="str">
        <f>VLOOKUP(Table_Query_from_Actuarial___Production3[[#This Row],[Kor1]],$AI$3:$AK$105,3,FALSE)</f>
        <v>Losses Paid</v>
      </c>
      <c r="AF3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929" spans="18:32" x14ac:dyDescent="0.2">
      <c r="R3929" t="s">
        <v>48</v>
      </c>
      <c r="S3929" t="s">
        <v>224</v>
      </c>
      <c r="T3929" t="s">
        <v>443</v>
      </c>
      <c r="U3929" s="21">
        <v>267.52999999999997</v>
      </c>
      <c r="V3929" s="21" t="s">
        <v>369</v>
      </c>
      <c r="W3929" t="str">
        <f>VLOOKUP(Table_Query_from_Actuarial___Production[[#This Row],[Kor1]],$AI$3:$AK$105,3,FALSE)</f>
        <v>Anticipated Salvage</v>
      </c>
      <c r="X3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929"/>
      <c r="Z3929" t="s">
        <v>21</v>
      </c>
      <c r="AA3929" t="s">
        <v>236</v>
      </c>
      <c r="AB3929" t="s">
        <v>8</v>
      </c>
      <c r="AC3929" s="21">
        <v>172.5</v>
      </c>
      <c r="AD3929" s="21" t="s">
        <v>368</v>
      </c>
      <c r="AE3929" t="str">
        <f>VLOOKUP(Table_Query_from_Actuarial___Production3[[#This Row],[Kor1]],$AI$3:$AK$105,3,FALSE)</f>
        <v>Misc. Expense</v>
      </c>
      <c r="AF3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0" spans="18:32" x14ac:dyDescent="0.2">
      <c r="R3930" t="s">
        <v>13</v>
      </c>
      <c r="S3930" t="s">
        <v>232</v>
      </c>
      <c r="T3930" t="s">
        <v>7</v>
      </c>
      <c r="U3930" s="21">
        <v>291961.51</v>
      </c>
      <c r="V3930" s="21" t="s">
        <v>368</v>
      </c>
      <c r="W3930" t="str">
        <f>VLOOKUP(Table_Query_from_Actuarial___Production[[#This Row],[Kor1]],$AI$3:$AK$105,3,FALSE)</f>
        <v>Operating Service Fees</v>
      </c>
      <c r="X3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0"/>
      <c r="Z3930" t="s">
        <v>39</v>
      </c>
      <c r="AA3930" t="s">
        <v>265</v>
      </c>
      <c r="AB3930" t="s">
        <v>6</v>
      </c>
      <c r="AC3930" s="21">
        <v>17.64</v>
      </c>
      <c r="AD3930" s="21" t="s">
        <v>368</v>
      </c>
      <c r="AE3930" t="str">
        <f>VLOOKUP(Table_Query_from_Actuarial___Production3[[#This Row],[Kor1]],$AI$3:$AK$105,3,FALSE)</f>
        <v>Misc. Income for Insolvent Companies</v>
      </c>
      <c r="AF3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1" spans="18:32" x14ac:dyDescent="0.2">
      <c r="R3931" t="s">
        <v>11</v>
      </c>
      <c r="S3931" t="s">
        <v>237</v>
      </c>
      <c r="T3931" t="s">
        <v>8</v>
      </c>
      <c r="U3931" s="21">
        <v>12987406.939999999</v>
      </c>
      <c r="V3931" s="21" t="s">
        <v>368</v>
      </c>
      <c r="W3931" t="str">
        <f>VLOOKUP(Table_Query_from_Actuarial___Production[[#This Row],[Kor1]],$AI$3:$AK$105,3,FALSE)</f>
        <v>Losses Paid</v>
      </c>
      <c r="X3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1"/>
      <c r="Z3931" t="s">
        <v>14</v>
      </c>
      <c r="AA3931" t="s">
        <v>225</v>
      </c>
      <c r="AB3931" t="s">
        <v>427</v>
      </c>
      <c r="AC3931" s="21">
        <v>77170</v>
      </c>
      <c r="AD3931" s="21" t="s">
        <v>368</v>
      </c>
      <c r="AE3931" t="str">
        <f>VLOOKUP(Table_Query_from_Actuarial___Production3[[#This Row],[Kor1]],$AI$3:$AK$105,3,FALSE)</f>
        <v>Claims Expense</v>
      </c>
      <c r="AF3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932" spans="18:32" x14ac:dyDescent="0.2">
      <c r="R3932" t="s">
        <v>12</v>
      </c>
      <c r="S3932" t="s">
        <v>237</v>
      </c>
      <c r="T3932" t="s">
        <v>445</v>
      </c>
      <c r="U3932" s="21">
        <v>552553.43000000005</v>
      </c>
      <c r="V3932" s="21" t="s">
        <v>368</v>
      </c>
      <c r="W3932" t="str">
        <f>VLOOKUP(Table_Query_from_Actuarial___Production[[#This Row],[Kor1]],$AI$3:$AK$105,3,FALSE)</f>
        <v>Premium Tax</v>
      </c>
      <c r="X3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2"/>
      <c r="Z3932" t="s">
        <v>36</v>
      </c>
      <c r="AA3932" t="s">
        <v>252</v>
      </c>
      <c r="AB3932" t="s">
        <v>427</v>
      </c>
      <c r="AC3932" s="21">
        <v>449652.24</v>
      </c>
      <c r="AD3932" s="21" t="s">
        <v>368</v>
      </c>
      <c r="AE3932" t="str">
        <f>VLOOKUP(Table_Query_from_Actuarial___Production3[[#This Row],[Kor1]],$AI$3:$AK$105,3,FALSE)</f>
        <v>Misc. Expense</v>
      </c>
      <c r="AF3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3" spans="18:32" x14ac:dyDescent="0.2">
      <c r="R3933" t="s">
        <v>49</v>
      </c>
      <c r="S3933" t="s">
        <v>261</v>
      </c>
      <c r="T3933" t="s">
        <v>6</v>
      </c>
      <c r="U3933" s="21">
        <v>77001.67</v>
      </c>
      <c r="V3933" s="21" t="s">
        <v>368</v>
      </c>
      <c r="W3933" t="str">
        <f>VLOOKUP(Table_Query_from_Actuarial___Production[[#This Row],[Kor1]],$AI$3:$AK$105,3,FALSE)</f>
        <v>ALAE Paid</v>
      </c>
      <c r="X3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3"/>
      <c r="Z3933" t="s">
        <v>47</v>
      </c>
      <c r="AA3933" t="s">
        <v>259</v>
      </c>
      <c r="AB3933" t="s">
        <v>351</v>
      </c>
      <c r="AC3933" s="21">
        <v>2162.88</v>
      </c>
      <c r="AD3933" s="21" t="s">
        <v>368</v>
      </c>
      <c r="AE3933" t="str">
        <f>VLOOKUP(Table_Query_from_Actuarial___Production3[[#This Row],[Kor1]],$AI$3:$AK$105,3,FALSE)</f>
        <v>Investment Income</v>
      </c>
      <c r="AF3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4" spans="18:32" x14ac:dyDescent="0.2">
      <c r="R3934" t="s">
        <v>12</v>
      </c>
      <c r="S3934" t="s">
        <v>265</v>
      </c>
      <c r="T3934" t="s">
        <v>443</v>
      </c>
      <c r="U3934" s="21">
        <v>14774.38</v>
      </c>
      <c r="V3934" s="21" t="s">
        <v>368</v>
      </c>
      <c r="W3934" t="str">
        <f>VLOOKUP(Table_Query_from_Actuarial___Production[[#This Row],[Kor1]],$AI$3:$AK$105,3,FALSE)</f>
        <v>Premium Tax</v>
      </c>
      <c r="X3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4"/>
      <c r="Z3934" t="s">
        <v>3</v>
      </c>
      <c r="AA3934" t="s">
        <v>230</v>
      </c>
      <c r="AB3934" t="s">
        <v>443</v>
      </c>
      <c r="AC3934" s="21">
        <v>5410315</v>
      </c>
      <c r="AD3934" s="21" t="s">
        <v>368</v>
      </c>
      <c r="AE3934" t="str">
        <f>VLOOKUP(Table_Query_from_Actuarial___Production3[[#This Row],[Kor1]],$AI$3:$AK$105,3,FALSE)</f>
        <v>Premiums Written</v>
      </c>
      <c r="AF3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5" spans="18:32" x14ac:dyDescent="0.2">
      <c r="R3935" t="s">
        <v>39</v>
      </c>
      <c r="S3935" t="s">
        <v>253</v>
      </c>
      <c r="T3935" t="s">
        <v>445</v>
      </c>
      <c r="U3935" s="21">
        <v>230.62</v>
      </c>
      <c r="V3935" s="21" t="s">
        <v>368</v>
      </c>
      <c r="W3935" t="str">
        <f>VLOOKUP(Table_Query_from_Actuarial___Production[[#This Row],[Kor1]],$AI$3:$AK$105,3,FALSE)</f>
        <v>Misc. Income for Insolvent Companies</v>
      </c>
      <c r="X3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5"/>
      <c r="Z3935" t="s">
        <v>11</v>
      </c>
      <c r="AA3935" t="s">
        <v>264</v>
      </c>
      <c r="AB3935" t="s">
        <v>433</v>
      </c>
      <c r="AC3935" s="21">
        <v>1400547.03</v>
      </c>
      <c r="AD3935" s="21" t="s">
        <v>368</v>
      </c>
      <c r="AE3935" t="str">
        <f>VLOOKUP(Table_Query_from_Actuarial___Production3[[#This Row],[Kor1]],$AI$3:$AK$105,3,FALSE)</f>
        <v>Losses Paid</v>
      </c>
      <c r="AF3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6" spans="18:32" x14ac:dyDescent="0.2">
      <c r="R3936" t="s">
        <v>3</v>
      </c>
      <c r="S3936" t="s">
        <v>229</v>
      </c>
      <c r="T3936" t="s">
        <v>441</v>
      </c>
      <c r="U3936" s="21">
        <v>76826</v>
      </c>
      <c r="V3936" s="21" t="s">
        <v>368</v>
      </c>
      <c r="W3936" t="str">
        <f>VLOOKUP(Table_Query_from_Actuarial___Production[[#This Row],[Kor1]],$AI$3:$AK$105,3,FALSE)</f>
        <v>Premiums Written</v>
      </c>
      <c r="X3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6"/>
      <c r="Z3936" t="s">
        <v>14</v>
      </c>
      <c r="AA3936" t="s">
        <v>233</v>
      </c>
      <c r="AB3936" t="s">
        <v>442</v>
      </c>
      <c r="AC3936" s="21">
        <v>110111.54</v>
      </c>
      <c r="AD3936" s="21" t="s">
        <v>368</v>
      </c>
      <c r="AE3936" t="str">
        <f>VLOOKUP(Table_Query_from_Actuarial___Production3[[#This Row],[Kor1]],$AI$3:$AK$105,3,FALSE)</f>
        <v>Claims Expense</v>
      </c>
      <c r="AF3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7" spans="18:32" x14ac:dyDescent="0.2">
      <c r="R3937" t="s">
        <v>20</v>
      </c>
      <c r="S3937" t="s">
        <v>248</v>
      </c>
      <c r="T3937" t="s">
        <v>9</v>
      </c>
      <c r="U3937" s="21">
        <v>779.46</v>
      </c>
      <c r="V3937" s="21" t="s">
        <v>368</v>
      </c>
      <c r="W3937" t="str">
        <f>VLOOKUP(Table_Query_from_Actuarial___Production[[#This Row],[Kor1]],$AI$3:$AK$105,3,FALSE)</f>
        <v>Misc. Expense</v>
      </c>
      <c r="X3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7"/>
      <c r="Z3937" t="s">
        <v>27</v>
      </c>
      <c r="AA3937" t="s">
        <v>259</v>
      </c>
      <c r="AB3937" t="s">
        <v>6</v>
      </c>
      <c r="AC3937" s="21">
        <v>276.17</v>
      </c>
      <c r="AD3937" s="21" t="s">
        <v>368</v>
      </c>
      <c r="AE3937" t="str">
        <f>VLOOKUP(Table_Query_from_Actuarial___Production3[[#This Row],[Kor1]],$AI$3:$AK$105,3,FALSE)</f>
        <v>Misc. Expense</v>
      </c>
      <c r="AF3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8" spans="18:32" x14ac:dyDescent="0.2">
      <c r="R3938" t="s">
        <v>11</v>
      </c>
      <c r="S3938" t="s">
        <v>224</v>
      </c>
      <c r="T3938" t="s">
        <v>6</v>
      </c>
      <c r="U3938" s="21">
        <v>98148.74</v>
      </c>
      <c r="V3938" s="21" t="s">
        <v>369</v>
      </c>
      <c r="W3938" t="str">
        <f>VLOOKUP(Table_Query_from_Actuarial___Production[[#This Row],[Kor1]],$AI$3:$AK$105,3,FALSE)</f>
        <v>Losses Paid</v>
      </c>
      <c r="X3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938"/>
      <c r="Z3938" t="s">
        <v>16</v>
      </c>
      <c r="AA3938" t="s">
        <v>237</v>
      </c>
      <c r="AB3938" t="s">
        <v>433</v>
      </c>
      <c r="AC3938" s="21">
        <v>25127596.629999999</v>
      </c>
      <c r="AD3938" s="21" t="s">
        <v>368</v>
      </c>
      <c r="AE3938" t="str">
        <f>VLOOKUP(Table_Query_from_Actuarial___Production3[[#This Row],[Kor1]],$AI$3:$AK$105,3,FALSE)</f>
        <v>Losses Outstanding</v>
      </c>
      <c r="AF3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39" spans="18:32" x14ac:dyDescent="0.2">
      <c r="R3939" t="s">
        <v>21</v>
      </c>
      <c r="S3939" t="s">
        <v>262</v>
      </c>
      <c r="T3939" t="s">
        <v>441</v>
      </c>
      <c r="U3939" s="21">
        <v>526.74</v>
      </c>
      <c r="V3939" s="21" t="s">
        <v>368</v>
      </c>
      <c r="W3939" t="str">
        <f>VLOOKUP(Table_Query_from_Actuarial___Production[[#This Row],[Kor1]],$AI$3:$AK$105,3,FALSE)</f>
        <v>Misc. Expense</v>
      </c>
      <c r="X3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39"/>
      <c r="Z3939" t="s">
        <v>37</v>
      </c>
      <c r="AA3939" t="s">
        <v>252</v>
      </c>
      <c r="AB3939" t="s">
        <v>443</v>
      </c>
      <c r="AC3939" s="21">
        <v>-5287.21</v>
      </c>
      <c r="AD3939" s="21" t="s">
        <v>368</v>
      </c>
      <c r="AE3939" t="str">
        <f>VLOOKUP(Table_Query_from_Actuarial___Production3[[#This Row],[Kor1]],$AI$3:$AK$105,3,FALSE)</f>
        <v>Misc. Expense</v>
      </c>
      <c r="AF3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0" spans="18:32" x14ac:dyDescent="0.2">
      <c r="R3940" t="s">
        <v>17</v>
      </c>
      <c r="S3940" t="s">
        <v>241</v>
      </c>
      <c r="T3940" t="s">
        <v>445</v>
      </c>
      <c r="U3940" s="21">
        <v>41281.82</v>
      </c>
      <c r="V3940" s="21" t="s">
        <v>368</v>
      </c>
      <c r="W3940" t="str">
        <f>VLOOKUP(Table_Query_from_Actuarial___Production[[#This Row],[Kor1]],$AI$3:$AK$105,3,FALSE)</f>
        <v>IBNR</v>
      </c>
      <c r="X3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0"/>
      <c r="Z3940" t="s">
        <v>48</v>
      </c>
      <c r="AA3940" t="s">
        <v>236</v>
      </c>
      <c r="AB3940" t="s">
        <v>442</v>
      </c>
      <c r="AC3940" s="21">
        <v>414.9</v>
      </c>
      <c r="AD3940" s="21" t="s">
        <v>368</v>
      </c>
      <c r="AE3940" t="str">
        <f>VLOOKUP(Table_Query_from_Actuarial___Production3[[#This Row],[Kor1]],$AI$3:$AK$105,3,FALSE)</f>
        <v>Anticipated Salvage</v>
      </c>
      <c r="AF3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1" spans="18:32" x14ac:dyDescent="0.2">
      <c r="R3941" t="s">
        <v>11</v>
      </c>
      <c r="S3941" t="s">
        <v>225</v>
      </c>
      <c r="T3941" t="s">
        <v>6</v>
      </c>
      <c r="U3941" s="21">
        <v>2555266.2400000002</v>
      </c>
      <c r="V3941" s="21" t="s">
        <v>368</v>
      </c>
      <c r="W3941" t="str">
        <f>VLOOKUP(Table_Query_from_Actuarial___Production[[#This Row],[Kor1]],$AI$3:$AK$105,3,FALSE)</f>
        <v>Losses Paid</v>
      </c>
      <c r="X3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3941"/>
      <c r="Z3941" t="s">
        <v>20</v>
      </c>
      <c r="AA3941" t="s">
        <v>257</v>
      </c>
      <c r="AB3941" t="s">
        <v>9</v>
      </c>
      <c r="AC3941" s="21">
        <v>2800.27</v>
      </c>
      <c r="AD3941" s="21" t="s">
        <v>368</v>
      </c>
      <c r="AE3941" t="str">
        <f>VLOOKUP(Table_Query_from_Actuarial___Production3[[#This Row],[Kor1]],$AI$3:$AK$105,3,FALSE)</f>
        <v>Misc. Expense</v>
      </c>
      <c r="AF3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2" spans="18:32" x14ac:dyDescent="0.2">
      <c r="R3942" t="s">
        <v>11</v>
      </c>
      <c r="S3942" t="s">
        <v>263</v>
      </c>
      <c r="T3942" t="s">
        <v>7</v>
      </c>
      <c r="U3942" s="21">
        <v>406493.46</v>
      </c>
      <c r="V3942" s="21" t="s">
        <v>368</v>
      </c>
      <c r="W3942" t="str">
        <f>VLOOKUP(Table_Query_from_Actuarial___Production[[#This Row],[Kor1]],$AI$3:$AK$105,3,FALSE)</f>
        <v>Losses Paid</v>
      </c>
      <c r="X3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2"/>
      <c r="Z3942" t="s">
        <v>31</v>
      </c>
      <c r="AA3942" t="s">
        <v>228</v>
      </c>
      <c r="AB3942" t="s">
        <v>8</v>
      </c>
      <c r="AC3942" s="21">
        <v>43171.73</v>
      </c>
      <c r="AD3942" s="21" t="s">
        <v>368</v>
      </c>
      <c r="AE3942" t="str">
        <f>VLOOKUP(Table_Query_from_Actuarial___Production3[[#This Row],[Kor1]],$AI$3:$AK$105,3,FALSE)</f>
        <v>Misc. Expense</v>
      </c>
      <c r="AF3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3" spans="18:32" x14ac:dyDescent="0.2">
      <c r="R3943" t="s">
        <v>33</v>
      </c>
      <c r="S3943" t="s">
        <v>254</v>
      </c>
      <c r="T3943" t="s">
        <v>356</v>
      </c>
      <c r="U3943" s="21">
        <v>14932.73</v>
      </c>
      <c r="V3943" s="21" t="s">
        <v>368</v>
      </c>
      <c r="W3943" t="str">
        <f>VLOOKUP(Table_Query_from_Actuarial___Production[[#This Row],[Kor1]],$AI$3:$AK$105,3,FALSE)</f>
        <v>Misc. Expense</v>
      </c>
      <c r="X3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3"/>
      <c r="Z3943" t="s">
        <v>41</v>
      </c>
      <c r="AA3943" t="s">
        <v>232</v>
      </c>
      <c r="AB3943" t="s">
        <v>441</v>
      </c>
      <c r="AC3943" s="21">
        <v>399.99</v>
      </c>
      <c r="AD3943" s="21" t="s">
        <v>368</v>
      </c>
      <c r="AE3943" t="str">
        <f>VLOOKUP(Table_Query_from_Actuarial___Production3[[#This Row],[Kor1]],$AI$3:$AK$105,3,FALSE)</f>
        <v>Misc. Income</v>
      </c>
      <c r="AF3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4" spans="18:32" x14ac:dyDescent="0.2">
      <c r="R3944" t="s">
        <v>41</v>
      </c>
      <c r="S3944" t="s">
        <v>251</v>
      </c>
      <c r="T3944" t="s">
        <v>351</v>
      </c>
      <c r="U3944" s="21">
        <v>150</v>
      </c>
      <c r="V3944" s="21" t="s">
        <v>368</v>
      </c>
      <c r="W3944" t="str">
        <f>VLOOKUP(Table_Query_from_Actuarial___Production[[#This Row],[Kor1]],$AI$3:$AK$105,3,FALSE)</f>
        <v>Misc. Income</v>
      </c>
      <c r="X3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4"/>
      <c r="Z3944" t="s">
        <v>10</v>
      </c>
      <c r="AA3944" t="s">
        <v>230</v>
      </c>
      <c r="AB3944" t="s">
        <v>7</v>
      </c>
      <c r="AC3944" s="21">
        <v>1050970.52</v>
      </c>
      <c r="AD3944" s="21" t="s">
        <v>368</v>
      </c>
      <c r="AE3944" t="str">
        <f>VLOOKUP(Table_Query_from_Actuarial___Production3[[#This Row],[Kor1]],$AI$3:$AK$105,3,FALSE)</f>
        <v>Commissions</v>
      </c>
      <c r="AF3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5" spans="18:32" x14ac:dyDescent="0.2">
      <c r="R3945" t="s">
        <v>47</v>
      </c>
      <c r="S3945" t="s">
        <v>242</v>
      </c>
      <c r="T3945" t="s">
        <v>441</v>
      </c>
      <c r="U3945" s="21">
        <v>38.93</v>
      </c>
      <c r="V3945" s="21" t="s">
        <v>368</v>
      </c>
      <c r="W3945" t="str">
        <f>VLOOKUP(Table_Query_from_Actuarial___Production[[#This Row],[Kor1]],$AI$3:$AK$105,3,FALSE)</f>
        <v>Investment Income</v>
      </c>
      <c r="X3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5"/>
      <c r="Z3945" t="s">
        <v>41</v>
      </c>
      <c r="AA3945" t="s">
        <v>241</v>
      </c>
      <c r="AB3945" t="s">
        <v>9</v>
      </c>
      <c r="AC3945" s="21">
        <v>450</v>
      </c>
      <c r="AD3945" s="21" t="s">
        <v>368</v>
      </c>
      <c r="AE3945" t="str">
        <f>VLOOKUP(Table_Query_from_Actuarial___Production3[[#This Row],[Kor1]],$AI$3:$AK$105,3,FALSE)</f>
        <v>Misc. Income</v>
      </c>
      <c r="AF3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6" spans="18:32" x14ac:dyDescent="0.2">
      <c r="R3946" t="s">
        <v>21</v>
      </c>
      <c r="S3946" t="s">
        <v>256</v>
      </c>
      <c r="T3946" t="s">
        <v>6</v>
      </c>
      <c r="U3946" s="21">
        <v>714</v>
      </c>
      <c r="V3946" s="21" t="s">
        <v>368</v>
      </c>
      <c r="W3946" t="str">
        <f>VLOOKUP(Table_Query_from_Actuarial___Production[[#This Row],[Kor1]],$AI$3:$AK$105,3,FALSE)</f>
        <v>Misc. Expense</v>
      </c>
      <c r="X3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6"/>
      <c r="Z3946" t="s">
        <v>49</v>
      </c>
      <c r="AA3946" t="s">
        <v>4</v>
      </c>
      <c r="AB3946" t="s">
        <v>441</v>
      </c>
      <c r="AC3946" s="21">
        <v>748251.83</v>
      </c>
      <c r="AD3946" s="21" t="s">
        <v>368</v>
      </c>
      <c r="AE3946" t="str">
        <f>VLOOKUP(Table_Query_from_Actuarial___Production3[[#This Row],[Kor1]],$AI$3:$AK$105,3,FALSE)</f>
        <v>ALAE Paid</v>
      </c>
      <c r="AF3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7" spans="18:32" x14ac:dyDescent="0.2">
      <c r="R3947" t="s">
        <v>43</v>
      </c>
      <c r="S3947" t="s">
        <v>256</v>
      </c>
      <c r="T3947" t="s">
        <v>351</v>
      </c>
      <c r="U3947" s="21">
        <v>3153.15</v>
      </c>
      <c r="V3947" s="21" t="s">
        <v>368</v>
      </c>
      <c r="W3947" t="str">
        <f>VLOOKUP(Table_Query_from_Actuarial___Production[[#This Row],[Kor1]],$AI$3:$AK$105,3,FALSE)</f>
        <v>Charge-offs</v>
      </c>
      <c r="X3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7"/>
      <c r="Z3947" t="s">
        <v>33</v>
      </c>
      <c r="AA3947" t="s">
        <v>229</v>
      </c>
      <c r="AB3947" t="s">
        <v>8</v>
      </c>
      <c r="AC3947" s="21">
        <v>7074.15</v>
      </c>
      <c r="AD3947" s="21" t="s">
        <v>368</v>
      </c>
      <c r="AE3947" t="str">
        <f>VLOOKUP(Table_Query_from_Actuarial___Production3[[#This Row],[Kor1]],$AI$3:$AK$105,3,FALSE)</f>
        <v>Misc. Expense</v>
      </c>
      <c r="AF3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8" spans="18:32" x14ac:dyDescent="0.2">
      <c r="R3948" t="s">
        <v>11</v>
      </c>
      <c r="S3948" t="s">
        <v>224</v>
      </c>
      <c r="T3948" t="s">
        <v>9</v>
      </c>
      <c r="U3948" s="21">
        <v>817308.16000000003</v>
      </c>
      <c r="V3948" s="21" t="s">
        <v>370</v>
      </c>
      <c r="W3948" t="str">
        <f>VLOOKUP(Table_Query_from_Actuarial___Production[[#This Row],[Kor1]],$AI$3:$AK$105,3,FALSE)</f>
        <v>Losses Paid</v>
      </c>
      <c r="X3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3948"/>
      <c r="Z3948" t="s">
        <v>16</v>
      </c>
      <c r="AA3948" t="s">
        <v>236</v>
      </c>
      <c r="AB3948" t="s">
        <v>433</v>
      </c>
      <c r="AC3948" s="21">
        <v>4250.51</v>
      </c>
      <c r="AD3948" s="21" t="s">
        <v>368</v>
      </c>
      <c r="AE3948" t="str">
        <f>VLOOKUP(Table_Query_from_Actuarial___Production3[[#This Row],[Kor1]],$AI$3:$AK$105,3,FALSE)</f>
        <v>Losses Outstanding</v>
      </c>
      <c r="AF3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49" spans="18:32" x14ac:dyDescent="0.2">
      <c r="R3949" t="s">
        <v>50</v>
      </c>
      <c r="S3949" t="s">
        <v>252</v>
      </c>
      <c r="T3949" t="s">
        <v>442</v>
      </c>
      <c r="U3949" s="21">
        <v>3899437.25</v>
      </c>
      <c r="V3949" s="21" t="s">
        <v>368</v>
      </c>
      <c r="W3949" t="str">
        <f>VLOOKUP(Table_Query_from_Actuarial___Production[[#This Row],[Kor1]],$AI$3:$AK$105,3,FALSE)</f>
        <v>ALAE Reserve</v>
      </c>
      <c r="X3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49"/>
      <c r="Z3949" t="s">
        <v>19</v>
      </c>
      <c r="AA3949" t="s">
        <v>257</v>
      </c>
      <c r="AB3949" t="s">
        <v>427</v>
      </c>
      <c r="AC3949" s="21">
        <v>585.99</v>
      </c>
      <c r="AD3949" s="21" t="s">
        <v>368</v>
      </c>
      <c r="AE3949" t="str">
        <f>VLOOKUP(Table_Query_from_Actuarial___Production3[[#This Row],[Kor1]],$AI$3:$AK$105,3,FALSE)</f>
        <v>Misc. Expense for Insolvent Companies</v>
      </c>
      <c r="AF3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0" spans="18:32" x14ac:dyDescent="0.2">
      <c r="R3950" t="s">
        <v>20</v>
      </c>
      <c r="S3950" t="s">
        <v>263</v>
      </c>
      <c r="T3950" t="s">
        <v>427</v>
      </c>
      <c r="U3950" s="21">
        <v>85.11</v>
      </c>
      <c r="V3950" s="21" t="s">
        <v>368</v>
      </c>
      <c r="W3950" t="str">
        <f>VLOOKUP(Table_Query_from_Actuarial___Production[[#This Row],[Kor1]],$AI$3:$AK$105,3,FALSE)</f>
        <v>Misc. Expense</v>
      </c>
      <c r="X3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0"/>
      <c r="Z3950" t="s">
        <v>20</v>
      </c>
      <c r="AA3950" t="s">
        <v>250</v>
      </c>
      <c r="AB3950" t="s">
        <v>5</v>
      </c>
      <c r="AC3950" s="21">
        <v>483.97</v>
      </c>
      <c r="AD3950" s="21" t="s">
        <v>368</v>
      </c>
      <c r="AE3950" t="str">
        <f>VLOOKUP(Table_Query_from_Actuarial___Production3[[#This Row],[Kor1]],$AI$3:$AK$105,3,FALSE)</f>
        <v>Misc. Expense</v>
      </c>
      <c r="AF3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1" spans="18:32" x14ac:dyDescent="0.2">
      <c r="R3951" t="s">
        <v>48</v>
      </c>
      <c r="S3951" t="s">
        <v>243</v>
      </c>
      <c r="T3951" t="s">
        <v>441</v>
      </c>
      <c r="U3951" s="21">
        <v>1771.31</v>
      </c>
      <c r="V3951" s="21" t="s">
        <v>368</v>
      </c>
      <c r="W3951" t="str">
        <f>VLOOKUP(Table_Query_from_Actuarial___Production[[#This Row],[Kor1]],$AI$3:$AK$105,3,FALSE)</f>
        <v>Anticipated Salvage</v>
      </c>
      <c r="X3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1"/>
      <c r="Z3951" t="s">
        <v>31</v>
      </c>
      <c r="AA3951" t="s">
        <v>236</v>
      </c>
      <c r="AB3951" t="s">
        <v>442</v>
      </c>
      <c r="AC3951" s="21">
        <v>996.42</v>
      </c>
      <c r="AD3951" s="21" t="s">
        <v>368</v>
      </c>
      <c r="AE3951" t="str">
        <f>VLOOKUP(Table_Query_from_Actuarial___Production3[[#This Row],[Kor1]],$AI$3:$AK$105,3,FALSE)</f>
        <v>Misc. Expense</v>
      </c>
      <c r="AF3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2" spans="18:32" x14ac:dyDescent="0.2">
      <c r="R3952" t="s">
        <v>3</v>
      </c>
      <c r="S3952" t="s">
        <v>229</v>
      </c>
      <c r="T3952" t="s">
        <v>433</v>
      </c>
      <c r="U3952" s="21">
        <v>149951</v>
      </c>
      <c r="V3952" s="21" t="s">
        <v>368</v>
      </c>
      <c r="W3952" t="str">
        <f>VLOOKUP(Table_Query_from_Actuarial___Production[[#This Row],[Kor1]],$AI$3:$AK$105,3,FALSE)</f>
        <v>Premiums Written</v>
      </c>
      <c r="X3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2"/>
      <c r="Z3952" t="s">
        <v>48</v>
      </c>
      <c r="AA3952" t="s">
        <v>224</v>
      </c>
      <c r="AB3952" t="s">
        <v>442</v>
      </c>
      <c r="AC3952" s="21">
        <v>53547.47</v>
      </c>
      <c r="AD3952" s="21" t="s">
        <v>368</v>
      </c>
      <c r="AE3952" t="str">
        <f>VLOOKUP(Table_Query_from_Actuarial___Production3[[#This Row],[Kor1]],$AI$3:$AK$105,3,FALSE)</f>
        <v>Anticipated Salvage</v>
      </c>
      <c r="AF3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3953" spans="18:32" x14ac:dyDescent="0.2">
      <c r="R3953" t="s">
        <v>14</v>
      </c>
      <c r="S3953" t="s">
        <v>227</v>
      </c>
      <c r="T3953" t="s">
        <v>8</v>
      </c>
      <c r="U3953" s="21">
        <v>1636.77</v>
      </c>
      <c r="V3953" s="21" t="s">
        <v>368</v>
      </c>
      <c r="W3953" t="str">
        <f>VLOOKUP(Table_Query_from_Actuarial___Production[[#This Row],[Kor1]],$AI$3:$AK$105,3,FALSE)</f>
        <v>Claims Expense</v>
      </c>
      <c r="X3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3"/>
      <c r="Z3953" t="s">
        <v>20</v>
      </c>
      <c r="AA3953" t="s">
        <v>4</v>
      </c>
      <c r="AB3953" t="s">
        <v>356</v>
      </c>
      <c r="AC3953" s="21">
        <v>4143.91</v>
      </c>
      <c r="AD3953" s="21" t="s">
        <v>368</v>
      </c>
      <c r="AE3953" t="str">
        <f>VLOOKUP(Table_Query_from_Actuarial___Production3[[#This Row],[Kor1]],$AI$3:$AK$105,3,FALSE)</f>
        <v>Misc. Expense</v>
      </c>
      <c r="AF3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4" spans="18:32" x14ac:dyDescent="0.2">
      <c r="R3954" t="s">
        <v>3</v>
      </c>
      <c r="S3954" t="s">
        <v>246</v>
      </c>
      <c r="T3954" t="s">
        <v>445</v>
      </c>
      <c r="U3954" s="21">
        <v>226248</v>
      </c>
      <c r="V3954" s="21" t="s">
        <v>368</v>
      </c>
      <c r="W3954" t="str">
        <f>VLOOKUP(Table_Query_from_Actuarial___Production[[#This Row],[Kor1]],$AI$3:$AK$105,3,FALSE)</f>
        <v>Premiums Written</v>
      </c>
      <c r="X3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4"/>
      <c r="Z3954" t="s">
        <v>40</v>
      </c>
      <c r="AA3954" t="s">
        <v>227</v>
      </c>
      <c r="AB3954" t="s">
        <v>9</v>
      </c>
      <c r="AC3954" s="21">
        <v>202</v>
      </c>
      <c r="AD3954" s="21" t="s">
        <v>368</v>
      </c>
      <c r="AE3954" t="str">
        <f>VLOOKUP(Table_Query_from_Actuarial___Production3[[#This Row],[Kor1]],$AI$3:$AK$105,3,FALSE)</f>
        <v>Misc. Income</v>
      </c>
      <c r="AF3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5" spans="18:32" x14ac:dyDescent="0.2">
      <c r="R3955" t="s">
        <v>48</v>
      </c>
      <c r="S3955" t="s">
        <v>267</v>
      </c>
      <c r="T3955" t="s">
        <v>445</v>
      </c>
      <c r="U3955" s="21">
        <v>344.79</v>
      </c>
      <c r="V3955" s="21" t="s">
        <v>368</v>
      </c>
      <c r="W3955" t="str">
        <f>VLOOKUP(Table_Query_from_Actuarial___Production[[#This Row],[Kor1]],$AI$3:$AK$105,3,FALSE)</f>
        <v>Anticipated Salvage</v>
      </c>
      <c r="X3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5"/>
      <c r="Z3955" t="s">
        <v>48</v>
      </c>
      <c r="AA3955" t="s">
        <v>224</v>
      </c>
      <c r="AB3955" t="s">
        <v>443</v>
      </c>
      <c r="AC3955" s="21">
        <v>54.32</v>
      </c>
      <c r="AD3955" s="21" t="s">
        <v>369</v>
      </c>
      <c r="AE3955" t="str">
        <f>VLOOKUP(Table_Query_from_Actuarial___Production3[[#This Row],[Kor1]],$AI$3:$AK$105,3,FALSE)</f>
        <v>Anticipated Salvage</v>
      </c>
      <c r="AF3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956" spans="18:32" x14ac:dyDescent="0.2">
      <c r="R3956" t="s">
        <v>10</v>
      </c>
      <c r="S3956" t="s">
        <v>262</v>
      </c>
      <c r="T3956" t="s">
        <v>433</v>
      </c>
      <c r="U3956" s="21">
        <v>15740.8</v>
      </c>
      <c r="V3956" s="21" t="s">
        <v>368</v>
      </c>
      <c r="W3956" t="str">
        <f>VLOOKUP(Table_Query_from_Actuarial___Production[[#This Row],[Kor1]],$AI$3:$AK$105,3,FALSE)</f>
        <v>Commissions</v>
      </c>
      <c r="X3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6"/>
      <c r="Z3956" t="s">
        <v>13</v>
      </c>
      <c r="AA3956" t="s">
        <v>232</v>
      </c>
      <c r="AB3956" t="s">
        <v>7</v>
      </c>
      <c r="AC3956" s="21">
        <v>291961.51</v>
      </c>
      <c r="AD3956" s="21" t="s">
        <v>368</v>
      </c>
      <c r="AE3956" t="str">
        <f>VLOOKUP(Table_Query_from_Actuarial___Production3[[#This Row],[Kor1]],$AI$3:$AK$105,3,FALSE)</f>
        <v>Operating Service Fees</v>
      </c>
      <c r="AF3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7" spans="18:32" x14ac:dyDescent="0.2">
      <c r="R3957" t="s">
        <v>21</v>
      </c>
      <c r="S3957" t="s">
        <v>258</v>
      </c>
      <c r="T3957" t="s">
        <v>9</v>
      </c>
      <c r="U3957" s="21">
        <v>7967.91</v>
      </c>
      <c r="V3957" s="21" t="s">
        <v>368</v>
      </c>
      <c r="W3957" t="str">
        <f>VLOOKUP(Table_Query_from_Actuarial___Production[[#This Row],[Kor1]],$AI$3:$AK$105,3,FALSE)</f>
        <v>Misc. Expense</v>
      </c>
      <c r="X3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7"/>
      <c r="Z3957" t="s">
        <v>11</v>
      </c>
      <c r="AA3957" t="s">
        <v>237</v>
      </c>
      <c r="AB3957" t="s">
        <v>8</v>
      </c>
      <c r="AC3957" s="21">
        <v>12962406.939999999</v>
      </c>
      <c r="AD3957" s="21" t="s">
        <v>368</v>
      </c>
      <c r="AE3957" t="str">
        <f>VLOOKUP(Table_Query_from_Actuarial___Production3[[#This Row],[Kor1]],$AI$3:$AK$105,3,FALSE)</f>
        <v>Losses Paid</v>
      </c>
      <c r="AF3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8" spans="18:32" x14ac:dyDescent="0.2">
      <c r="R3958" t="s">
        <v>39</v>
      </c>
      <c r="S3958" t="s">
        <v>260</v>
      </c>
      <c r="T3958" t="s">
        <v>445</v>
      </c>
      <c r="U3958" s="21">
        <v>444.22</v>
      </c>
      <c r="V3958" s="21" t="s">
        <v>368</v>
      </c>
      <c r="W3958" t="str">
        <f>VLOOKUP(Table_Query_from_Actuarial___Production[[#This Row],[Kor1]],$AI$3:$AK$105,3,FALSE)</f>
        <v>Misc. Income for Insolvent Companies</v>
      </c>
      <c r="X3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58"/>
      <c r="Z3958" t="s">
        <v>49</v>
      </c>
      <c r="AA3958" t="s">
        <v>261</v>
      </c>
      <c r="AB3958" t="s">
        <v>6</v>
      </c>
      <c r="AC3958" s="21">
        <v>77001.67</v>
      </c>
      <c r="AD3958" s="21" t="s">
        <v>368</v>
      </c>
      <c r="AE3958" t="str">
        <f>VLOOKUP(Table_Query_from_Actuarial___Production3[[#This Row],[Kor1]],$AI$3:$AK$105,3,FALSE)</f>
        <v>ALAE Paid</v>
      </c>
      <c r="AF3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59" spans="18:32" x14ac:dyDescent="0.2">
      <c r="R3959" t="s">
        <v>38</v>
      </c>
      <c r="S3959" t="s">
        <v>224</v>
      </c>
      <c r="T3959" t="s">
        <v>427</v>
      </c>
      <c r="U3959" s="21">
        <v>3442.2</v>
      </c>
      <c r="V3959" s="21" t="s">
        <v>425</v>
      </c>
      <c r="W3959" t="str">
        <f>VLOOKUP(Table_Query_from_Actuarial___Production[[#This Row],[Kor1]],$AI$3:$AK$105,3,FALSE)</f>
        <v>Misc. Income</v>
      </c>
      <c r="X3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959"/>
      <c r="Z3959" t="s">
        <v>12</v>
      </c>
      <c r="AA3959" t="s">
        <v>265</v>
      </c>
      <c r="AB3959" t="s">
        <v>443</v>
      </c>
      <c r="AC3959" s="21">
        <v>1892.44</v>
      </c>
      <c r="AD3959" s="21" t="s">
        <v>368</v>
      </c>
      <c r="AE3959" t="str">
        <f>VLOOKUP(Table_Query_from_Actuarial___Production3[[#This Row],[Kor1]],$AI$3:$AK$105,3,FALSE)</f>
        <v>Premium Tax</v>
      </c>
      <c r="AF3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0" spans="18:32" x14ac:dyDescent="0.2">
      <c r="R3960" t="s">
        <v>41</v>
      </c>
      <c r="S3960" t="s">
        <v>266</v>
      </c>
      <c r="T3960" t="s">
        <v>7</v>
      </c>
      <c r="U3960" s="21">
        <v>250</v>
      </c>
      <c r="V3960" s="21" t="s">
        <v>368</v>
      </c>
      <c r="W3960" t="str">
        <f>VLOOKUP(Table_Query_from_Actuarial___Production[[#This Row],[Kor1]],$AI$3:$AK$105,3,FALSE)</f>
        <v>Misc. Income</v>
      </c>
      <c r="X3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0"/>
      <c r="Z3960" t="s">
        <v>3</v>
      </c>
      <c r="AA3960" t="s">
        <v>229</v>
      </c>
      <c r="AB3960" t="s">
        <v>441</v>
      </c>
      <c r="AC3960" s="21">
        <v>76826</v>
      </c>
      <c r="AD3960" s="21" t="s">
        <v>368</v>
      </c>
      <c r="AE3960" t="str">
        <f>VLOOKUP(Table_Query_from_Actuarial___Production3[[#This Row],[Kor1]],$AI$3:$AK$105,3,FALSE)</f>
        <v>Premiums Written</v>
      </c>
      <c r="AF3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1" spans="18:32" x14ac:dyDescent="0.2">
      <c r="R3961" t="s">
        <v>31</v>
      </c>
      <c r="S3961" t="s">
        <v>257</v>
      </c>
      <c r="T3961" t="s">
        <v>441</v>
      </c>
      <c r="U3961" s="21">
        <v>1029.48</v>
      </c>
      <c r="V3961" s="21" t="s">
        <v>368</v>
      </c>
      <c r="W3961" t="str">
        <f>VLOOKUP(Table_Query_from_Actuarial___Production[[#This Row],[Kor1]],$AI$3:$AK$105,3,FALSE)</f>
        <v>Misc. Expense</v>
      </c>
      <c r="X3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1"/>
      <c r="Z3961" t="s">
        <v>20</v>
      </c>
      <c r="AA3961" t="s">
        <v>248</v>
      </c>
      <c r="AB3961" t="s">
        <v>9</v>
      </c>
      <c r="AC3961" s="21">
        <v>779.46</v>
      </c>
      <c r="AD3961" s="21" t="s">
        <v>368</v>
      </c>
      <c r="AE3961" t="str">
        <f>VLOOKUP(Table_Query_from_Actuarial___Production3[[#This Row],[Kor1]],$AI$3:$AK$105,3,FALSE)</f>
        <v>Misc. Expense</v>
      </c>
      <c r="AF3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2" spans="18:32" x14ac:dyDescent="0.2">
      <c r="R3962" t="s">
        <v>38</v>
      </c>
      <c r="S3962" t="s">
        <v>354</v>
      </c>
      <c r="T3962" t="s">
        <v>356</v>
      </c>
      <c r="U3962" s="21">
        <v>174794.97</v>
      </c>
      <c r="V3962" s="21" t="s">
        <v>369</v>
      </c>
      <c r="W3962" t="str">
        <f>VLOOKUP(Table_Query_from_Actuarial___Production[[#This Row],[Kor1]],$AI$3:$AK$105,3,FALSE)</f>
        <v>Misc. Income</v>
      </c>
      <c r="X3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962"/>
      <c r="Z3962" t="s">
        <v>11</v>
      </c>
      <c r="AA3962" t="s">
        <v>224</v>
      </c>
      <c r="AB3962" t="s">
        <v>6</v>
      </c>
      <c r="AC3962" s="21">
        <v>98148.74</v>
      </c>
      <c r="AD3962" s="21" t="s">
        <v>369</v>
      </c>
      <c r="AE3962" t="str">
        <f>VLOOKUP(Table_Query_from_Actuarial___Production3[[#This Row],[Kor1]],$AI$3:$AK$105,3,FALSE)</f>
        <v>Losses Paid</v>
      </c>
      <c r="AF3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963" spans="18:32" x14ac:dyDescent="0.2">
      <c r="R3963" t="s">
        <v>18</v>
      </c>
      <c r="S3963" t="s">
        <v>354</v>
      </c>
      <c r="T3963" t="s">
        <v>433</v>
      </c>
      <c r="U3963" s="21">
        <v>883598.71</v>
      </c>
      <c r="V3963" s="21" t="s">
        <v>368</v>
      </c>
      <c r="W3963" t="str">
        <f>VLOOKUP(Table_Query_from_Actuarial___Production[[#This Row],[Kor1]],$AI$3:$AK$105,3,FALSE)</f>
        <v>Misc. Expense</v>
      </c>
      <c r="X3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3963"/>
      <c r="Z3963" t="s">
        <v>21</v>
      </c>
      <c r="AA3963" t="s">
        <v>262</v>
      </c>
      <c r="AB3963" t="s">
        <v>441</v>
      </c>
      <c r="AC3963" s="21">
        <v>526.74</v>
      </c>
      <c r="AD3963" s="21" t="s">
        <v>368</v>
      </c>
      <c r="AE3963" t="str">
        <f>VLOOKUP(Table_Query_from_Actuarial___Production3[[#This Row],[Kor1]],$AI$3:$AK$105,3,FALSE)</f>
        <v>Misc. Expense</v>
      </c>
      <c r="AF3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4" spans="18:32" x14ac:dyDescent="0.2">
      <c r="R3964" t="s">
        <v>12</v>
      </c>
      <c r="S3964" t="s">
        <v>237</v>
      </c>
      <c r="T3964" t="s">
        <v>6</v>
      </c>
      <c r="U3964" s="21">
        <v>34029.75</v>
      </c>
      <c r="V3964" s="21" t="s">
        <v>368</v>
      </c>
      <c r="W3964" t="str">
        <f>VLOOKUP(Table_Query_from_Actuarial___Production[[#This Row],[Kor1]],$AI$3:$AK$105,3,FALSE)</f>
        <v>Premium Tax</v>
      </c>
      <c r="X3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4"/>
      <c r="Z3964" t="s">
        <v>11</v>
      </c>
      <c r="AA3964" t="s">
        <v>225</v>
      </c>
      <c r="AB3964" t="s">
        <v>6</v>
      </c>
      <c r="AC3964" s="21">
        <v>2555266.2400000002</v>
      </c>
      <c r="AD3964" s="21" t="s">
        <v>368</v>
      </c>
      <c r="AE3964" t="str">
        <f>VLOOKUP(Table_Query_from_Actuarial___Production3[[#This Row],[Kor1]],$AI$3:$AK$105,3,FALSE)</f>
        <v>Losses Paid</v>
      </c>
      <c r="AF3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3965" spans="18:32" x14ac:dyDescent="0.2">
      <c r="R3965" t="s">
        <v>13</v>
      </c>
      <c r="S3965" t="s">
        <v>258</v>
      </c>
      <c r="T3965" t="s">
        <v>7</v>
      </c>
      <c r="U3965" s="21">
        <v>520057.82</v>
      </c>
      <c r="V3965" s="21" t="s">
        <v>368</v>
      </c>
      <c r="W3965" t="str">
        <f>VLOOKUP(Table_Query_from_Actuarial___Production[[#This Row],[Kor1]],$AI$3:$AK$105,3,FALSE)</f>
        <v>Operating Service Fees</v>
      </c>
      <c r="X3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5"/>
      <c r="Z3965" t="s">
        <v>11</v>
      </c>
      <c r="AA3965" t="s">
        <v>263</v>
      </c>
      <c r="AB3965" t="s">
        <v>7</v>
      </c>
      <c r="AC3965" s="21">
        <v>416279.46</v>
      </c>
      <c r="AD3965" s="21" t="s">
        <v>368</v>
      </c>
      <c r="AE3965" t="str">
        <f>VLOOKUP(Table_Query_from_Actuarial___Production3[[#This Row],[Kor1]],$AI$3:$AK$105,3,FALSE)</f>
        <v>Losses Paid</v>
      </c>
      <c r="AF3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6" spans="18:32" x14ac:dyDescent="0.2">
      <c r="R3966" t="s">
        <v>17</v>
      </c>
      <c r="S3966" t="s">
        <v>224</v>
      </c>
      <c r="T3966" t="s">
        <v>441</v>
      </c>
      <c r="U3966" s="21">
        <v>405.44</v>
      </c>
      <c r="V3966" s="21" t="s">
        <v>425</v>
      </c>
      <c r="W3966" t="str">
        <f>VLOOKUP(Table_Query_from_Actuarial___Production[[#This Row],[Kor1]],$AI$3:$AK$105,3,FALSE)</f>
        <v>IBNR</v>
      </c>
      <c r="X3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966"/>
      <c r="Z3966" t="s">
        <v>33</v>
      </c>
      <c r="AA3966" t="s">
        <v>254</v>
      </c>
      <c r="AB3966" t="s">
        <v>356</v>
      </c>
      <c r="AC3966" s="21">
        <v>14932.73</v>
      </c>
      <c r="AD3966" s="21" t="s">
        <v>368</v>
      </c>
      <c r="AE3966" t="str">
        <f>VLOOKUP(Table_Query_from_Actuarial___Production3[[#This Row],[Kor1]],$AI$3:$AK$105,3,FALSE)</f>
        <v>Misc. Expense</v>
      </c>
      <c r="AF3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7" spans="18:32" x14ac:dyDescent="0.2">
      <c r="R3967" t="s">
        <v>3</v>
      </c>
      <c r="S3967" t="s">
        <v>254</v>
      </c>
      <c r="T3967" t="s">
        <v>351</v>
      </c>
      <c r="U3967" s="21">
        <v>2653582</v>
      </c>
      <c r="V3967" s="21" t="s">
        <v>368</v>
      </c>
      <c r="W3967" t="str">
        <f>VLOOKUP(Table_Query_from_Actuarial___Production[[#This Row],[Kor1]],$AI$3:$AK$105,3,FALSE)</f>
        <v>Premiums Written</v>
      </c>
      <c r="X3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7"/>
      <c r="Z3967" t="s">
        <v>41</v>
      </c>
      <c r="AA3967" t="s">
        <v>251</v>
      </c>
      <c r="AB3967" t="s">
        <v>351</v>
      </c>
      <c r="AC3967" s="21">
        <v>150</v>
      </c>
      <c r="AD3967" s="21" t="s">
        <v>368</v>
      </c>
      <c r="AE3967" t="str">
        <f>VLOOKUP(Table_Query_from_Actuarial___Production3[[#This Row],[Kor1]],$AI$3:$AK$105,3,FALSE)</f>
        <v>Misc. Income</v>
      </c>
      <c r="AF3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8" spans="18:32" x14ac:dyDescent="0.2">
      <c r="R3968" t="s">
        <v>37</v>
      </c>
      <c r="S3968" t="s">
        <v>240</v>
      </c>
      <c r="T3968" t="s">
        <v>8</v>
      </c>
      <c r="U3968" s="21">
        <v>2214</v>
      </c>
      <c r="V3968" s="21" t="s">
        <v>368</v>
      </c>
      <c r="W3968" t="str">
        <f>VLOOKUP(Table_Query_from_Actuarial___Production[[#This Row],[Kor1]],$AI$3:$AK$105,3,FALSE)</f>
        <v>Misc. Expense</v>
      </c>
      <c r="X3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8"/>
      <c r="Z3968" t="s">
        <v>47</v>
      </c>
      <c r="AA3968" t="s">
        <v>242</v>
      </c>
      <c r="AB3968" t="s">
        <v>441</v>
      </c>
      <c r="AC3968" s="21">
        <v>38.93</v>
      </c>
      <c r="AD3968" s="21" t="s">
        <v>368</v>
      </c>
      <c r="AE3968" t="str">
        <f>VLOOKUP(Table_Query_from_Actuarial___Production3[[#This Row],[Kor1]],$AI$3:$AK$105,3,FALSE)</f>
        <v>Investment Income</v>
      </c>
      <c r="AF3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69" spans="18:32" x14ac:dyDescent="0.2">
      <c r="R3969" t="s">
        <v>47</v>
      </c>
      <c r="S3969" t="s">
        <v>243</v>
      </c>
      <c r="T3969" t="s">
        <v>7</v>
      </c>
      <c r="U3969" s="21">
        <v>0.01</v>
      </c>
      <c r="V3969" s="21" t="s">
        <v>368</v>
      </c>
      <c r="W3969" t="str">
        <f>VLOOKUP(Table_Query_from_Actuarial___Production[[#This Row],[Kor1]],$AI$3:$AK$105,3,FALSE)</f>
        <v>Investment Income</v>
      </c>
      <c r="X3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69"/>
      <c r="Z3969" t="s">
        <v>21</v>
      </c>
      <c r="AA3969" t="s">
        <v>256</v>
      </c>
      <c r="AB3969" t="s">
        <v>6</v>
      </c>
      <c r="AC3969" s="21">
        <v>714</v>
      </c>
      <c r="AD3969" s="21" t="s">
        <v>368</v>
      </c>
      <c r="AE3969" t="str">
        <f>VLOOKUP(Table_Query_from_Actuarial___Production3[[#This Row],[Kor1]],$AI$3:$AK$105,3,FALSE)</f>
        <v>Misc. Expense</v>
      </c>
      <c r="AF3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0" spans="18:32" x14ac:dyDescent="0.2">
      <c r="R3970" t="s">
        <v>33</v>
      </c>
      <c r="S3970" t="s">
        <v>253</v>
      </c>
      <c r="T3970" t="s">
        <v>7</v>
      </c>
      <c r="U3970" s="21">
        <v>11233.01</v>
      </c>
      <c r="V3970" s="21" t="s">
        <v>368</v>
      </c>
      <c r="W3970" t="str">
        <f>VLOOKUP(Table_Query_from_Actuarial___Production[[#This Row],[Kor1]],$AI$3:$AK$105,3,FALSE)</f>
        <v>Misc. Expense</v>
      </c>
      <c r="X3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0"/>
      <c r="Z3970" t="s">
        <v>77</v>
      </c>
      <c r="AA3970" t="s">
        <v>267</v>
      </c>
      <c r="AB3970" t="s">
        <v>442</v>
      </c>
      <c r="AC3970" s="21">
        <v>12796</v>
      </c>
      <c r="AD3970" s="21" t="s">
        <v>368</v>
      </c>
      <c r="AE3970" t="str">
        <f>VLOOKUP(Table_Query_from_Actuarial___Production3[[#This Row],[Kor1]],$AI$3:$AK$105,3,FALSE)</f>
        <v>PDR</v>
      </c>
      <c r="AF3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1" spans="18:32" x14ac:dyDescent="0.2">
      <c r="R3971" t="s">
        <v>47</v>
      </c>
      <c r="S3971" t="s">
        <v>252</v>
      </c>
      <c r="T3971" t="s">
        <v>8</v>
      </c>
      <c r="U3971" s="21">
        <v>0.42</v>
      </c>
      <c r="V3971" s="21" t="s">
        <v>368</v>
      </c>
      <c r="W3971" t="str">
        <f>VLOOKUP(Table_Query_from_Actuarial___Production[[#This Row],[Kor1]],$AI$3:$AK$105,3,FALSE)</f>
        <v>Investment Income</v>
      </c>
      <c r="X3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1"/>
      <c r="Z3971" t="s">
        <v>43</v>
      </c>
      <c r="AA3971" t="s">
        <v>256</v>
      </c>
      <c r="AB3971" t="s">
        <v>351</v>
      </c>
      <c r="AC3971" s="21">
        <v>3153.15</v>
      </c>
      <c r="AD3971" s="21" t="s">
        <v>368</v>
      </c>
      <c r="AE3971" t="str">
        <f>VLOOKUP(Table_Query_from_Actuarial___Production3[[#This Row],[Kor1]],$AI$3:$AK$105,3,FALSE)</f>
        <v>Charge-offs</v>
      </c>
      <c r="AF3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2" spans="18:32" x14ac:dyDescent="0.2">
      <c r="R3972" t="s">
        <v>19</v>
      </c>
      <c r="S3972" t="s">
        <v>4</v>
      </c>
      <c r="T3972" t="s">
        <v>433</v>
      </c>
      <c r="U3972" s="21">
        <v>142549.6</v>
      </c>
      <c r="V3972" s="21" t="s">
        <v>368</v>
      </c>
      <c r="W3972" t="str">
        <f>VLOOKUP(Table_Query_from_Actuarial___Production[[#This Row],[Kor1]],$AI$3:$AK$105,3,FALSE)</f>
        <v>Misc. Expense for Insolvent Companies</v>
      </c>
      <c r="X3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2"/>
      <c r="Z3972" t="s">
        <v>11</v>
      </c>
      <c r="AA3972" t="s">
        <v>224</v>
      </c>
      <c r="AB3972" t="s">
        <v>9</v>
      </c>
      <c r="AC3972" s="21">
        <v>817308.16000000003</v>
      </c>
      <c r="AD3972" s="21" t="s">
        <v>370</v>
      </c>
      <c r="AE3972" t="str">
        <f>VLOOKUP(Table_Query_from_Actuarial___Production3[[#This Row],[Kor1]],$AI$3:$AK$105,3,FALSE)</f>
        <v>Losses Paid</v>
      </c>
      <c r="AF3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3973" spans="18:32" x14ac:dyDescent="0.2">
      <c r="R3973" t="s">
        <v>41</v>
      </c>
      <c r="S3973" t="s">
        <v>243</v>
      </c>
      <c r="T3973" t="s">
        <v>442</v>
      </c>
      <c r="U3973" s="21">
        <v>50</v>
      </c>
      <c r="V3973" s="21" t="s">
        <v>368</v>
      </c>
      <c r="W3973" t="str">
        <f>VLOOKUP(Table_Query_from_Actuarial___Production[[#This Row],[Kor1]],$AI$3:$AK$105,3,FALSE)</f>
        <v>Misc. Income</v>
      </c>
      <c r="X3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3"/>
      <c r="Z3973" t="s">
        <v>50</v>
      </c>
      <c r="AA3973" t="s">
        <v>247</v>
      </c>
      <c r="AB3973" t="s">
        <v>427</v>
      </c>
      <c r="AC3973" s="21">
        <v>70.66</v>
      </c>
      <c r="AD3973" s="21" t="s">
        <v>368</v>
      </c>
      <c r="AE3973" t="str">
        <f>VLOOKUP(Table_Query_from_Actuarial___Production3[[#This Row],[Kor1]],$AI$3:$AK$105,3,FALSE)</f>
        <v>ALAE Reserve</v>
      </c>
      <c r="AF3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4" spans="18:32" x14ac:dyDescent="0.2">
      <c r="R3974" t="s">
        <v>11</v>
      </c>
      <c r="S3974" t="s">
        <v>224</v>
      </c>
      <c r="T3974" t="s">
        <v>7</v>
      </c>
      <c r="U3974" s="21">
        <v>729887.56</v>
      </c>
      <c r="V3974" s="21" t="s">
        <v>368</v>
      </c>
      <c r="W3974" t="str">
        <f>VLOOKUP(Table_Query_from_Actuarial___Production[[#This Row],[Kor1]],$AI$3:$AK$105,3,FALSE)</f>
        <v>Losses Paid</v>
      </c>
      <c r="X3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3974"/>
      <c r="Z3974" t="s">
        <v>50</v>
      </c>
      <c r="AA3974" t="s">
        <v>252</v>
      </c>
      <c r="AB3974" t="s">
        <v>442</v>
      </c>
      <c r="AC3974" s="21">
        <v>2877953.05</v>
      </c>
      <c r="AD3974" s="21" t="s">
        <v>368</v>
      </c>
      <c r="AE3974" t="str">
        <f>VLOOKUP(Table_Query_from_Actuarial___Production3[[#This Row],[Kor1]],$AI$3:$AK$105,3,FALSE)</f>
        <v>ALAE Reserve</v>
      </c>
      <c r="AF3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5" spans="18:32" x14ac:dyDescent="0.2">
      <c r="R3975" t="s">
        <v>21</v>
      </c>
      <c r="S3975" t="s">
        <v>243</v>
      </c>
      <c r="T3975" t="s">
        <v>9</v>
      </c>
      <c r="U3975" s="21">
        <v>606.01</v>
      </c>
      <c r="V3975" s="21" t="s">
        <v>368</v>
      </c>
      <c r="W3975" t="str">
        <f>VLOOKUP(Table_Query_from_Actuarial___Production[[#This Row],[Kor1]],$AI$3:$AK$105,3,FALSE)</f>
        <v>Misc. Expense</v>
      </c>
      <c r="X3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5"/>
      <c r="Z3975" t="s">
        <v>20</v>
      </c>
      <c r="AA3975" t="s">
        <v>263</v>
      </c>
      <c r="AB3975" t="s">
        <v>427</v>
      </c>
      <c r="AC3975" s="21">
        <v>85.11</v>
      </c>
      <c r="AD3975" s="21" t="s">
        <v>368</v>
      </c>
      <c r="AE3975" t="str">
        <f>VLOOKUP(Table_Query_from_Actuarial___Production3[[#This Row],[Kor1]],$AI$3:$AK$105,3,FALSE)</f>
        <v>Misc. Expense</v>
      </c>
      <c r="AF3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6" spans="18:32" x14ac:dyDescent="0.2">
      <c r="R3976" t="s">
        <v>44</v>
      </c>
      <c r="S3976" t="s">
        <v>238</v>
      </c>
      <c r="T3976" t="s">
        <v>8</v>
      </c>
      <c r="U3976" s="21">
        <v>1846</v>
      </c>
      <c r="V3976" s="21" t="s">
        <v>368</v>
      </c>
      <c r="W3976" t="str">
        <f>VLOOKUP(Table_Query_from_Actuarial___Production[[#This Row],[Kor1]],$AI$3:$AK$105,3,FALSE)</f>
        <v>Charge-offs</v>
      </c>
      <c r="X3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6"/>
      <c r="Z3976" t="s">
        <v>48</v>
      </c>
      <c r="AA3976" t="s">
        <v>243</v>
      </c>
      <c r="AB3976" t="s">
        <v>441</v>
      </c>
      <c r="AC3976" s="21">
        <v>371.22</v>
      </c>
      <c r="AD3976" s="21" t="s">
        <v>368</v>
      </c>
      <c r="AE3976" t="str">
        <f>VLOOKUP(Table_Query_from_Actuarial___Production3[[#This Row],[Kor1]],$AI$3:$AK$105,3,FALSE)</f>
        <v>Anticipated Salvage</v>
      </c>
      <c r="AF3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7" spans="18:32" x14ac:dyDescent="0.2">
      <c r="R3977" t="s">
        <v>49</v>
      </c>
      <c r="S3977" t="s">
        <v>240</v>
      </c>
      <c r="T3977" t="s">
        <v>433</v>
      </c>
      <c r="U3977" s="21">
        <v>146582.73000000001</v>
      </c>
      <c r="V3977" s="21" t="s">
        <v>368</v>
      </c>
      <c r="W3977" t="str">
        <f>VLOOKUP(Table_Query_from_Actuarial___Production[[#This Row],[Kor1]],$AI$3:$AK$105,3,FALSE)</f>
        <v>ALAE Paid</v>
      </c>
      <c r="X3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7"/>
      <c r="Z3977" t="s">
        <v>3</v>
      </c>
      <c r="AA3977" t="s">
        <v>229</v>
      </c>
      <c r="AB3977" t="s">
        <v>433</v>
      </c>
      <c r="AC3977" s="21">
        <v>149951</v>
      </c>
      <c r="AD3977" s="21" t="s">
        <v>368</v>
      </c>
      <c r="AE3977" t="str">
        <f>VLOOKUP(Table_Query_from_Actuarial___Production3[[#This Row],[Kor1]],$AI$3:$AK$105,3,FALSE)</f>
        <v>Premiums Written</v>
      </c>
      <c r="AF3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8" spans="18:32" x14ac:dyDescent="0.2">
      <c r="R3978" t="s">
        <v>12</v>
      </c>
      <c r="S3978" t="s">
        <v>265</v>
      </c>
      <c r="T3978" t="s">
        <v>427</v>
      </c>
      <c r="U3978" s="21">
        <v>22631.22</v>
      </c>
      <c r="V3978" s="21" t="s">
        <v>368</v>
      </c>
      <c r="W3978" t="str">
        <f>VLOOKUP(Table_Query_from_Actuarial___Production[[#This Row],[Kor1]],$AI$3:$AK$105,3,FALSE)</f>
        <v>Premium Tax</v>
      </c>
      <c r="X3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78"/>
      <c r="Z3978" t="s">
        <v>14</v>
      </c>
      <c r="AA3978" t="s">
        <v>227</v>
      </c>
      <c r="AB3978" t="s">
        <v>8</v>
      </c>
      <c r="AC3978" s="21">
        <v>1636.77</v>
      </c>
      <c r="AD3978" s="21" t="s">
        <v>368</v>
      </c>
      <c r="AE3978" t="str">
        <f>VLOOKUP(Table_Query_from_Actuarial___Production3[[#This Row],[Kor1]],$AI$3:$AK$105,3,FALSE)</f>
        <v>Claims Expense</v>
      </c>
      <c r="AF3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79" spans="18:32" x14ac:dyDescent="0.2">
      <c r="R3979" t="s">
        <v>3</v>
      </c>
      <c r="S3979" t="s">
        <v>354</v>
      </c>
      <c r="T3979" t="s">
        <v>6</v>
      </c>
      <c r="U3979" s="21">
        <v>779033090.12</v>
      </c>
      <c r="V3979" s="21" t="s">
        <v>369</v>
      </c>
      <c r="W3979" t="str">
        <f>VLOOKUP(Table_Query_from_Actuarial___Production[[#This Row],[Kor1]],$AI$3:$AK$105,3,FALSE)</f>
        <v>Premiums Written</v>
      </c>
      <c r="X3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979"/>
      <c r="Z3979" t="s">
        <v>10</v>
      </c>
      <c r="AA3979" t="s">
        <v>262</v>
      </c>
      <c r="AB3979" t="s">
        <v>433</v>
      </c>
      <c r="AC3979" s="21">
        <v>15740.8</v>
      </c>
      <c r="AD3979" s="21" t="s">
        <v>368</v>
      </c>
      <c r="AE3979" t="str">
        <f>VLOOKUP(Table_Query_from_Actuarial___Production3[[#This Row],[Kor1]],$AI$3:$AK$105,3,FALSE)</f>
        <v>Commissions</v>
      </c>
      <c r="AF3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0" spans="18:32" x14ac:dyDescent="0.2">
      <c r="R3980" t="s">
        <v>34</v>
      </c>
      <c r="S3980" t="s">
        <v>242</v>
      </c>
      <c r="T3980" t="s">
        <v>442</v>
      </c>
      <c r="U3980" s="21">
        <v>1144.1099999999999</v>
      </c>
      <c r="V3980" s="21" t="s">
        <v>368</v>
      </c>
      <c r="W3980" t="str">
        <f>VLOOKUP(Table_Query_from_Actuarial___Production[[#This Row],[Kor1]],$AI$3:$AK$105,3,FALSE)</f>
        <v>Misc. Expense</v>
      </c>
      <c r="X3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0"/>
      <c r="Z3980" t="s">
        <v>21</v>
      </c>
      <c r="AA3980" t="s">
        <v>258</v>
      </c>
      <c r="AB3980" t="s">
        <v>9</v>
      </c>
      <c r="AC3980" s="21">
        <v>7967.91</v>
      </c>
      <c r="AD3980" s="21" t="s">
        <v>368</v>
      </c>
      <c r="AE3980" t="str">
        <f>VLOOKUP(Table_Query_from_Actuarial___Production3[[#This Row],[Kor1]],$AI$3:$AK$105,3,FALSE)</f>
        <v>Misc. Expense</v>
      </c>
      <c r="AF3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1" spans="18:32" x14ac:dyDescent="0.2">
      <c r="R3981" t="s">
        <v>47</v>
      </c>
      <c r="S3981" t="s">
        <v>266</v>
      </c>
      <c r="T3981" t="s">
        <v>356</v>
      </c>
      <c r="U3981" s="21">
        <v>1716.87</v>
      </c>
      <c r="V3981" s="21" t="s">
        <v>368</v>
      </c>
      <c r="W3981" t="str">
        <f>VLOOKUP(Table_Query_from_Actuarial___Production[[#This Row],[Kor1]],$AI$3:$AK$105,3,FALSE)</f>
        <v>Investment Income</v>
      </c>
      <c r="X3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1"/>
      <c r="Z3981" t="s">
        <v>38</v>
      </c>
      <c r="AA3981" t="s">
        <v>224</v>
      </c>
      <c r="AB3981" t="s">
        <v>427</v>
      </c>
      <c r="AC3981" s="21">
        <v>3442.2</v>
      </c>
      <c r="AD3981" s="21" t="s">
        <v>425</v>
      </c>
      <c r="AE3981" t="str">
        <f>VLOOKUP(Table_Query_from_Actuarial___Production3[[#This Row],[Kor1]],$AI$3:$AK$105,3,FALSE)</f>
        <v>Misc. Income</v>
      </c>
      <c r="AF3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982" spans="18:32" x14ac:dyDescent="0.2">
      <c r="R3982" t="s">
        <v>13</v>
      </c>
      <c r="S3982" t="s">
        <v>224</v>
      </c>
      <c r="T3982" t="s">
        <v>8</v>
      </c>
      <c r="U3982" s="21">
        <v>10398.08</v>
      </c>
      <c r="V3982" s="21" t="s">
        <v>425</v>
      </c>
      <c r="W3982" t="str">
        <f>VLOOKUP(Table_Query_from_Actuarial___Production[[#This Row],[Kor1]],$AI$3:$AK$105,3,FALSE)</f>
        <v>Operating Service Fees</v>
      </c>
      <c r="X3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3982"/>
      <c r="Z3982" t="s">
        <v>41</v>
      </c>
      <c r="AA3982" t="s">
        <v>266</v>
      </c>
      <c r="AB3982" t="s">
        <v>7</v>
      </c>
      <c r="AC3982" s="21">
        <v>250</v>
      </c>
      <c r="AD3982" s="21" t="s">
        <v>368</v>
      </c>
      <c r="AE3982" t="str">
        <f>VLOOKUP(Table_Query_from_Actuarial___Production3[[#This Row],[Kor1]],$AI$3:$AK$105,3,FALSE)</f>
        <v>Misc. Income</v>
      </c>
      <c r="AF3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3" spans="18:32" x14ac:dyDescent="0.2">
      <c r="R3983" t="s">
        <v>3</v>
      </c>
      <c r="S3983" t="s">
        <v>242</v>
      </c>
      <c r="T3983" t="s">
        <v>8</v>
      </c>
      <c r="U3983" s="21">
        <v>270608</v>
      </c>
      <c r="V3983" s="21" t="s">
        <v>368</v>
      </c>
      <c r="W3983" t="str">
        <f>VLOOKUP(Table_Query_from_Actuarial___Production[[#This Row],[Kor1]],$AI$3:$AK$105,3,FALSE)</f>
        <v>Premiums Written</v>
      </c>
      <c r="X3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3"/>
      <c r="Z3983" t="s">
        <v>31</v>
      </c>
      <c r="AA3983" t="s">
        <v>257</v>
      </c>
      <c r="AB3983" t="s">
        <v>441</v>
      </c>
      <c r="AC3983" s="21">
        <v>1029.48</v>
      </c>
      <c r="AD3983" s="21" t="s">
        <v>368</v>
      </c>
      <c r="AE3983" t="str">
        <f>VLOOKUP(Table_Query_from_Actuarial___Production3[[#This Row],[Kor1]],$AI$3:$AK$105,3,FALSE)</f>
        <v>Misc. Expense</v>
      </c>
      <c r="AF3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4" spans="18:32" x14ac:dyDescent="0.2">
      <c r="R3984" t="s">
        <v>31</v>
      </c>
      <c r="S3984" t="s">
        <v>258</v>
      </c>
      <c r="T3984" t="s">
        <v>443</v>
      </c>
      <c r="U3984" s="21">
        <v>1595.54</v>
      </c>
      <c r="V3984" s="21" t="s">
        <v>368</v>
      </c>
      <c r="W3984" t="str">
        <f>VLOOKUP(Table_Query_from_Actuarial___Production[[#This Row],[Kor1]],$AI$3:$AK$105,3,FALSE)</f>
        <v>Misc. Expense</v>
      </c>
      <c r="X3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4"/>
      <c r="Z3984" t="s">
        <v>38</v>
      </c>
      <c r="AA3984" t="s">
        <v>354</v>
      </c>
      <c r="AB3984" t="s">
        <v>356</v>
      </c>
      <c r="AC3984" s="21">
        <v>174794.97</v>
      </c>
      <c r="AD3984" s="21" t="s">
        <v>369</v>
      </c>
      <c r="AE3984" t="str">
        <f>VLOOKUP(Table_Query_from_Actuarial___Production3[[#This Row],[Kor1]],$AI$3:$AK$105,3,FALSE)</f>
        <v>Misc. Income</v>
      </c>
      <c r="AF3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3985" spans="18:32" x14ac:dyDescent="0.2">
      <c r="R3985" t="s">
        <v>10</v>
      </c>
      <c r="S3985" t="s">
        <v>229</v>
      </c>
      <c r="T3985" t="s">
        <v>351</v>
      </c>
      <c r="U3985" s="21">
        <v>3534.55</v>
      </c>
      <c r="V3985" s="21" t="s">
        <v>368</v>
      </c>
      <c r="W3985" t="str">
        <f>VLOOKUP(Table_Query_from_Actuarial___Production[[#This Row],[Kor1]],$AI$3:$AK$105,3,FALSE)</f>
        <v>Commissions</v>
      </c>
      <c r="X3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5"/>
      <c r="Z3985" t="s">
        <v>18</v>
      </c>
      <c r="AA3985" t="s">
        <v>354</v>
      </c>
      <c r="AB3985" t="s">
        <v>433</v>
      </c>
      <c r="AC3985" s="21">
        <v>883598.71</v>
      </c>
      <c r="AD3985" s="21" t="s">
        <v>368</v>
      </c>
      <c r="AE3985" t="str">
        <f>VLOOKUP(Table_Query_from_Actuarial___Production3[[#This Row],[Kor1]],$AI$3:$AK$105,3,FALSE)</f>
        <v>Misc. Expense</v>
      </c>
      <c r="AF3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3986" spans="18:32" x14ac:dyDescent="0.2">
      <c r="R3986" t="s">
        <v>20</v>
      </c>
      <c r="S3986" t="s">
        <v>268</v>
      </c>
      <c r="T3986" t="s">
        <v>442</v>
      </c>
      <c r="U3986" s="21">
        <v>68.3</v>
      </c>
      <c r="V3986" s="21" t="s">
        <v>368</v>
      </c>
      <c r="W3986" t="str">
        <f>VLOOKUP(Table_Query_from_Actuarial___Production[[#This Row],[Kor1]],$AI$3:$AK$105,3,FALSE)</f>
        <v>Misc. Expense</v>
      </c>
      <c r="X3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6"/>
      <c r="Z3986" t="s">
        <v>12</v>
      </c>
      <c r="AA3986" t="s">
        <v>237</v>
      </c>
      <c r="AB3986" t="s">
        <v>6</v>
      </c>
      <c r="AC3986" s="21">
        <v>34029.75</v>
      </c>
      <c r="AD3986" s="21" t="s">
        <v>368</v>
      </c>
      <c r="AE3986" t="str">
        <f>VLOOKUP(Table_Query_from_Actuarial___Production3[[#This Row],[Kor1]],$AI$3:$AK$105,3,FALSE)</f>
        <v>Premium Tax</v>
      </c>
      <c r="AF3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7" spans="18:32" x14ac:dyDescent="0.2">
      <c r="R3987" t="s">
        <v>3</v>
      </c>
      <c r="S3987" t="s">
        <v>4</v>
      </c>
      <c r="T3987" t="s">
        <v>427</v>
      </c>
      <c r="U3987" s="21">
        <v>46466208</v>
      </c>
      <c r="V3987" s="21" t="s">
        <v>368</v>
      </c>
      <c r="W3987" t="str">
        <f>VLOOKUP(Table_Query_from_Actuarial___Production[[#This Row],[Kor1]],$AI$3:$AK$105,3,FALSE)</f>
        <v>Premiums Written</v>
      </c>
      <c r="X3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7"/>
      <c r="Z3987" t="s">
        <v>13</v>
      </c>
      <c r="AA3987" t="s">
        <v>258</v>
      </c>
      <c r="AB3987" t="s">
        <v>7</v>
      </c>
      <c r="AC3987" s="21">
        <v>520057.82</v>
      </c>
      <c r="AD3987" s="21" t="s">
        <v>368</v>
      </c>
      <c r="AE3987" t="str">
        <f>VLOOKUP(Table_Query_from_Actuarial___Production3[[#This Row],[Kor1]],$AI$3:$AK$105,3,FALSE)</f>
        <v>Operating Service Fees</v>
      </c>
      <c r="AF3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8" spans="18:32" x14ac:dyDescent="0.2">
      <c r="R3988" t="s">
        <v>20</v>
      </c>
      <c r="S3988" t="s">
        <v>251</v>
      </c>
      <c r="T3988" t="s">
        <v>442</v>
      </c>
      <c r="U3988" s="21">
        <v>142.62</v>
      </c>
      <c r="V3988" s="21" t="s">
        <v>368</v>
      </c>
      <c r="W3988" t="str">
        <f>VLOOKUP(Table_Query_from_Actuarial___Production[[#This Row],[Kor1]],$AI$3:$AK$105,3,FALSE)</f>
        <v>Misc. Expense</v>
      </c>
      <c r="X3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8"/>
      <c r="Z3988" t="s">
        <v>10</v>
      </c>
      <c r="AA3988" t="s">
        <v>259</v>
      </c>
      <c r="AB3988" t="s">
        <v>5</v>
      </c>
      <c r="AC3988" s="21">
        <v>14030.91</v>
      </c>
      <c r="AD3988" s="21" t="s">
        <v>368</v>
      </c>
      <c r="AE3988" t="str">
        <f>VLOOKUP(Table_Query_from_Actuarial___Production3[[#This Row],[Kor1]],$AI$3:$AK$105,3,FALSE)</f>
        <v>Commissions</v>
      </c>
      <c r="AF3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89" spans="18:32" x14ac:dyDescent="0.2">
      <c r="R3989" t="s">
        <v>47</v>
      </c>
      <c r="S3989" t="s">
        <v>267</v>
      </c>
      <c r="T3989" t="s">
        <v>8</v>
      </c>
      <c r="U3989" s="21">
        <v>0.1</v>
      </c>
      <c r="V3989" s="21" t="s">
        <v>368</v>
      </c>
      <c r="W3989" t="str">
        <f>VLOOKUP(Table_Query_from_Actuarial___Production[[#This Row],[Kor1]],$AI$3:$AK$105,3,FALSE)</f>
        <v>Investment Income</v>
      </c>
      <c r="X3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89"/>
      <c r="Z3989" t="s">
        <v>17</v>
      </c>
      <c r="AA3989" t="s">
        <v>224</v>
      </c>
      <c r="AB3989" t="s">
        <v>441</v>
      </c>
      <c r="AC3989" s="21">
        <v>875.72</v>
      </c>
      <c r="AD3989" s="21" t="s">
        <v>425</v>
      </c>
      <c r="AE3989" t="str">
        <f>VLOOKUP(Table_Query_from_Actuarial___Production3[[#This Row],[Kor1]],$AI$3:$AK$105,3,FALSE)</f>
        <v>IBNR</v>
      </c>
      <c r="AF3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3990" spans="18:32" x14ac:dyDescent="0.2">
      <c r="R3990" t="s">
        <v>33</v>
      </c>
      <c r="S3990" t="s">
        <v>230</v>
      </c>
      <c r="T3990" t="s">
        <v>9</v>
      </c>
      <c r="U3990" s="21">
        <v>16391.830000000002</v>
      </c>
      <c r="V3990" s="21" t="s">
        <v>368</v>
      </c>
      <c r="W3990" t="str">
        <f>VLOOKUP(Table_Query_from_Actuarial___Production[[#This Row],[Kor1]],$AI$3:$AK$105,3,FALSE)</f>
        <v>Misc. Expense</v>
      </c>
      <c r="X3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0"/>
      <c r="Z3990" t="s">
        <v>3</v>
      </c>
      <c r="AA3990" t="s">
        <v>254</v>
      </c>
      <c r="AB3990" t="s">
        <v>351</v>
      </c>
      <c r="AC3990" s="21">
        <v>2653582</v>
      </c>
      <c r="AD3990" s="21" t="s">
        <v>368</v>
      </c>
      <c r="AE3990" t="str">
        <f>VLOOKUP(Table_Query_from_Actuarial___Production3[[#This Row],[Kor1]],$AI$3:$AK$105,3,FALSE)</f>
        <v>Premiums Written</v>
      </c>
      <c r="AF3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1" spans="18:32" x14ac:dyDescent="0.2">
      <c r="R3991" t="s">
        <v>37</v>
      </c>
      <c r="S3991" t="s">
        <v>234</v>
      </c>
      <c r="T3991" t="s">
        <v>9</v>
      </c>
      <c r="U3991" s="21">
        <v>-208.85</v>
      </c>
      <c r="V3991" s="21" t="s">
        <v>368</v>
      </c>
      <c r="W3991" t="str">
        <f>VLOOKUP(Table_Query_from_Actuarial___Production[[#This Row],[Kor1]],$AI$3:$AK$105,3,FALSE)</f>
        <v>Misc. Expense</v>
      </c>
      <c r="X3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1"/>
      <c r="Z3991" t="s">
        <v>11</v>
      </c>
      <c r="AA3991" t="s">
        <v>250</v>
      </c>
      <c r="AB3991" t="s">
        <v>5</v>
      </c>
      <c r="AC3991" s="21">
        <v>1285267.21</v>
      </c>
      <c r="AD3991" s="21" t="s">
        <v>368</v>
      </c>
      <c r="AE3991" t="str">
        <f>VLOOKUP(Table_Query_from_Actuarial___Production3[[#This Row],[Kor1]],$AI$3:$AK$105,3,FALSE)</f>
        <v>Losses Paid</v>
      </c>
      <c r="AF3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2" spans="18:32" x14ac:dyDescent="0.2">
      <c r="R3992" t="s">
        <v>13</v>
      </c>
      <c r="S3992" t="s">
        <v>354</v>
      </c>
      <c r="T3992" t="s">
        <v>6</v>
      </c>
      <c r="U3992" s="21">
        <v>197617797.03999999</v>
      </c>
      <c r="V3992" s="21" t="s">
        <v>369</v>
      </c>
      <c r="W3992" t="str">
        <f>VLOOKUP(Table_Query_from_Actuarial___Production[[#This Row],[Kor1]],$AI$3:$AK$105,3,FALSE)</f>
        <v>Operating Service Fees</v>
      </c>
      <c r="X3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992"/>
      <c r="Z3992" t="s">
        <v>16</v>
      </c>
      <c r="AA3992" t="s">
        <v>232</v>
      </c>
      <c r="AB3992" t="s">
        <v>356</v>
      </c>
      <c r="AC3992" s="21">
        <v>172102.34</v>
      </c>
      <c r="AD3992" s="21" t="s">
        <v>368</v>
      </c>
      <c r="AE3992" t="str">
        <f>VLOOKUP(Table_Query_from_Actuarial___Production3[[#This Row],[Kor1]],$AI$3:$AK$105,3,FALSE)</f>
        <v>Losses Outstanding</v>
      </c>
      <c r="AF3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3" spans="18:32" x14ac:dyDescent="0.2">
      <c r="R3993" t="s">
        <v>31</v>
      </c>
      <c r="S3993" t="s">
        <v>257</v>
      </c>
      <c r="T3993" t="s">
        <v>351</v>
      </c>
      <c r="U3993" s="21">
        <v>-35.909999999999997</v>
      </c>
      <c r="V3993" s="21" t="s">
        <v>368</v>
      </c>
      <c r="W3993" t="str">
        <f>VLOOKUP(Table_Query_from_Actuarial___Production[[#This Row],[Kor1]],$AI$3:$AK$105,3,FALSE)</f>
        <v>Misc. Expense</v>
      </c>
      <c r="X3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3"/>
      <c r="Z3993" t="s">
        <v>37</v>
      </c>
      <c r="AA3993" t="s">
        <v>240</v>
      </c>
      <c r="AB3993" t="s">
        <v>8</v>
      </c>
      <c r="AC3993" s="21">
        <v>2214</v>
      </c>
      <c r="AD3993" s="21" t="s">
        <v>368</v>
      </c>
      <c r="AE3993" t="str">
        <f>VLOOKUP(Table_Query_from_Actuarial___Production3[[#This Row],[Kor1]],$AI$3:$AK$105,3,FALSE)</f>
        <v>Misc. Expense</v>
      </c>
      <c r="AF3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4" spans="18:32" x14ac:dyDescent="0.2">
      <c r="R3994" t="s">
        <v>33</v>
      </c>
      <c r="S3994" t="s">
        <v>4</v>
      </c>
      <c r="T3994" t="s">
        <v>6</v>
      </c>
      <c r="U3994" s="21">
        <v>113406.28</v>
      </c>
      <c r="V3994" s="21" t="s">
        <v>368</v>
      </c>
      <c r="W3994" t="str">
        <f>VLOOKUP(Table_Query_from_Actuarial___Production[[#This Row],[Kor1]],$AI$3:$AK$105,3,FALSE)</f>
        <v>Misc. Expense</v>
      </c>
      <c r="X3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4"/>
      <c r="Z3994" t="s">
        <v>47</v>
      </c>
      <c r="AA3994" t="s">
        <v>243</v>
      </c>
      <c r="AB3994" t="s">
        <v>7</v>
      </c>
      <c r="AC3994" s="21">
        <v>0.01</v>
      </c>
      <c r="AD3994" s="21" t="s">
        <v>368</v>
      </c>
      <c r="AE3994" t="str">
        <f>VLOOKUP(Table_Query_from_Actuarial___Production3[[#This Row],[Kor1]],$AI$3:$AK$105,3,FALSE)</f>
        <v>Investment Income</v>
      </c>
      <c r="AF3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5" spans="18:32" x14ac:dyDescent="0.2">
      <c r="R3995" t="s">
        <v>50</v>
      </c>
      <c r="S3995" t="s">
        <v>236</v>
      </c>
      <c r="T3995" t="s">
        <v>442</v>
      </c>
      <c r="U3995" s="21">
        <v>11604.86</v>
      </c>
      <c r="V3995" s="21" t="s">
        <v>368</v>
      </c>
      <c r="W3995" t="str">
        <f>VLOOKUP(Table_Query_from_Actuarial___Production[[#This Row],[Kor1]],$AI$3:$AK$105,3,FALSE)</f>
        <v>ALAE Reserve</v>
      </c>
      <c r="X3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5"/>
      <c r="Z3995" t="s">
        <v>33</v>
      </c>
      <c r="AA3995" t="s">
        <v>253</v>
      </c>
      <c r="AB3995" t="s">
        <v>7</v>
      </c>
      <c r="AC3995" s="21">
        <v>11233.01</v>
      </c>
      <c r="AD3995" s="21" t="s">
        <v>368</v>
      </c>
      <c r="AE3995" t="str">
        <f>VLOOKUP(Table_Query_from_Actuarial___Production3[[#This Row],[Kor1]],$AI$3:$AK$105,3,FALSE)</f>
        <v>Misc. Expense</v>
      </c>
      <c r="AF3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6" spans="18:32" x14ac:dyDescent="0.2">
      <c r="R3996" t="s">
        <v>12</v>
      </c>
      <c r="S3996" t="s">
        <v>4</v>
      </c>
      <c r="T3996" t="s">
        <v>445</v>
      </c>
      <c r="U3996" s="21">
        <v>292485.31</v>
      </c>
      <c r="V3996" s="21" t="s">
        <v>368</v>
      </c>
      <c r="W3996" t="str">
        <f>VLOOKUP(Table_Query_from_Actuarial___Production[[#This Row],[Kor1]],$AI$3:$AK$105,3,FALSE)</f>
        <v>Premium Tax</v>
      </c>
      <c r="X3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6"/>
      <c r="Z3996" t="s">
        <v>47</v>
      </c>
      <c r="AA3996" t="s">
        <v>252</v>
      </c>
      <c r="AB3996" t="s">
        <v>8</v>
      </c>
      <c r="AC3996" s="21">
        <v>0.42</v>
      </c>
      <c r="AD3996" s="21" t="s">
        <v>368</v>
      </c>
      <c r="AE3996" t="str">
        <f>VLOOKUP(Table_Query_from_Actuarial___Production3[[#This Row],[Kor1]],$AI$3:$AK$105,3,FALSE)</f>
        <v>Investment Income</v>
      </c>
      <c r="AF3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7" spans="18:32" x14ac:dyDescent="0.2">
      <c r="R3997" t="s">
        <v>14</v>
      </c>
      <c r="S3997" t="s">
        <v>354</v>
      </c>
      <c r="T3997" t="s">
        <v>7</v>
      </c>
      <c r="U3997" s="21">
        <v>93305591.280000001</v>
      </c>
      <c r="V3997" s="21" t="s">
        <v>369</v>
      </c>
      <c r="W3997" t="str">
        <f>VLOOKUP(Table_Query_from_Actuarial___Production[[#This Row],[Kor1]],$AI$3:$AK$105,3,FALSE)</f>
        <v>Claims Expense</v>
      </c>
      <c r="X3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3997"/>
      <c r="Z3997" t="s">
        <v>19</v>
      </c>
      <c r="AA3997" t="s">
        <v>4</v>
      </c>
      <c r="AB3997" t="s">
        <v>433</v>
      </c>
      <c r="AC3997" s="21">
        <v>142549.6</v>
      </c>
      <c r="AD3997" s="21" t="s">
        <v>368</v>
      </c>
      <c r="AE3997" t="str">
        <f>VLOOKUP(Table_Query_from_Actuarial___Production3[[#This Row],[Kor1]],$AI$3:$AK$105,3,FALSE)</f>
        <v>Misc. Expense for Insolvent Companies</v>
      </c>
      <c r="AF3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8" spans="18:32" x14ac:dyDescent="0.2">
      <c r="R3998" t="s">
        <v>43</v>
      </c>
      <c r="S3998" t="s">
        <v>243</v>
      </c>
      <c r="T3998" t="s">
        <v>433</v>
      </c>
      <c r="U3998" s="21">
        <v>1.26</v>
      </c>
      <c r="V3998" s="21" t="s">
        <v>368</v>
      </c>
      <c r="W3998" t="str">
        <f>VLOOKUP(Table_Query_from_Actuarial___Production[[#This Row],[Kor1]],$AI$3:$AK$105,3,FALSE)</f>
        <v>Charge-offs</v>
      </c>
      <c r="X3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8"/>
      <c r="Z3998" t="s">
        <v>41</v>
      </c>
      <c r="AA3998" t="s">
        <v>243</v>
      </c>
      <c r="AB3998" t="s">
        <v>442</v>
      </c>
      <c r="AC3998" s="21">
        <v>50</v>
      </c>
      <c r="AD3998" s="21" t="s">
        <v>368</v>
      </c>
      <c r="AE3998" t="str">
        <f>VLOOKUP(Table_Query_from_Actuarial___Production3[[#This Row],[Kor1]],$AI$3:$AK$105,3,FALSE)</f>
        <v>Misc. Income</v>
      </c>
      <c r="AF3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3999" spans="18:32" x14ac:dyDescent="0.2">
      <c r="R3999" t="s">
        <v>31</v>
      </c>
      <c r="S3999" t="s">
        <v>268</v>
      </c>
      <c r="T3999" t="s">
        <v>433</v>
      </c>
      <c r="U3999" s="21">
        <v>1117.31</v>
      </c>
      <c r="V3999" s="21" t="s">
        <v>368</v>
      </c>
      <c r="W3999" t="str">
        <f>VLOOKUP(Table_Query_from_Actuarial___Production[[#This Row],[Kor1]],$AI$3:$AK$105,3,FALSE)</f>
        <v>Misc. Expense</v>
      </c>
      <c r="X3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3999"/>
      <c r="Z3999" t="s">
        <v>11</v>
      </c>
      <c r="AA3999" t="s">
        <v>224</v>
      </c>
      <c r="AB3999" t="s">
        <v>7</v>
      </c>
      <c r="AC3999" s="21">
        <v>730162.56</v>
      </c>
      <c r="AD3999" s="21" t="s">
        <v>368</v>
      </c>
      <c r="AE3999" t="str">
        <f>VLOOKUP(Table_Query_from_Actuarial___Production3[[#This Row],[Kor1]],$AI$3:$AK$105,3,FALSE)</f>
        <v>Losses Paid</v>
      </c>
      <c r="AF3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000" spans="18:32" x14ac:dyDescent="0.2">
      <c r="R4000" t="s">
        <v>31</v>
      </c>
      <c r="S4000" t="s">
        <v>242</v>
      </c>
      <c r="T4000" t="s">
        <v>9</v>
      </c>
      <c r="U4000" s="21">
        <v>263.56</v>
      </c>
      <c r="V4000" s="21" t="s">
        <v>368</v>
      </c>
      <c r="W4000" t="str">
        <f>VLOOKUP(Table_Query_from_Actuarial___Production[[#This Row],[Kor1]],$AI$3:$AK$105,3,FALSE)</f>
        <v>Misc. Expense</v>
      </c>
      <c r="X4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0"/>
      <c r="Z4000" t="s">
        <v>21</v>
      </c>
      <c r="AA4000" t="s">
        <v>243</v>
      </c>
      <c r="AB4000" t="s">
        <v>9</v>
      </c>
      <c r="AC4000" s="21">
        <v>606.01</v>
      </c>
      <c r="AD4000" s="21" t="s">
        <v>368</v>
      </c>
      <c r="AE4000" t="str">
        <f>VLOOKUP(Table_Query_from_Actuarial___Production3[[#This Row],[Kor1]],$AI$3:$AK$105,3,FALSE)</f>
        <v>Misc. Expense</v>
      </c>
      <c r="AF4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1" spans="18:32" x14ac:dyDescent="0.2">
      <c r="R4001" t="s">
        <v>39</v>
      </c>
      <c r="S4001" t="s">
        <v>258</v>
      </c>
      <c r="T4001" t="s">
        <v>7</v>
      </c>
      <c r="U4001" s="21">
        <v>5906</v>
      </c>
      <c r="V4001" s="21" t="s">
        <v>368</v>
      </c>
      <c r="W4001" t="str">
        <f>VLOOKUP(Table_Query_from_Actuarial___Production[[#This Row],[Kor1]],$AI$3:$AK$105,3,FALSE)</f>
        <v>Misc. Income for Insolvent Companies</v>
      </c>
      <c r="X4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1"/>
      <c r="Z4001" t="s">
        <v>44</v>
      </c>
      <c r="AA4001" t="s">
        <v>238</v>
      </c>
      <c r="AB4001" t="s">
        <v>8</v>
      </c>
      <c r="AC4001" s="21">
        <v>1846</v>
      </c>
      <c r="AD4001" s="21" t="s">
        <v>368</v>
      </c>
      <c r="AE4001" t="str">
        <f>VLOOKUP(Table_Query_from_Actuarial___Production3[[#This Row],[Kor1]],$AI$3:$AK$105,3,FALSE)</f>
        <v>Charge-offs</v>
      </c>
      <c r="AF4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2" spans="18:32" x14ac:dyDescent="0.2">
      <c r="R4002" t="s">
        <v>47</v>
      </c>
      <c r="S4002" t="s">
        <v>258</v>
      </c>
      <c r="T4002" t="s">
        <v>441</v>
      </c>
      <c r="U4002" s="21">
        <v>95.36</v>
      </c>
      <c r="V4002" s="21" t="s">
        <v>368</v>
      </c>
      <c r="W4002" t="str">
        <f>VLOOKUP(Table_Query_from_Actuarial___Production[[#This Row],[Kor1]],$AI$3:$AK$105,3,FALSE)</f>
        <v>Investment Income</v>
      </c>
      <c r="X4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2"/>
      <c r="Z4002" t="s">
        <v>49</v>
      </c>
      <c r="AA4002" t="s">
        <v>240</v>
      </c>
      <c r="AB4002" t="s">
        <v>433</v>
      </c>
      <c r="AC4002" s="21">
        <v>72483.63</v>
      </c>
      <c r="AD4002" s="21" t="s">
        <v>368</v>
      </c>
      <c r="AE4002" t="str">
        <f>VLOOKUP(Table_Query_from_Actuarial___Production3[[#This Row],[Kor1]],$AI$3:$AK$105,3,FALSE)</f>
        <v>ALAE Paid</v>
      </c>
      <c r="AF4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3" spans="18:32" x14ac:dyDescent="0.2">
      <c r="R4003" t="s">
        <v>38</v>
      </c>
      <c r="S4003" t="s">
        <v>225</v>
      </c>
      <c r="T4003" t="s">
        <v>6</v>
      </c>
      <c r="U4003" s="21">
        <v>1010072.08</v>
      </c>
      <c r="V4003" s="21" t="s">
        <v>368</v>
      </c>
      <c r="W4003" t="str">
        <f>VLOOKUP(Table_Query_from_Actuarial___Production[[#This Row],[Kor1]],$AI$3:$AK$105,3,FALSE)</f>
        <v>Misc. Income</v>
      </c>
      <c r="X4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003"/>
      <c r="Z4003" t="s">
        <v>12</v>
      </c>
      <c r="AA4003" t="s">
        <v>265</v>
      </c>
      <c r="AB4003" t="s">
        <v>427</v>
      </c>
      <c r="AC4003" s="21">
        <v>22631.22</v>
      </c>
      <c r="AD4003" s="21" t="s">
        <v>368</v>
      </c>
      <c r="AE4003" t="str">
        <f>VLOOKUP(Table_Query_from_Actuarial___Production3[[#This Row],[Kor1]],$AI$3:$AK$105,3,FALSE)</f>
        <v>Premium Tax</v>
      </c>
      <c r="AF4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4" spans="18:32" x14ac:dyDescent="0.2">
      <c r="R4004" t="s">
        <v>132</v>
      </c>
      <c r="S4004" t="s">
        <v>354</v>
      </c>
      <c r="T4004" t="s">
        <v>351</v>
      </c>
      <c r="U4004" s="21">
        <v>178718415.53</v>
      </c>
      <c r="V4004" s="21" t="s">
        <v>369</v>
      </c>
      <c r="W4004" t="str">
        <f>VLOOKUP(Table_Query_from_Actuarial___Production[[#This Row],[Kor1]],$AI$3:$AK$105,3,FALSE)</f>
        <v>Clean Risk Subsidy</v>
      </c>
      <c r="X4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004"/>
      <c r="Z4004" t="s">
        <v>3</v>
      </c>
      <c r="AA4004" t="s">
        <v>354</v>
      </c>
      <c r="AB4004" t="s">
        <v>6</v>
      </c>
      <c r="AC4004" s="21">
        <v>779033094.15999997</v>
      </c>
      <c r="AD4004" s="21" t="s">
        <v>369</v>
      </c>
      <c r="AE4004" t="str">
        <f>VLOOKUP(Table_Query_from_Actuarial___Production3[[#This Row],[Kor1]],$AI$3:$AK$105,3,FALSE)</f>
        <v>Premiums Written</v>
      </c>
      <c r="AF4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005" spans="18:32" x14ac:dyDescent="0.2">
      <c r="R4005" t="s">
        <v>38</v>
      </c>
      <c r="S4005" t="s">
        <v>224</v>
      </c>
      <c r="T4005" t="s">
        <v>443</v>
      </c>
      <c r="U4005" s="21">
        <v>4718.3500000000004</v>
      </c>
      <c r="V4005" s="21" t="s">
        <v>425</v>
      </c>
      <c r="W4005" t="str">
        <f>VLOOKUP(Table_Query_from_Actuarial___Production[[#This Row],[Kor1]],$AI$3:$AK$105,3,FALSE)</f>
        <v>Misc. Income</v>
      </c>
      <c r="X4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005"/>
      <c r="Z4005" t="s">
        <v>34</v>
      </c>
      <c r="AA4005" t="s">
        <v>242</v>
      </c>
      <c r="AB4005" t="s">
        <v>442</v>
      </c>
      <c r="AC4005" s="21">
        <v>1144.1099999999999</v>
      </c>
      <c r="AD4005" s="21" t="s">
        <v>368</v>
      </c>
      <c r="AE4005" t="str">
        <f>VLOOKUP(Table_Query_from_Actuarial___Production3[[#This Row],[Kor1]],$AI$3:$AK$105,3,FALSE)</f>
        <v>Misc. Expense</v>
      </c>
      <c r="AF4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6" spans="18:32" x14ac:dyDescent="0.2">
      <c r="R4006" t="s">
        <v>31</v>
      </c>
      <c r="S4006" t="s">
        <v>259</v>
      </c>
      <c r="T4006" t="s">
        <v>442</v>
      </c>
      <c r="U4006" s="21">
        <v>815.35</v>
      </c>
      <c r="V4006" s="21" t="s">
        <v>368</v>
      </c>
      <c r="W4006" t="str">
        <f>VLOOKUP(Table_Query_from_Actuarial___Production[[#This Row],[Kor1]],$AI$3:$AK$105,3,FALSE)</f>
        <v>Misc. Expense</v>
      </c>
      <c r="X4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6"/>
      <c r="Z4006" t="s">
        <v>47</v>
      </c>
      <c r="AA4006" t="s">
        <v>266</v>
      </c>
      <c r="AB4006" t="s">
        <v>356</v>
      </c>
      <c r="AC4006" s="21">
        <v>1716.87</v>
      </c>
      <c r="AD4006" s="21" t="s">
        <v>368</v>
      </c>
      <c r="AE4006" t="str">
        <f>VLOOKUP(Table_Query_from_Actuarial___Production3[[#This Row],[Kor1]],$AI$3:$AK$105,3,FALSE)</f>
        <v>Investment Income</v>
      </c>
      <c r="AF4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7" spans="18:32" x14ac:dyDescent="0.2">
      <c r="R4007" t="s">
        <v>40</v>
      </c>
      <c r="S4007" t="s">
        <v>257</v>
      </c>
      <c r="T4007" t="s">
        <v>442</v>
      </c>
      <c r="U4007" s="21">
        <v>1117.43</v>
      </c>
      <c r="V4007" s="21" t="s">
        <v>368</v>
      </c>
      <c r="W4007" t="str">
        <f>VLOOKUP(Table_Query_from_Actuarial___Production[[#This Row],[Kor1]],$AI$3:$AK$105,3,FALSE)</f>
        <v>Misc. Income</v>
      </c>
      <c r="X4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7"/>
      <c r="Z4007" t="s">
        <v>13</v>
      </c>
      <c r="AA4007" t="s">
        <v>224</v>
      </c>
      <c r="AB4007" t="s">
        <v>8</v>
      </c>
      <c r="AC4007" s="21">
        <v>10398.08</v>
      </c>
      <c r="AD4007" s="21" t="s">
        <v>425</v>
      </c>
      <c r="AE4007" t="str">
        <f>VLOOKUP(Table_Query_from_Actuarial___Production3[[#This Row],[Kor1]],$AI$3:$AK$105,3,FALSE)</f>
        <v>Operating Service Fees</v>
      </c>
      <c r="AF4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008" spans="18:32" x14ac:dyDescent="0.2">
      <c r="R4008" t="s">
        <v>13</v>
      </c>
      <c r="S4008" t="s">
        <v>248</v>
      </c>
      <c r="T4008" t="s">
        <v>442</v>
      </c>
      <c r="U4008" s="21">
        <v>65037.01</v>
      </c>
      <c r="V4008" s="21" t="s">
        <v>368</v>
      </c>
      <c r="W4008" t="str">
        <f>VLOOKUP(Table_Query_from_Actuarial___Production[[#This Row],[Kor1]],$AI$3:$AK$105,3,FALSE)</f>
        <v>Operating Service Fees</v>
      </c>
      <c r="X4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8"/>
      <c r="Z4008" t="s">
        <v>3</v>
      </c>
      <c r="AA4008" t="s">
        <v>242</v>
      </c>
      <c r="AB4008" t="s">
        <v>8</v>
      </c>
      <c r="AC4008" s="21">
        <v>270608</v>
      </c>
      <c r="AD4008" s="21" t="s">
        <v>368</v>
      </c>
      <c r="AE4008" t="str">
        <f>VLOOKUP(Table_Query_from_Actuarial___Production3[[#This Row],[Kor1]],$AI$3:$AK$105,3,FALSE)</f>
        <v>Premiums Written</v>
      </c>
      <c r="AF4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09" spans="18:32" x14ac:dyDescent="0.2">
      <c r="R4009" t="s">
        <v>17</v>
      </c>
      <c r="S4009" t="s">
        <v>257</v>
      </c>
      <c r="T4009" t="s">
        <v>441</v>
      </c>
      <c r="U4009" s="21">
        <v>172562.24</v>
      </c>
      <c r="V4009" s="21" t="s">
        <v>368</v>
      </c>
      <c r="W4009" t="str">
        <f>VLOOKUP(Table_Query_from_Actuarial___Production[[#This Row],[Kor1]],$AI$3:$AK$105,3,FALSE)</f>
        <v>IBNR</v>
      </c>
      <c r="X4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09"/>
      <c r="Z4009" t="s">
        <v>31</v>
      </c>
      <c r="AA4009" t="s">
        <v>258</v>
      </c>
      <c r="AB4009" t="s">
        <v>443</v>
      </c>
      <c r="AC4009" s="21">
        <v>1422.56</v>
      </c>
      <c r="AD4009" s="21" t="s">
        <v>368</v>
      </c>
      <c r="AE4009" t="str">
        <f>VLOOKUP(Table_Query_from_Actuarial___Production3[[#This Row],[Kor1]],$AI$3:$AK$105,3,FALSE)</f>
        <v>Misc. Expense</v>
      </c>
      <c r="AF4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0" spans="18:32" x14ac:dyDescent="0.2">
      <c r="R4010" t="s">
        <v>39</v>
      </c>
      <c r="S4010" t="s">
        <v>230</v>
      </c>
      <c r="T4010" t="s">
        <v>9</v>
      </c>
      <c r="U4010" s="21">
        <v>36785.879999999997</v>
      </c>
      <c r="V4010" s="21" t="s">
        <v>368</v>
      </c>
      <c r="W4010" t="str">
        <f>VLOOKUP(Table_Query_from_Actuarial___Production[[#This Row],[Kor1]],$AI$3:$AK$105,3,FALSE)</f>
        <v>Misc. Income for Insolvent Companies</v>
      </c>
      <c r="X4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0"/>
      <c r="Z4010" t="s">
        <v>10</v>
      </c>
      <c r="AA4010" t="s">
        <v>229</v>
      </c>
      <c r="AB4010" t="s">
        <v>351</v>
      </c>
      <c r="AC4010" s="21">
        <v>3534.55</v>
      </c>
      <c r="AD4010" s="21" t="s">
        <v>368</v>
      </c>
      <c r="AE4010" t="str">
        <f>VLOOKUP(Table_Query_from_Actuarial___Production3[[#This Row],[Kor1]],$AI$3:$AK$105,3,FALSE)</f>
        <v>Commissions</v>
      </c>
      <c r="AF4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1" spans="18:32" x14ac:dyDescent="0.2">
      <c r="R4011" t="s">
        <v>41</v>
      </c>
      <c r="S4011" t="s">
        <v>247</v>
      </c>
      <c r="T4011" t="s">
        <v>8</v>
      </c>
      <c r="U4011" s="21">
        <v>550</v>
      </c>
      <c r="V4011" s="21" t="s">
        <v>368</v>
      </c>
      <c r="W4011" t="str">
        <f>VLOOKUP(Table_Query_from_Actuarial___Production[[#This Row],[Kor1]],$AI$3:$AK$105,3,FALSE)</f>
        <v>Misc. Income</v>
      </c>
      <c r="X4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1"/>
      <c r="Z4011" t="s">
        <v>20</v>
      </c>
      <c r="AA4011" t="s">
        <v>268</v>
      </c>
      <c r="AB4011" t="s">
        <v>442</v>
      </c>
      <c r="AC4011" s="21">
        <v>68.3</v>
      </c>
      <c r="AD4011" s="21" t="s">
        <v>368</v>
      </c>
      <c r="AE4011" t="str">
        <f>VLOOKUP(Table_Query_from_Actuarial___Production3[[#This Row],[Kor1]],$AI$3:$AK$105,3,FALSE)</f>
        <v>Misc. Expense</v>
      </c>
      <c r="AF4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2" spans="18:32" x14ac:dyDescent="0.2">
      <c r="R4012" t="s">
        <v>14</v>
      </c>
      <c r="S4012" t="s">
        <v>245</v>
      </c>
      <c r="T4012" t="s">
        <v>6</v>
      </c>
      <c r="U4012" s="21">
        <v>2802.23</v>
      </c>
      <c r="V4012" s="21" t="s">
        <v>368</v>
      </c>
      <c r="W4012" t="str">
        <f>VLOOKUP(Table_Query_from_Actuarial___Production[[#This Row],[Kor1]],$AI$3:$AK$105,3,FALSE)</f>
        <v>Claims Expense</v>
      </c>
      <c r="X4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2"/>
      <c r="Z4012" t="s">
        <v>3</v>
      </c>
      <c r="AA4012" t="s">
        <v>4</v>
      </c>
      <c r="AB4012" t="s">
        <v>427</v>
      </c>
      <c r="AC4012" s="21">
        <v>46466208</v>
      </c>
      <c r="AD4012" s="21" t="s">
        <v>368</v>
      </c>
      <c r="AE4012" t="str">
        <f>VLOOKUP(Table_Query_from_Actuarial___Production3[[#This Row],[Kor1]],$AI$3:$AK$105,3,FALSE)</f>
        <v>Premiums Written</v>
      </c>
      <c r="AF4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3" spans="18:32" x14ac:dyDescent="0.2">
      <c r="R4013" t="s">
        <v>47</v>
      </c>
      <c r="S4013" t="s">
        <v>259</v>
      </c>
      <c r="T4013" t="s">
        <v>441</v>
      </c>
      <c r="U4013" s="21">
        <v>95.63</v>
      </c>
      <c r="V4013" s="21" t="s">
        <v>368</v>
      </c>
      <c r="W4013" t="str">
        <f>VLOOKUP(Table_Query_from_Actuarial___Production[[#This Row],[Kor1]],$AI$3:$AK$105,3,FALSE)</f>
        <v>Investment Income</v>
      </c>
      <c r="X4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3"/>
      <c r="Z4013" t="s">
        <v>20</v>
      </c>
      <c r="AA4013" t="s">
        <v>251</v>
      </c>
      <c r="AB4013" t="s">
        <v>442</v>
      </c>
      <c r="AC4013" s="21">
        <v>142.62</v>
      </c>
      <c r="AD4013" s="21" t="s">
        <v>368</v>
      </c>
      <c r="AE4013" t="str">
        <f>VLOOKUP(Table_Query_from_Actuarial___Production3[[#This Row],[Kor1]],$AI$3:$AK$105,3,FALSE)</f>
        <v>Misc. Expense</v>
      </c>
      <c r="AF4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4" spans="18:32" x14ac:dyDescent="0.2">
      <c r="R4014" t="s">
        <v>33</v>
      </c>
      <c r="S4014" t="s">
        <v>232</v>
      </c>
      <c r="T4014" t="s">
        <v>356</v>
      </c>
      <c r="U4014" s="21">
        <v>15172.63</v>
      </c>
      <c r="V4014" s="21" t="s">
        <v>368</v>
      </c>
      <c r="W4014" t="str">
        <f>VLOOKUP(Table_Query_from_Actuarial___Production[[#This Row],[Kor1]],$AI$3:$AK$105,3,FALSE)</f>
        <v>Misc. Expense</v>
      </c>
      <c r="X4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4"/>
      <c r="Z4014" t="s">
        <v>47</v>
      </c>
      <c r="AA4014" t="s">
        <v>267</v>
      </c>
      <c r="AB4014" t="s">
        <v>8</v>
      </c>
      <c r="AC4014" s="21">
        <v>0.1</v>
      </c>
      <c r="AD4014" s="21" t="s">
        <v>368</v>
      </c>
      <c r="AE4014" t="str">
        <f>VLOOKUP(Table_Query_from_Actuarial___Production3[[#This Row],[Kor1]],$AI$3:$AK$105,3,FALSE)</f>
        <v>Investment Income</v>
      </c>
      <c r="AF4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5" spans="18:32" x14ac:dyDescent="0.2">
      <c r="R4015" t="s">
        <v>13</v>
      </c>
      <c r="S4015" t="s">
        <v>227</v>
      </c>
      <c r="T4015" t="s">
        <v>356</v>
      </c>
      <c r="U4015" s="21">
        <v>6693.16</v>
      </c>
      <c r="V4015" s="21" t="s">
        <v>368</v>
      </c>
      <c r="W4015" t="str">
        <f>VLOOKUP(Table_Query_from_Actuarial___Production[[#This Row],[Kor1]],$AI$3:$AK$105,3,FALSE)</f>
        <v>Operating Service Fees</v>
      </c>
      <c r="X4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5"/>
      <c r="Z4015" t="s">
        <v>33</v>
      </c>
      <c r="AA4015" t="s">
        <v>230</v>
      </c>
      <c r="AB4015" t="s">
        <v>9</v>
      </c>
      <c r="AC4015" s="21">
        <v>16391.830000000002</v>
      </c>
      <c r="AD4015" s="21" t="s">
        <v>368</v>
      </c>
      <c r="AE4015" t="str">
        <f>VLOOKUP(Table_Query_from_Actuarial___Production3[[#This Row],[Kor1]],$AI$3:$AK$105,3,FALSE)</f>
        <v>Misc. Expense</v>
      </c>
      <c r="AF4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6" spans="18:32" x14ac:dyDescent="0.2">
      <c r="R4016" t="s">
        <v>37</v>
      </c>
      <c r="S4016" t="s">
        <v>230</v>
      </c>
      <c r="T4016" t="s">
        <v>6</v>
      </c>
      <c r="U4016" s="21">
        <v>51022.04</v>
      </c>
      <c r="V4016" s="21" t="s">
        <v>368</v>
      </c>
      <c r="W4016" t="str">
        <f>VLOOKUP(Table_Query_from_Actuarial___Production[[#This Row],[Kor1]],$AI$3:$AK$105,3,FALSE)</f>
        <v>Misc. Expense</v>
      </c>
      <c r="X4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6"/>
      <c r="Z4016" t="s">
        <v>37</v>
      </c>
      <c r="AA4016" t="s">
        <v>234</v>
      </c>
      <c r="AB4016" t="s">
        <v>9</v>
      </c>
      <c r="AC4016" s="21">
        <v>-208.85</v>
      </c>
      <c r="AD4016" s="21" t="s">
        <v>368</v>
      </c>
      <c r="AE4016" t="str">
        <f>VLOOKUP(Table_Query_from_Actuarial___Production3[[#This Row],[Kor1]],$AI$3:$AK$105,3,FALSE)</f>
        <v>Misc. Expense</v>
      </c>
      <c r="AF4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7" spans="18:32" x14ac:dyDescent="0.2">
      <c r="R4017" t="s">
        <v>23</v>
      </c>
      <c r="S4017" t="s">
        <v>259</v>
      </c>
      <c r="T4017" t="s">
        <v>8</v>
      </c>
      <c r="U4017" s="21">
        <v>5953.88</v>
      </c>
      <c r="V4017" s="21" t="s">
        <v>368</v>
      </c>
      <c r="W4017" t="str">
        <f>VLOOKUP(Table_Query_from_Actuarial___Production[[#This Row],[Kor1]],$AI$3:$AK$105,3,FALSE)</f>
        <v>Misc. Expense</v>
      </c>
      <c r="X4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7"/>
      <c r="Z4017" t="s">
        <v>13</v>
      </c>
      <c r="AA4017" t="s">
        <v>354</v>
      </c>
      <c r="AB4017" t="s">
        <v>6</v>
      </c>
      <c r="AC4017" s="21">
        <v>197617798.15000001</v>
      </c>
      <c r="AD4017" s="21" t="s">
        <v>369</v>
      </c>
      <c r="AE4017" t="str">
        <f>VLOOKUP(Table_Query_from_Actuarial___Production3[[#This Row],[Kor1]],$AI$3:$AK$105,3,FALSE)</f>
        <v>Operating Service Fees</v>
      </c>
      <c r="AF4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018" spans="18:32" x14ac:dyDescent="0.2">
      <c r="R4018" t="s">
        <v>39</v>
      </c>
      <c r="S4018" t="s">
        <v>253</v>
      </c>
      <c r="T4018" t="s">
        <v>6</v>
      </c>
      <c r="U4018" s="21">
        <v>498.66</v>
      </c>
      <c r="V4018" s="21" t="s">
        <v>368</v>
      </c>
      <c r="W4018" t="str">
        <f>VLOOKUP(Table_Query_from_Actuarial___Production[[#This Row],[Kor1]],$AI$3:$AK$105,3,FALSE)</f>
        <v>Misc. Income for Insolvent Companies</v>
      </c>
      <c r="X4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8"/>
      <c r="Z4018" t="s">
        <v>31</v>
      </c>
      <c r="AA4018" t="s">
        <v>257</v>
      </c>
      <c r="AB4018" t="s">
        <v>351</v>
      </c>
      <c r="AC4018" s="21">
        <v>-35.909999999999997</v>
      </c>
      <c r="AD4018" s="21" t="s">
        <v>368</v>
      </c>
      <c r="AE4018" t="str">
        <f>VLOOKUP(Table_Query_from_Actuarial___Production3[[#This Row],[Kor1]],$AI$3:$AK$105,3,FALSE)</f>
        <v>Misc. Expense</v>
      </c>
      <c r="AF4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19" spans="18:32" x14ac:dyDescent="0.2">
      <c r="R4019" t="s">
        <v>50</v>
      </c>
      <c r="S4019" t="s">
        <v>262</v>
      </c>
      <c r="T4019" t="s">
        <v>441</v>
      </c>
      <c r="U4019" s="21">
        <v>24778.47</v>
      </c>
      <c r="V4019" s="21" t="s">
        <v>368</v>
      </c>
      <c r="W4019" t="str">
        <f>VLOOKUP(Table_Query_from_Actuarial___Production[[#This Row],[Kor1]],$AI$3:$AK$105,3,FALSE)</f>
        <v>ALAE Reserve</v>
      </c>
      <c r="X4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19"/>
      <c r="Z4019" t="s">
        <v>33</v>
      </c>
      <c r="AA4019" t="s">
        <v>4</v>
      </c>
      <c r="AB4019" t="s">
        <v>6</v>
      </c>
      <c r="AC4019" s="21">
        <v>113406.28</v>
      </c>
      <c r="AD4019" s="21" t="s">
        <v>368</v>
      </c>
      <c r="AE4019" t="str">
        <f>VLOOKUP(Table_Query_from_Actuarial___Production3[[#This Row],[Kor1]],$AI$3:$AK$105,3,FALSE)</f>
        <v>Misc. Expense</v>
      </c>
      <c r="AF4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0" spans="18:32" x14ac:dyDescent="0.2">
      <c r="R4020" t="s">
        <v>49</v>
      </c>
      <c r="S4020" t="s">
        <v>225</v>
      </c>
      <c r="T4020" t="s">
        <v>8</v>
      </c>
      <c r="U4020" s="21">
        <v>28852.26</v>
      </c>
      <c r="V4020" s="21" t="s">
        <v>369</v>
      </c>
      <c r="W4020" t="str">
        <f>VLOOKUP(Table_Query_from_Actuarial___Production[[#This Row],[Kor1]],$AI$3:$AK$105,3,FALSE)</f>
        <v>ALAE Paid</v>
      </c>
      <c r="X4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020"/>
      <c r="Z4020" t="s">
        <v>50</v>
      </c>
      <c r="AA4020" t="s">
        <v>236</v>
      </c>
      <c r="AB4020" t="s">
        <v>442</v>
      </c>
      <c r="AC4020" s="21">
        <v>9415.01</v>
      </c>
      <c r="AD4020" s="21" t="s">
        <v>368</v>
      </c>
      <c r="AE4020" t="str">
        <f>VLOOKUP(Table_Query_from_Actuarial___Production3[[#This Row],[Kor1]],$AI$3:$AK$105,3,FALSE)</f>
        <v>ALAE Reserve</v>
      </c>
      <c r="AF4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1" spans="18:32" x14ac:dyDescent="0.2">
      <c r="R4021" t="s">
        <v>19</v>
      </c>
      <c r="S4021" t="s">
        <v>260</v>
      </c>
      <c r="T4021" t="s">
        <v>7</v>
      </c>
      <c r="U4021" s="21">
        <v>37</v>
      </c>
      <c r="V4021" s="21" t="s">
        <v>368</v>
      </c>
      <c r="W4021" t="str">
        <f>VLOOKUP(Table_Query_from_Actuarial___Production[[#This Row],[Kor1]],$AI$3:$AK$105,3,FALSE)</f>
        <v>Misc. Expense for Insolvent Companies</v>
      </c>
      <c r="X4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1"/>
      <c r="Z4021" t="s">
        <v>14</v>
      </c>
      <c r="AA4021" t="s">
        <v>354</v>
      </c>
      <c r="AB4021" t="s">
        <v>7</v>
      </c>
      <c r="AC4021" s="21">
        <v>93305589.060000002</v>
      </c>
      <c r="AD4021" s="21" t="s">
        <v>369</v>
      </c>
      <c r="AE4021" t="str">
        <f>VLOOKUP(Table_Query_from_Actuarial___Production3[[#This Row],[Kor1]],$AI$3:$AK$105,3,FALSE)</f>
        <v>Claims Expense</v>
      </c>
      <c r="AF4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022" spans="18:32" x14ac:dyDescent="0.2">
      <c r="R4022" t="s">
        <v>39</v>
      </c>
      <c r="S4022" t="s">
        <v>241</v>
      </c>
      <c r="T4022" t="s">
        <v>445</v>
      </c>
      <c r="U4022" s="21">
        <v>253.43</v>
      </c>
      <c r="V4022" s="21" t="s">
        <v>368</v>
      </c>
      <c r="W4022" t="str">
        <f>VLOOKUP(Table_Query_from_Actuarial___Production[[#This Row],[Kor1]],$AI$3:$AK$105,3,FALSE)</f>
        <v>Misc. Income for Insolvent Companies</v>
      </c>
      <c r="X4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2"/>
      <c r="Z4022" t="s">
        <v>43</v>
      </c>
      <c r="AA4022" t="s">
        <v>243</v>
      </c>
      <c r="AB4022" t="s">
        <v>433</v>
      </c>
      <c r="AC4022" s="21">
        <v>1.26</v>
      </c>
      <c r="AD4022" s="21" t="s">
        <v>368</v>
      </c>
      <c r="AE4022" t="str">
        <f>VLOOKUP(Table_Query_from_Actuarial___Production3[[#This Row],[Kor1]],$AI$3:$AK$105,3,FALSE)</f>
        <v>Charge-offs</v>
      </c>
      <c r="AF4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3" spans="18:32" x14ac:dyDescent="0.2">
      <c r="R4023" t="s">
        <v>48</v>
      </c>
      <c r="S4023" t="s">
        <v>229</v>
      </c>
      <c r="T4023" t="s">
        <v>441</v>
      </c>
      <c r="U4023" s="21">
        <v>165.98</v>
      </c>
      <c r="V4023" s="21" t="s">
        <v>368</v>
      </c>
      <c r="W4023" t="str">
        <f>VLOOKUP(Table_Query_from_Actuarial___Production[[#This Row],[Kor1]],$AI$3:$AK$105,3,FALSE)</f>
        <v>Anticipated Salvage</v>
      </c>
      <c r="X4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3"/>
      <c r="Z4023" t="s">
        <v>31</v>
      </c>
      <c r="AA4023" t="s">
        <v>268</v>
      </c>
      <c r="AB4023" t="s">
        <v>433</v>
      </c>
      <c r="AC4023" s="21">
        <v>1117.31</v>
      </c>
      <c r="AD4023" s="21" t="s">
        <v>368</v>
      </c>
      <c r="AE4023" t="str">
        <f>VLOOKUP(Table_Query_from_Actuarial___Production3[[#This Row],[Kor1]],$AI$3:$AK$105,3,FALSE)</f>
        <v>Misc. Expense</v>
      </c>
      <c r="AF4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4" spans="18:32" x14ac:dyDescent="0.2">
      <c r="R4024" t="s">
        <v>50</v>
      </c>
      <c r="S4024" t="s">
        <v>260</v>
      </c>
      <c r="T4024" t="s">
        <v>442</v>
      </c>
      <c r="U4024" s="21">
        <v>207.33</v>
      </c>
      <c r="V4024" s="21" t="s">
        <v>368</v>
      </c>
      <c r="W4024" t="str">
        <f>VLOOKUP(Table_Query_from_Actuarial___Production[[#This Row],[Kor1]],$AI$3:$AK$105,3,FALSE)</f>
        <v>ALAE Reserve</v>
      </c>
      <c r="X4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4"/>
      <c r="Z4024" t="s">
        <v>31</v>
      </c>
      <c r="AA4024" t="s">
        <v>242</v>
      </c>
      <c r="AB4024" t="s">
        <v>9</v>
      </c>
      <c r="AC4024" s="21">
        <v>263.56</v>
      </c>
      <c r="AD4024" s="21" t="s">
        <v>368</v>
      </c>
      <c r="AE4024" t="str">
        <f>VLOOKUP(Table_Query_from_Actuarial___Production3[[#This Row],[Kor1]],$AI$3:$AK$105,3,FALSE)</f>
        <v>Misc. Expense</v>
      </c>
      <c r="AF4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5" spans="18:32" x14ac:dyDescent="0.2">
      <c r="R4025" t="s">
        <v>37</v>
      </c>
      <c r="S4025" t="s">
        <v>262</v>
      </c>
      <c r="T4025" t="s">
        <v>442</v>
      </c>
      <c r="U4025" s="21">
        <v>456.89</v>
      </c>
      <c r="V4025" s="21" t="s">
        <v>368</v>
      </c>
      <c r="W4025" t="str">
        <f>VLOOKUP(Table_Query_from_Actuarial___Production[[#This Row],[Kor1]],$AI$3:$AK$105,3,FALSE)</f>
        <v>Misc. Expense</v>
      </c>
      <c r="X4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5"/>
      <c r="Z4025" t="s">
        <v>39</v>
      </c>
      <c r="AA4025" t="s">
        <v>258</v>
      </c>
      <c r="AB4025" t="s">
        <v>7</v>
      </c>
      <c r="AC4025" s="21">
        <v>5906</v>
      </c>
      <c r="AD4025" s="21" t="s">
        <v>368</v>
      </c>
      <c r="AE4025" t="str">
        <f>VLOOKUP(Table_Query_from_Actuarial___Production3[[#This Row],[Kor1]],$AI$3:$AK$105,3,FALSE)</f>
        <v>Misc. Income for Insolvent Companies</v>
      </c>
      <c r="AF4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6" spans="18:32" x14ac:dyDescent="0.2">
      <c r="R4026" t="s">
        <v>44</v>
      </c>
      <c r="S4026" t="s">
        <v>231</v>
      </c>
      <c r="T4026" t="s">
        <v>8</v>
      </c>
      <c r="U4026" s="21">
        <v>-4</v>
      </c>
      <c r="V4026" s="21" t="s">
        <v>368</v>
      </c>
      <c r="W4026" t="str">
        <f>VLOOKUP(Table_Query_from_Actuarial___Production[[#This Row],[Kor1]],$AI$3:$AK$105,3,FALSE)</f>
        <v>Charge-offs</v>
      </c>
      <c r="X4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6"/>
      <c r="Z4026" t="s">
        <v>47</v>
      </c>
      <c r="AA4026" t="s">
        <v>258</v>
      </c>
      <c r="AB4026" t="s">
        <v>441</v>
      </c>
      <c r="AC4026" s="21">
        <v>95.36</v>
      </c>
      <c r="AD4026" s="21" t="s">
        <v>368</v>
      </c>
      <c r="AE4026" t="str">
        <f>VLOOKUP(Table_Query_from_Actuarial___Production3[[#This Row],[Kor1]],$AI$3:$AK$105,3,FALSE)</f>
        <v>Investment Income</v>
      </c>
      <c r="AF4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27" spans="18:32" x14ac:dyDescent="0.2">
      <c r="R4027" t="s">
        <v>48</v>
      </c>
      <c r="S4027" t="s">
        <v>268</v>
      </c>
      <c r="T4027" t="s">
        <v>443</v>
      </c>
      <c r="U4027" s="21">
        <v>27.93</v>
      </c>
      <c r="V4027" s="21" t="s">
        <v>368</v>
      </c>
      <c r="W4027" t="str">
        <f>VLOOKUP(Table_Query_from_Actuarial___Production[[#This Row],[Kor1]],$AI$3:$AK$105,3,FALSE)</f>
        <v>Anticipated Salvage</v>
      </c>
      <c r="X4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7"/>
      <c r="Z4027" t="s">
        <v>38</v>
      </c>
      <c r="AA4027" t="s">
        <v>225</v>
      </c>
      <c r="AB4027" t="s">
        <v>6</v>
      </c>
      <c r="AC4027" s="21">
        <v>1010072.08</v>
      </c>
      <c r="AD4027" s="21" t="s">
        <v>368</v>
      </c>
      <c r="AE4027" t="str">
        <f>VLOOKUP(Table_Query_from_Actuarial___Production3[[#This Row],[Kor1]],$AI$3:$AK$105,3,FALSE)</f>
        <v>Misc. Income</v>
      </c>
      <c r="AF4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028" spans="18:32" x14ac:dyDescent="0.2">
      <c r="R4028" t="s">
        <v>12</v>
      </c>
      <c r="S4028" t="s">
        <v>248</v>
      </c>
      <c r="T4028" t="s">
        <v>356</v>
      </c>
      <c r="U4028" s="21">
        <v>5403</v>
      </c>
      <c r="V4028" s="21" t="s">
        <v>368</v>
      </c>
      <c r="W4028" t="str">
        <f>VLOOKUP(Table_Query_from_Actuarial___Production[[#This Row],[Kor1]],$AI$3:$AK$105,3,FALSE)</f>
        <v>Premium Tax</v>
      </c>
      <c r="X4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8"/>
      <c r="Z4028" t="s">
        <v>132</v>
      </c>
      <c r="AA4028" t="s">
        <v>354</v>
      </c>
      <c r="AB4028" t="s">
        <v>351</v>
      </c>
      <c r="AC4028" s="21">
        <v>178715008.44999999</v>
      </c>
      <c r="AD4028" s="21" t="s">
        <v>369</v>
      </c>
      <c r="AE4028" t="str">
        <f>VLOOKUP(Table_Query_from_Actuarial___Production3[[#This Row],[Kor1]],$AI$3:$AK$105,3,FALSE)</f>
        <v>Clean Risk Subsidy</v>
      </c>
      <c r="AF4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029" spans="18:32" x14ac:dyDescent="0.2">
      <c r="R4029" t="s">
        <v>19</v>
      </c>
      <c r="S4029" t="s">
        <v>247</v>
      </c>
      <c r="T4029" t="s">
        <v>9</v>
      </c>
      <c r="U4029" s="21">
        <v>13</v>
      </c>
      <c r="V4029" s="21" t="s">
        <v>368</v>
      </c>
      <c r="W4029" t="str">
        <f>VLOOKUP(Table_Query_from_Actuarial___Production[[#This Row],[Kor1]],$AI$3:$AK$105,3,FALSE)</f>
        <v>Misc. Expense for Insolvent Companies</v>
      </c>
      <c r="X4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29"/>
      <c r="Z4029" t="s">
        <v>21</v>
      </c>
      <c r="AA4029" t="s">
        <v>236</v>
      </c>
      <c r="AB4029" t="s">
        <v>5</v>
      </c>
      <c r="AC4029" s="21">
        <v>1125.24</v>
      </c>
      <c r="AD4029" s="21" t="s">
        <v>368</v>
      </c>
      <c r="AE4029" t="str">
        <f>VLOOKUP(Table_Query_from_Actuarial___Production3[[#This Row],[Kor1]],$AI$3:$AK$105,3,FALSE)</f>
        <v>Misc. Expense</v>
      </c>
      <c r="AF4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0" spans="18:32" x14ac:dyDescent="0.2">
      <c r="R4030" t="s">
        <v>11</v>
      </c>
      <c r="S4030" t="s">
        <v>224</v>
      </c>
      <c r="T4030" t="s">
        <v>8</v>
      </c>
      <c r="U4030" s="21">
        <v>104206.81</v>
      </c>
      <c r="V4030" s="21" t="s">
        <v>369</v>
      </c>
      <c r="W4030" t="str">
        <f>VLOOKUP(Table_Query_from_Actuarial___Production[[#This Row],[Kor1]],$AI$3:$AK$105,3,FALSE)</f>
        <v>Losses Paid</v>
      </c>
      <c r="X4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030"/>
      <c r="Z4030" t="s">
        <v>38</v>
      </c>
      <c r="AA4030" t="s">
        <v>224</v>
      </c>
      <c r="AB4030" t="s">
        <v>443</v>
      </c>
      <c r="AC4030" s="21">
        <v>4718.3500000000004</v>
      </c>
      <c r="AD4030" s="21" t="s">
        <v>425</v>
      </c>
      <c r="AE4030" t="str">
        <f>VLOOKUP(Table_Query_from_Actuarial___Production3[[#This Row],[Kor1]],$AI$3:$AK$105,3,FALSE)</f>
        <v>Misc. Income</v>
      </c>
      <c r="AF4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031" spans="18:32" x14ac:dyDescent="0.2">
      <c r="R4031" t="s">
        <v>43</v>
      </c>
      <c r="S4031" t="s">
        <v>230</v>
      </c>
      <c r="T4031" t="s">
        <v>433</v>
      </c>
      <c r="U4031" s="21">
        <v>19330.21</v>
      </c>
      <c r="V4031" s="21" t="s">
        <v>368</v>
      </c>
      <c r="W4031" t="str">
        <f>VLOOKUP(Table_Query_from_Actuarial___Production[[#This Row],[Kor1]],$AI$3:$AK$105,3,FALSE)</f>
        <v>Charge-offs</v>
      </c>
      <c r="X4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1"/>
      <c r="Z4031" t="s">
        <v>31</v>
      </c>
      <c r="AA4031" t="s">
        <v>259</v>
      </c>
      <c r="AB4031" t="s">
        <v>442</v>
      </c>
      <c r="AC4031" s="21">
        <v>815.35</v>
      </c>
      <c r="AD4031" s="21" t="s">
        <v>368</v>
      </c>
      <c r="AE4031" t="str">
        <f>VLOOKUP(Table_Query_from_Actuarial___Production3[[#This Row],[Kor1]],$AI$3:$AK$105,3,FALSE)</f>
        <v>Misc. Expense</v>
      </c>
      <c r="AF4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2" spans="18:32" x14ac:dyDescent="0.2">
      <c r="R4032" t="s">
        <v>10</v>
      </c>
      <c r="S4032" t="s">
        <v>240</v>
      </c>
      <c r="T4032" t="s">
        <v>441</v>
      </c>
      <c r="U4032" s="21">
        <v>278331.31</v>
      </c>
      <c r="V4032" s="21" t="s">
        <v>368</v>
      </c>
      <c r="W4032" t="str">
        <f>VLOOKUP(Table_Query_from_Actuarial___Production[[#This Row],[Kor1]],$AI$3:$AK$105,3,FALSE)</f>
        <v>Commissions</v>
      </c>
      <c r="X4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2"/>
      <c r="Z4032" t="s">
        <v>34</v>
      </c>
      <c r="AA4032" t="s">
        <v>234</v>
      </c>
      <c r="AB4032" t="s">
        <v>5</v>
      </c>
      <c r="AC4032" s="21">
        <v>23.32</v>
      </c>
      <c r="AD4032" s="21" t="s">
        <v>368</v>
      </c>
      <c r="AE4032" t="str">
        <f>VLOOKUP(Table_Query_from_Actuarial___Production3[[#This Row],[Kor1]],$AI$3:$AK$105,3,FALSE)</f>
        <v>Misc. Expense</v>
      </c>
      <c r="AF4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3" spans="18:32" x14ac:dyDescent="0.2">
      <c r="R4033" t="s">
        <v>3</v>
      </c>
      <c r="S4033" t="s">
        <v>354</v>
      </c>
      <c r="T4033" t="s">
        <v>433</v>
      </c>
      <c r="U4033" s="21">
        <v>967590259.21000004</v>
      </c>
      <c r="V4033" s="21" t="s">
        <v>369</v>
      </c>
      <c r="W4033" t="str">
        <f>VLOOKUP(Table_Query_from_Actuarial___Production[[#This Row],[Kor1]],$AI$3:$AK$105,3,FALSE)</f>
        <v>Premiums Written</v>
      </c>
      <c r="X4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033"/>
      <c r="Z4033" t="s">
        <v>40</v>
      </c>
      <c r="AA4033" t="s">
        <v>257</v>
      </c>
      <c r="AB4033" t="s">
        <v>442</v>
      </c>
      <c r="AC4033" s="21">
        <v>1117.43</v>
      </c>
      <c r="AD4033" s="21" t="s">
        <v>368</v>
      </c>
      <c r="AE4033" t="str">
        <f>VLOOKUP(Table_Query_from_Actuarial___Production3[[#This Row],[Kor1]],$AI$3:$AK$105,3,FALSE)</f>
        <v>Misc. Income</v>
      </c>
      <c r="AF4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4" spans="18:32" x14ac:dyDescent="0.2">
      <c r="R4034" t="s">
        <v>11</v>
      </c>
      <c r="S4034" t="s">
        <v>237</v>
      </c>
      <c r="T4034" t="s">
        <v>445</v>
      </c>
      <c r="U4034" s="21">
        <v>177236.04</v>
      </c>
      <c r="V4034" s="21" t="s">
        <v>368</v>
      </c>
      <c r="W4034" t="str">
        <f>VLOOKUP(Table_Query_from_Actuarial___Production[[#This Row],[Kor1]],$AI$3:$AK$105,3,FALSE)</f>
        <v>Losses Paid</v>
      </c>
      <c r="X4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4"/>
      <c r="Z4034" t="s">
        <v>13</v>
      </c>
      <c r="AA4034" t="s">
        <v>248</v>
      </c>
      <c r="AB4034" t="s">
        <v>442</v>
      </c>
      <c r="AC4034" s="21">
        <v>66009.37</v>
      </c>
      <c r="AD4034" s="21" t="s">
        <v>368</v>
      </c>
      <c r="AE4034" t="str">
        <f>VLOOKUP(Table_Query_from_Actuarial___Production3[[#This Row],[Kor1]],$AI$3:$AK$105,3,FALSE)</f>
        <v>Operating Service Fees</v>
      </c>
      <c r="AF4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5" spans="18:32" x14ac:dyDescent="0.2">
      <c r="R4035" t="s">
        <v>40</v>
      </c>
      <c r="S4035" t="s">
        <v>249</v>
      </c>
      <c r="T4035" t="s">
        <v>356</v>
      </c>
      <c r="U4035" s="21">
        <v>402.99</v>
      </c>
      <c r="V4035" s="21" t="s">
        <v>368</v>
      </c>
      <c r="W4035" t="str">
        <f>VLOOKUP(Table_Query_from_Actuarial___Production[[#This Row],[Kor1]],$AI$3:$AK$105,3,FALSE)</f>
        <v>Misc. Income</v>
      </c>
      <c r="X4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5"/>
      <c r="Z4035" t="s">
        <v>17</v>
      </c>
      <c r="AA4035" t="s">
        <v>257</v>
      </c>
      <c r="AB4035" t="s">
        <v>441</v>
      </c>
      <c r="AC4035" s="21">
        <v>268002.06</v>
      </c>
      <c r="AD4035" s="21" t="s">
        <v>368</v>
      </c>
      <c r="AE4035" t="str">
        <f>VLOOKUP(Table_Query_from_Actuarial___Production3[[#This Row],[Kor1]],$AI$3:$AK$105,3,FALSE)</f>
        <v>IBNR</v>
      </c>
      <c r="AF4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6" spans="18:32" x14ac:dyDescent="0.2">
      <c r="R4036" t="s">
        <v>47</v>
      </c>
      <c r="S4036" t="s">
        <v>265</v>
      </c>
      <c r="T4036" t="s">
        <v>445</v>
      </c>
      <c r="U4036" s="21">
        <v>32110.61</v>
      </c>
      <c r="V4036" s="21" t="s">
        <v>368</v>
      </c>
      <c r="W4036" t="str">
        <f>VLOOKUP(Table_Query_from_Actuarial___Production[[#This Row],[Kor1]],$AI$3:$AK$105,3,FALSE)</f>
        <v>Investment Income</v>
      </c>
      <c r="X4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6"/>
      <c r="Z4036" t="s">
        <v>39</v>
      </c>
      <c r="AA4036" t="s">
        <v>230</v>
      </c>
      <c r="AB4036" t="s">
        <v>9</v>
      </c>
      <c r="AC4036" s="21">
        <v>36785.879999999997</v>
      </c>
      <c r="AD4036" s="21" t="s">
        <v>368</v>
      </c>
      <c r="AE4036" t="str">
        <f>VLOOKUP(Table_Query_from_Actuarial___Production3[[#This Row],[Kor1]],$AI$3:$AK$105,3,FALSE)</f>
        <v>Misc. Income for Insolvent Companies</v>
      </c>
      <c r="AF4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7" spans="18:32" x14ac:dyDescent="0.2">
      <c r="R4037" t="s">
        <v>17</v>
      </c>
      <c r="S4037" t="s">
        <v>226</v>
      </c>
      <c r="T4037" t="s">
        <v>445</v>
      </c>
      <c r="U4037" s="21">
        <v>2135656.2200000002</v>
      </c>
      <c r="V4037" s="21" t="s">
        <v>368</v>
      </c>
      <c r="W4037" t="str">
        <f>VLOOKUP(Table_Query_from_Actuarial___Production[[#This Row],[Kor1]],$AI$3:$AK$105,3,FALSE)</f>
        <v>IBNR</v>
      </c>
      <c r="X4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037"/>
      <c r="Z4037" t="s">
        <v>16</v>
      </c>
      <c r="AA4037" t="s">
        <v>250</v>
      </c>
      <c r="AB4037" t="s">
        <v>433</v>
      </c>
      <c r="AC4037" s="21">
        <v>166991.69</v>
      </c>
      <c r="AD4037" s="21" t="s">
        <v>368</v>
      </c>
      <c r="AE4037" t="str">
        <f>VLOOKUP(Table_Query_from_Actuarial___Production3[[#This Row],[Kor1]],$AI$3:$AK$105,3,FALSE)</f>
        <v>Losses Outstanding</v>
      </c>
      <c r="AF4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8" spans="18:32" x14ac:dyDescent="0.2">
      <c r="R4038" t="s">
        <v>31</v>
      </c>
      <c r="S4038" t="s">
        <v>230</v>
      </c>
      <c r="T4038" t="s">
        <v>443</v>
      </c>
      <c r="U4038" s="21">
        <v>-1474.5</v>
      </c>
      <c r="V4038" s="21" t="s">
        <v>368</v>
      </c>
      <c r="W4038" t="str">
        <f>VLOOKUP(Table_Query_from_Actuarial___Production[[#This Row],[Kor1]],$AI$3:$AK$105,3,FALSE)</f>
        <v>Misc. Expense</v>
      </c>
      <c r="X4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8"/>
      <c r="Z4038" t="s">
        <v>41</v>
      </c>
      <c r="AA4038" t="s">
        <v>247</v>
      </c>
      <c r="AB4038" t="s">
        <v>8</v>
      </c>
      <c r="AC4038" s="21">
        <v>550</v>
      </c>
      <c r="AD4038" s="21" t="s">
        <v>368</v>
      </c>
      <c r="AE4038" t="str">
        <f>VLOOKUP(Table_Query_from_Actuarial___Production3[[#This Row],[Kor1]],$AI$3:$AK$105,3,FALSE)</f>
        <v>Misc. Income</v>
      </c>
      <c r="AF4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39" spans="18:32" x14ac:dyDescent="0.2">
      <c r="R4039" t="s">
        <v>15</v>
      </c>
      <c r="S4039" t="s">
        <v>241</v>
      </c>
      <c r="T4039" t="s">
        <v>445</v>
      </c>
      <c r="U4039" s="21">
        <v>177400.18</v>
      </c>
      <c r="V4039" s="21" t="s">
        <v>368</v>
      </c>
      <c r="W4039" t="str">
        <f>VLOOKUP(Table_Query_from_Actuarial___Production[[#This Row],[Kor1]],$AI$3:$AK$105,3,FALSE)</f>
        <v>Unearned Premiums</v>
      </c>
      <c r="X4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39"/>
      <c r="Z4039" t="s">
        <v>14</v>
      </c>
      <c r="AA4039" t="s">
        <v>245</v>
      </c>
      <c r="AB4039" t="s">
        <v>6</v>
      </c>
      <c r="AC4039" s="21">
        <v>2802.23</v>
      </c>
      <c r="AD4039" s="21" t="s">
        <v>368</v>
      </c>
      <c r="AE4039" t="str">
        <f>VLOOKUP(Table_Query_from_Actuarial___Production3[[#This Row],[Kor1]],$AI$3:$AK$105,3,FALSE)</f>
        <v>Claims Expense</v>
      </c>
      <c r="AF4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0" spans="18:32" x14ac:dyDescent="0.2">
      <c r="R4040" t="s">
        <v>39</v>
      </c>
      <c r="S4040" t="s">
        <v>253</v>
      </c>
      <c r="T4040" t="s">
        <v>8</v>
      </c>
      <c r="U4040" s="21">
        <v>287</v>
      </c>
      <c r="V4040" s="21" t="s">
        <v>368</v>
      </c>
      <c r="W4040" t="str">
        <f>VLOOKUP(Table_Query_from_Actuarial___Production[[#This Row],[Kor1]],$AI$3:$AK$105,3,FALSE)</f>
        <v>Misc. Income for Insolvent Companies</v>
      </c>
      <c r="X4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0"/>
      <c r="Z4040" t="s">
        <v>47</v>
      </c>
      <c r="AA4040" t="s">
        <v>259</v>
      </c>
      <c r="AB4040" t="s">
        <v>441</v>
      </c>
      <c r="AC4040" s="21">
        <v>95.63</v>
      </c>
      <c r="AD4040" s="21" t="s">
        <v>368</v>
      </c>
      <c r="AE4040" t="str">
        <f>VLOOKUP(Table_Query_from_Actuarial___Production3[[#This Row],[Kor1]],$AI$3:$AK$105,3,FALSE)</f>
        <v>Investment Income</v>
      </c>
      <c r="AF4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1" spans="18:32" x14ac:dyDescent="0.2">
      <c r="R4041" t="s">
        <v>21</v>
      </c>
      <c r="S4041" t="s">
        <v>261</v>
      </c>
      <c r="T4041" t="s">
        <v>6</v>
      </c>
      <c r="U4041" s="21">
        <v>226.46</v>
      </c>
      <c r="V4041" s="21" t="s">
        <v>368</v>
      </c>
      <c r="W4041" t="str">
        <f>VLOOKUP(Table_Query_from_Actuarial___Production[[#This Row],[Kor1]],$AI$3:$AK$105,3,FALSE)</f>
        <v>Misc. Expense</v>
      </c>
      <c r="X4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1"/>
      <c r="Z4041" t="s">
        <v>33</v>
      </c>
      <c r="AA4041" t="s">
        <v>232</v>
      </c>
      <c r="AB4041" t="s">
        <v>356</v>
      </c>
      <c r="AC4041" s="21">
        <v>15172.63</v>
      </c>
      <c r="AD4041" s="21" t="s">
        <v>368</v>
      </c>
      <c r="AE4041" t="str">
        <f>VLOOKUP(Table_Query_from_Actuarial___Production3[[#This Row],[Kor1]],$AI$3:$AK$105,3,FALSE)</f>
        <v>Misc. Expense</v>
      </c>
      <c r="AF4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2" spans="18:32" x14ac:dyDescent="0.2">
      <c r="R4042" t="s">
        <v>49</v>
      </c>
      <c r="S4042" t="s">
        <v>225</v>
      </c>
      <c r="T4042" t="s">
        <v>356</v>
      </c>
      <c r="U4042" s="21">
        <v>635330.41</v>
      </c>
      <c r="V4042" s="21" t="s">
        <v>368</v>
      </c>
      <c r="W4042" t="str">
        <f>VLOOKUP(Table_Query_from_Actuarial___Production[[#This Row],[Kor1]],$AI$3:$AK$105,3,FALSE)</f>
        <v>ALAE Paid</v>
      </c>
      <c r="X4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042"/>
      <c r="Z4042" t="s">
        <v>13</v>
      </c>
      <c r="AA4042" t="s">
        <v>227</v>
      </c>
      <c r="AB4042" t="s">
        <v>356</v>
      </c>
      <c r="AC4042" s="21">
        <v>6693.16</v>
      </c>
      <c r="AD4042" s="21" t="s">
        <v>368</v>
      </c>
      <c r="AE4042" t="str">
        <f>VLOOKUP(Table_Query_from_Actuarial___Production3[[#This Row],[Kor1]],$AI$3:$AK$105,3,FALSE)</f>
        <v>Operating Service Fees</v>
      </c>
      <c r="AF4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3" spans="18:32" x14ac:dyDescent="0.2">
      <c r="R4043" t="s">
        <v>13</v>
      </c>
      <c r="S4043" t="s">
        <v>255</v>
      </c>
      <c r="T4043" t="s">
        <v>427</v>
      </c>
      <c r="U4043" s="21">
        <v>74082.03</v>
      </c>
      <c r="V4043" s="21" t="s">
        <v>368</v>
      </c>
      <c r="W4043" t="str">
        <f>VLOOKUP(Table_Query_from_Actuarial___Production[[#This Row],[Kor1]],$AI$3:$AK$105,3,FALSE)</f>
        <v>Operating Service Fees</v>
      </c>
      <c r="X4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3"/>
      <c r="Z4043" t="s">
        <v>37</v>
      </c>
      <c r="AA4043" t="s">
        <v>230</v>
      </c>
      <c r="AB4043" t="s">
        <v>6</v>
      </c>
      <c r="AC4043" s="21">
        <v>51022.04</v>
      </c>
      <c r="AD4043" s="21" t="s">
        <v>368</v>
      </c>
      <c r="AE4043" t="str">
        <f>VLOOKUP(Table_Query_from_Actuarial___Production3[[#This Row],[Kor1]],$AI$3:$AK$105,3,FALSE)</f>
        <v>Misc. Expense</v>
      </c>
      <c r="AF4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4" spans="18:32" x14ac:dyDescent="0.2">
      <c r="R4044" t="s">
        <v>11</v>
      </c>
      <c r="S4044" t="s">
        <v>240</v>
      </c>
      <c r="T4044" t="s">
        <v>9</v>
      </c>
      <c r="U4044" s="21">
        <v>1213981.22</v>
      </c>
      <c r="V4044" s="21" t="s">
        <v>368</v>
      </c>
      <c r="W4044" t="str">
        <f>VLOOKUP(Table_Query_from_Actuarial___Production[[#This Row],[Kor1]],$AI$3:$AK$105,3,FALSE)</f>
        <v>Losses Paid</v>
      </c>
      <c r="X4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4"/>
      <c r="Z4044" t="s">
        <v>41</v>
      </c>
      <c r="AA4044" t="s">
        <v>252</v>
      </c>
      <c r="AB4044" t="s">
        <v>5</v>
      </c>
      <c r="AC4044" s="21">
        <v>6690.37</v>
      </c>
      <c r="AD4044" s="21" t="s">
        <v>368</v>
      </c>
      <c r="AE4044" t="str">
        <f>VLOOKUP(Table_Query_from_Actuarial___Production3[[#This Row],[Kor1]],$AI$3:$AK$105,3,FALSE)</f>
        <v>Misc. Income</v>
      </c>
      <c r="AF4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5" spans="18:32" x14ac:dyDescent="0.2">
      <c r="R4045" t="s">
        <v>47</v>
      </c>
      <c r="S4045" t="s">
        <v>242</v>
      </c>
      <c r="T4045" t="s">
        <v>7</v>
      </c>
      <c r="U4045" s="21">
        <v>0.3</v>
      </c>
      <c r="V4045" s="21" t="s">
        <v>368</v>
      </c>
      <c r="W4045" t="str">
        <f>VLOOKUP(Table_Query_from_Actuarial___Production[[#This Row],[Kor1]],$AI$3:$AK$105,3,FALSE)</f>
        <v>Investment Income</v>
      </c>
      <c r="X4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5"/>
      <c r="Z4045" t="s">
        <v>23</v>
      </c>
      <c r="AA4045" t="s">
        <v>259</v>
      </c>
      <c r="AB4045" t="s">
        <v>8</v>
      </c>
      <c r="AC4045" s="21">
        <v>5953.88</v>
      </c>
      <c r="AD4045" s="21" t="s">
        <v>368</v>
      </c>
      <c r="AE4045" t="str">
        <f>VLOOKUP(Table_Query_from_Actuarial___Production3[[#This Row],[Kor1]],$AI$3:$AK$105,3,FALSE)</f>
        <v>Misc. Expense</v>
      </c>
      <c r="AF4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6" spans="18:32" x14ac:dyDescent="0.2">
      <c r="R4046" t="s">
        <v>10</v>
      </c>
      <c r="S4046" t="s">
        <v>224</v>
      </c>
      <c r="T4046" t="s">
        <v>442</v>
      </c>
      <c r="U4046" s="21">
        <v>3069.98</v>
      </c>
      <c r="V4046" s="21" t="s">
        <v>369</v>
      </c>
      <c r="W4046" t="str">
        <f>VLOOKUP(Table_Query_from_Actuarial___Production[[#This Row],[Kor1]],$AI$3:$AK$105,3,FALSE)</f>
        <v>Commissions</v>
      </c>
      <c r="X4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046"/>
      <c r="Z4046" t="s">
        <v>39</v>
      </c>
      <c r="AA4046" t="s">
        <v>253</v>
      </c>
      <c r="AB4046" t="s">
        <v>6</v>
      </c>
      <c r="AC4046" s="21">
        <v>498.66</v>
      </c>
      <c r="AD4046" s="21" t="s">
        <v>368</v>
      </c>
      <c r="AE4046" t="str">
        <f>VLOOKUP(Table_Query_from_Actuarial___Production3[[#This Row],[Kor1]],$AI$3:$AK$105,3,FALSE)</f>
        <v>Misc. Income for Insolvent Companies</v>
      </c>
      <c r="AF4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7" spans="18:32" x14ac:dyDescent="0.2">
      <c r="R4047" t="s">
        <v>17</v>
      </c>
      <c r="S4047" t="s">
        <v>225</v>
      </c>
      <c r="T4047" t="s">
        <v>433</v>
      </c>
      <c r="U4047" s="21">
        <v>4961.97</v>
      </c>
      <c r="V4047" s="21" t="s">
        <v>368</v>
      </c>
      <c r="W4047" t="str">
        <f>VLOOKUP(Table_Query_from_Actuarial___Production[[#This Row],[Kor1]],$AI$3:$AK$105,3,FALSE)</f>
        <v>IBNR</v>
      </c>
      <c r="X4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047"/>
      <c r="Z4047" t="s">
        <v>50</v>
      </c>
      <c r="AA4047" t="s">
        <v>262</v>
      </c>
      <c r="AB4047" t="s">
        <v>441</v>
      </c>
      <c r="AC4047" s="21">
        <v>23343.98</v>
      </c>
      <c r="AD4047" s="21" t="s">
        <v>368</v>
      </c>
      <c r="AE4047" t="str">
        <f>VLOOKUP(Table_Query_from_Actuarial___Production3[[#This Row],[Kor1]],$AI$3:$AK$105,3,FALSE)</f>
        <v>ALAE Reserve</v>
      </c>
      <c r="AF4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48" spans="18:32" x14ac:dyDescent="0.2">
      <c r="R4048" t="s">
        <v>3</v>
      </c>
      <c r="S4048" t="s">
        <v>246</v>
      </c>
      <c r="T4048" t="s">
        <v>442</v>
      </c>
      <c r="U4048" s="21">
        <v>2225411</v>
      </c>
      <c r="V4048" s="21" t="s">
        <v>368</v>
      </c>
      <c r="W4048" t="str">
        <f>VLOOKUP(Table_Query_from_Actuarial___Production[[#This Row],[Kor1]],$AI$3:$AK$105,3,FALSE)</f>
        <v>Premiums Written</v>
      </c>
      <c r="X4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8"/>
      <c r="Z4048" t="s">
        <v>49</v>
      </c>
      <c r="AA4048" t="s">
        <v>225</v>
      </c>
      <c r="AB4048" t="s">
        <v>8</v>
      </c>
      <c r="AC4048" s="21">
        <v>28852.26</v>
      </c>
      <c r="AD4048" s="21" t="s">
        <v>369</v>
      </c>
      <c r="AE4048" t="str">
        <f>VLOOKUP(Table_Query_from_Actuarial___Production3[[#This Row],[Kor1]],$AI$3:$AK$105,3,FALSE)</f>
        <v>ALAE Paid</v>
      </c>
      <c r="AF4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049" spans="18:32" x14ac:dyDescent="0.2">
      <c r="R4049" t="s">
        <v>47</v>
      </c>
      <c r="S4049" t="s">
        <v>238</v>
      </c>
      <c r="T4049" t="s">
        <v>9</v>
      </c>
      <c r="U4049" s="21">
        <v>159.88999999999999</v>
      </c>
      <c r="V4049" s="21" t="s">
        <v>368</v>
      </c>
      <c r="W4049" t="str">
        <f>VLOOKUP(Table_Query_from_Actuarial___Production[[#This Row],[Kor1]],$AI$3:$AK$105,3,FALSE)</f>
        <v>Investment Income</v>
      </c>
      <c r="X4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49"/>
      <c r="Z4049" t="s">
        <v>19</v>
      </c>
      <c r="AA4049" t="s">
        <v>260</v>
      </c>
      <c r="AB4049" t="s">
        <v>7</v>
      </c>
      <c r="AC4049" s="21">
        <v>20</v>
      </c>
      <c r="AD4049" s="21" t="s">
        <v>368</v>
      </c>
      <c r="AE4049" t="str">
        <f>VLOOKUP(Table_Query_from_Actuarial___Production3[[#This Row],[Kor1]],$AI$3:$AK$105,3,FALSE)</f>
        <v>Misc. Expense for Insolvent Companies</v>
      </c>
      <c r="AF4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0" spans="18:32" x14ac:dyDescent="0.2">
      <c r="R4050" t="s">
        <v>48</v>
      </c>
      <c r="S4050" t="s">
        <v>236</v>
      </c>
      <c r="T4050" t="s">
        <v>445</v>
      </c>
      <c r="U4050" s="21">
        <v>15.37</v>
      </c>
      <c r="V4050" s="21" t="s">
        <v>368</v>
      </c>
      <c r="W4050" t="str">
        <f>VLOOKUP(Table_Query_from_Actuarial___Production[[#This Row],[Kor1]],$AI$3:$AK$105,3,FALSE)</f>
        <v>Anticipated Salvage</v>
      </c>
      <c r="X4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0"/>
      <c r="Z4050" t="s">
        <v>48</v>
      </c>
      <c r="AA4050" t="s">
        <v>229</v>
      </c>
      <c r="AB4050" t="s">
        <v>441</v>
      </c>
      <c r="AC4050" s="21">
        <v>298.47000000000003</v>
      </c>
      <c r="AD4050" s="21" t="s">
        <v>368</v>
      </c>
      <c r="AE4050" t="str">
        <f>VLOOKUP(Table_Query_from_Actuarial___Production3[[#This Row],[Kor1]],$AI$3:$AK$105,3,FALSE)</f>
        <v>Anticipated Salvage</v>
      </c>
      <c r="AF4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1" spans="18:32" x14ac:dyDescent="0.2">
      <c r="R4051" t="s">
        <v>47</v>
      </c>
      <c r="S4051" t="s">
        <v>251</v>
      </c>
      <c r="T4051" t="s">
        <v>9</v>
      </c>
      <c r="U4051" s="21">
        <v>73.95</v>
      </c>
      <c r="V4051" s="21" t="s">
        <v>368</v>
      </c>
      <c r="W4051" t="str">
        <f>VLOOKUP(Table_Query_from_Actuarial___Production[[#This Row],[Kor1]],$AI$3:$AK$105,3,FALSE)</f>
        <v>Investment Income</v>
      </c>
      <c r="X4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1"/>
      <c r="Z4051" t="s">
        <v>14</v>
      </c>
      <c r="AA4051" t="s">
        <v>248</v>
      </c>
      <c r="AB4051" t="s">
        <v>5</v>
      </c>
      <c r="AC4051" s="21">
        <v>1807.57</v>
      </c>
      <c r="AD4051" s="21" t="s">
        <v>368</v>
      </c>
      <c r="AE4051" t="str">
        <f>VLOOKUP(Table_Query_from_Actuarial___Production3[[#This Row],[Kor1]],$AI$3:$AK$105,3,FALSE)</f>
        <v>Claims Expense</v>
      </c>
      <c r="AF4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2" spans="18:32" x14ac:dyDescent="0.2">
      <c r="R4052" t="s">
        <v>47</v>
      </c>
      <c r="S4052" t="s">
        <v>264</v>
      </c>
      <c r="T4052" t="s">
        <v>8</v>
      </c>
      <c r="U4052" s="21">
        <v>0.25</v>
      </c>
      <c r="V4052" s="21" t="s">
        <v>368</v>
      </c>
      <c r="W4052" t="str">
        <f>VLOOKUP(Table_Query_from_Actuarial___Production[[#This Row],[Kor1]],$AI$3:$AK$105,3,FALSE)</f>
        <v>Investment Income</v>
      </c>
      <c r="X4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2"/>
      <c r="Z4052" t="s">
        <v>50</v>
      </c>
      <c r="AA4052" t="s">
        <v>260</v>
      </c>
      <c r="AB4052" t="s">
        <v>442</v>
      </c>
      <c r="AC4052" s="21">
        <v>109.49</v>
      </c>
      <c r="AD4052" s="21" t="s">
        <v>368</v>
      </c>
      <c r="AE4052" t="str">
        <f>VLOOKUP(Table_Query_from_Actuarial___Production3[[#This Row],[Kor1]],$AI$3:$AK$105,3,FALSE)</f>
        <v>ALAE Reserve</v>
      </c>
      <c r="AF4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3" spans="18:32" x14ac:dyDescent="0.2">
      <c r="R4053" t="s">
        <v>167</v>
      </c>
      <c r="S4053" t="s">
        <v>354</v>
      </c>
      <c r="T4053" t="s">
        <v>8</v>
      </c>
      <c r="U4053" s="21">
        <v>37092536</v>
      </c>
      <c r="V4053" s="21" t="s">
        <v>368</v>
      </c>
      <c r="W4053" t="str">
        <f>VLOOKUP(Table_Query_from_Actuarial___Production[[#This Row],[Kor1]],$AI$3:$AK$105,3,FALSE)</f>
        <v>Recoupment</v>
      </c>
      <c r="X4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053"/>
      <c r="Z4053" t="s">
        <v>37</v>
      </c>
      <c r="AA4053" t="s">
        <v>262</v>
      </c>
      <c r="AB4053" t="s">
        <v>442</v>
      </c>
      <c r="AC4053" s="21">
        <v>456.89</v>
      </c>
      <c r="AD4053" s="21" t="s">
        <v>368</v>
      </c>
      <c r="AE4053" t="str">
        <f>VLOOKUP(Table_Query_from_Actuarial___Production3[[#This Row],[Kor1]],$AI$3:$AK$105,3,FALSE)</f>
        <v>Misc. Expense</v>
      </c>
      <c r="AF4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4" spans="18:32" x14ac:dyDescent="0.2">
      <c r="R4054" t="s">
        <v>29</v>
      </c>
      <c r="S4054" t="s">
        <v>259</v>
      </c>
      <c r="T4054" t="s">
        <v>356</v>
      </c>
      <c r="U4054" s="21">
        <v>899.99</v>
      </c>
      <c r="V4054" s="21" t="s">
        <v>368</v>
      </c>
      <c r="W4054" t="str">
        <f>VLOOKUP(Table_Query_from_Actuarial___Production[[#This Row],[Kor1]],$AI$3:$AK$105,3,FALSE)</f>
        <v>Misc. Expense</v>
      </c>
      <c r="X4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4"/>
      <c r="Z4054" t="s">
        <v>44</v>
      </c>
      <c r="AA4054" t="s">
        <v>231</v>
      </c>
      <c r="AB4054" t="s">
        <v>8</v>
      </c>
      <c r="AC4054" s="21">
        <v>-4</v>
      </c>
      <c r="AD4054" s="21" t="s">
        <v>368</v>
      </c>
      <c r="AE4054" t="str">
        <f>VLOOKUP(Table_Query_from_Actuarial___Production3[[#This Row],[Kor1]],$AI$3:$AK$105,3,FALSE)</f>
        <v>Charge-offs</v>
      </c>
      <c r="AF4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5" spans="18:32" x14ac:dyDescent="0.2">
      <c r="R4055" t="s">
        <v>37</v>
      </c>
      <c r="S4055" t="s">
        <v>234</v>
      </c>
      <c r="T4055" t="s">
        <v>442</v>
      </c>
      <c r="U4055" s="21">
        <v>341.2</v>
      </c>
      <c r="V4055" s="21" t="s">
        <v>368</v>
      </c>
      <c r="W4055" t="str">
        <f>VLOOKUP(Table_Query_from_Actuarial___Production[[#This Row],[Kor1]],$AI$3:$AK$105,3,FALSE)</f>
        <v>Misc. Expense</v>
      </c>
      <c r="X4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5"/>
      <c r="Z4055" t="s">
        <v>48</v>
      </c>
      <c r="AA4055" t="s">
        <v>268</v>
      </c>
      <c r="AB4055" t="s">
        <v>443</v>
      </c>
      <c r="AC4055" s="21">
        <v>1.02</v>
      </c>
      <c r="AD4055" s="21" t="s">
        <v>368</v>
      </c>
      <c r="AE4055" t="str">
        <f>VLOOKUP(Table_Query_from_Actuarial___Production3[[#This Row],[Kor1]],$AI$3:$AK$105,3,FALSE)</f>
        <v>Anticipated Salvage</v>
      </c>
      <c r="AF4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6" spans="18:32" x14ac:dyDescent="0.2">
      <c r="R4056" t="s">
        <v>40</v>
      </c>
      <c r="S4056" t="s">
        <v>243</v>
      </c>
      <c r="T4056" t="s">
        <v>9</v>
      </c>
      <c r="U4056" s="21">
        <v>92</v>
      </c>
      <c r="V4056" s="21" t="s">
        <v>368</v>
      </c>
      <c r="W4056" t="str">
        <f>VLOOKUP(Table_Query_from_Actuarial___Production[[#This Row],[Kor1]],$AI$3:$AK$105,3,FALSE)</f>
        <v>Misc. Income</v>
      </c>
      <c r="X4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6"/>
      <c r="Z4056" t="s">
        <v>12</v>
      </c>
      <c r="AA4056" t="s">
        <v>248</v>
      </c>
      <c r="AB4056" t="s">
        <v>356</v>
      </c>
      <c r="AC4056" s="21">
        <v>5403</v>
      </c>
      <c r="AD4056" s="21" t="s">
        <v>368</v>
      </c>
      <c r="AE4056" t="str">
        <f>VLOOKUP(Table_Query_from_Actuarial___Production3[[#This Row],[Kor1]],$AI$3:$AK$105,3,FALSE)</f>
        <v>Premium Tax</v>
      </c>
      <c r="AF4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7" spans="18:32" x14ac:dyDescent="0.2">
      <c r="R4057" t="s">
        <v>41</v>
      </c>
      <c r="S4057" t="s">
        <v>240</v>
      </c>
      <c r="T4057" t="s">
        <v>445</v>
      </c>
      <c r="U4057" s="21">
        <v>851.68</v>
      </c>
      <c r="V4057" s="21" t="s">
        <v>368</v>
      </c>
      <c r="W4057" t="str">
        <f>VLOOKUP(Table_Query_from_Actuarial___Production[[#This Row],[Kor1]],$AI$3:$AK$105,3,FALSE)</f>
        <v>Misc. Income</v>
      </c>
      <c r="X4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7"/>
      <c r="Z4057" t="s">
        <v>19</v>
      </c>
      <c r="AA4057" t="s">
        <v>247</v>
      </c>
      <c r="AB4057" t="s">
        <v>9</v>
      </c>
      <c r="AC4057" s="21">
        <v>13</v>
      </c>
      <c r="AD4057" s="21" t="s">
        <v>368</v>
      </c>
      <c r="AE4057" t="str">
        <f>VLOOKUP(Table_Query_from_Actuarial___Production3[[#This Row],[Kor1]],$AI$3:$AK$105,3,FALSE)</f>
        <v>Misc. Expense for Insolvent Companies</v>
      </c>
      <c r="AF4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58" spans="18:32" x14ac:dyDescent="0.2">
      <c r="R4058" t="s">
        <v>16</v>
      </c>
      <c r="S4058" t="s">
        <v>244</v>
      </c>
      <c r="T4058" t="s">
        <v>443</v>
      </c>
      <c r="U4058" s="21">
        <v>215050.93</v>
      </c>
      <c r="V4058" s="21" t="s">
        <v>368</v>
      </c>
      <c r="W4058" t="str">
        <f>VLOOKUP(Table_Query_from_Actuarial___Production[[#This Row],[Kor1]],$AI$3:$AK$105,3,FALSE)</f>
        <v>Losses Outstanding</v>
      </c>
      <c r="X4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8"/>
      <c r="Z4058" t="s">
        <v>11</v>
      </c>
      <c r="AA4058" t="s">
        <v>224</v>
      </c>
      <c r="AB4058" t="s">
        <v>8</v>
      </c>
      <c r="AC4058" s="21">
        <v>104206.81</v>
      </c>
      <c r="AD4058" s="21" t="s">
        <v>369</v>
      </c>
      <c r="AE4058" t="str">
        <f>VLOOKUP(Table_Query_from_Actuarial___Production3[[#This Row],[Kor1]],$AI$3:$AK$105,3,FALSE)</f>
        <v>Losses Paid</v>
      </c>
      <c r="AF4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059" spans="18:32" x14ac:dyDescent="0.2">
      <c r="R4059" t="s">
        <v>40</v>
      </c>
      <c r="S4059" t="s">
        <v>251</v>
      </c>
      <c r="T4059" t="s">
        <v>8</v>
      </c>
      <c r="U4059" s="21">
        <v>24</v>
      </c>
      <c r="V4059" s="21" t="s">
        <v>368</v>
      </c>
      <c r="W4059" t="str">
        <f>VLOOKUP(Table_Query_from_Actuarial___Production[[#This Row],[Kor1]],$AI$3:$AK$105,3,FALSE)</f>
        <v>Misc. Income</v>
      </c>
      <c r="X4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59"/>
      <c r="Z4059" t="s">
        <v>43</v>
      </c>
      <c r="AA4059" t="s">
        <v>230</v>
      </c>
      <c r="AB4059" t="s">
        <v>433</v>
      </c>
      <c r="AC4059" s="21">
        <v>19330.21</v>
      </c>
      <c r="AD4059" s="21" t="s">
        <v>368</v>
      </c>
      <c r="AE4059" t="str">
        <f>VLOOKUP(Table_Query_from_Actuarial___Production3[[#This Row],[Kor1]],$AI$3:$AK$105,3,FALSE)</f>
        <v>Charge-offs</v>
      </c>
      <c r="AF4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0" spans="18:32" x14ac:dyDescent="0.2">
      <c r="R4060" t="s">
        <v>77</v>
      </c>
      <c r="S4060" t="s">
        <v>226</v>
      </c>
      <c r="T4060" t="s">
        <v>443</v>
      </c>
      <c r="U4060" s="21">
        <v>371</v>
      </c>
      <c r="V4060" s="21" t="s">
        <v>368</v>
      </c>
      <c r="W4060" t="str">
        <f>VLOOKUP(Table_Query_from_Actuarial___Production[[#This Row],[Kor1]],$AI$3:$AK$105,3,FALSE)</f>
        <v>PDR</v>
      </c>
      <c r="X4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060"/>
      <c r="Z4060" t="s">
        <v>10</v>
      </c>
      <c r="AA4060" t="s">
        <v>240</v>
      </c>
      <c r="AB4060" t="s">
        <v>441</v>
      </c>
      <c r="AC4060" s="21">
        <v>278331.31</v>
      </c>
      <c r="AD4060" s="21" t="s">
        <v>368</v>
      </c>
      <c r="AE4060" t="str">
        <f>VLOOKUP(Table_Query_from_Actuarial___Production3[[#This Row],[Kor1]],$AI$3:$AK$105,3,FALSE)</f>
        <v>Commissions</v>
      </c>
      <c r="AF4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1" spans="18:32" x14ac:dyDescent="0.2">
      <c r="R4061" t="s">
        <v>14</v>
      </c>
      <c r="S4061" t="s">
        <v>232</v>
      </c>
      <c r="T4061" t="s">
        <v>356</v>
      </c>
      <c r="U4061" s="21">
        <v>60223.18</v>
      </c>
      <c r="V4061" s="21" t="s">
        <v>368</v>
      </c>
      <c r="W4061" t="str">
        <f>VLOOKUP(Table_Query_from_Actuarial___Production[[#This Row],[Kor1]],$AI$3:$AK$105,3,FALSE)</f>
        <v>Claims Expense</v>
      </c>
      <c r="X4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1"/>
      <c r="Z4061" t="s">
        <v>3</v>
      </c>
      <c r="AA4061" t="s">
        <v>354</v>
      </c>
      <c r="AB4061" t="s">
        <v>433</v>
      </c>
      <c r="AC4061" s="21">
        <v>966562775.10000002</v>
      </c>
      <c r="AD4061" s="21" t="s">
        <v>369</v>
      </c>
      <c r="AE4061" t="str">
        <f>VLOOKUP(Table_Query_from_Actuarial___Production3[[#This Row],[Kor1]],$AI$3:$AK$105,3,FALSE)</f>
        <v>Premiums Written</v>
      </c>
      <c r="AF4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062" spans="18:32" x14ac:dyDescent="0.2">
      <c r="R4062" t="s">
        <v>22</v>
      </c>
      <c r="S4062" t="s">
        <v>259</v>
      </c>
      <c r="T4062" t="s">
        <v>6</v>
      </c>
      <c r="U4062" s="21">
        <v>4568.18</v>
      </c>
      <c r="V4062" s="21" t="s">
        <v>368</v>
      </c>
      <c r="W4062" t="str">
        <f>VLOOKUP(Table_Query_from_Actuarial___Production[[#This Row],[Kor1]],$AI$3:$AK$105,3,FALSE)</f>
        <v>Misc. Expense</v>
      </c>
      <c r="X4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2"/>
      <c r="Z4062" t="s">
        <v>40</v>
      </c>
      <c r="AA4062" t="s">
        <v>249</v>
      </c>
      <c r="AB4062" t="s">
        <v>356</v>
      </c>
      <c r="AC4062" s="21">
        <v>402.99</v>
      </c>
      <c r="AD4062" s="21" t="s">
        <v>368</v>
      </c>
      <c r="AE4062" t="str">
        <f>VLOOKUP(Table_Query_from_Actuarial___Production3[[#This Row],[Kor1]],$AI$3:$AK$105,3,FALSE)</f>
        <v>Misc. Income</v>
      </c>
      <c r="AF4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3" spans="18:32" x14ac:dyDescent="0.2">
      <c r="R4063" t="s">
        <v>48</v>
      </c>
      <c r="S4063" t="s">
        <v>235</v>
      </c>
      <c r="T4063" t="s">
        <v>442</v>
      </c>
      <c r="U4063" s="21">
        <v>850.58</v>
      </c>
      <c r="V4063" s="21" t="s">
        <v>368</v>
      </c>
      <c r="W4063" t="str">
        <f>VLOOKUP(Table_Query_from_Actuarial___Production[[#This Row],[Kor1]],$AI$3:$AK$105,3,FALSE)</f>
        <v>Anticipated Salvage</v>
      </c>
      <c r="X4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3"/>
      <c r="Z4063" t="s">
        <v>31</v>
      </c>
      <c r="AA4063" t="s">
        <v>230</v>
      </c>
      <c r="AB4063" t="s">
        <v>443</v>
      </c>
      <c r="AC4063" s="21">
        <v>6470</v>
      </c>
      <c r="AD4063" s="21" t="s">
        <v>368</v>
      </c>
      <c r="AE4063" t="str">
        <f>VLOOKUP(Table_Query_from_Actuarial___Production3[[#This Row],[Kor1]],$AI$3:$AK$105,3,FALSE)</f>
        <v>Misc. Expense</v>
      </c>
      <c r="AF4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4" spans="18:32" x14ac:dyDescent="0.2">
      <c r="R4064" t="s">
        <v>12</v>
      </c>
      <c r="S4064" t="s">
        <v>256</v>
      </c>
      <c r="T4064" t="s">
        <v>443</v>
      </c>
      <c r="U4064" s="21">
        <v>522.37</v>
      </c>
      <c r="V4064" s="21" t="s">
        <v>368</v>
      </c>
      <c r="W4064" t="str">
        <f>VLOOKUP(Table_Query_from_Actuarial___Production[[#This Row],[Kor1]],$AI$3:$AK$105,3,FALSE)</f>
        <v>Premium Tax</v>
      </c>
      <c r="X4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4"/>
      <c r="Z4064" t="s">
        <v>39</v>
      </c>
      <c r="AA4064" t="s">
        <v>253</v>
      </c>
      <c r="AB4064" t="s">
        <v>8</v>
      </c>
      <c r="AC4064" s="21">
        <v>287</v>
      </c>
      <c r="AD4064" s="21" t="s">
        <v>368</v>
      </c>
      <c r="AE4064" t="str">
        <f>VLOOKUP(Table_Query_from_Actuarial___Production3[[#This Row],[Kor1]],$AI$3:$AK$105,3,FALSE)</f>
        <v>Misc. Income for Insolvent Companies</v>
      </c>
      <c r="AF4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5" spans="18:32" x14ac:dyDescent="0.2">
      <c r="R4065" t="s">
        <v>44</v>
      </c>
      <c r="S4065" t="s">
        <v>264</v>
      </c>
      <c r="T4065" t="s">
        <v>441</v>
      </c>
      <c r="U4065" s="21">
        <v>100631.53</v>
      </c>
      <c r="V4065" s="21" t="s">
        <v>368</v>
      </c>
      <c r="W4065" t="str">
        <f>VLOOKUP(Table_Query_from_Actuarial___Production[[#This Row],[Kor1]],$AI$3:$AK$105,3,FALSE)</f>
        <v>Charge-offs</v>
      </c>
      <c r="X4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5"/>
      <c r="Z4065" t="s">
        <v>21</v>
      </c>
      <c r="AA4065" t="s">
        <v>261</v>
      </c>
      <c r="AB4065" t="s">
        <v>6</v>
      </c>
      <c r="AC4065" s="21">
        <v>226.46</v>
      </c>
      <c r="AD4065" s="21" t="s">
        <v>368</v>
      </c>
      <c r="AE4065" t="str">
        <f>VLOOKUP(Table_Query_from_Actuarial___Production3[[#This Row],[Kor1]],$AI$3:$AK$105,3,FALSE)</f>
        <v>Misc. Expense</v>
      </c>
      <c r="AF4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6" spans="18:32" x14ac:dyDescent="0.2">
      <c r="R4066" t="s">
        <v>48</v>
      </c>
      <c r="S4066" t="s">
        <v>255</v>
      </c>
      <c r="T4066" t="s">
        <v>433</v>
      </c>
      <c r="U4066" s="21">
        <v>600.79999999999995</v>
      </c>
      <c r="V4066" s="21" t="s">
        <v>368</v>
      </c>
      <c r="W4066" t="str">
        <f>VLOOKUP(Table_Query_from_Actuarial___Production[[#This Row],[Kor1]],$AI$3:$AK$105,3,FALSE)</f>
        <v>Anticipated Salvage</v>
      </c>
      <c r="X4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6"/>
      <c r="Z4066" t="s">
        <v>49</v>
      </c>
      <c r="AA4066" t="s">
        <v>225</v>
      </c>
      <c r="AB4066" t="s">
        <v>356</v>
      </c>
      <c r="AC4066" s="21">
        <v>615400.47</v>
      </c>
      <c r="AD4066" s="21" t="s">
        <v>368</v>
      </c>
      <c r="AE4066" t="str">
        <f>VLOOKUP(Table_Query_from_Actuarial___Production3[[#This Row],[Kor1]],$AI$3:$AK$105,3,FALSE)</f>
        <v>ALAE Paid</v>
      </c>
      <c r="AF4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067" spans="18:32" x14ac:dyDescent="0.2">
      <c r="R4067" t="s">
        <v>31</v>
      </c>
      <c r="S4067" t="s">
        <v>245</v>
      </c>
      <c r="T4067" t="s">
        <v>6</v>
      </c>
      <c r="U4067" s="21">
        <v>67</v>
      </c>
      <c r="V4067" s="21" t="s">
        <v>368</v>
      </c>
      <c r="W4067" t="str">
        <f>VLOOKUP(Table_Query_from_Actuarial___Production[[#This Row],[Kor1]],$AI$3:$AK$105,3,FALSE)</f>
        <v>Misc. Expense</v>
      </c>
      <c r="X4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7"/>
      <c r="Z4067" t="s">
        <v>13</v>
      </c>
      <c r="AA4067" t="s">
        <v>255</v>
      </c>
      <c r="AB4067" t="s">
        <v>427</v>
      </c>
      <c r="AC4067" s="21">
        <v>74082.03</v>
      </c>
      <c r="AD4067" s="21" t="s">
        <v>368</v>
      </c>
      <c r="AE4067" t="str">
        <f>VLOOKUP(Table_Query_from_Actuarial___Production3[[#This Row],[Kor1]],$AI$3:$AK$105,3,FALSE)</f>
        <v>Operating Service Fees</v>
      </c>
      <c r="AF4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8" spans="18:32" x14ac:dyDescent="0.2">
      <c r="R4068" t="s">
        <v>33</v>
      </c>
      <c r="S4068" t="s">
        <v>257</v>
      </c>
      <c r="T4068" t="s">
        <v>6</v>
      </c>
      <c r="U4068" s="21">
        <v>21756.32</v>
      </c>
      <c r="V4068" s="21" t="s">
        <v>368</v>
      </c>
      <c r="W4068" t="str">
        <f>VLOOKUP(Table_Query_from_Actuarial___Production[[#This Row],[Kor1]],$AI$3:$AK$105,3,FALSE)</f>
        <v>Misc. Expense</v>
      </c>
      <c r="X4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8"/>
      <c r="Z4068" t="s">
        <v>11</v>
      </c>
      <c r="AA4068" t="s">
        <v>240</v>
      </c>
      <c r="AB4068" t="s">
        <v>9</v>
      </c>
      <c r="AC4068" s="21">
        <v>1213981.22</v>
      </c>
      <c r="AD4068" s="21" t="s">
        <v>368</v>
      </c>
      <c r="AE4068" t="str">
        <f>VLOOKUP(Table_Query_from_Actuarial___Production3[[#This Row],[Kor1]],$AI$3:$AK$105,3,FALSE)</f>
        <v>Losses Paid</v>
      </c>
      <c r="AF4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69" spans="18:32" x14ac:dyDescent="0.2">
      <c r="R4069" t="s">
        <v>39</v>
      </c>
      <c r="S4069" t="s">
        <v>234</v>
      </c>
      <c r="T4069" t="s">
        <v>6</v>
      </c>
      <c r="U4069" s="21">
        <v>4</v>
      </c>
      <c r="V4069" s="21" t="s">
        <v>368</v>
      </c>
      <c r="W4069" t="str">
        <f>VLOOKUP(Table_Query_from_Actuarial___Production[[#This Row],[Kor1]],$AI$3:$AK$105,3,FALSE)</f>
        <v>Misc. Income for Insolvent Companies</v>
      </c>
      <c r="X4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69"/>
      <c r="Z4069" t="s">
        <v>47</v>
      </c>
      <c r="AA4069" t="s">
        <v>242</v>
      </c>
      <c r="AB4069" t="s">
        <v>7</v>
      </c>
      <c r="AC4069" s="21">
        <v>0.3</v>
      </c>
      <c r="AD4069" s="21" t="s">
        <v>368</v>
      </c>
      <c r="AE4069" t="str">
        <f>VLOOKUP(Table_Query_from_Actuarial___Production3[[#This Row],[Kor1]],$AI$3:$AK$105,3,FALSE)</f>
        <v>Investment Income</v>
      </c>
      <c r="AF4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0" spans="18:32" x14ac:dyDescent="0.2">
      <c r="R4070" t="s">
        <v>31</v>
      </c>
      <c r="S4070" t="s">
        <v>230</v>
      </c>
      <c r="T4070" t="s">
        <v>427</v>
      </c>
      <c r="U4070" s="21">
        <v>-6011.48</v>
      </c>
      <c r="V4070" s="21" t="s">
        <v>368</v>
      </c>
      <c r="W4070" t="str">
        <f>VLOOKUP(Table_Query_from_Actuarial___Production[[#This Row],[Kor1]],$AI$3:$AK$105,3,FALSE)</f>
        <v>Misc. Expense</v>
      </c>
      <c r="X4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0"/>
      <c r="Z4070" t="s">
        <v>10</v>
      </c>
      <c r="AA4070" t="s">
        <v>224</v>
      </c>
      <c r="AB4070" t="s">
        <v>442</v>
      </c>
      <c r="AC4070" s="21">
        <v>2895.18</v>
      </c>
      <c r="AD4070" s="21" t="s">
        <v>369</v>
      </c>
      <c r="AE4070" t="str">
        <f>VLOOKUP(Table_Query_from_Actuarial___Production3[[#This Row],[Kor1]],$AI$3:$AK$105,3,FALSE)</f>
        <v>Commissions</v>
      </c>
      <c r="AF4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071" spans="18:32" x14ac:dyDescent="0.2">
      <c r="R4071" t="s">
        <v>50</v>
      </c>
      <c r="S4071" t="s">
        <v>4</v>
      </c>
      <c r="T4071" t="s">
        <v>8</v>
      </c>
      <c r="U4071" s="21">
        <v>37363.589999999997</v>
      </c>
      <c r="V4071" s="21" t="s">
        <v>368</v>
      </c>
      <c r="W4071" t="str">
        <f>VLOOKUP(Table_Query_from_Actuarial___Production[[#This Row],[Kor1]],$AI$3:$AK$105,3,FALSE)</f>
        <v>ALAE Reserve</v>
      </c>
      <c r="X4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1"/>
      <c r="Z4071" t="s">
        <v>17</v>
      </c>
      <c r="AA4071" t="s">
        <v>225</v>
      </c>
      <c r="AB4071" t="s">
        <v>433</v>
      </c>
      <c r="AC4071" s="21">
        <v>21300.04</v>
      </c>
      <c r="AD4071" s="21" t="s">
        <v>368</v>
      </c>
      <c r="AE4071" t="str">
        <f>VLOOKUP(Table_Query_from_Actuarial___Production3[[#This Row],[Kor1]],$AI$3:$AK$105,3,FALSE)</f>
        <v>IBNR</v>
      </c>
      <c r="AF4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072" spans="18:32" x14ac:dyDescent="0.2">
      <c r="R4072" t="s">
        <v>26</v>
      </c>
      <c r="S4072" t="s">
        <v>259</v>
      </c>
      <c r="T4072" t="s">
        <v>8</v>
      </c>
      <c r="U4072" s="21">
        <v>8851.14</v>
      </c>
      <c r="V4072" s="21" t="s">
        <v>368</v>
      </c>
      <c r="W4072" t="str">
        <f>VLOOKUP(Table_Query_from_Actuarial___Production[[#This Row],[Kor1]],$AI$3:$AK$105,3,FALSE)</f>
        <v>Misc. Expense</v>
      </c>
      <c r="X4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2"/>
      <c r="Z4072" t="s">
        <v>3</v>
      </c>
      <c r="AA4072" t="s">
        <v>246</v>
      </c>
      <c r="AB4072" t="s">
        <v>442</v>
      </c>
      <c r="AC4072" s="21">
        <v>2120358</v>
      </c>
      <c r="AD4072" s="21" t="s">
        <v>368</v>
      </c>
      <c r="AE4072" t="str">
        <f>VLOOKUP(Table_Query_from_Actuarial___Production3[[#This Row],[Kor1]],$AI$3:$AK$105,3,FALSE)</f>
        <v>Premiums Written</v>
      </c>
      <c r="AF4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3" spans="18:32" x14ac:dyDescent="0.2">
      <c r="R4073" t="s">
        <v>44</v>
      </c>
      <c r="S4073" t="s">
        <v>225</v>
      </c>
      <c r="T4073" t="s">
        <v>351</v>
      </c>
      <c r="U4073" s="21">
        <v>-9942.2999999999993</v>
      </c>
      <c r="V4073" s="21" t="s">
        <v>369</v>
      </c>
      <c r="W4073" t="str">
        <f>VLOOKUP(Table_Query_from_Actuarial___Production[[#This Row],[Kor1]],$AI$3:$AK$105,3,FALSE)</f>
        <v>Charge-offs</v>
      </c>
      <c r="X4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073"/>
      <c r="Z4073" t="s">
        <v>47</v>
      </c>
      <c r="AA4073" t="s">
        <v>238</v>
      </c>
      <c r="AB4073" t="s">
        <v>9</v>
      </c>
      <c r="AC4073" s="21">
        <v>159.88999999999999</v>
      </c>
      <c r="AD4073" s="21" t="s">
        <v>368</v>
      </c>
      <c r="AE4073" t="str">
        <f>VLOOKUP(Table_Query_from_Actuarial___Production3[[#This Row],[Kor1]],$AI$3:$AK$105,3,FALSE)</f>
        <v>Investment Income</v>
      </c>
      <c r="AF4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4" spans="18:32" x14ac:dyDescent="0.2">
      <c r="R4074" t="s">
        <v>44</v>
      </c>
      <c r="S4074" t="s">
        <v>265</v>
      </c>
      <c r="T4074" t="s">
        <v>356</v>
      </c>
      <c r="U4074" s="21">
        <v>7633.25</v>
      </c>
      <c r="V4074" s="21" t="s">
        <v>368</v>
      </c>
      <c r="W4074" t="str">
        <f>VLOOKUP(Table_Query_from_Actuarial___Production[[#This Row],[Kor1]],$AI$3:$AK$105,3,FALSE)</f>
        <v>Charge-offs</v>
      </c>
      <c r="X4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4"/>
      <c r="Z4074" t="s">
        <v>47</v>
      </c>
      <c r="AA4074" t="s">
        <v>251</v>
      </c>
      <c r="AB4074" t="s">
        <v>9</v>
      </c>
      <c r="AC4074" s="21">
        <v>73.95</v>
      </c>
      <c r="AD4074" s="21" t="s">
        <v>368</v>
      </c>
      <c r="AE4074" t="str">
        <f>VLOOKUP(Table_Query_from_Actuarial___Production3[[#This Row],[Kor1]],$AI$3:$AK$105,3,FALSE)</f>
        <v>Investment Income</v>
      </c>
      <c r="AF4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5" spans="18:32" x14ac:dyDescent="0.2">
      <c r="R4075" t="s">
        <v>39</v>
      </c>
      <c r="S4075" t="s">
        <v>242</v>
      </c>
      <c r="T4075" t="s">
        <v>351</v>
      </c>
      <c r="U4075" s="21">
        <v>19447</v>
      </c>
      <c r="V4075" s="21" t="s">
        <v>368</v>
      </c>
      <c r="W4075" t="str">
        <f>VLOOKUP(Table_Query_from_Actuarial___Production[[#This Row],[Kor1]],$AI$3:$AK$105,3,FALSE)</f>
        <v>Misc. Income for Insolvent Companies</v>
      </c>
      <c r="X4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5"/>
      <c r="Z4075" t="s">
        <v>47</v>
      </c>
      <c r="AA4075" t="s">
        <v>264</v>
      </c>
      <c r="AB4075" t="s">
        <v>8</v>
      </c>
      <c r="AC4075" s="21">
        <v>0.25</v>
      </c>
      <c r="AD4075" s="21" t="s">
        <v>368</v>
      </c>
      <c r="AE4075" t="str">
        <f>VLOOKUP(Table_Query_from_Actuarial___Production3[[#This Row],[Kor1]],$AI$3:$AK$105,3,FALSE)</f>
        <v>Investment Income</v>
      </c>
      <c r="AF4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6" spans="18:32" x14ac:dyDescent="0.2">
      <c r="R4076" t="s">
        <v>17</v>
      </c>
      <c r="S4076" t="s">
        <v>354</v>
      </c>
      <c r="T4076" t="s">
        <v>442</v>
      </c>
      <c r="U4076" s="21">
        <v>29879131.789999999</v>
      </c>
      <c r="V4076" s="21" t="s">
        <v>368</v>
      </c>
      <c r="W4076" t="str">
        <f>VLOOKUP(Table_Query_from_Actuarial___Production[[#This Row],[Kor1]],$AI$3:$AK$105,3,FALSE)</f>
        <v>IBNR</v>
      </c>
      <c r="X4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076"/>
      <c r="Z4076" t="s">
        <v>167</v>
      </c>
      <c r="AA4076" t="s">
        <v>354</v>
      </c>
      <c r="AB4076" t="s">
        <v>8</v>
      </c>
      <c r="AC4076" s="21">
        <v>36993867</v>
      </c>
      <c r="AD4076" s="21" t="s">
        <v>368</v>
      </c>
      <c r="AE4076" t="str">
        <f>VLOOKUP(Table_Query_from_Actuarial___Production3[[#This Row],[Kor1]],$AI$3:$AK$105,3,FALSE)</f>
        <v>Recoupment</v>
      </c>
      <c r="AF4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077" spans="18:32" x14ac:dyDescent="0.2">
      <c r="R4077" t="s">
        <v>47</v>
      </c>
      <c r="S4077" t="s">
        <v>250</v>
      </c>
      <c r="T4077" t="s">
        <v>445</v>
      </c>
      <c r="U4077" s="21">
        <v>8396.0300000000007</v>
      </c>
      <c r="V4077" s="21" t="s">
        <v>368</v>
      </c>
      <c r="W4077" t="str">
        <f>VLOOKUP(Table_Query_from_Actuarial___Production[[#This Row],[Kor1]],$AI$3:$AK$105,3,FALSE)</f>
        <v>Investment Income</v>
      </c>
      <c r="X4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7"/>
      <c r="Z4077" t="s">
        <v>29</v>
      </c>
      <c r="AA4077" t="s">
        <v>259</v>
      </c>
      <c r="AB4077" t="s">
        <v>356</v>
      </c>
      <c r="AC4077" s="21">
        <v>899.99</v>
      </c>
      <c r="AD4077" s="21" t="s">
        <v>368</v>
      </c>
      <c r="AE4077" t="str">
        <f>VLOOKUP(Table_Query_from_Actuarial___Production3[[#This Row],[Kor1]],$AI$3:$AK$105,3,FALSE)</f>
        <v>Misc. Expense</v>
      </c>
      <c r="AF4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8" spans="18:32" x14ac:dyDescent="0.2">
      <c r="R4078" t="s">
        <v>10</v>
      </c>
      <c r="S4078" t="s">
        <v>225</v>
      </c>
      <c r="T4078" t="s">
        <v>8</v>
      </c>
      <c r="U4078" s="21">
        <v>54196.93</v>
      </c>
      <c r="V4078" s="21" t="s">
        <v>369</v>
      </c>
      <c r="W4078" t="str">
        <f>VLOOKUP(Table_Query_from_Actuarial___Production[[#This Row],[Kor1]],$AI$3:$AK$105,3,FALSE)</f>
        <v>Commissions</v>
      </c>
      <c r="X4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078"/>
      <c r="Z4078" t="s">
        <v>37</v>
      </c>
      <c r="AA4078" t="s">
        <v>234</v>
      </c>
      <c r="AB4078" t="s">
        <v>442</v>
      </c>
      <c r="AC4078" s="21">
        <v>341.16</v>
      </c>
      <c r="AD4078" s="21" t="s">
        <v>368</v>
      </c>
      <c r="AE4078" t="str">
        <f>VLOOKUP(Table_Query_from_Actuarial___Production3[[#This Row],[Kor1]],$AI$3:$AK$105,3,FALSE)</f>
        <v>Misc. Expense</v>
      </c>
      <c r="AF4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79" spans="18:32" x14ac:dyDescent="0.2">
      <c r="R4079" t="s">
        <v>43</v>
      </c>
      <c r="S4079" t="s">
        <v>233</v>
      </c>
      <c r="T4079" t="s">
        <v>9</v>
      </c>
      <c r="U4079" s="21">
        <v>468.28</v>
      </c>
      <c r="V4079" s="21" t="s">
        <v>368</v>
      </c>
      <c r="W4079" t="str">
        <f>VLOOKUP(Table_Query_from_Actuarial___Production[[#This Row],[Kor1]],$AI$3:$AK$105,3,FALSE)</f>
        <v>Charge-offs</v>
      </c>
      <c r="X4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79"/>
      <c r="Z4079" t="s">
        <v>43</v>
      </c>
      <c r="AA4079" t="s">
        <v>238</v>
      </c>
      <c r="AB4079" t="s">
        <v>5</v>
      </c>
      <c r="AC4079" s="21">
        <v>-0.09</v>
      </c>
      <c r="AD4079" s="21" t="s">
        <v>368</v>
      </c>
      <c r="AE4079" t="str">
        <f>VLOOKUP(Table_Query_from_Actuarial___Production3[[#This Row],[Kor1]],$AI$3:$AK$105,3,FALSE)</f>
        <v>Charge-offs</v>
      </c>
      <c r="AF4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0" spans="18:32" x14ac:dyDescent="0.2">
      <c r="R4080" t="s">
        <v>44</v>
      </c>
      <c r="S4080" t="s">
        <v>263</v>
      </c>
      <c r="T4080" t="s">
        <v>427</v>
      </c>
      <c r="U4080" s="21">
        <v>-7</v>
      </c>
      <c r="V4080" s="21" t="s">
        <v>368</v>
      </c>
      <c r="W4080" t="str">
        <f>VLOOKUP(Table_Query_from_Actuarial___Production[[#This Row],[Kor1]],$AI$3:$AK$105,3,FALSE)</f>
        <v>Charge-offs</v>
      </c>
      <c r="X4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0"/>
      <c r="Z4080" t="s">
        <v>40</v>
      </c>
      <c r="AA4080" t="s">
        <v>243</v>
      </c>
      <c r="AB4080" t="s">
        <v>9</v>
      </c>
      <c r="AC4080" s="21">
        <v>92</v>
      </c>
      <c r="AD4080" s="21" t="s">
        <v>368</v>
      </c>
      <c r="AE4080" t="str">
        <f>VLOOKUP(Table_Query_from_Actuarial___Production3[[#This Row],[Kor1]],$AI$3:$AK$105,3,FALSE)</f>
        <v>Misc. Income</v>
      </c>
      <c r="AF4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1" spans="18:32" x14ac:dyDescent="0.2">
      <c r="R4081" t="s">
        <v>10</v>
      </c>
      <c r="S4081" t="s">
        <v>240</v>
      </c>
      <c r="T4081" t="s">
        <v>351</v>
      </c>
      <c r="U4081" s="21">
        <v>172204.49</v>
      </c>
      <c r="V4081" s="21" t="s">
        <v>368</v>
      </c>
      <c r="W4081" t="str">
        <f>VLOOKUP(Table_Query_from_Actuarial___Production[[#This Row],[Kor1]],$AI$3:$AK$105,3,FALSE)</f>
        <v>Commissions</v>
      </c>
      <c r="X4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1"/>
      <c r="Z4081" t="s">
        <v>16</v>
      </c>
      <c r="AA4081" t="s">
        <v>244</v>
      </c>
      <c r="AB4081" t="s">
        <v>443</v>
      </c>
      <c r="AC4081" s="21">
        <v>29812.1</v>
      </c>
      <c r="AD4081" s="21" t="s">
        <v>368</v>
      </c>
      <c r="AE4081" t="str">
        <f>VLOOKUP(Table_Query_from_Actuarial___Production3[[#This Row],[Kor1]],$AI$3:$AK$105,3,FALSE)</f>
        <v>Losses Outstanding</v>
      </c>
      <c r="AF4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2" spans="18:32" x14ac:dyDescent="0.2">
      <c r="R4082" t="s">
        <v>44</v>
      </c>
      <c r="S4082" t="s">
        <v>264</v>
      </c>
      <c r="T4082" t="s">
        <v>351</v>
      </c>
      <c r="U4082" s="21">
        <v>121364.5</v>
      </c>
      <c r="V4082" s="21" t="s">
        <v>368</v>
      </c>
      <c r="W4082" t="str">
        <f>VLOOKUP(Table_Query_from_Actuarial___Production[[#This Row],[Kor1]],$AI$3:$AK$105,3,FALSE)</f>
        <v>Charge-offs</v>
      </c>
      <c r="X4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2"/>
      <c r="Z4082" t="s">
        <v>40</v>
      </c>
      <c r="AA4082" t="s">
        <v>251</v>
      </c>
      <c r="AB4082" t="s">
        <v>8</v>
      </c>
      <c r="AC4082" s="21">
        <v>24</v>
      </c>
      <c r="AD4082" s="21" t="s">
        <v>368</v>
      </c>
      <c r="AE4082" t="str">
        <f>VLOOKUP(Table_Query_from_Actuarial___Production3[[#This Row],[Kor1]],$AI$3:$AK$105,3,FALSE)</f>
        <v>Misc. Income</v>
      </c>
      <c r="AF4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3" spans="18:32" x14ac:dyDescent="0.2">
      <c r="R4083" t="s">
        <v>50</v>
      </c>
      <c r="S4083" t="s">
        <v>235</v>
      </c>
      <c r="T4083" t="s">
        <v>442</v>
      </c>
      <c r="U4083" s="21">
        <v>474.34</v>
      </c>
      <c r="V4083" s="21" t="s">
        <v>368</v>
      </c>
      <c r="W4083" t="str">
        <f>VLOOKUP(Table_Query_from_Actuarial___Production[[#This Row],[Kor1]],$AI$3:$AK$105,3,FALSE)</f>
        <v>ALAE Reserve</v>
      </c>
      <c r="X4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3"/>
      <c r="Z4083" t="s">
        <v>14</v>
      </c>
      <c r="AA4083" t="s">
        <v>232</v>
      </c>
      <c r="AB4083" t="s">
        <v>356</v>
      </c>
      <c r="AC4083" s="21">
        <v>60223.18</v>
      </c>
      <c r="AD4083" s="21" t="s">
        <v>368</v>
      </c>
      <c r="AE4083" t="str">
        <f>VLOOKUP(Table_Query_from_Actuarial___Production3[[#This Row],[Kor1]],$AI$3:$AK$105,3,FALSE)</f>
        <v>Claims Expense</v>
      </c>
      <c r="AF4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4" spans="18:32" x14ac:dyDescent="0.2">
      <c r="R4084" t="s">
        <v>11</v>
      </c>
      <c r="S4084" t="s">
        <v>259</v>
      </c>
      <c r="T4084" t="s">
        <v>7</v>
      </c>
      <c r="U4084" s="21">
        <v>23062.47</v>
      </c>
      <c r="V4084" s="21" t="s">
        <v>368</v>
      </c>
      <c r="W4084" t="str">
        <f>VLOOKUP(Table_Query_from_Actuarial___Production[[#This Row],[Kor1]],$AI$3:$AK$105,3,FALSE)</f>
        <v>Losses Paid</v>
      </c>
      <c r="X4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4"/>
      <c r="Z4084" t="s">
        <v>22</v>
      </c>
      <c r="AA4084" t="s">
        <v>259</v>
      </c>
      <c r="AB4084" t="s">
        <v>6</v>
      </c>
      <c r="AC4084" s="21">
        <v>4568.18</v>
      </c>
      <c r="AD4084" s="21" t="s">
        <v>368</v>
      </c>
      <c r="AE4084" t="str">
        <f>VLOOKUP(Table_Query_from_Actuarial___Production3[[#This Row],[Kor1]],$AI$3:$AK$105,3,FALSE)</f>
        <v>Misc. Expense</v>
      </c>
      <c r="AF4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5" spans="18:32" x14ac:dyDescent="0.2">
      <c r="R4085" t="s">
        <v>10</v>
      </c>
      <c r="S4085" t="s">
        <v>237</v>
      </c>
      <c r="T4085" t="s">
        <v>356</v>
      </c>
      <c r="U4085" s="21">
        <v>1976975.4</v>
      </c>
      <c r="V4085" s="21" t="s">
        <v>368</v>
      </c>
      <c r="W4085" t="str">
        <f>VLOOKUP(Table_Query_from_Actuarial___Production[[#This Row],[Kor1]],$AI$3:$AK$105,3,FALSE)</f>
        <v>Commissions</v>
      </c>
      <c r="X4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5"/>
      <c r="Z4085" t="s">
        <v>47</v>
      </c>
      <c r="AA4085" t="s">
        <v>248</v>
      </c>
      <c r="AB4085" t="s">
        <v>5</v>
      </c>
      <c r="AC4085" s="21">
        <v>0.55000000000000004</v>
      </c>
      <c r="AD4085" s="21" t="s">
        <v>368</v>
      </c>
      <c r="AE4085" t="str">
        <f>VLOOKUP(Table_Query_from_Actuarial___Production3[[#This Row],[Kor1]],$AI$3:$AK$105,3,FALSE)</f>
        <v>Investment Income</v>
      </c>
      <c r="AF4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6" spans="18:32" x14ac:dyDescent="0.2">
      <c r="R4086" t="s">
        <v>11</v>
      </c>
      <c r="S4086" t="s">
        <v>244</v>
      </c>
      <c r="T4086" t="s">
        <v>356</v>
      </c>
      <c r="U4086" s="21">
        <v>962815.9</v>
      </c>
      <c r="V4086" s="21" t="s">
        <v>368</v>
      </c>
      <c r="W4086" t="str">
        <f>VLOOKUP(Table_Query_from_Actuarial___Production[[#This Row],[Kor1]],$AI$3:$AK$105,3,FALSE)</f>
        <v>Losses Paid</v>
      </c>
      <c r="X4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6"/>
      <c r="Z4086" t="s">
        <v>48</v>
      </c>
      <c r="AA4086" t="s">
        <v>235</v>
      </c>
      <c r="AB4086" t="s">
        <v>442</v>
      </c>
      <c r="AC4086" s="21">
        <v>1498.26</v>
      </c>
      <c r="AD4086" s="21" t="s">
        <v>368</v>
      </c>
      <c r="AE4086" t="str">
        <f>VLOOKUP(Table_Query_from_Actuarial___Production3[[#This Row],[Kor1]],$AI$3:$AK$105,3,FALSE)</f>
        <v>Anticipated Salvage</v>
      </c>
      <c r="AF4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7" spans="18:32" x14ac:dyDescent="0.2">
      <c r="R4087" t="s">
        <v>33</v>
      </c>
      <c r="S4087" t="s">
        <v>236</v>
      </c>
      <c r="T4087" t="s">
        <v>8</v>
      </c>
      <c r="U4087" s="21">
        <v>19347.02</v>
      </c>
      <c r="V4087" s="21" t="s">
        <v>368</v>
      </c>
      <c r="W4087" t="str">
        <f>VLOOKUP(Table_Query_from_Actuarial___Production[[#This Row],[Kor1]],$AI$3:$AK$105,3,FALSE)</f>
        <v>Misc. Expense</v>
      </c>
      <c r="X4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7"/>
      <c r="Z4087" t="s">
        <v>12</v>
      </c>
      <c r="AA4087" t="s">
        <v>256</v>
      </c>
      <c r="AB4087" t="s">
        <v>443</v>
      </c>
      <c r="AC4087" s="21">
        <v>501.07</v>
      </c>
      <c r="AD4087" s="21" t="s">
        <v>368</v>
      </c>
      <c r="AE4087" t="str">
        <f>VLOOKUP(Table_Query_from_Actuarial___Production3[[#This Row],[Kor1]],$AI$3:$AK$105,3,FALSE)</f>
        <v>Premium Tax</v>
      </c>
      <c r="AF4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8" spans="18:32" x14ac:dyDescent="0.2">
      <c r="R4088" t="s">
        <v>19</v>
      </c>
      <c r="S4088" t="s">
        <v>252</v>
      </c>
      <c r="T4088" t="s">
        <v>6</v>
      </c>
      <c r="U4088" s="21">
        <v>166.98</v>
      </c>
      <c r="V4088" s="21" t="s">
        <v>368</v>
      </c>
      <c r="W4088" t="str">
        <f>VLOOKUP(Table_Query_from_Actuarial___Production[[#This Row],[Kor1]],$AI$3:$AK$105,3,FALSE)</f>
        <v>Misc. Expense for Insolvent Companies</v>
      </c>
      <c r="X4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88"/>
      <c r="Z4088" t="s">
        <v>44</v>
      </c>
      <c r="AA4088" t="s">
        <v>264</v>
      </c>
      <c r="AB4088" t="s">
        <v>441</v>
      </c>
      <c r="AC4088" s="21">
        <v>100631.53</v>
      </c>
      <c r="AD4088" s="21" t="s">
        <v>368</v>
      </c>
      <c r="AE4088" t="str">
        <f>VLOOKUP(Table_Query_from_Actuarial___Production3[[#This Row],[Kor1]],$AI$3:$AK$105,3,FALSE)</f>
        <v>Charge-offs</v>
      </c>
      <c r="AF4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89" spans="18:32" x14ac:dyDescent="0.2">
      <c r="R4089" t="s">
        <v>48</v>
      </c>
      <c r="S4089" t="s">
        <v>224</v>
      </c>
      <c r="T4089" t="s">
        <v>443</v>
      </c>
      <c r="U4089" s="21">
        <v>504.49</v>
      </c>
      <c r="V4089" s="21" t="s">
        <v>425</v>
      </c>
      <c r="W4089" t="str">
        <f>VLOOKUP(Table_Query_from_Actuarial___Production[[#This Row],[Kor1]],$AI$3:$AK$105,3,FALSE)</f>
        <v>Anticipated Salvage</v>
      </c>
      <c r="X4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089"/>
      <c r="Z4089" t="s">
        <v>48</v>
      </c>
      <c r="AA4089" t="s">
        <v>255</v>
      </c>
      <c r="AB4089" t="s">
        <v>433</v>
      </c>
      <c r="AC4089" s="21">
        <v>559.17999999999995</v>
      </c>
      <c r="AD4089" s="21" t="s">
        <v>368</v>
      </c>
      <c r="AE4089" t="str">
        <f>VLOOKUP(Table_Query_from_Actuarial___Production3[[#This Row],[Kor1]],$AI$3:$AK$105,3,FALSE)</f>
        <v>Anticipated Salvage</v>
      </c>
      <c r="AF4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0" spans="18:32" x14ac:dyDescent="0.2">
      <c r="R4090" t="s">
        <v>14</v>
      </c>
      <c r="S4090" t="s">
        <v>229</v>
      </c>
      <c r="T4090" t="s">
        <v>441</v>
      </c>
      <c r="U4090" s="21">
        <v>8393.34</v>
      </c>
      <c r="V4090" s="21" t="s">
        <v>368</v>
      </c>
      <c r="W4090" t="str">
        <f>VLOOKUP(Table_Query_from_Actuarial___Production[[#This Row],[Kor1]],$AI$3:$AK$105,3,FALSE)</f>
        <v>Claims Expense</v>
      </c>
      <c r="X4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0"/>
      <c r="Z4090" t="s">
        <v>13</v>
      </c>
      <c r="AA4090" t="s">
        <v>226</v>
      </c>
      <c r="AB4090" t="s">
        <v>5</v>
      </c>
      <c r="AC4090" s="21">
        <v>987836.28</v>
      </c>
      <c r="AD4090" s="21" t="s">
        <v>368</v>
      </c>
      <c r="AE4090" t="str">
        <f>VLOOKUP(Table_Query_from_Actuarial___Production3[[#This Row],[Kor1]],$AI$3:$AK$105,3,FALSE)</f>
        <v>Operating Service Fees</v>
      </c>
      <c r="AF4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091" spans="18:32" x14ac:dyDescent="0.2">
      <c r="R4091" t="s">
        <v>33</v>
      </c>
      <c r="S4091" t="s">
        <v>255</v>
      </c>
      <c r="T4091" t="s">
        <v>433</v>
      </c>
      <c r="U4091" s="21">
        <v>14080.74</v>
      </c>
      <c r="V4091" s="21" t="s">
        <v>368</v>
      </c>
      <c r="W4091" t="str">
        <f>VLOOKUP(Table_Query_from_Actuarial___Production[[#This Row],[Kor1]],$AI$3:$AK$105,3,FALSE)</f>
        <v>Misc. Expense</v>
      </c>
      <c r="X4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1"/>
      <c r="Z4091" t="s">
        <v>31</v>
      </c>
      <c r="AA4091" t="s">
        <v>245</v>
      </c>
      <c r="AB4091" t="s">
        <v>6</v>
      </c>
      <c r="AC4091" s="21">
        <v>67</v>
      </c>
      <c r="AD4091" s="21" t="s">
        <v>368</v>
      </c>
      <c r="AE4091" t="str">
        <f>VLOOKUP(Table_Query_from_Actuarial___Production3[[#This Row],[Kor1]],$AI$3:$AK$105,3,FALSE)</f>
        <v>Misc. Expense</v>
      </c>
      <c r="AF4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2" spans="18:32" x14ac:dyDescent="0.2">
      <c r="R4092" t="s">
        <v>46</v>
      </c>
      <c r="S4092" t="s">
        <v>224</v>
      </c>
      <c r="T4092" t="s">
        <v>356</v>
      </c>
      <c r="U4092" s="21">
        <v>57878.57</v>
      </c>
      <c r="V4092" s="21" t="s">
        <v>370</v>
      </c>
      <c r="W4092" t="str">
        <f>VLOOKUP(Table_Query_from_Actuarial___Production[[#This Row],[Kor1]],$AI$3:$AK$105,3,FALSE)</f>
        <v>Investment Income</v>
      </c>
      <c r="X4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092"/>
      <c r="Z4092" t="s">
        <v>33</v>
      </c>
      <c r="AA4092" t="s">
        <v>257</v>
      </c>
      <c r="AB4092" t="s">
        <v>6</v>
      </c>
      <c r="AC4092" s="21">
        <v>21756.32</v>
      </c>
      <c r="AD4092" s="21" t="s">
        <v>368</v>
      </c>
      <c r="AE4092" t="str">
        <f>VLOOKUP(Table_Query_from_Actuarial___Production3[[#This Row],[Kor1]],$AI$3:$AK$105,3,FALSE)</f>
        <v>Misc. Expense</v>
      </c>
      <c r="AF4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3" spans="18:32" x14ac:dyDescent="0.2">
      <c r="R4093" t="s">
        <v>39</v>
      </c>
      <c r="S4093" t="s">
        <v>256</v>
      </c>
      <c r="T4093" t="s">
        <v>9</v>
      </c>
      <c r="U4093" s="21">
        <v>24</v>
      </c>
      <c r="V4093" s="21" t="s">
        <v>368</v>
      </c>
      <c r="W4093" t="str">
        <f>VLOOKUP(Table_Query_from_Actuarial___Production[[#This Row],[Kor1]],$AI$3:$AK$105,3,FALSE)</f>
        <v>Misc. Income for Insolvent Companies</v>
      </c>
      <c r="X4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3"/>
      <c r="Z4093" t="s">
        <v>39</v>
      </c>
      <c r="AA4093" t="s">
        <v>234</v>
      </c>
      <c r="AB4093" t="s">
        <v>6</v>
      </c>
      <c r="AC4093" s="21">
        <v>4</v>
      </c>
      <c r="AD4093" s="21" t="s">
        <v>368</v>
      </c>
      <c r="AE4093" t="str">
        <f>VLOOKUP(Table_Query_from_Actuarial___Production3[[#This Row],[Kor1]],$AI$3:$AK$105,3,FALSE)</f>
        <v>Misc. Income for Insolvent Companies</v>
      </c>
      <c r="AF4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4" spans="18:32" x14ac:dyDescent="0.2">
      <c r="R4094" t="s">
        <v>12</v>
      </c>
      <c r="S4094" t="s">
        <v>256</v>
      </c>
      <c r="T4094" t="s">
        <v>427</v>
      </c>
      <c r="U4094" s="21">
        <v>1702.11</v>
      </c>
      <c r="V4094" s="21" t="s">
        <v>368</v>
      </c>
      <c r="W4094" t="str">
        <f>VLOOKUP(Table_Query_from_Actuarial___Production[[#This Row],[Kor1]],$AI$3:$AK$105,3,FALSE)</f>
        <v>Premium Tax</v>
      </c>
      <c r="X4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4"/>
      <c r="Z4094" t="s">
        <v>31</v>
      </c>
      <c r="AA4094" t="s">
        <v>230</v>
      </c>
      <c r="AB4094" t="s">
        <v>427</v>
      </c>
      <c r="AC4094" s="21">
        <v>-6011.48</v>
      </c>
      <c r="AD4094" s="21" t="s">
        <v>368</v>
      </c>
      <c r="AE4094" t="str">
        <f>VLOOKUP(Table_Query_from_Actuarial___Production3[[#This Row],[Kor1]],$AI$3:$AK$105,3,FALSE)</f>
        <v>Misc. Expense</v>
      </c>
      <c r="AF4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5" spans="18:32" x14ac:dyDescent="0.2">
      <c r="R4095" t="s">
        <v>40</v>
      </c>
      <c r="S4095" t="s">
        <v>245</v>
      </c>
      <c r="T4095" t="s">
        <v>356</v>
      </c>
      <c r="U4095" s="21">
        <v>1</v>
      </c>
      <c r="V4095" s="21" t="s">
        <v>368</v>
      </c>
      <c r="W4095" t="str">
        <f>VLOOKUP(Table_Query_from_Actuarial___Production[[#This Row],[Kor1]],$AI$3:$AK$105,3,FALSE)</f>
        <v>Misc. Income</v>
      </c>
      <c r="X4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5"/>
      <c r="Z4095" t="s">
        <v>50</v>
      </c>
      <c r="AA4095" t="s">
        <v>4</v>
      </c>
      <c r="AB4095" t="s">
        <v>8</v>
      </c>
      <c r="AC4095" s="21">
        <v>29679.95</v>
      </c>
      <c r="AD4095" s="21" t="s">
        <v>368</v>
      </c>
      <c r="AE4095" t="str">
        <f>VLOOKUP(Table_Query_from_Actuarial___Production3[[#This Row],[Kor1]],$AI$3:$AK$105,3,FALSE)</f>
        <v>ALAE Reserve</v>
      </c>
      <c r="AF4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6" spans="18:32" x14ac:dyDescent="0.2">
      <c r="R4096" t="s">
        <v>12</v>
      </c>
      <c r="S4096" t="s">
        <v>239</v>
      </c>
      <c r="T4096" t="s">
        <v>443</v>
      </c>
      <c r="U4096" s="21">
        <v>67026.62</v>
      </c>
      <c r="V4096" s="21" t="s">
        <v>368</v>
      </c>
      <c r="W4096" t="str">
        <f>VLOOKUP(Table_Query_from_Actuarial___Production[[#This Row],[Kor1]],$AI$3:$AK$105,3,FALSE)</f>
        <v>Premium Tax</v>
      </c>
      <c r="X4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6"/>
      <c r="Z4096" t="s">
        <v>26</v>
      </c>
      <c r="AA4096" t="s">
        <v>259</v>
      </c>
      <c r="AB4096" t="s">
        <v>8</v>
      </c>
      <c r="AC4096" s="21">
        <v>8851.14</v>
      </c>
      <c r="AD4096" s="21" t="s">
        <v>368</v>
      </c>
      <c r="AE4096" t="str">
        <f>VLOOKUP(Table_Query_from_Actuarial___Production3[[#This Row],[Kor1]],$AI$3:$AK$105,3,FALSE)</f>
        <v>Misc. Expense</v>
      </c>
      <c r="AF4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7" spans="18:32" x14ac:dyDescent="0.2">
      <c r="R4097" t="s">
        <v>31</v>
      </c>
      <c r="S4097" t="s">
        <v>260</v>
      </c>
      <c r="T4097" t="s">
        <v>9</v>
      </c>
      <c r="U4097" s="21">
        <v>566.14</v>
      </c>
      <c r="V4097" s="21" t="s">
        <v>368</v>
      </c>
      <c r="W4097" t="str">
        <f>VLOOKUP(Table_Query_from_Actuarial___Production[[#This Row],[Kor1]],$AI$3:$AK$105,3,FALSE)</f>
        <v>Misc. Expense</v>
      </c>
      <c r="X4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7"/>
      <c r="Z4097" t="s">
        <v>44</v>
      </c>
      <c r="AA4097" t="s">
        <v>225</v>
      </c>
      <c r="AB4097" t="s">
        <v>351</v>
      </c>
      <c r="AC4097" s="21">
        <v>-9942.2999999999993</v>
      </c>
      <c r="AD4097" s="21" t="s">
        <v>369</v>
      </c>
      <c r="AE4097" t="str">
        <f>VLOOKUP(Table_Query_from_Actuarial___Production3[[#This Row],[Kor1]],$AI$3:$AK$105,3,FALSE)</f>
        <v>Charge-offs</v>
      </c>
      <c r="AF4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098" spans="18:32" x14ac:dyDescent="0.2">
      <c r="R4098" t="s">
        <v>49</v>
      </c>
      <c r="S4098" t="s">
        <v>4</v>
      </c>
      <c r="T4098" t="s">
        <v>433</v>
      </c>
      <c r="U4098" s="21">
        <v>3041079.63</v>
      </c>
      <c r="V4098" s="21" t="s">
        <v>368</v>
      </c>
      <c r="W4098" t="str">
        <f>VLOOKUP(Table_Query_from_Actuarial___Production[[#This Row],[Kor1]],$AI$3:$AK$105,3,FALSE)</f>
        <v>ALAE Paid</v>
      </c>
      <c r="X4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8"/>
      <c r="Z4098" t="s">
        <v>44</v>
      </c>
      <c r="AA4098" t="s">
        <v>265</v>
      </c>
      <c r="AB4098" t="s">
        <v>356</v>
      </c>
      <c r="AC4098" s="21">
        <v>7633.25</v>
      </c>
      <c r="AD4098" s="21" t="s">
        <v>368</v>
      </c>
      <c r="AE4098" t="str">
        <f>VLOOKUP(Table_Query_from_Actuarial___Production3[[#This Row],[Kor1]],$AI$3:$AK$105,3,FALSE)</f>
        <v>Charge-offs</v>
      </c>
      <c r="AF4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099" spans="18:32" x14ac:dyDescent="0.2">
      <c r="R4099" t="s">
        <v>21</v>
      </c>
      <c r="S4099" t="s">
        <v>235</v>
      </c>
      <c r="T4099" t="s">
        <v>442</v>
      </c>
      <c r="U4099" s="21">
        <v>1199.99</v>
      </c>
      <c r="V4099" s="21" t="s">
        <v>368</v>
      </c>
      <c r="W4099" t="str">
        <f>VLOOKUP(Table_Query_from_Actuarial___Production[[#This Row],[Kor1]],$AI$3:$AK$105,3,FALSE)</f>
        <v>Misc. Expense</v>
      </c>
      <c r="X4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099"/>
      <c r="Z4099" t="s">
        <v>39</v>
      </c>
      <c r="AA4099" t="s">
        <v>242</v>
      </c>
      <c r="AB4099" t="s">
        <v>351</v>
      </c>
      <c r="AC4099" s="21">
        <v>19447</v>
      </c>
      <c r="AD4099" s="21" t="s">
        <v>368</v>
      </c>
      <c r="AE4099" t="str">
        <f>VLOOKUP(Table_Query_from_Actuarial___Production3[[#This Row],[Kor1]],$AI$3:$AK$105,3,FALSE)</f>
        <v>Misc. Income for Insolvent Companies</v>
      </c>
      <c r="AF4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0" spans="18:32" x14ac:dyDescent="0.2">
      <c r="R4100" t="s">
        <v>40</v>
      </c>
      <c r="S4100" t="s">
        <v>263</v>
      </c>
      <c r="T4100" t="s">
        <v>442</v>
      </c>
      <c r="U4100" s="21">
        <v>217</v>
      </c>
      <c r="V4100" s="21" t="s">
        <v>368</v>
      </c>
      <c r="W4100" t="str">
        <f>VLOOKUP(Table_Query_from_Actuarial___Production[[#This Row],[Kor1]],$AI$3:$AK$105,3,FALSE)</f>
        <v>Misc. Income</v>
      </c>
      <c r="X4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0"/>
      <c r="Z4100" t="s">
        <v>48</v>
      </c>
      <c r="AA4100" t="s">
        <v>229</v>
      </c>
      <c r="AB4100" t="s">
        <v>427</v>
      </c>
      <c r="AC4100" s="21">
        <v>492.33</v>
      </c>
      <c r="AD4100" s="21" t="s">
        <v>368</v>
      </c>
      <c r="AE4100" t="str">
        <f>VLOOKUP(Table_Query_from_Actuarial___Production3[[#This Row],[Kor1]],$AI$3:$AK$105,3,FALSE)</f>
        <v>Anticipated Salvage</v>
      </c>
      <c r="AF4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1" spans="18:32" x14ac:dyDescent="0.2">
      <c r="R4101" t="s">
        <v>12</v>
      </c>
      <c r="S4101" t="s">
        <v>234</v>
      </c>
      <c r="T4101" t="s">
        <v>442</v>
      </c>
      <c r="U4101" s="21">
        <v>24317.01</v>
      </c>
      <c r="V4101" s="21" t="s">
        <v>368</v>
      </c>
      <c r="W4101" t="str">
        <f>VLOOKUP(Table_Query_from_Actuarial___Production[[#This Row],[Kor1]],$AI$3:$AK$105,3,FALSE)</f>
        <v>Premium Tax</v>
      </c>
      <c r="X4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1"/>
      <c r="Z4101" t="s">
        <v>17</v>
      </c>
      <c r="AA4101" t="s">
        <v>354</v>
      </c>
      <c r="AB4101" t="s">
        <v>442</v>
      </c>
      <c r="AC4101" s="21">
        <v>48957032.299999997</v>
      </c>
      <c r="AD4101" s="21" t="s">
        <v>368</v>
      </c>
      <c r="AE4101" t="str">
        <f>VLOOKUP(Table_Query_from_Actuarial___Production3[[#This Row],[Kor1]],$AI$3:$AK$105,3,FALSE)</f>
        <v>IBNR</v>
      </c>
      <c r="AF4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102" spans="18:32" x14ac:dyDescent="0.2">
      <c r="R4102" t="s">
        <v>50</v>
      </c>
      <c r="S4102" t="s">
        <v>258</v>
      </c>
      <c r="T4102" t="s">
        <v>427</v>
      </c>
      <c r="U4102" s="21">
        <v>91555.63</v>
      </c>
      <c r="V4102" s="21" t="s">
        <v>368</v>
      </c>
      <c r="W4102" t="str">
        <f>VLOOKUP(Table_Query_from_Actuarial___Production[[#This Row],[Kor1]],$AI$3:$AK$105,3,FALSE)</f>
        <v>ALAE Reserve</v>
      </c>
      <c r="X4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2"/>
      <c r="Z4102" t="s">
        <v>10</v>
      </c>
      <c r="AA4102" t="s">
        <v>225</v>
      </c>
      <c r="AB4102" t="s">
        <v>8</v>
      </c>
      <c r="AC4102" s="21">
        <v>54196.93</v>
      </c>
      <c r="AD4102" s="21" t="s">
        <v>369</v>
      </c>
      <c r="AE4102" t="str">
        <f>VLOOKUP(Table_Query_from_Actuarial___Production3[[#This Row],[Kor1]],$AI$3:$AK$105,3,FALSE)</f>
        <v>Commissions</v>
      </c>
      <c r="AF4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103" spans="18:32" x14ac:dyDescent="0.2">
      <c r="R4103" t="s">
        <v>439</v>
      </c>
      <c r="S4103" t="s">
        <v>248</v>
      </c>
      <c r="T4103" t="s">
        <v>433</v>
      </c>
      <c r="U4103" s="21">
        <v>8390</v>
      </c>
      <c r="V4103" s="21" t="s">
        <v>368</v>
      </c>
      <c r="W4103" t="str">
        <f>VLOOKUP(Table_Query_from_Actuarial___Production[[#This Row],[Kor1]],$AI$3:$AK$105,3,FALSE)</f>
        <v>Operating Service Fees</v>
      </c>
      <c r="X4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3"/>
      <c r="Z4103" t="s">
        <v>43</v>
      </c>
      <c r="AA4103" t="s">
        <v>233</v>
      </c>
      <c r="AB4103" t="s">
        <v>9</v>
      </c>
      <c r="AC4103" s="21">
        <v>468.28</v>
      </c>
      <c r="AD4103" s="21" t="s">
        <v>368</v>
      </c>
      <c r="AE4103" t="str">
        <f>VLOOKUP(Table_Query_from_Actuarial___Production3[[#This Row],[Kor1]],$AI$3:$AK$105,3,FALSE)</f>
        <v>Charge-offs</v>
      </c>
      <c r="AF4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4" spans="18:32" x14ac:dyDescent="0.2">
      <c r="R4104" t="s">
        <v>18</v>
      </c>
      <c r="S4104" t="s">
        <v>224</v>
      </c>
      <c r="T4104" t="s">
        <v>427</v>
      </c>
      <c r="U4104" s="21">
        <v>6001.2</v>
      </c>
      <c r="V4104" s="21" t="s">
        <v>369</v>
      </c>
      <c r="W4104" t="str">
        <f>VLOOKUP(Table_Query_from_Actuarial___Production[[#This Row],[Kor1]],$AI$3:$AK$105,3,FALSE)</f>
        <v>Misc. Expense</v>
      </c>
      <c r="X4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104"/>
      <c r="Z4104" t="s">
        <v>43</v>
      </c>
      <c r="AA4104" t="s">
        <v>4</v>
      </c>
      <c r="AB4104" t="s">
        <v>5</v>
      </c>
      <c r="AC4104" s="21">
        <v>421.91</v>
      </c>
      <c r="AD4104" s="21" t="s">
        <v>368</v>
      </c>
      <c r="AE4104" t="str">
        <f>VLOOKUP(Table_Query_from_Actuarial___Production3[[#This Row],[Kor1]],$AI$3:$AK$105,3,FALSE)</f>
        <v>Charge-offs</v>
      </c>
      <c r="AF4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5" spans="18:32" x14ac:dyDescent="0.2">
      <c r="R4105" t="s">
        <v>41</v>
      </c>
      <c r="S4105" t="s">
        <v>252</v>
      </c>
      <c r="T4105" t="s">
        <v>351</v>
      </c>
      <c r="U4105" s="21">
        <v>3418.87</v>
      </c>
      <c r="V4105" s="21" t="s">
        <v>368</v>
      </c>
      <c r="W4105" t="str">
        <f>VLOOKUP(Table_Query_from_Actuarial___Production[[#This Row],[Kor1]],$AI$3:$AK$105,3,FALSE)</f>
        <v>Misc. Income</v>
      </c>
      <c r="X4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5"/>
      <c r="Z4105" t="s">
        <v>44</v>
      </c>
      <c r="AA4105" t="s">
        <v>263</v>
      </c>
      <c r="AB4105" t="s">
        <v>427</v>
      </c>
      <c r="AC4105" s="21">
        <v>-7</v>
      </c>
      <c r="AD4105" s="21" t="s">
        <v>368</v>
      </c>
      <c r="AE4105" t="str">
        <f>VLOOKUP(Table_Query_from_Actuarial___Production3[[#This Row],[Kor1]],$AI$3:$AK$105,3,FALSE)</f>
        <v>Charge-offs</v>
      </c>
      <c r="AF4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6" spans="18:32" x14ac:dyDescent="0.2">
      <c r="R4106" t="s">
        <v>39</v>
      </c>
      <c r="S4106" t="s">
        <v>250</v>
      </c>
      <c r="T4106" t="s">
        <v>9</v>
      </c>
      <c r="U4106" s="21">
        <v>399.99</v>
      </c>
      <c r="V4106" s="21" t="s">
        <v>368</v>
      </c>
      <c r="W4106" t="str">
        <f>VLOOKUP(Table_Query_from_Actuarial___Production[[#This Row],[Kor1]],$AI$3:$AK$105,3,FALSE)</f>
        <v>Misc. Income for Insolvent Companies</v>
      </c>
      <c r="X4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6"/>
      <c r="Z4106" t="s">
        <v>10</v>
      </c>
      <c r="AA4106" t="s">
        <v>240</v>
      </c>
      <c r="AB4106" t="s">
        <v>351</v>
      </c>
      <c r="AC4106" s="21">
        <v>172204.49</v>
      </c>
      <c r="AD4106" s="21" t="s">
        <v>368</v>
      </c>
      <c r="AE4106" t="str">
        <f>VLOOKUP(Table_Query_from_Actuarial___Production3[[#This Row],[Kor1]],$AI$3:$AK$105,3,FALSE)</f>
        <v>Commissions</v>
      </c>
      <c r="AF4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7" spans="18:32" x14ac:dyDescent="0.2">
      <c r="R4107" t="s">
        <v>16</v>
      </c>
      <c r="S4107" t="s">
        <v>267</v>
      </c>
      <c r="T4107" t="s">
        <v>442</v>
      </c>
      <c r="U4107" s="21">
        <v>1057989.8799999999</v>
      </c>
      <c r="V4107" s="21" t="s">
        <v>368</v>
      </c>
      <c r="W4107" t="str">
        <f>VLOOKUP(Table_Query_from_Actuarial___Production[[#This Row],[Kor1]],$AI$3:$AK$105,3,FALSE)</f>
        <v>Losses Outstanding</v>
      </c>
      <c r="X4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7"/>
      <c r="Z4107" t="s">
        <v>44</v>
      </c>
      <c r="AA4107" t="s">
        <v>264</v>
      </c>
      <c r="AB4107" t="s">
        <v>351</v>
      </c>
      <c r="AC4107" s="21">
        <v>121364.5</v>
      </c>
      <c r="AD4107" s="21" t="s">
        <v>368</v>
      </c>
      <c r="AE4107" t="str">
        <f>VLOOKUP(Table_Query_from_Actuarial___Production3[[#This Row],[Kor1]],$AI$3:$AK$105,3,FALSE)</f>
        <v>Charge-offs</v>
      </c>
      <c r="AF4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8" spans="18:32" x14ac:dyDescent="0.2">
      <c r="R4108" t="s">
        <v>33</v>
      </c>
      <c r="S4108" t="s">
        <v>245</v>
      </c>
      <c r="T4108" t="s">
        <v>7</v>
      </c>
      <c r="U4108" s="21">
        <v>16471</v>
      </c>
      <c r="V4108" s="21" t="s">
        <v>368</v>
      </c>
      <c r="W4108" t="str">
        <f>VLOOKUP(Table_Query_from_Actuarial___Production[[#This Row],[Kor1]],$AI$3:$AK$105,3,FALSE)</f>
        <v>Misc. Expense</v>
      </c>
      <c r="X4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8"/>
      <c r="Z4108" t="s">
        <v>50</v>
      </c>
      <c r="AA4108" t="s">
        <v>235</v>
      </c>
      <c r="AB4108" t="s">
        <v>442</v>
      </c>
      <c r="AC4108" s="21">
        <v>204.6</v>
      </c>
      <c r="AD4108" s="21" t="s">
        <v>368</v>
      </c>
      <c r="AE4108" t="str">
        <f>VLOOKUP(Table_Query_from_Actuarial___Production3[[#This Row],[Kor1]],$AI$3:$AK$105,3,FALSE)</f>
        <v>ALAE Reserve</v>
      </c>
      <c r="AF4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09" spans="18:32" x14ac:dyDescent="0.2">
      <c r="R4109" t="s">
        <v>33</v>
      </c>
      <c r="S4109" t="s">
        <v>230</v>
      </c>
      <c r="T4109" t="s">
        <v>443</v>
      </c>
      <c r="U4109" s="21">
        <v>17487.78</v>
      </c>
      <c r="V4109" s="21" t="s">
        <v>368</v>
      </c>
      <c r="W4109" t="str">
        <f>VLOOKUP(Table_Query_from_Actuarial___Production[[#This Row],[Kor1]],$AI$3:$AK$105,3,FALSE)</f>
        <v>Misc. Expense</v>
      </c>
      <c r="X4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09"/>
      <c r="Z4109" t="s">
        <v>11</v>
      </c>
      <c r="AA4109" t="s">
        <v>259</v>
      </c>
      <c r="AB4109" t="s">
        <v>7</v>
      </c>
      <c r="AC4109" s="21">
        <v>23062.47</v>
      </c>
      <c r="AD4109" s="21" t="s">
        <v>368</v>
      </c>
      <c r="AE4109" t="str">
        <f>VLOOKUP(Table_Query_from_Actuarial___Production3[[#This Row],[Kor1]],$AI$3:$AK$105,3,FALSE)</f>
        <v>Losses Paid</v>
      </c>
      <c r="AF4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0" spans="18:32" x14ac:dyDescent="0.2">
      <c r="R4110" t="s">
        <v>13</v>
      </c>
      <c r="S4110" t="s">
        <v>354</v>
      </c>
      <c r="T4110" t="s">
        <v>442</v>
      </c>
      <c r="U4110" s="21">
        <v>256073466.02000001</v>
      </c>
      <c r="V4110" s="21" t="s">
        <v>369</v>
      </c>
      <c r="W4110" t="str">
        <f>VLOOKUP(Table_Query_from_Actuarial___Production[[#This Row],[Kor1]],$AI$3:$AK$105,3,FALSE)</f>
        <v>Operating Service Fees</v>
      </c>
      <c r="X4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110"/>
      <c r="Z4110" t="s">
        <v>10</v>
      </c>
      <c r="AA4110" t="s">
        <v>237</v>
      </c>
      <c r="AB4110" t="s">
        <v>356</v>
      </c>
      <c r="AC4110" s="21">
        <v>1975725.4</v>
      </c>
      <c r="AD4110" s="21" t="s">
        <v>368</v>
      </c>
      <c r="AE4110" t="str">
        <f>VLOOKUP(Table_Query_from_Actuarial___Production3[[#This Row],[Kor1]],$AI$3:$AK$105,3,FALSE)</f>
        <v>Commissions</v>
      </c>
      <c r="AF4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1" spans="18:32" x14ac:dyDescent="0.2">
      <c r="R4111" t="s">
        <v>14</v>
      </c>
      <c r="S4111" t="s">
        <v>4</v>
      </c>
      <c r="T4111" t="s">
        <v>427</v>
      </c>
      <c r="U4111" s="21">
        <v>3671206.93</v>
      </c>
      <c r="V4111" s="21" t="s">
        <v>368</v>
      </c>
      <c r="W4111" t="str">
        <f>VLOOKUP(Table_Query_from_Actuarial___Production[[#This Row],[Kor1]],$AI$3:$AK$105,3,FALSE)</f>
        <v>Claims Expense</v>
      </c>
      <c r="X4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1"/>
      <c r="Z4111" t="s">
        <v>11</v>
      </c>
      <c r="AA4111" t="s">
        <v>244</v>
      </c>
      <c r="AB4111" t="s">
        <v>356</v>
      </c>
      <c r="AC4111" s="21">
        <v>945035.9</v>
      </c>
      <c r="AD4111" s="21" t="s">
        <v>368</v>
      </c>
      <c r="AE4111" t="str">
        <f>VLOOKUP(Table_Query_from_Actuarial___Production3[[#This Row],[Kor1]],$AI$3:$AK$105,3,FALSE)</f>
        <v>Losses Paid</v>
      </c>
      <c r="AF4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2" spans="18:32" x14ac:dyDescent="0.2">
      <c r="R4112" t="s">
        <v>33</v>
      </c>
      <c r="S4112" t="s">
        <v>243</v>
      </c>
      <c r="T4112" t="s">
        <v>356</v>
      </c>
      <c r="U4112" s="21">
        <v>15171.89</v>
      </c>
      <c r="V4112" s="21" t="s">
        <v>368</v>
      </c>
      <c r="W4112" t="str">
        <f>VLOOKUP(Table_Query_from_Actuarial___Production[[#This Row],[Kor1]],$AI$3:$AK$105,3,FALSE)</f>
        <v>Misc. Expense</v>
      </c>
      <c r="X4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2"/>
      <c r="Z4112" t="s">
        <v>33</v>
      </c>
      <c r="AA4112" t="s">
        <v>236</v>
      </c>
      <c r="AB4112" t="s">
        <v>8</v>
      </c>
      <c r="AC4112" s="21">
        <v>19347.02</v>
      </c>
      <c r="AD4112" s="21" t="s">
        <v>368</v>
      </c>
      <c r="AE4112" t="str">
        <f>VLOOKUP(Table_Query_from_Actuarial___Production3[[#This Row],[Kor1]],$AI$3:$AK$105,3,FALSE)</f>
        <v>Misc. Expense</v>
      </c>
      <c r="AF4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3" spans="18:32" x14ac:dyDescent="0.2">
      <c r="R4113" t="s">
        <v>39</v>
      </c>
      <c r="S4113" t="s">
        <v>242</v>
      </c>
      <c r="T4113" t="s">
        <v>441</v>
      </c>
      <c r="U4113" s="21">
        <v>12154.89</v>
      </c>
      <c r="V4113" s="21" t="s">
        <v>368</v>
      </c>
      <c r="W4113" t="str">
        <f>VLOOKUP(Table_Query_from_Actuarial___Production[[#This Row],[Kor1]],$AI$3:$AK$105,3,FALSE)</f>
        <v>Misc. Income for Insolvent Companies</v>
      </c>
      <c r="X4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3"/>
      <c r="Z4113" t="s">
        <v>19</v>
      </c>
      <c r="AA4113" t="s">
        <v>252</v>
      </c>
      <c r="AB4113" t="s">
        <v>6</v>
      </c>
      <c r="AC4113" s="21">
        <v>166.98</v>
      </c>
      <c r="AD4113" s="21" t="s">
        <v>368</v>
      </c>
      <c r="AE4113" t="str">
        <f>VLOOKUP(Table_Query_from_Actuarial___Production3[[#This Row],[Kor1]],$AI$3:$AK$105,3,FALSE)</f>
        <v>Misc. Expense for Insolvent Companies</v>
      </c>
      <c r="AF4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4" spans="18:32" x14ac:dyDescent="0.2">
      <c r="R4114" t="s">
        <v>48</v>
      </c>
      <c r="S4114" t="s">
        <v>229</v>
      </c>
      <c r="T4114" t="s">
        <v>443</v>
      </c>
      <c r="U4114" s="21">
        <v>203.25</v>
      </c>
      <c r="V4114" s="21" t="s">
        <v>368</v>
      </c>
      <c r="W4114" t="str">
        <f>VLOOKUP(Table_Query_from_Actuarial___Production[[#This Row],[Kor1]],$AI$3:$AK$105,3,FALSE)</f>
        <v>Anticipated Salvage</v>
      </c>
      <c r="X4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4"/>
      <c r="Z4114" t="s">
        <v>48</v>
      </c>
      <c r="AA4114" t="s">
        <v>224</v>
      </c>
      <c r="AB4114" t="s">
        <v>443</v>
      </c>
      <c r="AC4114" s="21">
        <v>143.58000000000001</v>
      </c>
      <c r="AD4114" s="21" t="s">
        <v>425</v>
      </c>
      <c r="AE4114" t="str">
        <f>VLOOKUP(Table_Query_from_Actuarial___Production3[[#This Row],[Kor1]],$AI$3:$AK$105,3,FALSE)</f>
        <v>Anticipated Salvage</v>
      </c>
      <c r="AF4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115" spans="18:32" x14ac:dyDescent="0.2">
      <c r="R4115" t="s">
        <v>14</v>
      </c>
      <c r="S4115" t="s">
        <v>236</v>
      </c>
      <c r="T4115" t="s">
        <v>442</v>
      </c>
      <c r="U4115" s="21">
        <v>5011.2</v>
      </c>
      <c r="V4115" s="21" t="s">
        <v>368</v>
      </c>
      <c r="W4115" t="str">
        <f>VLOOKUP(Table_Query_from_Actuarial___Production[[#This Row],[Kor1]],$AI$3:$AK$105,3,FALSE)</f>
        <v>Claims Expense</v>
      </c>
      <c r="X4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5"/>
      <c r="Z4115" t="s">
        <v>14</v>
      </c>
      <c r="AA4115" t="s">
        <v>229</v>
      </c>
      <c r="AB4115" t="s">
        <v>441</v>
      </c>
      <c r="AC4115" s="21">
        <v>8393.34</v>
      </c>
      <c r="AD4115" s="21" t="s">
        <v>368</v>
      </c>
      <c r="AE4115" t="str">
        <f>VLOOKUP(Table_Query_from_Actuarial___Production3[[#This Row],[Kor1]],$AI$3:$AK$105,3,FALSE)</f>
        <v>Claims Expense</v>
      </c>
      <c r="AF4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6" spans="18:32" x14ac:dyDescent="0.2">
      <c r="R4116" t="s">
        <v>31</v>
      </c>
      <c r="S4116" t="s">
        <v>237</v>
      </c>
      <c r="T4116" t="s">
        <v>443</v>
      </c>
      <c r="U4116" s="21">
        <v>621.91999999999996</v>
      </c>
      <c r="V4116" s="21" t="s">
        <v>368</v>
      </c>
      <c r="W4116" t="str">
        <f>VLOOKUP(Table_Query_from_Actuarial___Production[[#This Row],[Kor1]],$AI$3:$AK$105,3,FALSE)</f>
        <v>Misc. Expense</v>
      </c>
      <c r="X4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6"/>
      <c r="Z4116" t="s">
        <v>33</v>
      </c>
      <c r="AA4116" t="s">
        <v>255</v>
      </c>
      <c r="AB4116" t="s">
        <v>433</v>
      </c>
      <c r="AC4116" s="21">
        <v>14080.74</v>
      </c>
      <c r="AD4116" s="21" t="s">
        <v>368</v>
      </c>
      <c r="AE4116" t="str">
        <f>VLOOKUP(Table_Query_from_Actuarial___Production3[[#This Row],[Kor1]],$AI$3:$AK$105,3,FALSE)</f>
        <v>Misc. Expense</v>
      </c>
      <c r="AF4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7" spans="18:32" x14ac:dyDescent="0.2">
      <c r="R4117" t="s">
        <v>77</v>
      </c>
      <c r="S4117" t="s">
        <v>254</v>
      </c>
      <c r="T4117" t="s">
        <v>443</v>
      </c>
      <c r="U4117" s="21">
        <v>2640149</v>
      </c>
      <c r="V4117" s="21" t="s">
        <v>368</v>
      </c>
      <c r="W4117" t="str">
        <f>VLOOKUP(Table_Query_from_Actuarial___Production[[#This Row],[Kor1]],$AI$3:$AK$105,3,FALSE)</f>
        <v>PDR</v>
      </c>
      <c r="X4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7"/>
      <c r="Z4117" t="s">
        <v>46</v>
      </c>
      <c r="AA4117" t="s">
        <v>224</v>
      </c>
      <c r="AB4117" t="s">
        <v>356</v>
      </c>
      <c r="AC4117" s="21">
        <v>57878.57</v>
      </c>
      <c r="AD4117" s="21" t="s">
        <v>370</v>
      </c>
      <c r="AE4117" t="str">
        <f>VLOOKUP(Table_Query_from_Actuarial___Production3[[#This Row],[Kor1]],$AI$3:$AK$105,3,FALSE)</f>
        <v>Investment Income</v>
      </c>
      <c r="AF4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118" spans="18:32" x14ac:dyDescent="0.2">
      <c r="R4118" t="s">
        <v>48</v>
      </c>
      <c r="S4118" t="s">
        <v>230</v>
      </c>
      <c r="T4118" t="s">
        <v>442</v>
      </c>
      <c r="U4118" s="21">
        <v>37282.99</v>
      </c>
      <c r="V4118" s="21" t="s">
        <v>368</v>
      </c>
      <c r="W4118" t="str">
        <f>VLOOKUP(Table_Query_from_Actuarial___Production[[#This Row],[Kor1]],$AI$3:$AK$105,3,FALSE)</f>
        <v>Anticipated Salvage</v>
      </c>
      <c r="X4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8"/>
      <c r="Z4118" t="s">
        <v>39</v>
      </c>
      <c r="AA4118" t="s">
        <v>256</v>
      </c>
      <c r="AB4118" t="s">
        <v>9</v>
      </c>
      <c r="AC4118" s="21">
        <v>24</v>
      </c>
      <c r="AD4118" s="21" t="s">
        <v>368</v>
      </c>
      <c r="AE4118" t="str">
        <f>VLOOKUP(Table_Query_from_Actuarial___Production3[[#This Row],[Kor1]],$AI$3:$AK$105,3,FALSE)</f>
        <v>Misc. Income for Insolvent Companies</v>
      </c>
      <c r="AF4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19" spans="18:32" x14ac:dyDescent="0.2">
      <c r="R4119" t="s">
        <v>49</v>
      </c>
      <c r="S4119" t="s">
        <v>242</v>
      </c>
      <c r="T4119" t="s">
        <v>351</v>
      </c>
      <c r="U4119" s="21">
        <v>20707</v>
      </c>
      <c r="V4119" s="21" t="s">
        <v>368</v>
      </c>
      <c r="W4119" t="str">
        <f>VLOOKUP(Table_Query_from_Actuarial___Production[[#This Row],[Kor1]],$AI$3:$AK$105,3,FALSE)</f>
        <v>ALAE Paid</v>
      </c>
      <c r="X4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19"/>
      <c r="Z4119" t="s">
        <v>12</v>
      </c>
      <c r="AA4119" t="s">
        <v>256</v>
      </c>
      <c r="AB4119" t="s">
        <v>427</v>
      </c>
      <c r="AC4119" s="21">
        <v>1702.11</v>
      </c>
      <c r="AD4119" s="21" t="s">
        <v>368</v>
      </c>
      <c r="AE4119" t="str">
        <f>VLOOKUP(Table_Query_from_Actuarial___Production3[[#This Row],[Kor1]],$AI$3:$AK$105,3,FALSE)</f>
        <v>Premium Tax</v>
      </c>
      <c r="AF4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0" spans="18:32" x14ac:dyDescent="0.2">
      <c r="R4120" t="s">
        <v>14</v>
      </c>
      <c r="S4120" t="s">
        <v>245</v>
      </c>
      <c r="T4120" t="s">
        <v>8</v>
      </c>
      <c r="U4120" s="21">
        <v>16259.48</v>
      </c>
      <c r="V4120" s="21" t="s">
        <v>368</v>
      </c>
      <c r="W4120" t="str">
        <f>VLOOKUP(Table_Query_from_Actuarial___Production[[#This Row],[Kor1]],$AI$3:$AK$105,3,FALSE)</f>
        <v>Claims Expense</v>
      </c>
      <c r="X4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0"/>
      <c r="Z4120" t="s">
        <v>40</v>
      </c>
      <c r="AA4120" t="s">
        <v>245</v>
      </c>
      <c r="AB4120" t="s">
        <v>356</v>
      </c>
      <c r="AC4120" s="21">
        <v>1</v>
      </c>
      <c r="AD4120" s="21" t="s">
        <v>368</v>
      </c>
      <c r="AE4120" t="str">
        <f>VLOOKUP(Table_Query_from_Actuarial___Production3[[#This Row],[Kor1]],$AI$3:$AK$105,3,FALSE)</f>
        <v>Misc. Income</v>
      </c>
      <c r="AF4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1" spans="18:32" x14ac:dyDescent="0.2">
      <c r="R4121" t="s">
        <v>43</v>
      </c>
      <c r="S4121" t="s">
        <v>241</v>
      </c>
      <c r="T4121" t="s">
        <v>427</v>
      </c>
      <c r="U4121" s="21">
        <v>-438.92</v>
      </c>
      <c r="V4121" s="21" t="s">
        <v>368</v>
      </c>
      <c r="W4121" t="str">
        <f>VLOOKUP(Table_Query_from_Actuarial___Production[[#This Row],[Kor1]],$AI$3:$AK$105,3,FALSE)</f>
        <v>Charge-offs</v>
      </c>
      <c r="X4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1"/>
      <c r="Z4121" t="s">
        <v>12</v>
      </c>
      <c r="AA4121" t="s">
        <v>239</v>
      </c>
      <c r="AB4121" t="s">
        <v>443</v>
      </c>
      <c r="AC4121" s="21">
        <v>26157.21</v>
      </c>
      <c r="AD4121" s="21" t="s">
        <v>368</v>
      </c>
      <c r="AE4121" t="str">
        <f>VLOOKUP(Table_Query_from_Actuarial___Production3[[#This Row],[Kor1]],$AI$3:$AK$105,3,FALSE)</f>
        <v>Premium Tax</v>
      </c>
      <c r="AF4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2" spans="18:32" x14ac:dyDescent="0.2">
      <c r="R4122" t="s">
        <v>16</v>
      </c>
      <c r="S4122" t="s">
        <v>246</v>
      </c>
      <c r="T4122" t="s">
        <v>445</v>
      </c>
      <c r="U4122" s="21">
        <v>49176.28</v>
      </c>
      <c r="V4122" s="21" t="s">
        <v>368</v>
      </c>
      <c r="W4122" t="str">
        <f>VLOOKUP(Table_Query_from_Actuarial___Production[[#This Row],[Kor1]],$AI$3:$AK$105,3,FALSE)</f>
        <v>Losses Outstanding</v>
      </c>
      <c r="X4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2"/>
      <c r="Z4122" t="s">
        <v>31</v>
      </c>
      <c r="AA4122" t="s">
        <v>260</v>
      </c>
      <c r="AB4122" t="s">
        <v>9</v>
      </c>
      <c r="AC4122" s="21">
        <v>566.14</v>
      </c>
      <c r="AD4122" s="21" t="s">
        <v>368</v>
      </c>
      <c r="AE4122" t="str">
        <f>VLOOKUP(Table_Query_from_Actuarial___Production3[[#This Row],[Kor1]],$AI$3:$AK$105,3,FALSE)</f>
        <v>Misc. Expense</v>
      </c>
      <c r="AF4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3" spans="18:32" x14ac:dyDescent="0.2">
      <c r="R4123" t="s">
        <v>34</v>
      </c>
      <c r="S4123" t="s">
        <v>255</v>
      </c>
      <c r="T4123" t="s">
        <v>6</v>
      </c>
      <c r="U4123" s="21">
        <v>4.6900000000000004</v>
      </c>
      <c r="V4123" s="21" t="s">
        <v>368</v>
      </c>
      <c r="W4123" t="str">
        <f>VLOOKUP(Table_Query_from_Actuarial___Production[[#This Row],[Kor1]],$AI$3:$AK$105,3,FALSE)</f>
        <v>Misc. Expense</v>
      </c>
      <c r="X4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3"/>
      <c r="Z4123" t="s">
        <v>49</v>
      </c>
      <c r="AA4123" t="s">
        <v>4</v>
      </c>
      <c r="AB4123" t="s">
        <v>433</v>
      </c>
      <c r="AC4123" s="21">
        <v>1951667.17</v>
      </c>
      <c r="AD4123" s="21" t="s">
        <v>368</v>
      </c>
      <c r="AE4123" t="str">
        <f>VLOOKUP(Table_Query_from_Actuarial___Production3[[#This Row],[Kor1]],$AI$3:$AK$105,3,FALSE)</f>
        <v>ALAE Paid</v>
      </c>
      <c r="AF4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4" spans="18:32" x14ac:dyDescent="0.2">
      <c r="R4124" t="s">
        <v>38</v>
      </c>
      <c r="S4124" t="s">
        <v>225</v>
      </c>
      <c r="T4124" t="s">
        <v>9</v>
      </c>
      <c r="U4124" s="21">
        <v>483016.87</v>
      </c>
      <c r="V4124" s="21" t="s">
        <v>369</v>
      </c>
      <c r="W4124" t="str">
        <f>VLOOKUP(Table_Query_from_Actuarial___Production[[#This Row],[Kor1]],$AI$3:$AK$105,3,FALSE)</f>
        <v>Misc. Income</v>
      </c>
      <c r="X4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124"/>
      <c r="Z4124" t="s">
        <v>21</v>
      </c>
      <c r="AA4124" t="s">
        <v>235</v>
      </c>
      <c r="AB4124" t="s">
        <v>442</v>
      </c>
      <c r="AC4124" s="21">
        <v>1199.99</v>
      </c>
      <c r="AD4124" s="21" t="s">
        <v>368</v>
      </c>
      <c r="AE4124" t="str">
        <f>VLOOKUP(Table_Query_from_Actuarial___Production3[[#This Row],[Kor1]],$AI$3:$AK$105,3,FALSE)</f>
        <v>Misc. Expense</v>
      </c>
      <c r="AF4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5" spans="18:32" x14ac:dyDescent="0.2">
      <c r="R4125" t="s">
        <v>11</v>
      </c>
      <c r="S4125" t="s">
        <v>226</v>
      </c>
      <c r="T4125" t="s">
        <v>442</v>
      </c>
      <c r="U4125" s="21">
        <v>578502.09</v>
      </c>
      <c r="V4125" s="21" t="s">
        <v>368</v>
      </c>
      <c r="W4125" t="str">
        <f>VLOOKUP(Table_Query_from_Actuarial___Production[[#This Row],[Kor1]],$AI$3:$AK$105,3,FALSE)</f>
        <v>Losses Paid</v>
      </c>
      <c r="X4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125"/>
      <c r="Z4125" t="s">
        <v>40</v>
      </c>
      <c r="AA4125" t="s">
        <v>263</v>
      </c>
      <c r="AB4125" t="s">
        <v>442</v>
      </c>
      <c r="AC4125" s="21">
        <v>217</v>
      </c>
      <c r="AD4125" s="21" t="s">
        <v>368</v>
      </c>
      <c r="AE4125" t="str">
        <f>VLOOKUP(Table_Query_from_Actuarial___Production3[[#This Row],[Kor1]],$AI$3:$AK$105,3,FALSE)</f>
        <v>Misc. Income</v>
      </c>
      <c r="AF4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6" spans="18:32" x14ac:dyDescent="0.2">
      <c r="R4126" t="s">
        <v>40</v>
      </c>
      <c r="S4126" t="s">
        <v>238</v>
      </c>
      <c r="T4126" t="s">
        <v>356</v>
      </c>
      <c r="U4126" s="21">
        <v>181.02</v>
      </c>
      <c r="V4126" s="21" t="s">
        <v>368</v>
      </c>
      <c r="W4126" t="str">
        <f>VLOOKUP(Table_Query_from_Actuarial___Production[[#This Row],[Kor1]],$AI$3:$AK$105,3,FALSE)</f>
        <v>Misc. Income</v>
      </c>
      <c r="X4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6"/>
      <c r="Z4126" t="s">
        <v>12</v>
      </c>
      <c r="AA4126" t="s">
        <v>234</v>
      </c>
      <c r="AB4126" t="s">
        <v>442</v>
      </c>
      <c r="AC4126" s="21">
        <v>23826.06</v>
      </c>
      <c r="AD4126" s="21" t="s">
        <v>368</v>
      </c>
      <c r="AE4126" t="str">
        <f>VLOOKUP(Table_Query_from_Actuarial___Production3[[#This Row],[Kor1]],$AI$3:$AK$105,3,FALSE)</f>
        <v>Premium Tax</v>
      </c>
      <c r="AF4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7" spans="18:32" x14ac:dyDescent="0.2">
      <c r="R4127" t="s">
        <v>11</v>
      </c>
      <c r="S4127" t="s">
        <v>354</v>
      </c>
      <c r="T4127" t="s">
        <v>9</v>
      </c>
      <c r="U4127" s="21">
        <v>890034459.21000004</v>
      </c>
      <c r="V4127" s="21" t="s">
        <v>369</v>
      </c>
      <c r="W4127" t="str">
        <f>VLOOKUP(Table_Query_from_Actuarial___Production[[#This Row],[Kor1]],$AI$3:$AK$105,3,FALSE)</f>
        <v>Losses Paid</v>
      </c>
      <c r="X4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127"/>
      <c r="Z4127" t="s">
        <v>50</v>
      </c>
      <c r="AA4127" t="s">
        <v>258</v>
      </c>
      <c r="AB4127" t="s">
        <v>427</v>
      </c>
      <c r="AC4127" s="21">
        <v>95584.4</v>
      </c>
      <c r="AD4127" s="21" t="s">
        <v>368</v>
      </c>
      <c r="AE4127" t="str">
        <f>VLOOKUP(Table_Query_from_Actuarial___Production3[[#This Row],[Kor1]],$AI$3:$AK$105,3,FALSE)</f>
        <v>ALAE Reserve</v>
      </c>
      <c r="AF4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8" spans="18:32" x14ac:dyDescent="0.2">
      <c r="R4128" t="s">
        <v>31</v>
      </c>
      <c r="S4128" t="s">
        <v>257</v>
      </c>
      <c r="T4128" t="s">
        <v>8</v>
      </c>
      <c r="U4128" s="21">
        <v>-3.93</v>
      </c>
      <c r="V4128" s="21" t="s">
        <v>368</v>
      </c>
      <c r="W4128" t="str">
        <f>VLOOKUP(Table_Query_from_Actuarial___Production[[#This Row],[Kor1]],$AI$3:$AK$105,3,FALSE)</f>
        <v>Misc. Expense</v>
      </c>
      <c r="X4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8"/>
      <c r="Z4128" t="s">
        <v>439</v>
      </c>
      <c r="AA4128" t="s">
        <v>248</v>
      </c>
      <c r="AB4128" t="s">
        <v>433</v>
      </c>
      <c r="AC4128" s="21">
        <v>8390</v>
      </c>
      <c r="AD4128" s="21" t="s">
        <v>368</v>
      </c>
      <c r="AE4128" t="str">
        <f>VLOOKUP(Table_Query_from_Actuarial___Production3[[#This Row],[Kor1]],$AI$3:$AK$105,3,FALSE)</f>
        <v>Operating Service Fees</v>
      </c>
      <c r="AF4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29" spans="18:32" x14ac:dyDescent="0.2">
      <c r="R4129" t="s">
        <v>12</v>
      </c>
      <c r="S4129" t="s">
        <v>250</v>
      </c>
      <c r="T4129" t="s">
        <v>427</v>
      </c>
      <c r="U4129" s="21">
        <v>20422.34</v>
      </c>
      <c r="V4129" s="21" t="s">
        <v>368</v>
      </c>
      <c r="W4129" t="str">
        <f>VLOOKUP(Table_Query_from_Actuarial___Production[[#This Row],[Kor1]],$AI$3:$AK$105,3,FALSE)</f>
        <v>Premium Tax</v>
      </c>
      <c r="X4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29"/>
      <c r="Z4129" t="s">
        <v>18</v>
      </c>
      <c r="AA4129" t="s">
        <v>224</v>
      </c>
      <c r="AB4129" t="s">
        <v>427</v>
      </c>
      <c r="AC4129" s="21">
        <v>6001.2</v>
      </c>
      <c r="AD4129" s="21" t="s">
        <v>369</v>
      </c>
      <c r="AE4129" t="str">
        <f>VLOOKUP(Table_Query_from_Actuarial___Production3[[#This Row],[Kor1]],$AI$3:$AK$105,3,FALSE)</f>
        <v>Misc. Expense</v>
      </c>
      <c r="AF4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130" spans="18:32" x14ac:dyDescent="0.2">
      <c r="R4130" t="s">
        <v>40</v>
      </c>
      <c r="S4130" t="s">
        <v>232</v>
      </c>
      <c r="T4130" t="s">
        <v>351</v>
      </c>
      <c r="U4130" s="21">
        <v>318</v>
      </c>
      <c r="V4130" s="21" t="s">
        <v>368</v>
      </c>
      <c r="W4130" t="str">
        <f>VLOOKUP(Table_Query_from_Actuarial___Production[[#This Row],[Kor1]],$AI$3:$AK$105,3,FALSE)</f>
        <v>Misc. Income</v>
      </c>
      <c r="X4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0"/>
      <c r="Z4130" t="s">
        <v>41</v>
      </c>
      <c r="AA4130" t="s">
        <v>252</v>
      </c>
      <c r="AB4130" t="s">
        <v>351</v>
      </c>
      <c r="AC4130" s="21">
        <v>3418.87</v>
      </c>
      <c r="AD4130" s="21" t="s">
        <v>368</v>
      </c>
      <c r="AE4130" t="str">
        <f>VLOOKUP(Table_Query_from_Actuarial___Production3[[#This Row],[Kor1]],$AI$3:$AK$105,3,FALSE)</f>
        <v>Misc. Income</v>
      </c>
      <c r="AF4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1" spans="18:32" x14ac:dyDescent="0.2">
      <c r="R4131" t="s">
        <v>12</v>
      </c>
      <c r="S4131" t="s">
        <v>268</v>
      </c>
      <c r="T4131" t="s">
        <v>433</v>
      </c>
      <c r="U4131" s="21">
        <v>4347.66</v>
      </c>
      <c r="V4131" s="21" t="s">
        <v>368</v>
      </c>
      <c r="W4131" t="str">
        <f>VLOOKUP(Table_Query_from_Actuarial___Production[[#This Row],[Kor1]],$AI$3:$AK$105,3,FALSE)</f>
        <v>Premium Tax</v>
      </c>
      <c r="X4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1"/>
      <c r="Z4131" t="s">
        <v>39</v>
      </c>
      <c r="AA4131" t="s">
        <v>250</v>
      </c>
      <c r="AB4131" t="s">
        <v>9</v>
      </c>
      <c r="AC4131" s="21">
        <v>399.99</v>
      </c>
      <c r="AD4131" s="21" t="s">
        <v>368</v>
      </c>
      <c r="AE4131" t="str">
        <f>VLOOKUP(Table_Query_from_Actuarial___Production3[[#This Row],[Kor1]],$AI$3:$AK$105,3,FALSE)</f>
        <v>Misc. Income for Insolvent Companies</v>
      </c>
      <c r="AF4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2" spans="18:32" x14ac:dyDescent="0.2">
      <c r="R4132" t="s">
        <v>31</v>
      </c>
      <c r="S4132" t="s">
        <v>245</v>
      </c>
      <c r="T4132" t="s">
        <v>445</v>
      </c>
      <c r="U4132" s="21">
        <v>222.94</v>
      </c>
      <c r="V4132" s="21" t="s">
        <v>368</v>
      </c>
      <c r="W4132" t="str">
        <f>VLOOKUP(Table_Query_from_Actuarial___Production[[#This Row],[Kor1]],$AI$3:$AK$105,3,FALSE)</f>
        <v>Misc. Expense</v>
      </c>
      <c r="X4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2"/>
      <c r="Z4132" t="s">
        <v>16</v>
      </c>
      <c r="AA4132" t="s">
        <v>267</v>
      </c>
      <c r="AB4132" t="s">
        <v>442</v>
      </c>
      <c r="AC4132" s="21">
        <v>2462146.2400000002</v>
      </c>
      <c r="AD4132" s="21" t="s">
        <v>368</v>
      </c>
      <c r="AE4132" t="str">
        <f>VLOOKUP(Table_Query_from_Actuarial___Production3[[#This Row],[Kor1]],$AI$3:$AK$105,3,FALSE)</f>
        <v>Losses Outstanding</v>
      </c>
      <c r="AF4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3" spans="18:32" x14ac:dyDescent="0.2">
      <c r="R4133" t="s">
        <v>16</v>
      </c>
      <c r="S4133" t="s">
        <v>232</v>
      </c>
      <c r="T4133" t="s">
        <v>442</v>
      </c>
      <c r="U4133" s="21">
        <v>17172.12</v>
      </c>
      <c r="V4133" s="21" t="s">
        <v>368</v>
      </c>
      <c r="W4133" t="str">
        <f>VLOOKUP(Table_Query_from_Actuarial___Production[[#This Row],[Kor1]],$AI$3:$AK$105,3,FALSE)</f>
        <v>Losses Outstanding</v>
      </c>
      <c r="X4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3"/>
      <c r="Z4133" t="s">
        <v>33</v>
      </c>
      <c r="AA4133" t="s">
        <v>245</v>
      </c>
      <c r="AB4133" t="s">
        <v>7</v>
      </c>
      <c r="AC4133" s="21">
        <v>16471</v>
      </c>
      <c r="AD4133" s="21" t="s">
        <v>368</v>
      </c>
      <c r="AE4133" t="str">
        <f>VLOOKUP(Table_Query_from_Actuarial___Production3[[#This Row],[Kor1]],$AI$3:$AK$105,3,FALSE)</f>
        <v>Misc. Expense</v>
      </c>
      <c r="AF4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4" spans="18:32" x14ac:dyDescent="0.2">
      <c r="R4134" t="s">
        <v>19</v>
      </c>
      <c r="S4134" t="s">
        <v>258</v>
      </c>
      <c r="T4134" t="s">
        <v>9</v>
      </c>
      <c r="U4134" s="21">
        <v>1626</v>
      </c>
      <c r="V4134" s="21" t="s">
        <v>368</v>
      </c>
      <c r="W4134" t="str">
        <f>VLOOKUP(Table_Query_from_Actuarial___Production[[#This Row],[Kor1]],$AI$3:$AK$105,3,FALSE)</f>
        <v>Misc. Expense for Insolvent Companies</v>
      </c>
      <c r="X4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4"/>
      <c r="Z4134" t="s">
        <v>15</v>
      </c>
      <c r="AA4134" t="s">
        <v>235</v>
      </c>
      <c r="AB4134" t="s">
        <v>443</v>
      </c>
      <c r="AC4134" s="21">
        <v>4955.26</v>
      </c>
      <c r="AD4134" s="21" t="s">
        <v>368</v>
      </c>
      <c r="AE4134" t="str">
        <f>VLOOKUP(Table_Query_from_Actuarial___Production3[[#This Row],[Kor1]],$AI$3:$AK$105,3,FALSE)</f>
        <v>Unearned Premiums</v>
      </c>
      <c r="AF4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5" spans="18:32" x14ac:dyDescent="0.2">
      <c r="R4135" t="s">
        <v>41</v>
      </c>
      <c r="S4135" t="s">
        <v>240</v>
      </c>
      <c r="T4135" t="s">
        <v>6</v>
      </c>
      <c r="U4135" s="21">
        <v>350.02</v>
      </c>
      <c r="V4135" s="21" t="s">
        <v>368</v>
      </c>
      <c r="W4135" t="str">
        <f>VLOOKUP(Table_Query_from_Actuarial___Production[[#This Row],[Kor1]],$AI$3:$AK$105,3,FALSE)</f>
        <v>Misc. Income</v>
      </c>
      <c r="X4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5"/>
      <c r="Z4135" t="s">
        <v>33</v>
      </c>
      <c r="AA4135" t="s">
        <v>230</v>
      </c>
      <c r="AB4135" t="s">
        <v>443</v>
      </c>
      <c r="AC4135" s="21">
        <v>9179.6200000000008</v>
      </c>
      <c r="AD4135" s="21" t="s">
        <v>368</v>
      </c>
      <c r="AE4135" t="str">
        <f>VLOOKUP(Table_Query_from_Actuarial___Production3[[#This Row],[Kor1]],$AI$3:$AK$105,3,FALSE)</f>
        <v>Misc. Expense</v>
      </c>
      <c r="AF4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6" spans="18:32" x14ac:dyDescent="0.2">
      <c r="R4136" t="s">
        <v>44</v>
      </c>
      <c r="S4136" t="s">
        <v>253</v>
      </c>
      <c r="T4136" t="s">
        <v>356</v>
      </c>
      <c r="U4136" s="21">
        <v>15</v>
      </c>
      <c r="V4136" s="21" t="s">
        <v>368</v>
      </c>
      <c r="W4136" t="str">
        <f>VLOOKUP(Table_Query_from_Actuarial___Production[[#This Row],[Kor1]],$AI$3:$AK$105,3,FALSE)</f>
        <v>Charge-offs</v>
      </c>
      <c r="X4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6"/>
      <c r="Z4136" t="s">
        <v>13</v>
      </c>
      <c r="AA4136" t="s">
        <v>354</v>
      </c>
      <c r="AB4136" t="s">
        <v>442</v>
      </c>
      <c r="AC4136" s="21">
        <v>256194223.02000001</v>
      </c>
      <c r="AD4136" s="21" t="s">
        <v>369</v>
      </c>
      <c r="AE4136" t="str">
        <f>VLOOKUP(Table_Query_from_Actuarial___Production3[[#This Row],[Kor1]],$AI$3:$AK$105,3,FALSE)</f>
        <v>Operating Service Fees</v>
      </c>
      <c r="AF4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137" spans="18:32" x14ac:dyDescent="0.2">
      <c r="R4137" t="s">
        <v>44</v>
      </c>
      <c r="S4137" t="s">
        <v>225</v>
      </c>
      <c r="T4137" t="s">
        <v>441</v>
      </c>
      <c r="U4137" s="21">
        <v>37013.9</v>
      </c>
      <c r="V4137" s="21" t="s">
        <v>369</v>
      </c>
      <c r="W4137" t="str">
        <f>VLOOKUP(Table_Query_from_Actuarial___Production[[#This Row],[Kor1]],$AI$3:$AK$105,3,FALSE)</f>
        <v>Charge-offs</v>
      </c>
      <c r="X4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137"/>
      <c r="Z4137" t="s">
        <v>14</v>
      </c>
      <c r="AA4137" t="s">
        <v>4</v>
      </c>
      <c r="AB4137" t="s">
        <v>427</v>
      </c>
      <c r="AC4137" s="21">
        <v>3671206.93</v>
      </c>
      <c r="AD4137" s="21" t="s">
        <v>368</v>
      </c>
      <c r="AE4137" t="str">
        <f>VLOOKUP(Table_Query_from_Actuarial___Production3[[#This Row],[Kor1]],$AI$3:$AK$105,3,FALSE)</f>
        <v>Claims Expense</v>
      </c>
      <c r="AF4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8" spans="18:32" x14ac:dyDescent="0.2">
      <c r="R4138" t="s">
        <v>21</v>
      </c>
      <c r="S4138" t="s">
        <v>257</v>
      </c>
      <c r="T4138" t="s">
        <v>7</v>
      </c>
      <c r="U4138" s="21">
        <v>4202.32</v>
      </c>
      <c r="V4138" s="21" t="s">
        <v>368</v>
      </c>
      <c r="W4138" t="str">
        <f>VLOOKUP(Table_Query_from_Actuarial___Production[[#This Row],[Kor1]],$AI$3:$AK$105,3,FALSE)</f>
        <v>Misc. Expense</v>
      </c>
      <c r="X4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38"/>
      <c r="Z4138" t="s">
        <v>33</v>
      </c>
      <c r="AA4138" t="s">
        <v>243</v>
      </c>
      <c r="AB4138" t="s">
        <v>356</v>
      </c>
      <c r="AC4138" s="21">
        <v>15171.89</v>
      </c>
      <c r="AD4138" s="21" t="s">
        <v>368</v>
      </c>
      <c r="AE4138" t="str">
        <f>VLOOKUP(Table_Query_from_Actuarial___Production3[[#This Row],[Kor1]],$AI$3:$AK$105,3,FALSE)</f>
        <v>Misc. Expense</v>
      </c>
      <c r="AF4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39" spans="18:32" x14ac:dyDescent="0.2">
      <c r="R4139" t="s">
        <v>18</v>
      </c>
      <c r="S4139" t="s">
        <v>226</v>
      </c>
      <c r="T4139" t="s">
        <v>441</v>
      </c>
      <c r="U4139" s="21">
        <v>239958.92</v>
      </c>
      <c r="V4139" s="21" t="s">
        <v>368</v>
      </c>
      <c r="W4139" t="str">
        <f>VLOOKUP(Table_Query_from_Actuarial___Production[[#This Row],[Kor1]],$AI$3:$AK$105,3,FALSE)</f>
        <v>Misc. Expense</v>
      </c>
      <c r="X4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139"/>
      <c r="Z4139" t="s">
        <v>39</v>
      </c>
      <c r="AA4139" t="s">
        <v>242</v>
      </c>
      <c r="AB4139" t="s">
        <v>441</v>
      </c>
      <c r="AC4139" s="21">
        <v>12154.89</v>
      </c>
      <c r="AD4139" s="21" t="s">
        <v>368</v>
      </c>
      <c r="AE4139" t="str">
        <f>VLOOKUP(Table_Query_from_Actuarial___Production3[[#This Row],[Kor1]],$AI$3:$AK$105,3,FALSE)</f>
        <v>Misc. Income for Insolvent Companies</v>
      </c>
      <c r="AF4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0" spans="18:32" x14ac:dyDescent="0.2">
      <c r="R4140" t="s">
        <v>14</v>
      </c>
      <c r="S4140" t="s">
        <v>233</v>
      </c>
      <c r="T4140" t="s">
        <v>7</v>
      </c>
      <c r="U4140" s="21">
        <v>24083.599999999999</v>
      </c>
      <c r="V4140" s="21" t="s">
        <v>368</v>
      </c>
      <c r="W4140" t="str">
        <f>VLOOKUP(Table_Query_from_Actuarial___Production[[#This Row],[Kor1]],$AI$3:$AK$105,3,FALSE)</f>
        <v>Claims Expense</v>
      </c>
      <c r="X4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0"/>
      <c r="Z4140" t="s">
        <v>48</v>
      </c>
      <c r="AA4140" t="s">
        <v>229</v>
      </c>
      <c r="AB4140" t="s">
        <v>443</v>
      </c>
      <c r="AC4140" s="21">
        <v>20.75</v>
      </c>
      <c r="AD4140" s="21" t="s">
        <v>368</v>
      </c>
      <c r="AE4140" t="str">
        <f>VLOOKUP(Table_Query_from_Actuarial___Production3[[#This Row],[Kor1]],$AI$3:$AK$105,3,FALSE)</f>
        <v>Anticipated Salvage</v>
      </c>
      <c r="AF4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1" spans="18:32" x14ac:dyDescent="0.2">
      <c r="R4141" t="s">
        <v>37</v>
      </c>
      <c r="S4141" t="s">
        <v>265</v>
      </c>
      <c r="T4141" t="s">
        <v>442</v>
      </c>
      <c r="U4141" s="21">
        <v>10286.91</v>
      </c>
      <c r="V4141" s="21" t="s">
        <v>368</v>
      </c>
      <c r="W4141" t="str">
        <f>VLOOKUP(Table_Query_from_Actuarial___Production[[#This Row],[Kor1]],$AI$3:$AK$105,3,FALSE)</f>
        <v>Misc. Expense</v>
      </c>
      <c r="X4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1"/>
      <c r="Z4141" t="s">
        <v>14</v>
      </c>
      <c r="AA4141" t="s">
        <v>236</v>
      </c>
      <c r="AB4141" t="s">
        <v>442</v>
      </c>
      <c r="AC4141" s="21">
        <v>4232.67</v>
      </c>
      <c r="AD4141" s="21" t="s">
        <v>368</v>
      </c>
      <c r="AE4141" t="str">
        <f>VLOOKUP(Table_Query_from_Actuarial___Production3[[#This Row],[Kor1]],$AI$3:$AK$105,3,FALSE)</f>
        <v>Claims Expense</v>
      </c>
      <c r="AF4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2" spans="18:32" x14ac:dyDescent="0.2">
      <c r="R4142" t="s">
        <v>49</v>
      </c>
      <c r="S4142" t="s">
        <v>241</v>
      </c>
      <c r="T4142" t="s">
        <v>9</v>
      </c>
      <c r="U4142" s="21">
        <v>59530.080000000002</v>
      </c>
      <c r="V4142" s="21" t="s">
        <v>368</v>
      </c>
      <c r="W4142" t="str">
        <f>VLOOKUP(Table_Query_from_Actuarial___Production[[#This Row],[Kor1]],$AI$3:$AK$105,3,FALSE)</f>
        <v>ALAE Paid</v>
      </c>
      <c r="X4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2"/>
      <c r="Z4142" t="s">
        <v>31</v>
      </c>
      <c r="AA4142" t="s">
        <v>237</v>
      </c>
      <c r="AB4142" t="s">
        <v>443</v>
      </c>
      <c r="AC4142" s="21">
        <v>5236.92</v>
      </c>
      <c r="AD4142" s="21" t="s">
        <v>368</v>
      </c>
      <c r="AE4142" t="str">
        <f>VLOOKUP(Table_Query_from_Actuarial___Production3[[#This Row],[Kor1]],$AI$3:$AK$105,3,FALSE)</f>
        <v>Misc. Expense</v>
      </c>
      <c r="AF4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3" spans="18:32" x14ac:dyDescent="0.2">
      <c r="R4143" t="s">
        <v>43</v>
      </c>
      <c r="S4143" t="s">
        <v>238</v>
      </c>
      <c r="T4143" t="s">
        <v>441</v>
      </c>
      <c r="U4143" s="21">
        <v>59.09</v>
      </c>
      <c r="V4143" s="21" t="s">
        <v>368</v>
      </c>
      <c r="W4143" t="str">
        <f>VLOOKUP(Table_Query_from_Actuarial___Production[[#This Row],[Kor1]],$AI$3:$AK$105,3,FALSE)</f>
        <v>Charge-offs</v>
      </c>
      <c r="X4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3"/>
      <c r="Z4143" t="s">
        <v>77</v>
      </c>
      <c r="AA4143" t="s">
        <v>254</v>
      </c>
      <c r="AB4143" t="s">
        <v>443</v>
      </c>
      <c r="AC4143" s="21">
        <v>2102687</v>
      </c>
      <c r="AD4143" s="21" t="s">
        <v>368</v>
      </c>
      <c r="AE4143" t="str">
        <f>VLOOKUP(Table_Query_from_Actuarial___Production3[[#This Row],[Kor1]],$AI$3:$AK$105,3,FALSE)</f>
        <v>PDR</v>
      </c>
      <c r="AF4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4" spans="18:32" x14ac:dyDescent="0.2">
      <c r="R4144" t="s">
        <v>50</v>
      </c>
      <c r="S4144" t="s">
        <v>257</v>
      </c>
      <c r="T4144" t="s">
        <v>443</v>
      </c>
      <c r="U4144" s="21">
        <v>11482.81</v>
      </c>
      <c r="V4144" s="21" t="s">
        <v>368</v>
      </c>
      <c r="W4144" t="str">
        <f>VLOOKUP(Table_Query_from_Actuarial___Production[[#This Row],[Kor1]],$AI$3:$AK$105,3,FALSE)</f>
        <v>ALAE Reserve</v>
      </c>
      <c r="X4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4"/>
      <c r="Z4144" t="s">
        <v>48</v>
      </c>
      <c r="AA4144" t="s">
        <v>230</v>
      </c>
      <c r="AB4144" t="s">
        <v>442</v>
      </c>
      <c r="AC4144" s="21">
        <v>50718.02</v>
      </c>
      <c r="AD4144" s="21" t="s">
        <v>368</v>
      </c>
      <c r="AE4144" t="str">
        <f>VLOOKUP(Table_Query_from_Actuarial___Production3[[#This Row],[Kor1]],$AI$3:$AK$105,3,FALSE)</f>
        <v>Anticipated Salvage</v>
      </c>
      <c r="AF4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5" spans="18:32" x14ac:dyDescent="0.2">
      <c r="R4145" t="s">
        <v>14</v>
      </c>
      <c r="S4145" t="s">
        <v>263</v>
      </c>
      <c r="T4145" t="s">
        <v>351</v>
      </c>
      <c r="U4145" s="21">
        <v>25596.82</v>
      </c>
      <c r="V4145" s="21" t="s">
        <v>368</v>
      </c>
      <c r="W4145" t="str">
        <f>VLOOKUP(Table_Query_from_Actuarial___Production[[#This Row],[Kor1]],$AI$3:$AK$105,3,FALSE)</f>
        <v>Claims Expense</v>
      </c>
      <c r="X4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5"/>
      <c r="Z4145" t="s">
        <v>49</v>
      </c>
      <c r="AA4145" t="s">
        <v>242</v>
      </c>
      <c r="AB4145" t="s">
        <v>351</v>
      </c>
      <c r="AC4145" s="21">
        <v>20707</v>
      </c>
      <c r="AD4145" s="21" t="s">
        <v>368</v>
      </c>
      <c r="AE4145" t="str">
        <f>VLOOKUP(Table_Query_from_Actuarial___Production3[[#This Row],[Kor1]],$AI$3:$AK$105,3,FALSE)</f>
        <v>ALAE Paid</v>
      </c>
      <c r="AF4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6" spans="18:32" x14ac:dyDescent="0.2">
      <c r="R4146" t="s">
        <v>39</v>
      </c>
      <c r="S4146" t="s">
        <v>238</v>
      </c>
      <c r="T4146" t="s">
        <v>427</v>
      </c>
      <c r="U4146" s="21">
        <v>3208.98</v>
      </c>
      <c r="V4146" s="21" t="s">
        <v>368</v>
      </c>
      <c r="W4146" t="str">
        <f>VLOOKUP(Table_Query_from_Actuarial___Production[[#This Row],[Kor1]],$AI$3:$AK$105,3,FALSE)</f>
        <v>Misc. Income for Insolvent Companies</v>
      </c>
      <c r="X4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6"/>
      <c r="Z4146" t="s">
        <v>14</v>
      </c>
      <c r="AA4146" t="s">
        <v>245</v>
      </c>
      <c r="AB4146" t="s">
        <v>8</v>
      </c>
      <c r="AC4146" s="21">
        <v>16259.48</v>
      </c>
      <c r="AD4146" s="21" t="s">
        <v>368</v>
      </c>
      <c r="AE4146" t="str">
        <f>VLOOKUP(Table_Query_from_Actuarial___Production3[[#This Row],[Kor1]],$AI$3:$AK$105,3,FALSE)</f>
        <v>Claims Expense</v>
      </c>
      <c r="AF4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7" spans="18:32" x14ac:dyDescent="0.2">
      <c r="R4147" t="s">
        <v>40</v>
      </c>
      <c r="S4147" t="s">
        <v>230</v>
      </c>
      <c r="T4147" t="s">
        <v>9</v>
      </c>
      <c r="U4147" s="21">
        <v>5569.54</v>
      </c>
      <c r="V4147" s="21" t="s">
        <v>368</v>
      </c>
      <c r="W4147" t="str">
        <f>VLOOKUP(Table_Query_from_Actuarial___Production[[#This Row],[Kor1]],$AI$3:$AK$105,3,FALSE)</f>
        <v>Misc. Income</v>
      </c>
      <c r="X4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7"/>
      <c r="Z4147" t="s">
        <v>43</v>
      </c>
      <c r="AA4147" t="s">
        <v>241</v>
      </c>
      <c r="AB4147" t="s">
        <v>427</v>
      </c>
      <c r="AC4147" s="21">
        <v>-438.92</v>
      </c>
      <c r="AD4147" s="21" t="s">
        <v>368</v>
      </c>
      <c r="AE4147" t="str">
        <f>VLOOKUP(Table_Query_from_Actuarial___Production3[[#This Row],[Kor1]],$AI$3:$AK$105,3,FALSE)</f>
        <v>Charge-offs</v>
      </c>
      <c r="AF4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8" spans="18:32" x14ac:dyDescent="0.2">
      <c r="R4148" t="s">
        <v>41</v>
      </c>
      <c r="S4148" t="s">
        <v>237</v>
      </c>
      <c r="T4148" t="s">
        <v>427</v>
      </c>
      <c r="U4148" s="21">
        <v>101.38</v>
      </c>
      <c r="V4148" s="21" t="s">
        <v>368</v>
      </c>
      <c r="W4148" t="str">
        <f>VLOOKUP(Table_Query_from_Actuarial___Production[[#This Row],[Kor1]],$AI$3:$AK$105,3,FALSE)</f>
        <v>Misc. Income</v>
      </c>
      <c r="X4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8"/>
      <c r="Z4148" t="s">
        <v>34</v>
      </c>
      <c r="AA4148" t="s">
        <v>255</v>
      </c>
      <c r="AB4148" t="s">
        <v>6</v>
      </c>
      <c r="AC4148" s="21">
        <v>4.6900000000000004</v>
      </c>
      <c r="AD4148" s="21" t="s">
        <v>368</v>
      </c>
      <c r="AE4148" t="str">
        <f>VLOOKUP(Table_Query_from_Actuarial___Production3[[#This Row],[Kor1]],$AI$3:$AK$105,3,FALSE)</f>
        <v>Misc. Expense</v>
      </c>
      <c r="AF4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49" spans="18:32" x14ac:dyDescent="0.2">
      <c r="R4149" t="s">
        <v>12</v>
      </c>
      <c r="S4149" t="s">
        <v>253</v>
      </c>
      <c r="T4149" t="s">
        <v>445</v>
      </c>
      <c r="U4149" s="21">
        <v>356.89</v>
      </c>
      <c r="V4149" s="21" t="s">
        <v>368</v>
      </c>
      <c r="W4149" t="str">
        <f>VLOOKUP(Table_Query_from_Actuarial___Production[[#This Row],[Kor1]],$AI$3:$AK$105,3,FALSE)</f>
        <v>Premium Tax</v>
      </c>
      <c r="X4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49"/>
      <c r="Z4149" t="s">
        <v>50</v>
      </c>
      <c r="AA4149" t="s">
        <v>268</v>
      </c>
      <c r="AB4149" t="s">
        <v>427</v>
      </c>
      <c r="AC4149" s="21">
        <v>8.98</v>
      </c>
      <c r="AD4149" s="21" t="s">
        <v>368</v>
      </c>
      <c r="AE4149" t="str">
        <f>VLOOKUP(Table_Query_from_Actuarial___Production3[[#This Row],[Kor1]],$AI$3:$AK$105,3,FALSE)</f>
        <v>ALAE Reserve</v>
      </c>
      <c r="AF4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0" spans="18:32" x14ac:dyDescent="0.2">
      <c r="R4150" t="s">
        <v>3</v>
      </c>
      <c r="S4150" t="s">
        <v>232</v>
      </c>
      <c r="T4150" t="s">
        <v>9</v>
      </c>
      <c r="U4150" s="21">
        <v>1334060</v>
      </c>
      <c r="V4150" s="21" t="s">
        <v>368</v>
      </c>
      <c r="W4150" t="str">
        <f>VLOOKUP(Table_Query_from_Actuarial___Production[[#This Row],[Kor1]],$AI$3:$AK$105,3,FALSE)</f>
        <v>Premiums Written</v>
      </c>
      <c r="X4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0"/>
      <c r="Z4150" t="s">
        <v>38</v>
      </c>
      <c r="AA4150" t="s">
        <v>225</v>
      </c>
      <c r="AB4150" t="s">
        <v>9</v>
      </c>
      <c r="AC4150" s="21">
        <v>483016.87</v>
      </c>
      <c r="AD4150" s="21" t="s">
        <v>369</v>
      </c>
      <c r="AE4150" t="str">
        <f>VLOOKUP(Table_Query_from_Actuarial___Production3[[#This Row],[Kor1]],$AI$3:$AK$105,3,FALSE)</f>
        <v>Misc. Income</v>
      </c>
      <c r="AF4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151" spans="18:32" x14ac:dyDescent="0.2">
      <c r="R4151" t="s">
        <v>35</v>
      </c>
      <c r="S4151" t="s">
        <v>4</v>
      </c>
      <c r="T4151" t="s">
        <v>6</v>
      </c>
      <c r="U4151" s="21">
        <v>114.63</v>
      </c>
      <c r="V4151" s="21" t="s">
        <v>368</v>
      </c>
      <c r="W4151" t="str">
        <f>VLOOKUP(Table_Query_from_Actuarial___Production[[#This Row],[Kor1]],$AI$3:$AK$105,3,FALSE)</f>
        <v>Misc. Expense</v>
      </c>
      <c r="X4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1"/>
      <c r="Z4151" t="s">
        <v>11</v>
      </c>
      <c r="AA4151" t="s">
        <v>226</v>
      </c>
      <c r="AB4151" t="s">
        <v>442</v>
      </c>
      <c r="AC4151" s="21">
        <v>327054.01</v>
      </c>
      <c r="AD4151" s="21" t="s">
        <v>368</v>
      </c>
      <c r="AE4151" t="str">
        <f>VLOOKUP(Table_Query_from_Actuarial___Production3[[#This Row],[Kor1]],$AI$3:$AK$105,3,FALSE)</f>
        <v>Losses Paid</v>
      </c>
      <c r="AF4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152" spans="18:32" x14ac:dyDescent="0.2">
      <c r="R4152" t="s">
        <v>31</v>
      </c>
      <c r="S4152" t="s">
        <v>261</v>
      </c>
      <c r="T4152" t="s">
        <v>442</v>
      </c>
      <c r="U4152" s="21">
        <v>788.31</v>
      </c>
      <c r="V4152" s="21" t="s">
        <v>368</v>
      </c>
      <c r="W4152" t="str">
        <f>VLOOKUP(Table_Query_from_Actuarial___Production[[#This Row],[Kor1]],$AI$3:$AK$105,3,FALSE)</f>
        <v>Misc. Expense</v>
      </c>
      <c r="X4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2"/>
      <c r="Z4152" t="s">
        <v>40</v>
      </c>
      <c r="AA4152" t="s">
        <v>238</v>
      </c>
      <c r="AB4152" t="s">
        <v>356</v>
      </c>
      <c r="AC4152" s="21">
        <v>181.02</v>
      </c>
      <c r="AD4152" s="21" t="s">
        <v>368</v>
      </c>
      <c r="AE4152" t="str">
        <f>VLOOKUP(Table_Query_from_Actuarial___Production3[[#This Row],[Kor1]],$AI$3:$AK$105,3,FALSE)</f>
        <v>Misc. Income</v>
      </c>
      <c r="AF4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3" spans="18:32" x14ac:dyDescent="0.2">
      <c r="R4153" t="s">
        <v>32</v>
      </c>
      <c r="S4153" t="s">
        <v>4</v>
      </c>
      <c r="T4153" t="s">
        <v>441</v>
      </c>
      <c r="U4153" s="21">
        <v>-150702.74</v>
      </c>
      <c r="V4153" s="21" t="s">
        <v>368</v>
      </c>
      <c r="W4153" t="str">
        <f>VLOOKUP(Table_Query_from_Actuarial___Production[[#This Row],[Kor1]],$AI$3:$AK$105,3,FALSE)</f>
        <v>Misc. Expense</v>
      </c>
      <c r="X4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3"/>
      <c r="Z4153" t="s">
        <v>11</v>
      </c>
      <c r="AA4153" t="s">
        <v>354</v>
      </c>
      <c r="AB4153" t="s">
        <v>9</v>
      </c>
      <c r="AC4153" s="21">
        <v>889647372.38</v>
      </c>
      <c r="AD4153" s="21" t="s">
        <v>369</v>
      </c>
      <c r="AE4153" t="str">
        <f>VLOOKUP(Table_Query_from_Actuarial___Production3[[#This Row],[Kor1]],$AI$3:$AK$105,3,FALSE)</f>
        <v>Losses Paid</v>
      </c>
      <c r="AF4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154" spans="18:32" x14ac:dyDescent="0.2">
      <c r="R4154" t="s">
        <v>33</v>
      </c>
      <c r="S4154" t="s">
        <v>233</v>
      </c>
      <c r="T4154" t="s">
        <v>6</v>
      </c>
      <c r="U4154" s="21">
        <v>15535.15</v>
      </c>
      <c r="V4154" s="21" t="s">
        <v>368</v>
      </c>
      <c r="W4154" t="str">
        <f>VLOOKUP(Table_Query_from_Actuarial___Production[[#This Row],[Kor1]],$AI$3:$AK$105,3,FALSE)</f>
        <v>Misc. Expense</v>
      </c>
      <c r="X4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4"/>
      <c r="Z4154" t="s">
        <v>31</v>
      </c>
      <c r="AA4154" t="s">
        <v>257</v>
      </c>
      <c r="AB4154" t="s">
        <v>8</v>
      </c>
      <c r="AC4154" s="21">
        <v>-3.93</v>
      </c>
      <c r="AD4154" s="21" t="s">
        <v>368</v>
      </c>
      <c r="AE4154" t="str">
        <f>VLOOKUP(Table_Query_from_Actuarial___Production3[[#This Row],[Kor1]],$AI$3:$AK$105,3,FALSE)</f>
        <v>Misc. Expense</v>
      </c>
      <c r="AF4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5" spans="18:32" x14ac:dyDescent="0.2">
      <c r="R4155" t="s">
        <v>43</v>
      </c>
      <c r="S4155" t="s">
        <v>4</v>
      </c>
      <c r="T4155" t="s">
        <v>441</v>
      </c>
      <c r="U4155" s="21">
        <v>413.18</v>
      </c>
      <c r="V4155" s="21" t="s">
        <v>368</v>
      </c>
      <c r="W4155" t="str">
        <f>VLOOKUP(Table_Query_from_Actuarial___Production[[#This Row],[Kor1]],$AI$3:$AK$105,3,FALSE)</f>
        <v>Charge-offs</v>
      </c>
      <c r="X4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5"/>
      <c r="Z4155" t="s">
        <v>12</v>
      </c>
      <c r="AA4155" t="s">
        <v>250</v>
      </c>
      <c r="AB4155" t="s">
        <v>427</v>
      </c>
      <c r="AC4155" s="21">
        <v>20422.34</v>
      </c>
      <c r="AD4155" s="21" t="s">
        <v>368</v>
      </c>
      <c r="AE4155" t="str">
        <f>VLOOKUP(Table_Query_from_Actuarial___Production3[[#This Row],[Kor1]],$AI$3:$AK$105,3,FALSE)</f>
        <v>Premium Tax</v>
      </c>
      <c r="AF4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6" spans="18:32" x14ac:dyDescent="0.2">
      <c r="R4156" t="s">
        <v>48</v>
      </c>
      <c r="S4156" t="s">
        <v>233</v>
      </c>
      <c r="T4156" t="s">
        <v>445</v>
      </c>
      <c r="U4156" s="21">
        <v>1726.23</v>
      </c>
      <c r="V4156" s="21" t="s">
        <v>368</v>
      </c>
      <c r="W4156" t="str">
        <f>VLOOKUP(Table_Query_from_Actuarial___Production[[#This Row],[Kor1]],$AI$3:$AK$105,3,FALSE)</f>
        <v>Anticipated Salvage</v>
      </c>
      <c r="X4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6"/>
      <c r="Z4156" t="s">
        <v>40</v>
      </c>
      <c r="AA4156" t="s">
        <v>232</v>
      </c>
      <c r="AB4156" t="s">
        <v>351</v>
      </c>
      <c r="AC4156" s="21">
        <v>318</v>
      </c>
      <c r="AD4156" s="21" t="s">
        <v>368</v>
      </c>
      <c r="AE4156" t="str">
        <f>VLOOKUP(Table_Query_from_Actuarial___Production3[[#This Row],[Kor1]],$AI$3:$AK$105,3,FALSE)</f>
        <v>Misc. Income</v>
      </c>
      <c r="AF4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7" spans="18:32" x14ac:dyDescent="0.2">
      <c r="R4157" t="s">
        <v>13</v>
      </c>
      <c r="S4157" t="s">
        <v>225</v>
      </c>
      <c r="T4157" t="s">
        <v>8</v>
      </c>
      <c r="U4157" s="21">
        <v>160514.32999999999</v>
      </c>
      <c r="V4157" s="21" t="s">
        <v>369</v>
      </c>
      <c r="W4157" t="str">
        <f>VLOOKUP(Table_Query_from_Actuarial___Production[[#This Row],[Kor1]],$AI$3:$AK$105,3,FALSE)</f>
        <v>Operating Service Fees</v>
      </c>
      <c r="X4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157"/>
      <c r="Z4157" t="s">
        <v>12</v>
      </c>
      <c r="AA4157" t="s">
        <v>268</v>
      </c>
      <c r="AB4157" t="s">
        <v>433</v>
      </c>
      <c r="AC4157" s="21">
        <v>4347.66</v>
      </c>
      <c r="AD4157" s="21" t="s">
        <v>368</v>
      </c>
      <c r="AE4157" t="str">
        <f>VLOOKUP(Table_Query_from_Actuarial___Production3[[#This Row],[Kor1]],$AI$3:$AK$105,3,FALSE)</f>
        <v>Premium Tax</v>
      </c>
      <c r="AF4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8" spans="18:32" x14ac:dyDescent="0.2">
      <c r="R4158" t="s">
        <v>40</v>
      </c>
      <c r="S4158" t="s">
        <v>257</v>
      </c>
      <c r="T4158" t="s">
        <v>356</v>
      </c>
      <c r="U4158" s="21">
        <v>998.66</v>
      </c>
      <c r="V4158" s="21" t="s">
        <v>368</v>
      </c>
      <c r="W4158" t="str">
        <f>VLOOKUP(Table_Query_from_Actuarial___Production[[#This Row],[Kor1]],$AI$3:$AK$105,3,FALSE)</f>
        <v>Misc. Income</v>
      </c>
      <c r="X4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58"/>
      <c r="Z4158" t="s">
        <v>16</v>
      </c>
      <c r="AA4158" t="s">
        <v>232</v>
      </c>
      <c r="AB4158" t="s">
        <v>442</v>
      </c>
      <c r="AC4158" s="21">
        <v>94663.81</v>
      </c>
      <c r="AD4158" s="21" t="s">
        <v>368</v>
      </c>
      <c r="AE4158" t="str">
        <f>VLOOKUP(Table_Query_from_Actuarial___Production3[[#This Row],[Kor1]],$AI$3:$AK$105,3,FALSE)</f>
        <v>Losses Outstanding</v>
      </c>
      <c r="AF4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59" spans="18:32" x14ac:dyDescent="0.2">
      <c r="R4159" t="s">
        <v>48</v>
      </c>
      <c r="S4159" t="s">
        <v>224</v>
      </c>
      <c r="T4159" t="s">
        <v>427</v>
      </c>
      <c r="U4159" s="21">
        <v>583</v>
      </c>
      <c r="V4159" s="21" t="s">
        <v>425</v>
      </c>
      <c r="W4159" t="str">
        <f>VLOOKUP(Table_Query_from_Actuarial___Production[[#This Row],[Kor1]],$AI$3:$AK$105,3,FALSE)</f>
        <v>Anticipated Salvage</v>
      </c>
      <c r="X4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159"/>
      <c r="Z4159" t="s">
        <v>19</v>
      </c>
      <c r="AA4159" t="s">
        <v>258</v>
      </c>
      <c r="AB4159" t="s">
        <v>9</v>
      </c>
      <c r="AC4159" s="21">
        <v>1626</v>
      </c>
      <c r="AD4159" s="21" t="s">
        <v>368</v>
      </c>
      <c r="AE4159" t="str">
        <f>VLOOKUP(Table_Query_from_Actuarial___Production3[[#This Row],[Kor1]],$AI$3:$AK$105,3,FALSE)</f>
        <v>Misc. Expense for Insolvent Companies</v>
      </c>
      <c r="AF4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0" spans="18:32" x14ac:dyDescent="0.2">
      <c r="R4160" t="s">
        <v>36</v>
      </c>
      <c r="S4160" t="s">
        <v>255</v>
      </c>
      <c r="T4160" t="s">
        <v>443</v>
      </c>
      <c r="U4160" s="21">
        <v>125</v>
      </c>
      <c r="V4160" s="21" t="s">
        <v>368</v>
      </c>
      <c r="W4160" t="str">
        <f>VLOOKUP(Table_Query_from_Actuarial___Production[[#This Row],[Kor1]],$AI$3:$AK$105,3,FALSE)</f>
        <v>Misc. Expense</v>
      </c>
      <c r="X4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0"/>
      <c r="Z4160" t="s">
        <v>41</v>
      </c>
      <c r="AA4160" t="s">
        <v>240</v>
      </c>
      <c r="AB4160" t="s">
        <v>6</v>
      </c>
      <c r="AC4160" s="21">
        <v>350.02</v>
      </c>
      <c r="AD4160" s="21" t="s">
        <v>368</v>
      </c>
      <c r="AE4160" t="str">
        <f>VLOOKUP(Table_Query_from_Actuarial___Production3[[#This Row],[Kor1]],$AI$3:$AK$105,3,FALSE)</f>
        <v>Misc. Income</v>
      </c>
      <c r="AF4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1" spans="18:32" x14ac:dyDescent="0.2">
      <c r="R4161" t="s">
        <v>31</v>
      </c>
      <c r="S4161" t="s">
        <v>258</v>
      </c>
      <c r="T4161" t="s">
        <v>441</v>
      </c>
      <c r="U4161" s="21">
        <v>967.6</v>
      </c>
      <c r="V4161" s="21" t="s">
        <v>368</v>
      </c>
      <c r="W4161" t="str">
        <f>VLOOKUP(Table_Query_from_Actuarial___Production[[#This Row],[Kor1]],$AI$3:$AK$105,3,FALSE)</f>
        <v>Misc. Expense</v>
      </c>
      <c r="X4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1"/>
      <c r="Z4161" t="s">
        <v>44</v>
      </c>
      <c r="AA4161" t="s">
        <v>253</v>
      </c>
      <c r="AB4161" t="s">
        <v>356</v>
      </c>
      <c r="AC4161" s="21">
        <v>15</v>
      </c>
      <c r="AD4161" s="21" t="s">
        <v>368</v>
      </c>
      <c r="AE4161" t="str">
        <f>VLOOKUP(Table_Query_from_Actuarial___Production3[[#This Row],[Kor1]],$AI$3:$AK$105,3,FALSE)</f>
        <v>Charge-offs</v>
      </c>
      <c r="AF4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2" spans="18:32" x14ac:dyDescent="0.2">
      <c r="R4162" t="s">
        <v>33</v>
      </c>
      <c r="S4162" t="s">
        <v>232</v>
      </c>
      <c r="T4162" t="s">
        <v>442</v>
      </c>
      <c r="U4162" s="21">
        <v>16934.21</v>
      </c>
      <c r="V4162" s="21" t="s">
        <v>368</v>
      </c>
      <c r="W4162" t="str">
        <f>VLOOKUP(Table_Query_from_Actuarial___Production[[#This Row],[Kor1]],$AI$3:$AK$105,3,FALSE)</f>
        <v>Misc. Expense</v>
      </c>
      <c r="X4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2"/>
      <c r="Z4162" t="s">
        <v>44</v>
      </c>
      <c r="AA4162" t="s">
        <v>225</v>
      </c>
      <c r="AB4162" t="s">
        <v>441</v>
      </c>
      <c r="AC4162" s="21">
        <v>37013.9</v>
      </c>
      <c r="AD4162" s="21" t="s">
        <v>369</v>
      </c>
      <c r="AE4162" t="str">
        <f>VLOOKUP(Table_Query_from_Actuarial___Production3[[#This Row],[Kor1]],$AI$3:$AK$105,3,FALSE)</f>
        <v>Charge-offs</v>
      </c>
      <c r="AF4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163" spans="18:32" x14ac:dyDescent="0.2">
      <c r="R4163" t="s">
        <v>13</v>
      </c>
      <c r="S4163" t="s">
        <v>227</v>
      </c>
      <c r="T4163" t="s">
        <v>442</v>
      </c>
      <c r="U4163" s="21">
        <v>2607.33</v>
      </c>
      <c r="V4163" s="21" t="s">
        <v>368</v>
      </c>
      <c r="W4163" t="str">
        <f>VLOOKUP(Table_Query_from_Actuarial___Production[[#This Row],[Kor1]],$AI$3:$AK$105,3,FALSE)</f>
        <v>Operating Service Fees</v>
      </c>
      <c r="X4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3"/>
      <c r="Z4163" t="s">
        <v>21</v>
      </c>
      <c r="AA4163" t="s">
        <v>257</v>
      </c>
      <c r="AB4163" t="s">
        <v>7</v>
      </c>
      <c r="AC4163" s="21">
        <v>4202.32</v>
      </c>
      <c r="AD4163" s="21" t="s">
        <v>368</v>
      </c>
      <c r="AE4163" t="str">
        <f>VLOOKUP(Table_Query_from_Actuarial___Production3[[#This Row],[Kor1]],$AI$3:$AK$105,3,FALSE)</f>
        <v>Misc. Expense</v>
      </c>
      <c r="AF4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4" spans="18:32" x14ac:dyDescent="0.2">
      <c r="R4164" t="s">
        <v>444</v>
      </c>
      <c r="S4164" t="s">
        <v>256</v>
      </c>
      <c r="T4164" t="s">
        <v>443</v>
      </c>
      <c r="U4164" s="21">
        <v>10167.81</v>
      </c>
      <c r="V4164" s="21" t="s">
        <v>368</v>
      </c>
      <c r="W4164" t="str">
        <f>VLOOKUP(Table_Query_from_Actuarial___Production[[#This Row],[Kor1]],$AI$3:$AK$105,3,FALSE)</f>
        <v>Misc. Expense</v>
      </c>
      <c r="X4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4"/>
      <c r="Z4164" t="s">
        <v>18</v>
      </c>
      <c r="AA4164" t="s">
        <v>226</v>
      </c>
      <c r="AB4164" t="s">
        <v>441</v>
      </c>
      <c r="AC4164" s="21">
        <v>239958.92</v>
      </c>
      <c r="AD4164" s="21" t="s">
        <v>368</v>
      </c>
      <c r="AE4164" t="str">
        <f>VLOOKUP(Table_Query_from_Actuarial___Production3[[#This Row],[Kor1]],$AI$3:$AK$105,3,FALSE)</f>
        <v>Misc. Expense</v>
      </c>
      <c r="AF4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165" spans="18:32" x14ac:dyDescent="0.2">
      <c r="R4165" t="s">
        <v>3</v>
      </c>
      <c r="S4165" t="s">
        <v>245</v>
      </c>
      <c r="T4165" t="s">
        <v>6</v>
      </c>
      <c r="U4165" s="21">
        <v>25822</v>
      </c>
      <c r="V4165" s="21" t="s">
        <v>368</v>
      </c>
      <c r="W4165" t="str">
        <f>VLOOKUP(Table_Query_from_Actuarial___Production[[#This Row],[Kor1]],$AI$3:$AK$105,3,FALSE)</f>
        <v>Premiums Written</v>
      </c>
      <c r="X4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5"/>
      <c r="Z4165" t="s">
        <v>14</v>
      </c>
      <c r="AA4165" t="s">
        <v>233</v>
      </c>
      <c r="AB4165" t="s">
        <v>7</v>
      </c>
      <c r="AC4165" s="21">
        <v>24083.599999999999</v>
      </c>
      <c r="AD4165" s="21" t="s">
        <v>368</v>
      </c>
      <c r="AE4165" t="str">
        <f>VLOOKUP(Table_Query_from_Actuarial___Production3[[#This Row],[Kor1]],$AI$3:$AK$105,3,FALSE)</f>
        <v>Claims Expense</v>
      </c>
      <c r="AF4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6" spans="18:32" x14ac:dyDescent="0.2">
      <c r="R4166" t="s">
        <v>14</v>
      </c>
      <c r="S4166" t="s">
        <v>249</v>
      </c>
      <c r="T4166" t="s">
        <v>8</v>
      </c>
      <c r="U4166" s="21">
        <v>40990.080000000002</v>
      </c>
      <c r="V4166" s="21" t="s">
        <v>368</v>
      </c>
      <c r="W4166" t="str">
        <f>VLOOKUP(Table_Query_from_Actuarial___Production[[#This Row],[Kor1]],$AI$3:$AK$105,3,FALSE)</f>
        <v>Claims Expense</v>
      </c>
      <c r="X4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6"/>
      <c r="Z4166" t="s">
        <v>37</v>
      </c>
      <c r="AA4166" t="s">
        <v>265</v>
      </c>
      <c r="AB4166" t="s">
        <v>442</v>
      </c>
      <c r="AC4166" s="21">
        <v>10206.9</v>
      </c>
      <c r="AD4166" s="21" t="s">
        <v>368</v>
      </c>
      <c r="AE4166" t="str">
        <f>VLOOKUP(Table_Query_from_Actuarial___Production3[[#This Row],[Kor1]],$AI$3:$AK$105,3,FALSE)</f>
        <v>Misc. Expense</v>
      </c>
      <c r="AF4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7" spans="18:32" x14ac:dyDescent="0.2">
      <c r="R4167" t="s">
        <v>37</v>
      </c>
      <c r="S4167" t="s">
        <v>251</v>
      </c>
      <c r="T4167" t="s">
        <v>433</v>
      </c>
      <c r="U4167" s="21">
        <v>1891.54</v>
      </c>
      <c r="V4167" s="21" t="s">
        <v>368</v>
      </c>
      <c r="W4167" t="str">
        <f>VLOOKUP(Table_Query_from_Actuarial___Production[[#This Row],[Kor1]],$AI$3:$AK$105,3,FALSE)</f>
        <v>Misc. Expense</v>
      </c>
      <c r="X4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7"/>
      <c r="Z4167" t="s">
        <v>49</v>
      </c>
      <c r="AA4167" t="s">
        <v>241</v>
      </c>
      <c r="AB4167" t="s">
        <v>9</v>
      </c>
      <c r="AC4167" s="21">
        <v>59530.080000000002</v>
      </c>
      <c r="AD4167" s="21" t="s">
        <v>368</v>
      </c>
      <c r="AE4167" t="str">
        <f>VLOOKUP(Table_Query_from_Actuarial___Production3[[#This Row],[Kor1]],$AI$3:$AK$105,3,FALSE)</f>
        <v>ALAE Paid</v>
      </c>
      <c r="AF4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8" spans="18:32" x14ac:dyDescent="0.2">
      <c r="R4168" t="s">
        <v>34</v>
      </c>
      <c r="S4168" t="s">
        <v>227</v>
      </c>
      <c r="T4168" t="s">
        <v>7</v>
      </c>
      <c r="U4168" s="21">
        <v>11.99</v>
      </c>
      <c r="V4168" s="21" t="s">
        <v>368</v>
      </c>
      <c r="W4168" t="str">
        <f>VLOOKUP(Table_Query_from_Actuarial___Production[[#This Row],[Kor1]],$AI$3:$AK$105,3,FALSE)</f>
        <v>Misc. Expense</v>
      </c>
      <c r="X4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8"/>
      <c r="Z4168" t="s">
        <v>43</v>
      </c>
      <c r="AA4168" t="s">
        <v>238</v>
      </c>
      <c r="AB4168" t="s">
        <v>441</v>
      </c>
      <c r="AC4168" s="21">
        <v>59.09</v>
      </c>
      <c r="AD4168" s="21" t="s">
        <v>368</v>
      </c>
      <c r="AE4168" t="str">
        <f>VLOOKUP(Table_Query_from_Actuarial___Production3[[#This Row],[Kor1]],$AI$3:$AK$105,3,FALSE)</f>
        <v>Charge-offs</v>
      </c>
      <c r="AF4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69" spans="18:32" x14ac:dyDescent="0.2">
      <c r="R4169" t="s">
        <v>47</v>
      </c>
      <c r="S4169" t="s">
        <v>258</v>
      </c>
      <c r="T4169" t="s">
        <v>433</v>
      </c>
      <c r="U4169" s="21">
        <v>6119.32</v>
      </c>
      <c r="V4169" s="21" t="s">
        <v>368</v>
      </c>
      <c r="W4169" t="str">
        <f>VLOOKUP(Table_Query_from_Actuarial___Production[[#This Row],[Kor1]],$AI$3:$AK$105,3,FALSE)</f>
        <v>Investment Income</v>
      </c>
      <c r="X4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69"/>
      <c r="Z4169" t="s">
        <v>14</v>
      </c>
      <c r="AA4169" t="s">
        <v>263</v>
      </c>
      <c r="AB4169" t="s">
        <v>351</v>
      </c>
      <c r="AC4169" s="21">
        <v>25596.82</v>
      </c>
      <c r="AD4169" s="21" t="s">
        <v>368</v>
      </c>
      <c r="AE4169" t="str">
        <f>VLOOKUP(Table_Query_from_Actuarial___Production3[[#This Row],[Kor1]],$AI$3:$AK$105,3,FALSE)</f>
        <v>Claims Expense</v>
      </c>
      <c r="AF4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0" spans="18:32" x14ac:dyDescent="0.2">
      <c r="R4170" t="s">
        <v>43</v>
      </c>
      <c r="S4170" t="s">
        <v>230</v>
      </c>
      <c r="T4170" t="s">
        <v>351</v>
      </c>
      <c r="U4170" s="21">
        <v>14360.65</v>
      </c>
      <c r="V4170" s="21" t="s">
        <v>368</v>
      </c>
      <c r="W4170" t="str">
        <f>VLOOKUP(Table_Query_from_Actuarial___Production[[#This Row],[Kor1]],$AI$3:$AK$105,3,FALSE)</f>
        <v>Charge-offs</v>
      </c>
      <c r="X4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0"/>
      <c r="Z4170" t="s">
        <v>39</v>
      </c>
      <c r="AA4170" t="s">
        <v>238</v>
      </c>
      <c r="AB4170" t="s">
        <v>427</v>
      </c>
      <c r="AC4170" s="21">
        <v>3208.98</v>
      </c>
      <c r="AD4170" s="21" t="s">
        <v>368</v>
      </c>
      <c r="AE4170" t="str">
        <f>VLOOKUP(Table_Query_from_Actuarial___Production3[[#This Row],[Kor1]],$AI$3:$AK$105,3,FALSE)</f>
        <v>Misc. Income for Insolvent Companies</v>
      </c>
      <c r="AF4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1" spans="18:32" x14ac:dyDescent="0.2">
      <c r="R4171" t="s">
        <v>16</v>
      </c>
      <c r="S4171" t="s">
        <v>230</v>
      </c>
      <c r="T4171" t="s">
        <v>442</v>
      </c>
      <c r="U4171" s="21">
        <v>3853077.3</v>
      </c>
      <c r="V4171" s="21" t="s">
        <v>368</v>
      </c>
      <c r="W4171" t="str">
        <f>VLOOKUP(Table_Query_from_Actuarial___Production[[#This Row],[Kor1]],$AI$3:$AK$105,3,FALSE)</f>
        <v>Losses Outstanding</v>
      </c>
      <c r="X4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1"/>
      <c r="Z4171" t="s">
        <v>40</v>
      </c>
      <c r="AA4171" t="s">
        <v>230</v>
      </c>
      <c r="AB4171" t="s">
        <v>9</v>
      </c>
      <c r="AC4171" s="21">
        <v>5569.54</v>
      </c>
      <c r="AD4171" s="21" t="s">
        <v>368</v>
      </c>
      <c r="AE4171" t="str">
        <f>VLOOKUP(Table_Query_from_Actuarial___Production3[[#This Row],[Kor1]],$AI$3:$AK$105,3,FALSE)</f>
        <v>Misc. Income</v>
      </c>
      <c r="AF4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2" spans="18:32" x14ac:dyDescent="0.2">
      <c r="R4172" t="s">
        <v>33</v>
      </c>
      <c r="S4172" t="s">
        <v>230</v>
      </c>
      <c r="T4172" t="s">
        <v>7</v>
      </c>
      <c r="U4172" s="21">
        <v>15775.5</v>
      </c>
      <c r="V4172" s="21" t="s">
        <v>368</v>
      </c>
      <c r="W4172" t="str">
        <f>VLOOKUP(Table_Query_from_Actuarial___Production[[#This Row],[Kor1]],$AI$3:$AK$105,3,FALSE)</f>
        <v>Misc. Expense</v>
      </c>
      <c r="X4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2"/>
      <c r="Z4172" t="s">
        <v>41</v>
      </c>
      <c r="AA4172" t="s">
        <v>237</v>
      </c>
      <c r="AB4172" t="s">
        <v>427</v>
      </c>
      <c r="AC4172" s="21">
        <v>101.38</v>
      </c>
      <c r="AD4172" s="21" t="s">
        <v>368</v>
      </c>
      <c r="AE4172" t="str">
        <f>VLOOKUP(Table_Query_from_Actuarial___Production3[[#This Row],[Kor1]],$AI$3:$AK$105,3,FALSE)</f>
        <v>Misc. Income</v>
      </c>
      <c r="AF4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3" spans="18:32" x14ac:dyDescent="0.2">
      <c r="R4173" t="s">
        <v>46</v>
      </c>
      <c r="S4173" t="s">
        <v>352</v>
      </c>
      <c r="T4173" t="s">
        <v>7</v>
      </c>
      <c r="U4173" s="21">
        <v>0.81</v>
      </c>
      <c r="V4173" s="21" t="s">
        <v>368</v>
      </c>
      <c r="W4173" t="str">
        <f>VLOOKUP(Table_Query_from_Actuarial___Production[[#This Row],[Kor1]],$AI$3:$AK$105,3,FALSE)</f>
        <v>Investment Income</v>
      </c>
      <c r="X4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4173"/>
      <c r="Z4173" t="s">
        <v>3</v>
      </c>
      <c r="AA4173" t="s">
        <v>232</v>
      </c>
      <c r="AB4173" t="s">
        <v>9</v>
      </c>
      <c r="AC4173" s="21">
        <v>1334060</v>
      </c>
      <c r="AD4173" s="21" t="s">
        <v>368</v>
      </c>
      <c r="AE4173" t="str">
        <f>VLOOKUP(Table_Query_from_Actuarial___Production3[[#This Row],[Kor1]],$AI$3:$AK$105,3,FALSE)</f>
        <v>Premiums Written</v>
      </c>
      <c r="AF4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4" spans="18:32" x14ac:dyDescent="0.2">
      <c r="R4174" t="s">
        <v>10</v>
      </c>
      <c r="S4174" t="s">
        <v>227</v>
      </c>
      <c r="T4174" t="s">
        <v>442</v>
      </c>
      <c r="U4174" s="21">
        <v>368.8</v>
      </c>
      <c r="V4174" s="21" t="s">
        <v>368</v>
      </c>
      <c r="W4174" t="str">
        <f>VLOOKUP(Table_Query_from_Actuarial___Production[[#This Row],[Kor1]],$AI$3:$AK$105,3,FALSE)</f>
        <v>Commissions</v>
      </c>
      <c r="X4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4"/>
      <c r="Z4174" t="s">
        <v>35</v>
      </c>
      <c r="AA4174" t="s">
        <v>4</v>
      </c>
      <c r="AB4174" t="s">
        <v>6</v>
      </c>
      <c r="AC4174" s="21">
        <v>114.63</v>
      </c>
      <c r="AD4174" s="21" t="s">
        <v>368</v>
      </c>
      <c r="AE4174" t="str">
        <f>VLOOKUP(Table_Query_from_Actuarial___Production3[[#This Row],[Kor1]],$AI$3:$AK$105,3,FALSE)</f>
        <v>Misc. Expense</v>
      </c>
      <c r="AF4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5" spans="18:32" x14ac:dyDescent="0.2">
      <c r="R4175" t="s">
        <v>10</v>
      </c>
      <c r="S4175" t="s">
        <v>247</v>
      </c>
      <c r="T4175" t="s">
        <v>9</v>
      </c>
      <c r="U4175" s="21">
        <v>1035.4000000000001</v>
      </c>
      <c r="V4175" s="21" t="s">
        <v>368</v>
      </c>
      <c r="W4175" t="str">
        <f>VLOOKUP(Table_Query_from_Actuarial___Production[[#This Row],[Kor1]],$AI$3:$AK$105,3,FALSE)</f>
        <v>Commissions</v>
      </c>
      <c r="X4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5"/>
      <c r="Z4175" t="s">
        <v>31</v>
      </c>
      <c r="AA4175" t="s">
        <v>261</v>
      </c>
      <c r="AB4175" t="s">
        <v>442</v>
      </c>
      <c r="AC4175" s="21">
        <v>788.31</v>
      </c>
      <c r="AD4175" s="21" t="s">
        <v>368</v>
      </c>
      <c r="AE4175" t="str">
        <f>VLOOKUP(Table_Query_from_Actuarial___Production3[[#This Row],[Kor1]],$AI$3:$AK$105,3,FALSE)</f>
        <v>Misc. Expense</v>
      </c>
      <c r="AF4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6" spans="18:32" x14ac:dyDescent="0.2">
      <c r="R4176" t="s">
        <v>3</v>
      </c>
      <c r="S4176" t="s">
        <v>4</v>
      </c>
      <c r="T4176" t="s">
        <v>7</v>
      </c>
      <c r="U4176" s="21">
        <v>9256061</v>
      </c>
      <c r="V4176" s="21" t="s">
        <v>368</v>
      </c>
      <c r="W4176" t="str">
        <f>VLOOKUP(Table_Query_from_Actuarial___Production[[#This Row],[Kor1]],$AI$3:$AK$105,3,FALSE)</f>
        <v>Premiums Written</v>
      </c>
      <c r="X4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6"/>
      <c r="Z4176" t="s">
        <v>32</v>
      </c>
      <c r="AA4176" t="s">
        <v>4</v>
      </c>
      <c r="AB4176" t="s">
        <v>441</v>
      </c>
      <c r="AC4176" s="21">
        <v>-150702.74</v>
      </c>
      <c r="AD4176" s="21" t="s">
        <v>368</v>
      </c>
      <c r="AE4176" t="str">
        <f>VLOOKUP(Table_Query_from_Actuarial___Production3[[#This Row],[Kor1]],$AI$3:$AK$105,3,FALSE)</f>
        <v>Misc. Expense</v>
      </c>
      <c r="AF4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7" spans="18:32" x14ac:dyDescent="0.2">
      <c r="R4177" t="s">
        <v>40</v>
      </c>
      <c r="S4177" t="s">
        <v>232</v>
      </c>
      <c r="T4177" t="s">
        <v>441</v>
      </c>
      <c r="U4177" s="21">
        <v>-45</v>
      </c>
      <c r="V4177" s="21" t="s">
        <v>368</v>
      </c>
      <c r="W4177" t="str">
        <f>VLOOKUP(Table_Query_from_Actuarial___Production[[#This Row],[Kor1]],$AI$3:$AK$105,3,FALSE)</f>
        <v>Misc. Income</v>
      </c>
      <c r="X4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7"/>
      <c r="Z4177" t="s">
        <v>33</v>
      </c>
      <c r="AA4177" t="s">
        <v>233</v>
      </c>
      <c r="AB4177" t="s">
        <v>6</v>
      </c>
      <c r="AC4177" s="21">
        <v>15535.15</v>
      </c>
      <c r="AD4177" s="21" t="s">
        <v>368</v>
      </c>
      <c r="AE4177" t="str">
        <f>VLOOKUP(Table_Query_from_Actuarial___Production3[[#This Row],[Kor1]],$AI$3:$AK$105,3,FALSE)</f>
        <v>Misc. Expense</v>
      </c>
      <c r="AF4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8" spans="18:32" x14ac:dyDescent="0.2">
      <c r="R4178" t="s">
        <v>48</v>
      </c>
      <c r="S4178" t="s">
        <v>232</v>
      </c>
      <c r="T4178" t="s">
        <v>441</v>
      </c>
      <c r="U4178" s="21">
        <v>4392.8500000000004</v>
      </c>
      <c r="V4178" s="21" t="s">
        <v>368</v>
      </c>
      <c r="W4178" t="str">
        <f>VLOOKUP(Table_Query_from_Actuarial___Production[[#This Row],[Kor1]],$AI$3:$AK$105,3,FALSE)</f>
        <v>Anticipated Salvage</v>
      </c>
      <c r="X4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78"/>
      <c r="Z4178" t="s">
        <v>43</v>
      </c>
      <c r="AA4178" t="s">
        <v>4</v>
      </c>
      <c r="AB4178" t="s">
        <v>441</v>
      </c>
      <c r="AC4178" s="21">
        <v>413.18</v>
      </c>
      <c r="AD4178" s="21" t="s">
        <v>368</v>
      </c>
      <c r="AE4178" t="str">
        <f>VLOOKUP(Table_Query_from_Actuarial___Production3[[#This Row],[Kor1]],$AI$3:$AK$105,3,FALSE)</f>
        <v>Charge-offs</v>
      </c>
      <c r="AF4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79" spans="18:32" x14ac:dyDescent="0.2">
      <c r="R4179" t="s">
        <v>13</v>
      </c>
      <c r="S4179" t="s">
        <v>224</v>
      </c>
      <c r="T4179" t="s">
        <v>442</v>
      </c>
      <c r="U4179" s="21">
        <v>4237</v>
      </c>
      <c r="V4179" s="21" t="s">
        <v>369</v>
      </c>
      <c r="W4179" t="str">
        <f>VLOOKUP(Table_Query_from_Actuarial___Production[[#This Row],[Kor1]],$AI$3:$AK$105,3,FALSE)</f>
        <v>Operating Service Fees</v>
      </c>
      <c r="X4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179"/>
      <c r="Z4179" t="s">
        <v>13</v>
      </c>
      <c r="AA4179" t="s">
        <v>225</v>
      </c>
      <c r="AB4179" t="s">
        <v>8</v>
      </c>
      <c r="AC4179" s="21">
        <v>160514.32999999999</v>
      </c>
      <c r="AD4179" s="21" t="s">
        <v>369</v>
      </c>
      <c r="AE4179" t="str">
        <f>VLOOKUP(Table_Query_from_Actuarial___Production3[[#This Row],[Kor1]],$AI$3:$AK$105,3,FALSE)</f>
        <v>Operating Service Fees</v>
      </c>
      <c r="AF4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180" spans="18:32" x14ac:dyDescent="0.2">
      <c r="R4180" t="s">
        <v>11</v>
      </c>
      <c r="S4180" t="s">
        <v>227</v>
      </c>
      <c r="T4180" t="s">
        <v>8</v>
      </c>
      <c r="U4180" s="21">
        <v>18754.39</v>
      </c>
      <c r="V4180" s="21" t="s">
        <v>368</v>
      </c>
      <c r="W4180" t="str">
        <f>VLOOKUP(Table_Query_from_Actuarial___Production[[#This Row],[Kor1]],$AI$3:$AK$105,3,FALSE)</f>
        <v>Losses Paid</v>
      </c>
      <c r="X4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0"/>
      <c r="Z4180" t="s">
        <v>40</v>
      </c>
      <c r="AA4180" t="s">
        <v>257</v>
      </c>
      <c r="AB4180" t="s">
        <v>356</v>
      </c>
      <c r="AC4180" s="21">
        <v>998.66</v>
      </c>
      <c r="AD4180" s="21" t="s">
        <v>368</v>
      </c>
      <c r="AE4180" t="str">
        <f>VLOOKUP(Table_Query_from_Actuarial___Production3[[#This Row],[Kor1]],$AI$3:$AK$105,3,FALSE)</f>
        <v>Misc. Income</v>
      </c>
      <c r="AF4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1" spans="18:32" x14ac:dyDescent="0.2">
      <c r="R4181" t="s">
        <v>21</v>
      </c>
      <c r="S4181" t="s">
        <v>243</v>
      </c>
      <c r="T4181" t="s">
        <v>7</v>
      </c>
      <c r="U4181" s="21">
        <v>939.01</v>
      </c>
      <c r="V4181" s="21" t="s">
        <v>368</v>
      </c>
      <c r="W4181" t="str">
        <f>VLOOKUP(Table_Query_from_Actuarial___Production[[#This Row],[Kor1]],$AI$3:$AK$105,3,FALSE)</f>
        <v>Misc. Expense</v>
      </c>
      <c r="X4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1"/>
      <c r="Z4181" t="s">
        <v>48</v>
      </c>
      <c r="AA4181" t="s">
        <v>224</v>
      </c>
      <c r="AB4181" t="s">
        <v>427</v>
      </c>
      <c r="AC4181" s="21">
        <v>1008.99</v>
      </c>
      <c r="AD4181" s="21" t="s">
        <v>425</v>
      </c>
      <c r="AE4181" t="str">
        <f>VLOOKUP(Table_Query_from_Actuarial___Production3[[#This Row],[Kor1]],$AI$3:$AK$105,3,FALSE)</f>
        <v>Anticipated Salvage</v>
      </c>
      <c r="AF4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182" spans="18:32" x14ac:dyDescent="0.2">
      <c r="R4182" t="s">
        <v>33</v>
      </c>
      <c r="S4182" t="s">
        <v>267</v>
      </c>
      <c r="T4182" t="s">
        <v>442</v>
      </c>
      <c r="U4182" s="21">
        <v>15936.96</v>
      </c>
      <c r="V4182" s="21" t="s">
        <v>368</v>
      </c>
      <c r="W4182" t="str">
        <f>VLOOKUP(Table_Query_from_Actuarial___Production[[#This Row],[Kor1]],$AI$3:$AK$105,3,FALSE)</f>
        <v>Misc. Expense</v>
      </c>
      <c r="X4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2"/>
      <c r="Z4182" t="s">
        <v>31</v>
      </c>
      <c r="AA4182" t="s">
        <v>258</v>
      </c>
      <c r="AB4182" t="s">
        <v>441</v>
      </c>
      <c r="AC4182" s="21">
        <v>967.6</v>
      </c>
      <c r="AD4182" s="21" t="s">
        <v>368</v>
      </c>
      <c r="AE4182" t="str">
        <f>VLOOKUP(Table_Query_from_Actuarial___Production3[[#This Row],[Kor1]],$AI$3:$AK$105,3,FALSE)</f>
        <v>Misc. Expense</v>
      </c>
      <c r="AF4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3" spans="18:32" x14ac:dyDescent="0.2">
      <c r="R4183" t="s">
        <v>34</v>
      </c>
      <c r="S4183" t="s">
        <v>237</v>
      </c>
      <c r="T4183" t="s">
        <v>441</v>
      </c>
      <c r="U4183" s="21">
        <v>125.26</v>
      </c>
      <c r="V4183" s="21" t="s">
        <v>368</v>
      </c>
      <c r="W4183" t="str">
        <f>VLOOKUP(Table_Query_from_Actuarial___Production[[#This Row],[Kor1]],$AI$3:$AK$105,3,FALSE)</f>
        <v>Misc. Expense</v>
      </c>
      <c r="X4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3"/>
      <c r="Z4183" t="s">
        <v>33</v>
      </c>
      <c r="AA4183" t="s">
        <v>232</v>
      </c>
      <c r="AB4183" t="s">
        <v>442</v>
      </c>
      <c r="AC4183" s="21">
        <v>16934.21</v>
      </c>
      <c r="AD4183" s="21" t="s">
        <v>368</v>
      </c>
      <c r="AE4183" t="str">
        <f>VLOOKUP(Table_Query_from_Actuarial___Production3[[#This Row],[Kor1]],$AI$3:$AK$105,3,FALSE)</f>
        <v>Misc. Expense</v>
      </c>
      <c r="AF4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4" spans="18:32" x14ac:dyDescent="0.2">
      <c r="R4184" t="s">
        <v>13</v>
      </c>
      <c r="S4184" t="s">
        <v>354</v>
      </c>
      <c r="T4184" t="s">
        <v>443</v>
      </c>
      <c r="U4184" s="21">
        <v>35220868.43</v>
      </c>
      <c r="V4184" s="21" t="s">
        <v>368</v>
      </c>
      <c r="W4184" t="str">
        <f>VLOOKUP(Table_Query_from_Actuarial___Production[[#This Row],[Kor1]],$AI$3:$AK$105,3,FALSE)</f>
        <v>Operating Service Fees</v>
      </c>
      <c r="X4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184"/>
      <c r="Z4184" t="s">
        <v>13</v>
      </c>
      <c r="AA4184" t="s">
        <v>227</v>
      </c>
      <c r="AB4184" t="s">
        <v>442</v>
      </c>
      <c r="AC4184" s="21">
        <v>2607.33</v>
      </c>
      <c r="AD4184" s="21" t="s">
        <v>368</v>
      </c>
      <c r="AE4184" t="str">
        <f>VLOOKUP(Table_Query_from_Actuarial___Production3[[#This Row],[Kor1]],$AI$3:$AK$105,3,FALSE)</f>
        <v>Operating Service Fees</v>
      </c>
      <c r="AF4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5" spans="18:32" x14ac:dyDescent="0.2">
      <c r="R4185" t="s">
        <v>33</v>
      </c>
      <c r="S4185" t="s">
        <v>235</v>
      </c>
      <c r="T4185" t="s">
        <v>6</v>
      </c>
      <c r="U4185" s="21">
        <v>16153.41</v>
      </c>
      <c r="V4185" s="21" t="s">
        <v>368</v>
      </c>
      <c r="W4185" t="str">
        <f>VLOOKUP(Table_Query_from_Actuarial___Production[[#This Row],[Kor1]],$AI$3:$AK$105,3,FALSE)</f>
        <v>Misc. Expense</v>
      </c>
      <c r="X4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5"/>
      <c r="Z4185" t="s">
        <v>49</v>
      </c>
      <c r="AA4185" t="s">
        <v>248</v>
      </c>
      <c r="AB4185" t="s">
        <v>5</v>
      </c>
      <c r="AC4185" s="21">
        <v>1664.7</v>
      </c>
      <c r="AD4185" s="21" t="s">
        <v>368</v>
      </c>
      <c r="AE4185" t="str">
        <f>VLOOKUP(Table_Query_from_Actuarial___Production3[[#This Row],[Kor1]],$AI$3:$AK$105,3,FALSE)</f>
        <v>ALAE Paid</v>
      </c>
      <c r="AF4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6" spans="18:32" x14ac:dyDescent="0.2">
      <c r="R4186" t="s">
        <v>43</v>
      </c>
      <c r="S4186" t="s">
        <v>257</v>
      </c>
      <c r="T4186" t="s">
        <v>6</v>
      </c>
      <c r="U4186" s="21">
        <v>-4647.17</v>
      </c>
      <c r="V4186" s="21" t="s">
        <v>368</v>
      </c>
      <c r="W4186" t="str">
        <f>VLOOKUP(Table_Query_from_Actuarial___Production[[#This Row],[Kor1]],$AI$3:$AK$105,3,FALSE)</f>
        <v>Charge-offs</v>
      </c>
      <c r="X4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6"/>
      <c r="Z4186" t="s">
        <v>3</v>
      </c>
      <c r="AA4186" t="s">
        <v>245</v>
      </c>
      <c r="AB4186" t="s">
        <v>6</v>
      </c>
      <c r="AC4186" s="21">
        <v>25822</v>
      </c>
      <c r="AD4186" s="21" t="s">
        <v>368</v>
      </c>
      <c r="AE4186" t="str">
        <f>VLOOKUP(Table_Query_from_Actuarial___Production3[[#This Row],[Kor1]],$AI$3:$AK$105,3,FALSE)</f>
        <v>Premiums Written</v>
      </c>
      <c r="AF4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7" spans="18:32" x14ac:dyDescent="0.2">
      <c r="R4187" t="s">
        <v>47</v>
      </c>
      <c r="S4187" t="s">
        <v>265</v>
      </c>
      <c r="T4187" t="s">
        <v>6</v>
      </c>
      <c r="U4187" s="21">
        <v>0.01</v>
      </c>
      <c r="V4187" s="21" t="s">
        <v>368</v>
      </c>
      <c r="W4187" t="str">
        <f>VLOOKUP(Table_Query_from_Actuarial___Production[[#This Row],[Kor1]],$AI$3:$AK$105,3,FALSE)</f>
        <v>Investment Income</v>
      </c>
      <c r="X4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7"/>
      <c r="Z4187" t="s">
        <v>14</v>
      </c>
      <c r="AA4187" t="s">
        <v>249</v>
      </c>
      <c r="AB4187" t="s">
        <v>8</v>
      </c>
      <c r="AC4187" s="21">
        <v>40990.080000000002</v>
      </c>
      <c r="AD4187" s="21" t="s">
        <v>368</v>
      </c>
      <c r="AE4187" t="str">
        <f>VLOOKUP(Table_Query_from_Actuarial___Production3[[#This Row],[Kor1]],$AI$3:$AK$105,3,FALSE)</f>
        <v>Claims Expense</v>
      </c>
      <c r="AF4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8" spans="18:32" x14ac:dyDescent="0.2">
      <c r="R4188" t="s">
        <v>39</v>
      </c>
      <c r="S4188" t="s">
        <v>243</v>
      </c>
      <c r="T4188" t="s">
        <v>433</v>
      </c>
      <c r="U4188" s="21">
        <v>3992</v>
      </c>
      <c r="V4188" s="21" t="s">
        <v>368</v>
      </c>
      <c r="W4188" t="str">
        <f>VLOOKUP(Table_Query_from_Actuarial___Production[[#This Row],[Kor1]],$AI$3:$AK$105,3,FALSE)</f>
        <v>Misc. Income for Insolvent Companies</v>
      </c>
      <c r="X4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88"/>
      <c r="Z4188" t="s">
        <v>37</v>
      </c>
      <c r="AA4188" t="s">
        <v>251</v>
      </c>
      <c r="AB4188" t="s">
        <v>433</v>
      </c>
      <c r="AC4188" s="21">
        <v>1891.54</v>
      </c>
      <c r="AD4188" s="21" t="s">
        <v>368</v>
      </c>
      <c r="AE4188" t="str">
        <f>VLOOKUP(Table_Query_from_Actuarial___Production3[[#This Row],[Kor1]],$AI$3:$AK$105,3,FALSE)</f>
        <v>Misc. Expense</v>
      </c>
      <c r="AF4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89" spans="18:32" x14ac:dyDescent="0.2">
      <c r="R4189" t="s">
        <v>16</v>
      </c>
      <c r="S4189" t="s">
        <v>224</v>
      </c>
      <c r="T4189" t="s">
        <v>441</v>
      </c>
      <c r="U4189" s="21">
        <v>40351.440000000002</v>
      </c>
      <c r="V4189" s="21" t="s">
        <v>370</v>
      </c>
      <c r="W4189" t="str">
        <f>VLOOKUP(Table_Query_from_Actuarial___Production[[#This Row],[Kor1]],$AI$3:$AK$105,3,FALSE)</f>
        <v>Losses Outstanding</v>
      </c>
      <c r="X4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189"/>
      <c r="Z4189" t="s">
        <v>34</v>
      </c>
      <c r="AA4189" t="s">
        <v>227</v>
      </c>
      <c r="AB4189" t="s">
        <v>7</v>
      </c>
      <c r="AC4189" s="21">
        <v>11.99</v>
      </c>
      <c r="AD4189" s="21" t="s">
        <v>368</v>
      </c>
      <c r="AE4189" t="str">
        <f>VLOOKUP(Table_Query_from_Actuarial___Production3[[#This Row],[Kor1]],$AI$3:$AK$105,3,FALSE)</f>
        <v>Misc. Expense</v>
      </c>
      <c r="AF4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0" spans="18:32" x14ac:dyDescent="0.2">
      <c r="R4190" t="s">
        <v>13</v>
      </c>
      <c r="S4190" t="s">
        <v>240</v>
      </c>
      <c r="T4190" t="s">
        <v>6</v>
      </c>
      <c r="U4190" s="21">
        <v>215887.45</v>
      </c>
      <c r="V4190" s="21" t="s">
        <v>368</v>
      </c>
      <c r="W4190" t="str">
        <f>VLOOKUP(Table_Query_from_Actuarial___Production[[#This Row],[Kor1]],$AI$3:$AK$105,3,FALSE)</f>
        <v>Operating Service Fees</v>
      </c>
      <c r="X4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0"/>
      <c r="Z4190" t="s">
        <v>47</v>
      </c>
      <c r="AA4190" t="s">
        <v>258</v>
      </c>
      <c r="AB4190" t="s">
        <v>433</v>
      </c>
      <c r="AC4190" s="21">
        <v>6119.32</v>
      </c>
      <c r="AD4190" s="21" t="s">
        <v>368</v>
      </c>
      <c r="AE4190" t="str">
        <f>VLOOKUP(Table_Query_from_Actuarial___Production3[[#This Row],[Kor1]],$AI$3:$AK$105,3,FALSE)</f>
        <v>Investment Income</v>
      </c>
      <c r="AF4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1" spans="18:32" x14ac:dyDescent="0.2">
      <c r="R4191" t="s">
        <v>13</v>
      </c>
      <c r="S4191" t="s">
        <v>224</v>
      </c>
      <c r="T4191" t="s">
        <v>7</v>
      </c>
      <c r="U4191" s="21">
        <v>222364.05</v>
      </c>
      <c r="V4191" s="21" t="s">
        <v>368</v>
      </c>
      <c r="W4191" t="str">
        <f>VLOOKUP(Table_Query_from_Actuarial___Production[[#This Row],[Kor1]],$AI$3:$AK$105,3,FALSE)</f>
        <v>Operating Service Fees</v>
      </c>
      <c r="X4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191"/>
      <c r="Z4191" t="s">
        <v>43</v>
      </c>
      <c r="AA4191" t="s">
        <v>230</v>
      </c>
      <c r="AB4191" t="s">
        <v>351</v>
      </c>
      <c r="AC4191" s="21">
        <v>14360.65</v>
      </c>
      <c r="AD4191" s="21" t="s">
        <v>368</v>
      </c>
      <c r="AE4191" t="str">
        <f>VLOOKUP(Table_Query_from_Actuarial___Production3[[#This Row],[Kor1]],$AI$3:$AK$105,3,FALSE)</f>
        <v>Charge-offs</v>
      </c>
      <c r="AF4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2" spans="18:32" x14ac:dyDescent="0.2">
      <c r="R4192" t="s">
        <v>20</v>
      </c>
      <c r="S4192" t="s">
        <v>228</v>
      </c>
      <c r="T4192" t="s">
        <v>9</v>
      </c>
      <c r="U4192" s="21">
        <v>235.76</v>
      </c>
      <c r="V4192" s="21" t="s">
        <v>368</v>
      </c>
      <c r="W4192" t="str">
        <f>VLOOKUP(Table_Query_from_Actuarial___Production[[#This Row],[Kor1]],$AI$3:$AK$105,3,FALSE)</f>
        <v>Misc. Expense</v>
      </c>
      <c r="X4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2"/>
      <c r="Z4192" t="s">
        <v>16</v>
      </c>
      <c r="AA4192" t="s">
        <v>230</v>
      </c>
      <c r="AB4192" t="s">
        <v>442</v>
      </c>
      <c r="AC4192" s="21">
        <v>5824753.8499999996</v>
      </c>
      <c r="AD4192" s="21" t="s">
        <v>368</v>
      </c>
      <c r="AE4192" t="str">
        <f>VLOOKUP(Table_Query_from_Actuarial___Production3[[#This Row],[Kor1]],$AI$3:$AK$105,3,FALSE)</f>
        <v>Losses Outstanding</v>
      </c>
      <c r="AF4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3" spans="18:32" x14ac:dyDescent="0.2">
      <c r="R4193" t="s">
        <v>20</v>
      </c>
      <c r="S4193" t="s">
        <v>259</v>
      </c>
      <c r="T4193" t="s">
        <v>442</v>
      </c>
      <c r="U4193" s="21">
        <v>142.6</v>
      </c>
      <c r="V4193" s="21" t="s">
        <v>368</v>
      </c>
      <c r="W4193" t="str">
        <f>VLOOKUP(Table_Query_from_Actuarial___Production[[#This Row],[Kor1]],$AI$3:$AK$105,3,FALSE)</f>
        <v>Misc. Expense</v>
      </c>
      <c r="X4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3"/>
      <c r="Z4193" t="s">
        <v>33</v>
      </c>
      <c r="AA4193" t="s">
        <v>230</v>
      </c>
      <c r="AB4193" t="s">
        <v>7</v>
      </c>
      <c r="AC4193" s="21">
        <v>15775.5</v>
      </c>
      <c r="AD4193" s="21" t="s">
        <v>368</v>
      </c>
      <c r="AE4193" t="str">
        <f>VLOOKUP(Table_Query_from_Actuarial___Production3[[#This Row],[Kor1]],$AI$3:$AK$105,3,FALSE)</f>
        <v>Misc. Expense</v>
      </c>
      <c r="AF4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4" spans="18:32" x14ac:dyDescent="0.2">
      <c r="R4194" t="s">
        <v>40</v>
      </c>
      <c r="S4194" t="s">
        <v>233</v>
      </c>
      <c r="T4194" t="s">
        <v>7</v>
      </c>
      <c r="U4194" s="21">
        <v>108.03</v>
      </c>
      <c r="V4194" s="21" t="s">
        <v>368</v>
      </c>
      <c r="W4194" t="str">
        <f>VLOOKUP(Table_Query_from_Actuarial___Production[[#This Row],[Kor1]],$AI$3:$AK$105,3,FALSE)</f>
        <v>Misc. Income</v>
      </c>
      <c r="X4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4"/>
      <c r="Z4194" t="s">
        <v>46</v>
      </c>
      <c r="AA4194" t="s">
        <v>352</v>
      </c>
      <c r="AB4194" t="s">
        <v>7</v>
      </c>
      <c r="AC4194" s="21">
        <v>0.81</v>
      </c>
      <c r="AD4194" s="21" t="s">
        <v>368</v>
      </c>
      <c r="AE4194" t="str">
        <f>VLOOKUP(Table_Query_from_Actuarial___Production3[[#This Row],[Kor1]],$AI$3:$AK$105,3,FALSE)</f>
        <v>Investment Income</v>
      </c>
      <c r="AF4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4195" spans="18:32" x14ac:dyDescent="0.2">
      <c r="R4195" t="s">
        <v>12</v>
      </c>
      <c r="S4195" t="s">
        <v>266</v>
      </c>
      <c r="T4195" t="s">
        <v>8</v>
      </c>
      <c r="U4195" s="21">
        <v>14200.88</v>
      </c>
      <c r="V4195" s="21" t="s">
        <v>368</v>
      </c>
      <c r="W4195" t="str">
        <f>VLOOKUP(Table_Query_from_Actuarial___Production[[#This Row],[Kor1]],$AI$3:$AK$105,3,FALSE)</f>
        <v>Premium Tax</v>
      </c>
      <c r="X4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5"/>
      <c r="Z4195" t="s">
        <v>44</v>
      </c>
      <c r="AA4195" t="s">
        <v>228</v>
      </c>
      <c r="AB4195" t="s">
        <v>442</v>
      </c>
      <c r="AC4195" s="21">
        <v>25805</v>
      </c>
      <c r="AD4195" s="21" t="s">
        <v>368</v>
      </c>
      <c r="AE4195" t="str">
        <f>VLOOKUP(Table_Query_from_Actuarial___Production3[[#This Row],[Kor1]],$AI$3:$AK$105,3,FALSE)</f>
        <v>Charge-offs</v>
      </c>
      <c r="AF4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6" spans="18:32" x14ac:dyDescent="0.2">
      <c r="R4196" t="s">
        <v>20</v>
      </c>
      <c r="S4196" t="s">
        <v>231</v>
      </c>
      <c r="T4196" t="s">
        <v>427</v>
      </c>
      <c r="U4196" s="21">
        <v>255.33</v>
      </c>
      <c r="V4196" s="21" t="s">
        <v>368</v>
      </c>
      <c r="W4196" t="str">
        <f>VLOOKUP(Table_Query_from_Actuarial___Production[[#This Row],[Kor1]],$AI$3:$AK$105,3,FALSE)</f>
        <v>Misc. Expense</v>
      </c>
      <c r="X4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6"/>
      <c r="Z4196" t="s">
        <v>10</v>
      </c>
      <c r="AA4196" t="s">
        <v>227</v>
      </c>
      <c r="AB4196" t="s">
        <v>442</v>
      </c>
      <c r="AC4196" s="21">
        <v>368.8</v>
      </c>
      <c r="AD4196" s="21" t="s">
        <v>368</v>
      </c>
      <c r="AE4196" t="str">
        <f>VLOOKUP(Table_Query_from_Actuarial___Production3[[#This Row],[Kor1]],$AI$3:$AK$105,3,FALSE)</f>
        <v>Commissions</v>
      </c>
      <c r="AF4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7" spans="18:32" x14ac:dyDescent="0.2">
      <c r="R4197" t="s">
        <v>33</v>
      </c>
      <c r="S4197" t="s">
        <v>262</v>
      </c>
      <c r="T4197" t="s">
        <v>442</v>
      </c>
      <c r="U4197" s="21">
        <v>16387.12</v>
      </c>
      <c r="V4197" s="21" t="s">
        <v>368</v>
      </c>
      <c r="W4197" t="str">
        <f>VLOOKUP(Table_Query_from_Actuarial___Production[[#This Row],[Kor1]],$AI$3:$AK$105,3,FALSE)</f>
        <v>Misc. Expense</v>
      </c>
      <c r="X4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7"/>
      <c r="Z4197" t="s">
        <v>10</v>
      </c>
      <c r="AA4197" t="s">
        <v>247</v>
      </c>
      <c r="AB4197" t="s">
        <v>9</v>
      </c>
      <c r="AC4197" s="21">
        <v>1035.4000000000001</v>
      </c>
      <c r="AD4197" s="21" t="s">
        <v>368</v>
      </c>
      <c r="AE4197" t="str">
        <f>VLOOKUP(Table_Query_from_Actuarial___Production3[[#This Row],[Kor1]],$AI$3:$AK$105,3,FALSE)</f>
        <v>Commissions</v>
      </c>
      <c r="AF4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8" spans="18:32" x14ac:dyDescent="0.2">
      <c r="R4198" t="s">
        <v>13</v>
      </c>
      <c r="S4198" t="s">
        <v>237</v>
      </c>
      <c r="T4198" t="s">
        <v>356</v>
      </c>
      <c r="U4198" s="21">
        <v>7729362.4699999997</v>
      </c>
      <c r="V4198" s="21" t="s">
        <v>368</v>
      </c>
      <c r="W4198" t="str">
        <f>VLOOKUP(Table_Query_from_Actuarial___Production[[#This Row],[Kor1]],$AI$3:$AK$105,3,FALSE)</f>
        <v>Operating Service Fees</v>
      </c>
      <c r="X4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8"/>
      <c r="Z4198" t="s">
        <v>3</v>
      </c>
      <c r="AA4198" t="s">
        <v>4</v>
      </c>
      <c r="AB4198" t="s">
        <v>7</v>
      </c>
      <c r="AC4198" s="21">
        <v>9256061</v>
      </c>
      <c r="AD4198" s="21" t="s">
        <v>368</v>
      </c>
      <c r="AE4198" t="str">
        <f>VLOOKUP(Table_Query_from_Actuarial___Production3[[#This Row],[Kor1]],$AI$3:$AK$105,3,FALSE)</f>
        <v>Premiums Written</v>
      </c>
      <c r="AF4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199" spans="18:32" x14ac:dyDescent="0.2">
      <c r="R4199" t="s">
        <v>49</v>
      </c>
      <c r="S4199" t="s">
        <v>235</v>
      </c>
      <c r="T4199" t="s">
        <v>9</v>
      </c>
      <c r="U4199" s="21">
        <v>2616</v>
      </c>
      <c r="V4199" s="21" t="s">
        <v>368</v>
      </c>
      <c r="W4199" t="str">
        <f>VLOOKUP(Table_Query_from_Actuarial___Production[[#This Row],[Kor1]],$AI$3:$AK$105,3,FALSE)</f>
        <v>ALAE Paid</v>
      </c>
      <c r="X4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199"/>
      <c r="Z4199" t="s">
        <v>40</v>
      </c>
      <c r="AA4199" t="s">
        <v>232</v>
      </c>
      <c r="AB4199" t="s">
        <v>441</v>
      </c>
      <c r="AC4199" s="21">
        <v>-45</v>
      </c>
      <c r="AD4199" s="21" t="s">
        <v>368</v>
      </c>
      <c r="AE4199" t="str">
        <f>VLOOKUP(Table_Query_from_Actuarial___Production3[[#This Row],[Kor1]],$AI$3:$AK$105,3,FALSE)</f>
        <v>Misc. Income</v>
      </c>
      <c r="AF4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0" spans="18:32" x14ac:dyDescent="0.2">
      <c r="R4200" t="s">
        <v>19</v>
      </c>
      <c r="S4200" t="s">
        <v>230</v>
      </c>
      <c r="T4200" t="s">
        <v>441</v>
      </c>
      <c r="U4200" s="21">
        <v>24199.01</v>
      </c>
      <c r="V4200" s="21" t="s">
        <v>368</v>
      </c>
      <c r="W4200" t="str">
        <f>VLOOKUP(Table_Query_from_Actuarial___Production[[#This Row],[Kor1]],$AI$3:$AK$105,3,FALSE)</f>
        <v>Misc. Expense for Insolvent Companies</v>
      </c>
      <c r="X4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0"/>
      <c r="Z4200" t="s">
        <v>48</v>
      </c>
      <c r="AA4200" t="s">
        <v>232</v>
      </c>
      <c r="AB4200" t="s">
        <v>441</v>
      </c>
      <c r="AC4200" s="21">
        <v>4864.37</v>
      </c>
      <c r="AD4200" s="21" t="s">
        <v>368</v>
      </c>
      <c r="AE4200" t="str">
        <f>VLOOKUP(Table_Query_from_Actuarial___Production3[[#This Row],[Kor1]],$AI$3:$AK$105,3,FALSE)</f>
        <v>Anticipated Salvage</v>
      </c>
      <c r="AF4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1" spans="18:32" x14ac:dyDescent="0.2">
      <c r="R4201" t="s">
        <v>17</v>
      </c>
      <c r="S4201" t="s">
        <v>237</v>
      </c>
      <c r="T4201" t="s">
        <v>433</v>
      </c>
      <c r="U4201" s="21">
        <v>4402003.38</v>
      </c>
      <c r="V4201" s="21" t="s">
        <v>368</v>
      </c>
      <c r="W4201" t="str">
        <f>VLOOKUP(Table_Query_from_Actuarial___Production[[#This Row],[Kor1]],$AI$3:$AK$105,3,FALSE)</f>
        <v>IBNR</v>
      </c>
      <c r="X4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1"/>
      <c r="Z4201" t="s">
        <v>13</v>
      </c>
      <c r="AA4201" t="s">
        <v>224</v>
      </c>
      <c r="AB4201" t="s">
        <v>442</v>
      </c>
      <c r="AC4201" s="21">
        <v>4062.2</v>
      </c>
      <c r="AD4201" s="21" t="s">
        <v>369</v>
      </c>
      <c r="AE4201" t="str">
        <f>VLOOKUP(Table_Query_from_Actuarial___Production3[[#This Row],[Kor1]],$AI$3:$AK$105,3,FALSE)</f>
        <v>Operating Service Fees</v>
      </c>
      <c r="AF4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202" spans="18:32" x14ac:dyDescent="0.2">
      <c r="R4202" t="s">
        <v>19</v>
      </c>
      <c r="S4202" t="s">
        <v>233</v>
      </c>
      <c r="T4202" t="s">
        <v>443</v>
      </c>
      <c r="U4202" s="21">
        <v>5</v>
      </c>
      <c r="V4202" s="21" t="s">
        <v>368</v>
      </c>
      <c r="W4202" t="str">
        <f>VLOOKUP(Table_Query_from_Actuarial___Production[[#This Row],[Kor1]],$AI$3:$AK$105,3,FALSE)</f>
        <v>Misc. Expense for Insolvent Companies</v>
      </c>
      <c r="X4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2"/>
      <c r="Z4202" t="s">
        <v>11</v>
      </c>
      <c r="AA4202" t="s">
        <v>227</v>
      </c>
      <c r="AB4202" t="s">
        <v>8</v>
      </c>
      <c r="AC4202" s="21">
        <v>18754.39</v>
      </c>
      <c r="AD4202" s="21" t="s">
        <v>368</v>
      </c>
      <c r="AE4202" t="str">
        <f>VLOOKUP(Table_Query_from_Actuarial___Production3[[#This Row],[Kor1]],$AI$3:$AK$105,3,FALSE)</f>
        <v>Losses Paid</v>
      </c>
      <c r="AF4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3" spans="18:32" x14ac:dyDescent="0.2">
      <c r="R4203" t="s">
        <v>33</v>
      </c>
      <c r="S4203" t="s">
        <v>260</v>
      </c>
      <c r="T4203" t="s">
        <v>445</v>
      </c>
      <c r="U4203" s="21">
        <v>8631.2800000000007</v>
      </c>
      <c r="V4203" s="21" t="s">
        <v>368</v>
      </c>
      <c r="W4203" t="str">
        <f>VLOOKUP(Table_Query_from_Actuarial___Production[[#This Row],[Kor1]],$AI$3:$AK$105,3,FALSE)</f>
        <v>Misc. Expense</v>
      </c>
      <c r="X4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3"/>
      <c r="Z4203" t="s">
        <v>21</v>
      </c>
      <c r="AA4203" t="s">
        <v>243</v>
      </c>
      <c r="AB4203" t="s">
        <v>7</v>
      </c>
      <c r="AC4203" s="21">
        <v>939.01</v>
      </c>
      <c r="AD4203" s="21" t="s">
        <v>368</v>
      </c>
      <c r="AE4203" t="str">
        <f>VLOOKUP(Table_Query_from_Actuarial___Production3[[#This Row],[Kor1]],$AI$3:$AK$105,3,FALSE)</f>
        <v>Misc. Expense</v>
      </c>
      <c r="AF4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4" spans="18:32" x14ac:dyDescent="0.2">
      <c r="R4204" t="s">
        <v>439</v>
      </c>
      <c r="S4204" t="s">
        <v>237</v>
      </c>
      <c r="T4204" t="s">
        <v>433</v>
      </c>
      <c r="U4204" s="21">
        <v>707101</v>
      </c>
      <c r="V4204" s="21" t="s">
        <v>368</v>
      </c>
      <c r="W4204" t="str">
        <f>VLOOKUP(Table_Query_from_Actuarial___Production[[#This Row],[Kor1]],$AI$3:$AK$105,3,FALSE)</f>
        <v>Operating Service Fees</v>
      </c>
      <c r="X4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4"/>
      <c r="Z4204" t="s">
        <v>33</v>
      </c>
      <c r="AA4204" t="s">
        <v>267</v>
      </c>
      <c r="AB4204" t="s">
        <v>442</v>
      </c>
      <c r="AC4204" s="21">
        <v>15936.96</v>
      </c>
      <c r="AD4204" s="21" t="s">
        <v>368</v>
      </c>
      <c r="AE4204" t="str">
        <f>VLOOKUP(Table_Query_from_Actuarial___Production3[[#This Row],[Kor1]],$AI$3:$AK$105,3,FALSE)</f>
        <v>Misc. Expense</v>
      </c>
      <c r="AF4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5" spans="18:32" x14ac:dyDescent="0.2">
      <c r="R4205" t="s">
        <v>19</v>
      </c>
      <c r="S4205" t="s">
        <v>228</v>
      </c>
      <c r="T4205" t="s">
        <v>427</v>
      </c>
      <c r="U4205" s="21">
        <v>38671</v>
      </c>
      <c r="V4205" s="21" t="s">
        <v>368</v>
      </c>
      <c r="W4205" t="str">
        <f>VLOOKUP(Table_Query_from_Actuarial___Production[[#This Row],[Kor1]],$AI$3:$AK$105,3,FALSE)</f>
        <v>Misc. Expense for Insolvent Companies</v>
      </c>
      <c r="X4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5"/>
      <c r="Z4205" t="s">
        <v>34</v>
      </c>
      <c r="AA4205" t="s">
        <v>237</v>
      </c>
      <c r="AB4205" t="s">
        <v>441</v>
      </c>
      <c r="AC4205" s="21">
        <v>125.26</v>
      </c>
      <c r="AD4205" s="21" t="s">
        <v>368</v>
      </c>
      <c r="AE4205" t="str">
        <f>VLOOKUP(Table_Query_from_Actuarial___Production3[[#This Row],[Kor1]],$AI$3:$AK$105,3,FALSE)</f>
        <v>Misc. Expense</v>
      </c>
      <c r="AF4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6" spans="18:32" x14ac:dyDescent="0.2">
      <c r="R4206" t="s">
        <v>14</v>
      </c>
      <c r="S4206" t="s">
        <v>252</v>
      </c>
      <c r="T4206" t="s">
        <v>356</v>
      </c>
      <c r="U4206" s="21">
        <v>3972826.18</v>
      </c>
      <c r="V4206" s="21" t="s">
        <v>368</v>
      </c>
      <c r="W4206" t="str">
        <f>VLOOKUP(Table_Query_from_Actuarial___Production[[#This Row],[Kor1]],$AI$3:$AK$105,3,FALSE)</f>
        <v>Claims Expense</v>
      </c>
      <c r="X4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6"/>
      <c r="Z4206" t="s">
        <v>13</v>
      </c>
      <c r="AA4206" t="s">
        <v>354</v>
      </c>
      <c r="AB4206" t="s">
        <v>443</v>
      </c>
      <c r="AC4206" s="21">
        <v>19723251.949999999</v>
      </c>
      <c r="AD4206" s="21" t="s">
        <v>368</v>
      </c>
      <c r="AE4206" t="str">
        <f>VLOOKUP(Table_Query_from_Actuarial___Production3[[#This Row],[Kor1]],$AI$3:$AK$105,3,FALSE)</f>
        <v>Operating Service Fees</v>
      </c>
      <c r="AF4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207" spans="18:32" x14ac:dyDescent="0.2">
      <c r="R4207" t="s">
        <v>14</v>
      </c>
      <c r="S4207" t="s">
        <v>257</v>
      </c>
      <c r="T4207" t="s">
        <v>351</v>
      </c>
      <c r="U4207" s="21">
        <v>115099.01</v>
      </c>
      <c r="V4207" s="21" t="s">
        <v>368</v>
      </c>
      <c r="W4207" t="str">
        <f>VLOOKUP(Table_Query_from_Actuarial___Production[[#This Row],[Kor1]],$AI$3:$AK$105,3,FALSE)</f>
        <v>Claims Expense</v>
      </c>
      <c r="X4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7"/>
      <c r="Z4207" t="s">
        <v>33</v>
      </c>
      <c r="AA4207" t="s">
        <v>235</v>
      </c>
      <c r="AB4207" t="s">
        <v>6</v>
      </c>
      <c r="AC4207" s="21">
        <v>16153.41</v>
      </c>
      <c r="AD4207" s="21" t="s">
        <v>368</v>
      </c>
      <c r="AE4207" t="str">
        <f>VLOOKUP(Table_Query_from_Actuarial___Production3[[#This Row],[Kor1]],$AI$3:$AK$105,3,FALSE)</f>
        <v>Misc. Expense</v>
      </c>
      <c r="AF4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8" spans="18:32" x14ac:dyDescent="0.2">
      <c r="R4208" t="s">
        <v>11</v>
      </c>
      <c r="S4208" t="s">
        <v>228</v>
      </c>
      <c r="T4208" t="s">
        <v>443</v>
      </c>
      <c r="U4208" s="21">
        <v>84498.11</v>
      </c>
      <c r="V4208" s="21" t="s">
        <v>368</v>
      </c>
      <c r="W4208" t="str">
        <f>VLOOKUP(Table_Query_from_Actuarial___Production[[#This Row],[Kor1]],$AI$3:$AK$105,3,FALSE)</f>
        <v>Losses Paid</v>
      </c>
      <c r="X4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8"/>
      <c r="Z4208" t="s">
        <v>43</v>
      </c>
      <c r="AA4208" t="s">
        <v>257</v>
      </c>
      <c r="AB4208" t="s">
        <v>6</v>
      </c>
      <c r="AC4208" s="21">
        <v>-4647.17</v>
      </c>
      <c r="AD4208" s="21" t="s">
        <v>368</v>
      </c>
      <c r="AE4208" t="str">
        <f>VLOOKUP(Table_Query_from_Actuarial___Production3[[#This Row],[Kor1]],$AI$3:$AK$105,3,FALSE)</f>
        <v>Charge-offs</v>
      </c>
      <c r="AF4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09" spans="18:32" x14ac:dyDescent="0.2">
      <c r="R4209" t="s">
        <v>37</v>
      </c>
      <c r="S4209" t="s">
        <v>234</v>
      </c>
      <c r="T4209" t="s">
        <v>356</v>
      </c>
      <c r="U4209" s="21">
        <v>63.63</v>
      </c>
      <c r="V4209" s="21" t="s">
        <v>368</v>
      </c>
      <c r="W4209" t="str">
        <f>VLOOKUP(Table_Query_from_Actuarial___Production[[#This Row],[Kor1]],$AI$3:$AK$105,3,FALSE)</f>
        <v>Misc. Expense</v>
      </c>
      <c r="X4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09"/>
      <c r="Z4209" t="s">
        <v>47</v>
      </c>
      <c r="AA4209" t="s">
        <v>265</v>
      </c>
      <c r="AB4209" t="s">
        <v>6</v>
      </c>
      <c r="AC4209" s="21">
        <v>0.01</v>
      </c>
      <c r="AD4209" s="21" t="s">
        <v>368</v>
      </c>
      <c r="AE4209" t="str">
        <f>VLOOKUP(Table_Query_from_Actuarial___Production3[[#This Row],[Kor1]],$AI$3:$AK$105,3,FALSE)</f>
        <v>Investment Income</v>
      </c>
      <c r="AF4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0" spans="18:32" x14ac:dyDescent="0.2">
      <c r="R4210" t="s">
        <v>3</v>
      </c>
      <c r="S4210" t="s">
        <v>224</v>
      </c>
      <c r="T4210" t="s">
        <v>443</v>
      </c>
      <c r="U4210" s="21">
        <v>987995</v>
      </c>
      <c r="V4210" s="21" t="s">
        <v>370</v>
      </c>
      <c r="W4210" t="str">
        <f>VLOOKUP(Table_Query_from_Actuarial___Production[[#This Row],[Kor1]],$AI$3:$AK$105,3,FALSE)</f>
        <v>Premiums Written</v>
      </c>
      <c r="X4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210"/>
      <c r="Z4210" t="s">
        <v>39</v>
      </c>
      <c r="AA4210" t="s">
        <v>243</v>
      </c>
      <c r="AB4210" t="s">
        <v>433</v>
      </c>
      <c r="AC4210" s="21">
        <v>3992</v>
      </c>
      <c r="AD4210" s="21" t="s">
        <v>368</v>
      </c>
      <c r="AE4210" t="str">
        <f>VLOOKUP(Table_Query_from_Actuarial___Production3[[#This Row],[Kor1]],$AI$3:$AK$105,3,FALSE)</f>
        <v>Misc. Income for Insolvent Companies</v>
      </c>
      <c r="AF4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1" spans="18:32" x14ac:dyDescent="0.2">
      <c r="R4211" t="s">
        <v>3</v>
      </c>
      <c r="S4211" t="s">
        <v>238</v>
      </c>
      <c r="T4211" t="s">
        <v>443</v>
      </c>
      <c r="U4211" s="21">
        <v>2250177</v>
      </c>
      <c r="V4211" s="21" t="s">
        <v>368</v>
      </c>
      <c r="W4211" t="str">
        <f>VLOOKUP(Table_Query_from_Actuarial___Production[[#This Row],[Kor1]],$AI$3:$AK$105,3,FALSE)</f>
        <v>Premiums Written</v>
      </c>
      <c r="X4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1"/>
      <c r="Z4211" t="s">
        <v>16</v>
      </c>
      <c r="AA4211" t="s">
        <v>224</v>
      </c>
      <c r="AB4211" t="s">
        <v>441</v>
      </c>
      <c r="AC4211" s="21">
        <v>70312.75</v>
      </c>
      <c r="AD4211" s="21" t="s">
        <v>370</v>
      </c>
      <c r="AE4211" t="str">
        <f>VLOOKUP(Table_Query_from_Actuarial___Production3[[#This Row],[Kor1]],$AI$3:$AK$105,3,FALSE)</f>
        <v>Losses Outstanding</v>
      </c>
      <c r="AF4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212" spans="18:32" x14ac:dyDescent="0.2">
      <c r="R4212" t="s">
        <v>13</v>
      </c>
      <c r="S4212" t="s">
        <v>252</v>
      </c>
      <c r="T4212" t="s">
        <v>351</v>
      </c>
      <c r="U4212" s="21">
        <v>3869138.67</v>
      </c>
      <c r="V4212" s="21" t="s">
        <v>368</v>
      </c>
      <c r="W4212" t="str">
        <f>VLOOKUP(Table_Query_from_Actuarial___Production[[#This Row],[Kor1]],$AI$3:$AK$105,3,FALSE)</f>
        <v>Operating Service Fees</v>
      </c>
      <c r="X4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2"/>
      <c r="Z4212" t="s">
        <v>13</v>
      </c>
      <c r="AA4212" t="s">
        <v>240</v>
      </c>
      <c r="AB4212" t="s">
        <v>6</v>
      </c>
      <c r="AC4212" s="21">
        <v>215887.45</v>
      </c>
      <c r="AD4212" s="21" t="s">
        <v>368</v>
      </c>
      <c r="AE4212" t="str">
        <f>VLOOKUP(Table_Query_from_Actuarial___Production3[[#This Row],[Kor1]],$AI$3:$AK$105,3,FALSE)</f>
        <v>Operating Service Fees</v>
      </c>
      <c r="AF4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3" spans="18:32" x14ac:dyDescent="0.2">
      <c r="R4213" t="s">
        <v>13</v>
      </c>
      <c r="S4213" t="s">
        <v>224</v>
      </c>
      <c r="T4213" t="s">
        <v>427</v>
      </c>
      <c r="U4213" s="21">
        <v>109431.77</v>
      </c>
      <c r="V4213" s="21" t="s">
        <v>370</v>
      </c>
      <c r="W4213" t="str">
        <f>VLOOKUP(Table_Query_from_Actuarial___Production[[#This Row],[Kor1]],$AI$3:$AK$105,3,FALSE)</f>
        <v>Operating Service Fees</v>
      </c>
      <c r="X4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213"/>
      <c r="Z4213" t="s">
        <v>13</v>
      </c>
      <c r="AA4213" t="s">
        <v>224</v>
      </c>
      <c r="AB4213" t="s">
        <v>7</v>
      </c>
      <c r="AC4213" s="21">
        <v>222364.05</v>
      </c>
      <c r="AD4213" s="21" t="s">
        <v>368</v>
      </c>
      <c r="AE4213" t="str">
        <f>VLOOKUP(Table_Query_from_Actuarial___Production3[[#This Row],[Kor1]],$AI$3:$AK$105,3,FALSE)</f>
        <v>Operating Service Fees</v>
      </c>
      <c r="AF4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214" spans="18:32" x14ac:dyDescent="0.2">
      <c r="R4214" t="s">
        <v>3</v>
      </c>
      <c r="S4214" t="s">
        <v>240</v>
      </c>
      <c r="T4214" t="s">
        <v>351</v>
      </c>
      <c r="U4214" s="21">
        <v>2863284</v>
      </c>
      <c r="V4214" s="21" t="s">
        <v>368</v>
      </c>
      <c r="W4214" t="str">
        <f>VLOOKUP(Table_Query_from_Actuarial___Production[[#This Row],[Kor1]],$AI$3:$AK$105,3,FALSE)</f>
        <v>Premiums Written</v>
      </c>
      <c r="X4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4"/>
      <c r="Z4214" t="s">
        <v>20</v>
      </c>
      <c r="AA4214" t="s">
        <v>228</v>
      </c>
      <c r="AB4214" t="s">
        <v>9</v>
      </c>
      <c r="AC4214" s="21">
        <v>235.76</v>
      </c>
      <c r="AD4214" s="21" t="s">
        <v>368</v>
      </c>
      <c r="AE4214" t="str">
        <f>VLOOKUP(Table_Query_from_Actuarial___Production3[[#This Row],[Kor1]],$AI$3:$AK$105,3,FALSE)</f>
        <v>Misc. Expense</v>
      </c>
      <c r="AF4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5" spans="18:32" x14ac:dyDescent="0.2">
      <c r="R4215" t="s">
        <v>19</v>
      </c>
      <c r="S4215" t="s">
        <v>237</v>
      </c>
      <c r="T4215" t="s">
        <v>445</v>
      </c>
      <c r="U4215" s="21">
        <v>2789.88</v>
      </c>
      <c r="V4215" s="21" t="s">
        <v>368</v>
      </c>
      <c r="W4215" t="str">
        <f>VLOOKUP(Table_Query_from_Actuarial___Production[[#This Row],[Kor1]],$AI$3:$AK$105,3,FALSE)</f>
        <v>Misc. Expense for Insolvent Companies</v>
      </c>
      <c r="X4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5"/>
      <c r="Z4215" t="s">
        <v>20</v>
      </c>
      <c r="AA4215" t="s">
        <v>259</v>
      </c>
      <c r="AB4215" t="s">
        <v>442</v>
      </c>
      <c r="AC4215" s="21">
        <v>142.6</v>
      </c>
      <c r="AD4215" s="21" t="s">
        <v>368</v>
      </c>
      <c r="AE4215" t="str">
        <f>VLOOKUP(Table_Query_from_Actuarial___Production3[[#This Row],[Kor1]],$AI$3:$AK$105,3,FALSE)</f>
        <v>Misc. Expense</v>
      </c>
      <c r="AF4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6" spans="18:32" x14ac:dyDescent="0.2">
      <c r="R4216" t="s">
        <v>41</v>
      </c>
      <c r="S4216" t="s">
        <v>233</v>
      </c>
      <c r="T4216" t="s">
        <v>443</v>
      </c>
      <c r="U4216" s="21">
        <v>199.99</v>
      </c>
      <c r="V4216" s="21" t="s">
        <v>368</v>
      </c>
      <c r="W4216" t="str">
        <f>VLOOKUP(Table_Query_from_Actuarial___Production[[#This Row],[Kor1]],$AI$3:$AK$105,3,FALSE)</f>
        <v>Misc. Income</v>
      </c>
      <c r="X4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6"/>
      <c r="Z4216" t="s">
        <v>40</v>
      </c>
      <c r="AA4216" t="s">
        <v>233</v>
      </c>
      <c r="AB4216" t="s">
        <v>7</v>
      </c>
      <c r="AC4216" s="21">
        <v>108.03</v>
      </c>
      <c r="AD4216" s="21" t="s">
        <v>368</v>
      </c>
      <c r="AE4216" t="str">
        <f>VLOOKUP(Table_Query_from_Actuarial___Production3[[#This Row],[Kor1]],$AI$3:$AK$105,3,FALSE)</f>
        <v>Misc. Income</v>
      </c>
      <c r="AF4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7" spans="18:32" x14ac:dyDescent="0.2">
      <c r="R4217" t="s">
        <v>48</v>
      </c>
      <c r="S4217" t="s">
        <v>352</v>
      </c>
      <c r="T4217" t="s">
        <v>443</v>
      </c>
      <c r="U4217" s="21">
        <v>250</v>
      </c>
      <c r="V4217" s="21" t="s">
        <v>369</v>
      </c>
      <c r="W4217" t="str">
        <f>VLOOKUP(Table_Query_from_Actuarial___Production[[#This Row],[Kor1]],$AI$3:$AK$105,3,FALSE)</f>
        <v>Anticipated Salvage</v>
      </c>
      <c r="X4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217"/>
      <c r="Z4217" t="s">
        <v>44</v>
      </c>
      <c r="AA4217" t="s">
        <v>225</v>
      </c>
      <c r="AB4217" t="s">
        <v>5</v>
      </c>
      <c r="AC4217" s="21">
        <v>81598.509999999995</v>
      </c>
      <c r="AD4217" s="21" t="s">
        <v>369</v>
      </c>
      <c r="AE4217" t="str">
        <f>VLOOKUP(Table_Query_from_Actuarial___Production3[[#This Row],[Kor1]],$AI$3:$AK$105,3,FALSE)</f>
        <v>Charge-offs</v>
      </c>
      <c r="AF4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218" spans="18:32" x14ac:dyDescent="0.2">
      <c r="R4218" t="s">
        <v>44</v>
      </c>
      <c r="S4218" t="s">
        <v>239</v>
      </c>
      <c r="T4218" t="s">
        <v>8</v>
      </c>
      <c r="U4218" s="21">
        <v>815.2</v>
      </c>
      <c r="V4218" s="21" t="s">
        <v>368</v>
      </c>
      <c r="W4218" t="str">
        <f>VLOOKUP(Table_Query_from_Actuarial___Production[[#This Row],[Kor1]],$AI$3:$AK$105,3,FALSE)</f>
        <v>Charge-offs</v>
      </c>
      <c r="X4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8"/>
      <c r="Z4218" t="s">
        <v>12</v>
      </c>
      <c r="AA4218" t="s">
        <v>266</v>
      </c>
      <c r="AB4218" t="s">
        <v>8</v>
      </c>
      <c r="AC4218" s="21">
        <v>14200.88</v>
      </c>
      <c r="AD4218" s="21" t="s">
        <v>368</v>
      </c>
      <c r="AE4218" t="str">
        <f>VLOOKUP(Table_Query_from_Actuarial___Production3[[#This Row],[Kor1]],$AI$3:$AK$105,3,FALSE)</f>
        <v>Premium Tax</v>
      </c>
      <c r="AF4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19" spans="18:32" x14ac:dyDescent="0.2">
      <c r="R4219" t="s">
        <v>49</v>
      </c>
      <c r="S4219" t="s">
        <v>248</v>
      </c>
      <c r="T4219" t="s">
        <v>441</v>
      </c>
      <c r="U4219" s="21">
        <v>49716.29</v>
      </c>
      <c r="V4219" s="21" t="s">
        <v>368</v>
      </c>
      <c r="W4219" t="str">
        <f>VLOOKUP(Table_Query_from_Actuarial___Production[[#This Row],[Kor1]],$AI$3:$AK$105,3,FALSE)</f>
        <v>ALAE Paid</v>
      </c>
      <c r="X4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19"/>
      <c r="Z4219" t="s">
        <v>20</v>
      </c>
      <c r="AA4219" t="s">
        <v>231</v>
      </c>
      <c r="AB4219" t="s">
        <v>427</v>
      </c>
      <c r="AC4219" s="21">
        <v>255.33</v>
      </c>
      <c r="AD4219" s="21" t="s">
        <v>368</v>
      </c>
      <c r="AE4219" t="str">
        <f>VLOOKUP(Table_Query_from_Actuarial___Production3[[#This Row],[Kor1]],$AI$3:$AK$105,3,FALSE)</f>
        <v>Misc. Expense</v>
      </c>
      <c r="AF4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0" spans="18:32" x14ac:dyDescent="0.2">
      <c r="R4220" t="s">
        <v>14</v>
      </c>
      <c r="S4220" t="s">
        <v>240</v>
      </c>
      <c r="T4220" t="s">
        <v>7</v>
      </c>
      <c r="U4220" s="21">
        <v>70776.070000000007</v>
      </c>
      <c r="V4220" s="21" t="s">
        <v>368</v>
      </c>
      <c r="W4220" t="str">
        <f>VLOOKUP(Table_Query_from_Actuarial___Production[[#This Row],[Kor1]],$AI$3:$AK$105,3,FALSE)</f>
        <v>Claims Expense</v>
      </c>
      <c r="X4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0"/>
      <c r="Z4220" t="s">
        <v>33</v>
      </c>
      <c r="AA4220" t="s">
        <v>261</v>
      </c>
      <c r="AB4220" t="s">
        <v>5</v>
      </c>
      <c r="AC4220" s="21">
        <v>16077.1</v>
      </c>
      <c r="AD4220" s="21" t="s">
        <v>368</v>
      </c>
      <c r="AE4220" t="str">
        <f>VLOOKUP(Table_Query_from_Actuarial___Production3[[#This Row],[Kor1]],$AI$3:$AK$105,3,FALSE)</f>
        <v>Misc. Expense</v>
      </c>
      <c r="AF4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1" spans="18:32" x14ac:dyDescent="0.2">
      <c r="R4221" t="s">
        <v>44</v>
      </c>
      <c r="S4221" t="s">
        <v>224</v>
      </c>
      <c r="T4221" t="s">
        <v>9</v>
      </c>
      <c r="U4221" s="21">
        <v>581.48</v>
      </c>
      <c r="V4221" s="21" t="s">
        <v>369</v>
      </c>
      <c r="W4221" t="str">
        <f>VLOOKUP(Table_Query_from_Actuarial___Production[[#This Row],[Kor1]],$AI$3:$AK$105,3,FALSE)</f>
        <v>Charge-offs</v>
      </c>
      <c r="X4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221"/>
      <c r="Z4221" t="s">
        <v>33</v>
      </c>
      <c r="AA4221" t="s">
        <v>262</v>
      </c>
      <c r="AB4221" t="s">
        <v>442</v>
      </c>
      <c r="AC4221" s="21">
        <v>16387.12</v>
      </c>
      <c r="AD4221" s="21" t="s">
        <v>368</v>
      </c>
      <c r="AE4221" t="str">
        <f>VLOOKUP(Table_Query_from_Actuarial___Production3[[#This Row],[Kor1]],$AI$3:$AK$105,3,FALSE)</f>
        <v>Misc. Expense</v>
      </c>
      <c r="AF4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2" spans="18:32" x14ac:dyDescent="0.2">
      <c r="R4222" t="s">
        <v>15</v>
      </c>
      <c r="S4222" t="s">
        <v>236</v>
      </c>
      <c r="T4222" t="s">
        <v>445</v>
      </c>
      <c r="U4222" s="21">
        <v>29078.06</v>
      </c>
      <c r="V4222" s="21" t="s">
        <v>368</v>
      </c>
      <c r="W4222" t="str">
        <f>VLOOKUP(Table_Query_from_Actuarial___Production[[#This Row],[Kor1]],$AI$3:$AK$105,3,FALSE)</f>
        <v>Unearned Premiums</v>
      </c>
      <c r="X4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2"/>
      <c r="Z4222" t="s">
        <v>48</v>
      </c>
      <c r="AA4222" t="s">
        <v>261</v>
      </c>
      <c r="AB4222" t="s">
        <v>427</v>
      </c>
      <c r="AC4222" s="21">
        <v>124.47</v>
      </c>
      <c r="AD4222" s="21" t="s">
        <v>368</v>
      </c>
      <c r="AE4222" t="str">
        <f>VLOOKUP(Table_Query_from_Actuarial___Production3[[#This Row],[Kor1]],$AI$3:$AK$105,3,FALSE)</f>
        <v>Anticipated Salvage</v>
      </c>
      <c r="AF4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3" spans="18:32" x14ac:dyDescent="0.2">
      <c r="R4223" t="s">
        <v>41</v>
      </c>
      <c r="S4223" t="s">
        <v>262</v>
      </c>
      <c r="T4223" t="s">
        <v>7</v>
      </c>
      <c r="U4223" s="21">
        <v>350</v>
      </c>
      <c r="V4223" s="21" t="s">
        <v>368</v>
      </c>
      <c r="W4223" t="str">
        <f>VLOOKUP(Table_Query_from_Actuarial___Production[[#This Row],[Kor1]],$AI$3:$AK$105,3,FALSE)</f>
        <v>Misc. Income</v>
      </c>
      <c r="X4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3"/>
      <c r="Z4223" t="s">
        <v>13</v>
      </c>
      <c r="AA4223" t="s">
        <v>237</v>
      </c>
      <c r="AB4223" t="s">
        <v>356</v>
      </c>
      <c r="AC4223" s="21">
        <v>7729362.4699999997</v>
      </c>
      <c r="AD4223" s="21" t="s">
        <v>368</v>
      </c>
      <c r="AE4223" t="str">
        <f>VLOOKUP(Table_Query_from_Actuarial___Production3[[#This Row],[Kor1]],$AI$3:$AK$105,3,FALSE)</f>
        <v>Operating Service Fees</v>
      </c>
      <c r="AF4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4" spans="18:32" x14ac:dyDescent="0.2">
      <c r="R4224" t="s">
        <v>14</v>
      </c>
      <c r="S4224" t="s">
        <v>243</v>
      </c>
      <c r="T4224" t="s">
        <v>6</v>
      </c>
      <c r="U4224" s="21">
        <v>26077.73</v>
      </c>
      <c r="V4224" s="21" t="s">
        <v>368</v>
      </c>
      <c r="W4224" t="str">
        <f>VLOOKUP(Table_Query_from_Actuarial___Production[[#This Row],[Kor1]],$AI$3:$AK$105,3,FALSE)</f>
        <v>Claims Expense</v>
      </c>
      <c r="X4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4"/>
      <c r="Z4224" t="s">
        <v>49</v>
      </c>
      <c r="AA4224" t="s">
        <v>235</v>
      </c>
      <c r="AB4224" t="s">
        <v>9</v>
      </c>
      <c r="AC4224" s="21">
        <v>2616</v>
      </c>
      <c r="AD4224" s="21" t="s">
        <v>368</v>
      </c>
      <c r="AE4224" t="str">
        <f>VLOOKUP(Table_Query_from_Actuarial___Production3[[#This Row],[Kor1]],$AI$3:$AK$105,3,FALSE)</f>
        <v>ALAE Paid</v>
      </c>
      <c r="AF4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5" spans="18:32" x14ac:dyDescent="0.2">
      <c r="R4225" t="s">
        <v>21</v>
      </c>
      <c r="S4225" t="s">
        <v>246</v>
      </c>
      <c r="T4225" t="s">
        <v>7</v>
      </c>
      <c r="U4225" s="21">
        <v>585.22</v>
      </c>
      <c r="V4225" s="21" t="s">
        <v>368</v>
      </c>
      <c r="W4225" t="str">
        <f>VLOOKUP(Table_Query_from_Actuarial___Production[[#This Row],[Kor1]],$AI$3:$AK$105,3,FALSE)</f>
        <v>Misc. Expense</v>
      </c>
      <c r="X4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5"/>
      <c r="Z4225" t="s">
        <v>19</v>
      </c>
      <c r="AA4225" t="s">
        <v>230</v>
      </c>
      <c r="AB4225" t="s">
        <v>441</v>
      </c>
      <c r="AC4225" s="21">
        <v>24199.01</v>
      </c>
      <c r="AD4225" s="21" t="s">
        <v>368</v>
      </c>
      <c r="AE4225" t="str">
        <f>VLOOKUP(Table_Query_from_Actuarial___Production3[[#This Row],[Kor1]],$AI$3:$AK$105,3,FALSE)</f>
        <v>Misc. Expense for Insolvent Companies</v>
      </c>
      <c r="AF4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6" spans="18:32" x14ac:dyDescent="0.2">
      <c r="R4226" t="s">
        <v>33</v>
      </c>
      <c r="S4226" t="s">
        <v>246</v>
      </c>
      <c r="T4226" t="s">
        <v>433</v>
      </c>
      <c r="U4226" s="21">
        <v>14933</v>
      </c>
      <c r="V4226" s="21" t="s">
        <v>368</v>
      </c>
      <c r="W4226" t="str">
        <f>VLOOKUP(Table_Query_from_Actuarial___Production[[#This Row],[Kor1]],$AI$3:$AK$105,3,FALSE)</f>
        <v>Misc. Expense</v>
      </c>
      <c r="X4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6"/>
      <c r="Z4226" t="s">
        <v>17</v>
      </c>
      <c r="AA4226" t="s">
        <v>237</v>
      </c>
      <c r="AB4226" t="s">
        <v>433</v>
      </c>
      <c r="AC4226" s="21">
        <v>4362327.1500000004</v>
      </c>
      <c r="AD4226" s="21" t="s">
        <v>368</v>
      </c>
      <c r="AE4226" t="str">
        <f>VLOOKUP(Table_Query_from_Actuarial___Production3[[#This Row],[Kor1]],$AI$3:$AK$105,3,FALSE)</f>
        <v>IBNR</v>
      </c>
      <c r="AF4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7" spans="18:32" x14ac:dyDescent="0.2">
      <c r="R4227" t="s">
        <v>43</v>
      </c>
      <c r="S4227" t="s">
        <v>4</v>
      </c>
      <c r="T4227" t="s">
        <v>433</v>
      </c>
      <c r="U4227" s="21">
        <v>6446.08</v>
      </c>
      <c r="V4227" s="21" t="s">
        <v>368</v>
      </c>
      <c r="W4227" t="str">
        <f>VLOOKUP(Table_Query_from_Actuarial___Production[[#This Row],[Kor1]],$AI$3:$AK$105,3,FALSE)</f>
        <v>Charge-offs</v>
      </c>
      <c r="X4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27"/>
      <c r="Z4227" t="s">
        <v>19</v>
      </c>
      <c r="AA4227" t="s">
        <v>233</v>
      </c>
      <c r="AB4227" t="s">
        <v>443</v>
      </c>
      <c r="AC4227" s="21">
        <v>5</v>
      </c>
      <c r="AD4227" s="21" t="s">
        <v>368</v>
      </c>
      <c r="AE4227" t="str">
        <f>VLOOKUP(Table_Query_from_Actuarial___Production3[[#This Row],[Kor1]],$AI$3:$AK$105,3,FALSE)</f>
        <v>Misc. Expense for Insolvent Companies</v>
      </c>
      <c r="AF4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8" spans="18:32" x14ac:dyDescent="0.2">
      <c r="R4228" t="s">
        <v>14</v>
      </c>
      <c r="S4228" t="s">
        <v>224</v>
      </c>
      <c r="T4228" t="s">
        <v>433</v>
      </c>
      <c r="U4228" s="21">
        <v>13300.01</v>
      </c>
      <c r="V4228" s="21" t="s">
        <v>369</v>
      </c>
      <c r="W4228" t="str">
        <f>VLOOKUP(Table_Query_from_Actuarial___Production[[#This Row],[Kor1]],$AI$3:$AK$105,3,FALSE)</f>
        <v>Claims Expense</v>
      </c>
      <c r="X4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228"/>
      <c r="Z4228" t="s">
        <v>439</v>
      </c>
      <c r="AA4228" t="s">
        <v>237</v>
      </c>
      <c r="AB4228" t="s">
        <v>433</v>
      </c>
      <c r="AC4228" s="21">
        <v>707101</v>
      </c>
      <c r="AD4228" s="21" t="s">
        <v>368</v>
      </c>
      <c r="AE4228" t="str">
        <f>VLOOKUP(Table_Query_from_Actuarial___Production3[[#This Row],[Kor1]],$AI$3:$AK$105,3,FALSE)</f>
        <v>Operating Service Fees</v>
      </c>
      <c r="AF4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29" spans="18:32" x14ac:dyDescent="0.2">
      <c r="R4229" t="s">
        <v>46</v>
      </c>
      <c r="S4229" t="s">
        <v>224</v>
      </c>
      <c r="T4229" t="s">
        <v>445</v>
      </c>
      <c r="U4229" s="21">
        <v>3557.17</v>
      </c>
      <c r="V4229" s="21" t="s">
        <v>369</v>
      </c>
      <c r="W4229" t="str">
        <f>VLOOKUP(Table_Query_from_Actuarial___Production[[#This Row],[Kor1]],$AI$3:$AK$105,3,FALSE)</f>
        <v>Investment Income</v>
      </c>
      <c r="X4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229"/>
      <c r="Z4229" t="s">
        <v>19</v>
      </c>
      <c r="AA4229" t="s">
        <v>228</v>
      </c>
      <c r="AB4229" t="s">
        <v>427</v>
      </c>
      <c r="AC4229" s="21">
        <v>38671</v>
      </c>
      <c r="AD4229" s="21" t="s">
        <v>368</v>
      </c>
      <c r="AE4229" t="str">
        <f>VLOOKUP(Table_Query_from_Actuarial___Production3[[#This Row],[Kor1]],$AI$3:$AK$105,3,FALSE)</f>
        <v>Misc. Expense for Insolvent Companies</v>
      </c>
      <c r="AF4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0" spans="18:32" x14ac:dyDescent="0.2">
      <c r="R4230" t="s">
        <v>13</v>
      </c>
      <c r="S4230" t="s">
        <v>231</v>
      </c>
      <c r="T4230" t="s">
        <v>443</v>
      </c>
      <c r="U4230" s="21">
        <v>535571.77</v>
      </c>
      <c r="V4230" s="21" t="s">
        <v>368</v>
      </c>
      <c r="W4230" t="str">
        <f>VLOOKUP(Table_Query_from_Actuarial___Production[[#This Row],[Kor1]],$AI$3:$AK$105,3,FALSE)</f>
        <v>Operating Service Fees</v>
      </c>
      <c r="X4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0"/>
      <c r="Z4230" t="s">
        <v>14</v>
      </c>
      <c r="AA4230" t="s">
        <v>252</v>
      </c>
      <c r="AB4230" t="s">
        <v>356</v>
      </c>
      <c r="AC4230" s="21">
        <v>3972826.18</v>
      </c>
      <c r="AD4230" s="21" t="s">
        <v>368</v>
      </c>
      <c r="AE4230" t="str">
        <f>VLOOKUP(Table_Query_from_Actuarial___Production3[[#This Row],[Kor1]],$AI$3:$AK$105,3,FALSE)</f>
        <v>Claims Expense</v>
      </c>
      <c r="AF4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1" spans="18:32" x14ac:dyDescent="0.2">
      <c r="R4231" t="s">
        <v>444</v>
      </c>
      <c r="S4231" t="s">
        <v>243</v>
      </c>
      <c r="T4231" t="s">
        <v>443</v>
      </c>
      <c r="U4231" s="21">
        <v>10167.81</v>
      </c>
      <c r="V4231" s="21" t="s">
        <v>368</v>
      </c>
      <c r="W4231" t="str">
        <f>VLOOKUP(Table_Query_from_Actuarial___Production[[#This Row],[Kor1]],$AI$3:$AK$105,3,FALSE)</f>
        <v>Misc. Expense</v>
      </c>
      <c r="X4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1"/>
      <c r="Z4231" t="s">
        <v>14</v>
      </c>
      <c r="AA4231" t="s">
        <v>257</v>
      </c>
      <c r="AB4231" t="s">
        <v>351</v>
      </c>
      <c r="AC4231" s="21">
        <v>115099.01</v>
      </c>
      <c r="AD4231" s="21" t="s">
        <v>368</v>
      </c>
      <c r="AE4231" t="str">
        <f>VLOOKUP(Table_Query_from_Actuarial___Production3[[#This Row],[Kor1]],$AI$3:$AK$105,3,FALSE)</f>
        <v>Claims Expense</v>
      </c>
      <c r="AF4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2" spans="18:32" x14ac:dyDescent="0.2">
      <c r="R4232" t="s">
        <v>41</v>
      </c>
      <c r="S4232" t="s">
        <v>244</v>
      </c>
      <c r="T4232" t="s">
        <v>442</v>
      </c>
      <c r="U4232" s="21">
        <v>1240.78</v>
      </c>
      <c r="V4232" s="21" t="s">
        <v>368</v>
      </c>
      <c r="W4232" t="str">
        <f>VLOOKUP(Table_Query_from_Actuarial___Production[[#This Row],[Kor1]],$AI$3:$AK$105,3,FALSE)</f>
        <v>Misc. Income</v>
      </c>
      <c r="X4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2"/>
      <c r="Z4232" t="s">
        <v>37</v>
      </c>
      <c r="AA4232" t="s">
        <v>234</v>
      </c>
      <c r="AB4232" t="s">
        <v>356</v>
      </c>
      <c r="AC4232" s="21">
        <v>63.63</v>
      </c>
      <c r="AD4232" s="21" t="s">
        <v>368</v>
      </c>
      <c r="AE4232" t="str">
        <f>VLOOKUP(Table_Query_from_Actuarial___Production3[[#This Row],[Kor1]],$AI$3:$AK$105,3,FALSE)</f>
        <v>Misc. Expense</v>
      </c>
      <c r="AF4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3" spans="18:32" x14ac:dyDescent="0.2">
      <c r="R4233" t="s">
        <v>13</v>
      </c>
      <c r="S4233" t="s">
        <v>244</v>
      </c>
      <c r="T4233" t="s">
        <v>356</v>
      </c>
      <c r="U4233" s="21">
        <v>314406.45</v>
      </c>
      <c r="V4233" s="21" t="s">
        <v>368</v>
      </c>
      <c r="W4233" t="str">
        <f>VLOOKUP(Table_Query_from_Actuarial___Production[[#This Row],[Kor1]],$AI$3:$AK$105,3,FALSE)</f>
        <v>Operating Service Fees</v>
      </c>
      <c r="X4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3"/>
      <c r="Z4233" t="s">
        <v>3</v>
      </c>
      <c r="AA4233" t="s">
        <v>224</v>
      </c>
      <c r="AB4233" t="s">
        <v>443</v>
      </c>
      <c r="AC4233" s="21">
        <v>492888</v>
      </c>
      <c r="AD4233" s="21" t="s">
        <v>370</v>
      </c>
      <c r="AE4233" t="str">
        <f>VLOOKUP(Table_Query_from_Actuarial___Production3[[#This Row],[Kor1]],$AI$3:$AK$105,3,FALSE)</f>
        <v>Premiums Written</v>
      </c>
      <c r="AF4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234" spans="18:32" x14ac:dyDescent="0.2">
      <c r="R4234" t="s">
        <v>41</v>
      </c>
      <c r="S4234" t="s">
        <v>259</v>
      </c>
      <c r="T4234" t="s">
        <v>356</v>
      </c>
      <c r="U4234" s="21">
        <v>1299.99</v>
      </c>
      <c r="V4234" s="21" t="s">
        <v>368</v>
      </c>
      <c r="W4234" t="str">
        <f>VLOOKUP(Table_Query_from_Actuarial___Production[[#This Row],[Kor1]],$AI$3:$AK$105,3,FALSE)</f>
        <v>Misc. Income</v>
      </c>
      <c r="X4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4"/>
      <c r="Z4234" t="s">
        <v>3</v>
      </c>
      <c r="AA4234" t="s">
        <v>238</v>
      </c>
      <c r="AB4234" t="s">
        <v>443</v>
      </c>
      <c r="AC4234" s="21">
        <v>511828</v>
      </c>
      <c r="AD4234" s="21" t="s">
        <v>368</v>
      </c>
      <c r="AE4234" t="str">
        <f>VLOOKUP(Table_Query_from_Actuarial___Production3[[#This Row],[Kor1]],$AI$3:$AK$105,3,FALSE)</f>
        <v>Premiums Written</v>
      </c>
      <c r="AF4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5" spans="18:32" x14ac:dyDescent="0.2">
      <c r="R4235" t="s">
        <v>47</v>
      </c>
      <c r="S4235" t="s">
        <v>4</v>
      </c>
      <c r="T4235" t="s">
        <v>442</v>
      </c>
      <c r="U4235" s="21">
        <v>38408.800000000003</v>
      </c>
      <c r="V4235" s="21" t="s">
        <v>368</v>
      </c>
      <c r="W4235" t="str">
        <f>VLOOKUP(Table_Query_from_Actuarial___Production[[#This Row],[Kor1]],$AI$3:$AK$105,3,FALSE)</f>
        <v>Investment Income</v>
      </c>
      <c r="X4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5"/>
      <c r="Z4235" t="s">
        <v>10</v>
      </c>
      <c r="AA4235" t="s">
        <v>236</v>
      </c>
      <c r="AB4235" t="s">
        <v>5</v>
      </c>
      <c r="AC4235" s="21">
        <v>2058.4</v>
      </c>
      <c r="AD4235" s="21" t="s">
        <v>368</v>
      </c>
      <c r="AE4235" t="str">
        <f>VLOOKUP(Table_Query_from_Actuarial___Production3[[#This Row],[Kor1]],$AI$3:$AK$105,3,FALSE)</f>
        <v>Commissions</v>
      </c>
      <c r="AF4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6" spans="18:32" x14ac:dyDescent="0.2">
      <c r="R4236" t="s">
        <v>11</v>
      </c>
      <c r="S4236" t="s">
        <v>267</v>
      </c>
      <c r="T4236" t="s">
        <v>442</v>
      </c>
      <c r="U4236" s="21">
        <v>2314824.2400000002</v>
      </c>
      <c r="V4236" s="21" t="s">
        <v>368</v>
      </c>
      <c r="W4236" t="str">
        <f>VLOOKUP(Table_Query_from_Actuarial___Production[[#This Row],[Kor1]],$AI$3:$AK$105,3,FALSE)</f>
        <v>Losses Paid</v>
      </c>
      <c r="X4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6"/>
      <c r="Z4236" t="s">
        <v>13</v>
      </c>
      <c r="AA4236" t="s">
        <v>252</v>
      </c>
      <c r="AB4236" t="s">
        <v>351</v>
      </c>
      <c r="AC4236" s="21">
        <v>3869138.67</v>
      </c>
      <c r="AD4236" s="21" t="s">
        <v>368</v>
      </c>
      <c r="AE4236" t="str">
        <f>VLOOKUP(Table_Query_from_Actuarial___Production3[[#This Row],[Kor1]],$AI$3:$AK$105,3,FALSE)</f>
        <v>Operating Service Fees</v>
      </c>
      <c r="AF4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7" spans="18:32" x14ac:dyDescent="0.2">
      <c r="R4237" t="s">
        <v>14</v>
      </c>
      <c r="S4237" t="s">
        <v>227</v>
      </c>
      <c r="T4237" t="s">
        <v>351</v>
      </c>
      <c r="U4237" s="21">
        <v>3416.14</v>
      </c>
      <c r="V4237" s="21" t="s">
        <v>368</v>
      </c>
      <c r="W4237" t="str">
        <f>VLOOKUP(Table_Query_from_Actuarial___Production[[#This Row],[Kor1]],$AI$3:$AK$105,3,FALSE)</f>
        <v>Claims Expense</v>
      </c>
      <c r="X4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7"/>
      <c r="Z4237" t="s">
        <v>13</v>
      </c>
      <c r="AA4237" t="s">
        <v>224</v>
      </c>
      <c r="AB4237" t="s">
        <v>427</v>
      </c>
      <c r="AC4237" s="21">
        <v>109431.77</v>
      </c>
      <c r="AD4237" s="21" t="s">
        <v>370</v>
      </c>
      <c r="AE4237" t="str">
        <f>VLOOKUP(Table_Query_from_Actuarial___Production3[[#This Row],[Kor1]],$AI$3:$AK$105,3,FALSE)</f>
        <v>Operating Service Fees</v>
      </c>
      <c r="AF4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238" spans="18:32" x14ac:dyDescent="0.2">
      <c r="R4238" t="s">
        <v>40</v>
      </c>
      <c r="S4238" t="s">
        <v>268</v>
      </c>
      <c r="T4238" t="s">
        <v>351</v>
      </c>
      <c r="U4238" s="21">
        <v>56</v>
      </c>
      <c r="V4238" s="21" t="s">
        <v>368</v>
      </c>
      <c r="W4238" t="str">
        <f>VLOOKUP(Table_Query_from_Actuarial___Production[[#This Row],[Kor1]],$AI$3:$AK$105,3,FALSE)</f>
        <v>Misc. Income</v>
      </c>
      <c r="X4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38"/>
      <c r="Z4238" t="s">
        <v>3</v>
      </c>
      <c r="AA4238" t="s">
        <v>240</v>
      </c>
      <c r="AB4238" t="s">
        <v>351</v>
      </c>
      <c r="AC4238" s="21">
        <v>2863284</v>
      </c>
      <c r="AD4238" s="21" t="s">
        <v>368</v>
      </c>
      <c r="AE4238" t="str">
        <f>VLOOKUP(Table_Query_from_Actuarial___Production3[[#This Row],[Kor1]],$AI$3:$AK$105,3,FALSE)</f>
        <v>Premiums Written</v>
      </c>
      <c r="AF4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39" spans="18:32" x14ac:dyDescent="0.2">
      <c r="R4239" t="s">
        <v>11</v>
      </c>
      <c r="S4239" t="s">
        <v>225</v>
      </c>
      <c r="T4239" t="s">
        <v>7</v>
      </c>
      <c r="U4239" s="21">
        <v>3098518.74</v>
      </c>
      <c r="V4239" s="21" t="s">
        <v>369</v>
      </c>
      <c r="W4239" t="str">
        <f>VLOOKUP(Table_Query_from_Actuarial___Production[[#This Row],[Kor1]],$AI$3:$AK$105,3,FALSE)</f>
        <v>Losses Paid</v>
      </c>
      <c r="X4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239"/>
      <c r="Z4239" t="s">
        <v>48</v>
      </c>
      <c r="AA4239" t="s">
        <v>352</v>
      </c>
      <c r="AB4239" t="s">
        <v>443</v>
      </c>
      <c r="AC4239" s="21">
        <v>363</v>
      </c>
      <c r="AD4239" s="21" t="s">
        <v>369</v>
      </c>
      <c r="AE4239" t="str">
        <f>VLOOKUP(Table_Query_from_Actuarial___Production3[[#This Row],[Kor1]],$AI$3:$AK$105,3,FALSE)</f>
        <v>Anticipated Salvage</v>
      </c>
      <c r="AF4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240" spans="18:32" x14ac:dyDescent="0.2">
      <c r="R4240" t="s">
        <v>44</v>
      </c>
      <c r="S4240" t="s">
        <v>231</v>
      </c>
      <c r="T4240" t="s">
        <v>6</v>
      </c>
      <c r="U4240" s="21">
        <v>-3</v>
      </c>
      <c r="V4240" s="21" t="s">
        <v>368</v>
      </c>
      <c r="W4240" t="str">
        <f>VLOOKUP(Table_Query_from_Actuarial___Production[[#This Row],[Kor1]],$AI$3:$AK$105,3,FALSE)</f>
        <v>Charge-offs</v>
      </c>
      <c r="X4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0"/>
      <c r="Z4240" t="s">
        <v>44</v>
      </c>
      <c r="AA4240" t="s">
        <v>239</v>
      </c>
      <c r="AB4240" t="s">
        <v>8</v>
      </c>
      <c r="AC4240" s="21">
        <v>815.2</v>
      </c>
      <c r="AD4240" s="21" t="s">
        <v>368</v>
      </c>
      <c r="AE4240" t="str">
        <f>VLOOKUP(Table_Query_from_Actuarial___Production3[[#This Row],[Kor1]],$AI$3:$AK$105,3,FALSE)</f>
        <v>Charge-offs</v>
      </c>
      <c r="AF4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1" spans="18:32" x14ac:dyDescent="0.2">
      <c r="R4241" t="s">
        <v>23</v>
      </c>
      <c r="S4241" t="s">
        <v>259</v>
      </c>
      <c r="T4241" t="s">
        <v>6</v>
      </c>
      <c r="U4241" s="21">
        <v>2255.46</v>
      </c>
      <c r="V4241" s="21" t="s">
        <v>368</v>
      </c>
      <c r="W4241" t="str">
        <f>VLOOKUP(Table_Query_from_Actuarial___Production[[#This Row],[Kor1]],$AI$3:$AK$105,3,FALSE)</f>
        <v>Misc. Expense</v>
      </c>
      <c r="X4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1"/>
      <c r="Z4241" t="s">
        <v>49</v>
      </c>
      <c r="AA4241" t="s">
        <v>248</v>
      </c>
      <c r="AB4241" t="s">
        <v>441</v>
      </c>
      <c r="AC4241" s="21">
        <v>5717.43</v>
      </c>
      <c r="AD4241" s="21" t="s">
        <v>368</v>
      </c>
      <c r="AE4241" t="str">
        <f>VLOOKUP(Table_Query_from_Actuarial___Production3[[#This Row],[Kor1]],$AI$3:$AK$105,3,FALSE)</f>
        <v>ALAE Paid</v>
      </c>
      <c r="AF4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2" spans="18:32" x14ac:dyDescent="0.2">
      <c r="R4242" t="s">
        <v>39</v>
      </c>
      <c r="S4242" t="s">
        <v>239</v>
      </c>
      <c r="T4242" t="s">
        <v>356</v>
      </c>
      <c r="U4242" s="21">
        <v>160</v>
      </c>
      <c r="V4242" s="21" t="s">
        <v>368</v>
      </c>
      <c r="W4242" t="str">
        <f>VLOOKUP(Table_Query_from_Actuarial___Production[[#This Row],[Kor1]],$AI$3:$AK$105,3,FALSE)</f>
        <v>Misc. Income for Insolvent Companies</v>
      </c>
      <c r="X4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2"/>
      <c r="Z4242" t="s">
        <v>14</v>
      </c>
      <c r="AA4242" t="s">
        <v>240</v>
      </c>
      <c r="AB4242" t="s">
        <v>7</v>
      </c>
      <c r="AC4242" s="21">
        <v>70776.070000000007</v>
      </c>
      <c r="AD4242" s="21" t="s">
        <v>368</v>
      </c>
      <c r="AE4242" t="str">
        <f>VLOOKUP(Table_Query_from_Actuarial___Production3[[#This Row],[Kor1]],$AI$3:$AK$105,3,FALSE)</f>
        <v>Claims Expense</v>
      </c>
      <c r="AF4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3" spans="18:32" x14ac:dyDescent="0.2">
      <c r="R4243" t="s">
        <v>41</v>
      </c>
      <c r="S4243" t="s">
        <v>247</v>
      </c>
      <c r="T4243" t="s">
        <v>351</v>
      </c>
      <c r="U4243" s="21">
        <v>550</v>
      </c>
      <c r="V4243" s="21" t="s">
        <v>368</v>
      </c>
      <c r="W4243" t="str">
        <f>VLOOKUP(Table_Query_from_Actuarial___Production[[#This Row],[Kor1]],$AI$3:$AK$105,3,FALSE)</f>
        <v>Misc. Income</v>
      </c>
      <c r="X4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3"/>
      <c r="Z4243" t="s">
        <v>44</v>
      </c>
      <c r="AA4243" t="s">
        <v>224</v>
      </c>
      <c r="AB4243" t="s">
        <v>9</v>
      </c>
      <c r="AC4243" s="21">
        <v>581.48</v>
      </c>
      <c r="AD4243" s="21" t="s">
        <v>369</v>
      </c>
      <c r="AE4243" t="str">
        <f>VLOOKUP(Table_Query_from_Actuarial___Production3[[#This Row],[Kor1]],$AI$3:$AK$105,3,FALSE)</f>
        <v>Charge-offs</v>
      </c>
      <c r="AF4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244" spans="18:32" x14ac:dyDescent="0.2">
      <c r="R4244" t="s">
        <v>10</v>
      </c>
      <c r="S4244" t="s">
        <v>267</v>
      </c>
      <c r="T4244" t="s">
        <v>9</v>
      </c>
      <c r="U4244" s="21">
        <v>14024.83</v>
      </c>
      <c r="V4244" s="21" t="s">
        <v>368</v>
      </c>
      <c r="W4244" t="str">
        <f>VLOOKUP(Table_Query_from_Actuarial___Production[[#This Row],[Kor1]],$AI$3:$AK$105,3,FALSE)</f>
        <v>Commissions</v>
      </c>
      <c r="X4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4"/>
      <c r="Z4244" t="s">
        <v>41</v>
      </c>
      <c r="AA4244" t="s">
        <v>262</v>
      </c>
      <c r="AB4244" t="s">
        <v>7</v>
      </c>
      <c r="AC4244" s="21">
        <v>350</v>
      </c>
      <c r="AD4244" s="21" t="s">
        <v>368</v>
      </c>
      <c r="AE4244" t="str">
        <f>VLOOKUP(Table_Query_from_Actuarial___Production3[[#This Row],[Kor1]],$AI$3:$AK$105,3,FALSE)</f>
        <v>Misc. Income</v>
      </c>
      <c r="AF4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5" spans="18:32" x14ac:dyDescent="0.2">
      <c r="R4245" t="s">
        <v>34</v>
      </c>
      <c r="S4245" t="s">
        <v>254</v>
      </c>
      <c r="T4245" t="s">
        <v>356</v>
      </c>
      <c r="U4245" s="21">
        <v>72.98</v>
      </c>
      <c r="V4245" s="21" t="s">
        <v>368</v>
      </c>
      <c r="W4245" t="str">
        <f>VLOOKUP(Table_Query_from_Actuarial___Production[[#This Row],[Kor1]],$AI$3:$AK$105,3,FALSE)</f>
        <v>Misc. Expense</v>
      </c>
      <c r="X4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5"/>
      <c r="Z4245" t="s">
        <v>14</v>
      </c>
      <c r="AA4245" t="s">
        <v>243</v>
      </c>
      <c r="AB4245" t="s">
        <v>6</v>
      </c>
      <c r="AC4245" s="21">
        <v>26077.73</v>
      </c>
      <c r="AD4245" s="21" t="s">
        <v>368</v>
      </c>
      <c r="AE4245" t="str">
        <f>VLOOKUP(Table_Query_from_Actuarial___Production3[[#This Row],[Kor1]],$AI$3:$AK$105,3,FALSE)</f>
        <v>Claims Expense</v>
      </c>
      <c r="AF4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6" spans="18:32" x14ac:dyDescent="0.2">
      <c r="R4246" t="s">
        <v>49</v>
      </c>
      <c r="S4246" t="s">
        <v>256</v>
      </c>
      <c r="T4246" t="s">
        <v>427</v>
      </c>
      <c r="U4246" s="21">
        <v>4651.8</v>
      </c>
      <c r="V4246" s="21" t="s">
        <v>368</v>
      </c>
      <c r="W4246" t="str">
        <f>VLOOKUP(Table_Query_from_Actuarial___Production[[#This Row],[Kor1]],$AI$3:$AK$105,3,FALSE)</f>
        <v>ALAE Paid</v>
      </c>
      <c r="X4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6"/>
      <c r="Z4246" t="s">
        <v>21</v>
      </c>
      <c r="AA4246" t="s">
        <v>246</v>
      </c>
      <c r="AB4246" t="s">
        <v>7</v>
      </c>
      <c r="AC4246" s="21">
        <v>585.22</v>
      </c>
      <c r="AD4246" s="21" t="s">
        <v>368</v>
      </c>
      <c r="AE4246" t="str">
        <f>VLOOKUP(Table_Query_from_Actuarial___Production3[[#This Row],[Kor1]],$AI$3:$AK$105,3,FALSE)</f>
        <v>Misc. Expense</v>
      </c>
      <c r="AF4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7" spans="18:32" x14ac:dyDescent="0.2">
      <c r="R4247" t="s">
        <v>3</v>
      </c>
      <c r="S4247" t="s">
        <v>259</v>
      </c>
      <c r="T4247" t="s">
        <v>427</v>
      </c>
      <c r="U4247" s="21">
        <v>523424</v>
      </c>
      <c r="V4247" s="21" t="s">
        <v>368</v>
      </c>
      <c r="W4247" t="str">
        <f>VLOOKUP(Table_Query_from_Actuarial___Production[[#This Row],[Kor1]],$AI$3:$AK$105,3,FALSE)</f>
        <v>Premiums Written</v>
      </c>
      <c r="X4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7"/>
      <c r="Z4247" t="s">
        <v>33</v>
      </c>
      <c r="AA4247" t="s">
        <v>246</v>
      </c>
      <c r="AB4247" t="s">
        <v>433</v>
      </c>
      <c r="AC4247" s="21">
        <v>14933</v>
      </c>
      <c r="AD4247" s="21" t="s">
        <v>368</v>
      </c>
      <c r="AE4247" t="str">
        <f>VLOOKUP(Table_Query_from_Actuarial___Production3[[#This Row],[Kor1]],$AI$3:$AK$105,3,FALSE)</f>
        <v>Misc. Expense</v>
      </c>
      <c r="AF4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8" spans="18:32" x14ac:dyDescent="0.2">
      <c r="R4248" t="s">
        <v>14</v>
      </c>
      <c r="S4248" t="s">
        <v>229</v>
      </c>
      <c r="T4248" t="s">
        <v>433</v>
      </c>
      <c r="U4248" s="21">
        <v>13171.66</v>
      </c>
      <c r="V4248" s="21" t="s">
        <v>368</v>
      </c>
      <c r="W4248" t="str">
        <f>VLOOKUP(Table_Query_from_Actuarial___Production[[#This Row],[Kor1]],$AI$3:$AK$105,3,FALSE)</f>
        <v>Claims Expense</v>
      </c>
      <c r="X4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8"/>
      <c r="Z4248" t="s">
        <v>43</v>
      </c>
      <c r="AA4248" t="s">
        <v>4</v>
      </c>
      <c r="AB4248" t="s">
        <v>433</v>
      </c>
      <c r="AC4248" s="21">
        <v>6446.08</v>
      </c>
      <c r="AD4248" s="21" t="s">
        <v>368</v>
      </c>
      <c r="AE4248" t="str">
        <f>VLOOKUP(Table_Query_from_Actuarial___Production3[[#This Row],[Kor1]],$AI$3:$AK$105,3,FALSE)</f>
        <v>Charge-offs</v>
      </c>
      <c r="AF4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49" spans="18:32" x14ac:dyDescent="0.2">
      <c r="R4249" t="s">
        <v>3</v>
      </c>
      <c r="S4249" t="s">
        <v>236</v>
      </c>
      <c r="T4249" t="s">
        <v>8</v>
      </c>
      <c r="U4249" s="21">
        <v>56491</v>
      </c>
      <c r="V4249" s="21" t="s">
        <v>368</v>
      </c>
      <c r="W4249" t="str">
        <f>VLOOKUP(Table_Query_from_Actuarial___Production[[#This Row],[Kor1]],$AI$3:$AK$105,3,FALSE)</f>
        <v>Premiums Written</v>
      </c>
      <c r="X4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49"/>
      <c r="Z4249" t="s">
        <v>14</v>
      </c>
      <c r="AA4249" t="s">
        <v>224</v>
      </c>
      <c r="AB4249" t="s">
        <v>433</v>
      </c>
      <c r="AC4249" s="21">
        <v>16017.61</v>
      </c>
      <c r="AD4249" s="21" t="s">
        <v>369</v>
      </c>
      <c r="AE4249" t="str">
        <f>VLOOKUP(Table_Query_from_Actuarial___Production3[[#This Row],[Kor1]],$AI$3:$AK$105,3,FALSE)</f>
        <v>Claims Expense</v>
      </c>
      <c r="AF4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250" spans="18:32" x14ac:dyDescent="0.2">
      <c r="R4250" t="s">
        <v>11</v>
      </c>
      <c r="S4250" t="s">
        <v>228</v>
      </c>
      <c r="T4250" t="s">
        <v>427</v>
      </c>
      <c r="U4250" s="21">
        <v>2242602.2599999998</v>
      </c>
      <c r="V4250" s="21" t="s">
        <v>368</v>
      </c>
      <c r="W4250" t="str">
        <f>VLOOKUP(Table_Query_from_Actuarial___Production[[#This Row],[Kor1]],$AI$3:$AK$105,3,FALSE)</f>
        <v>Losses Paid</v>
      </c>
      <c r="X4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0"/>
      <c r="Z4250" t="s">
        <v>13</v>
      </c>
      <c r="AA4250" t="s">
        <v>231</v>
      </c>
      <c r="AB4250" t="s">
        <v>443</v>
      </c>
      <c r="AC4250" s="21">
        <v>150247.94</v>
      </c>
      <c r="AD4250" s="21" t="s">
        <v>368</v>
      </c>
      <c r="AE4250" t="str">
        <f>VLOOKUP(Table_Query_from_Actuarial___Production3[[#This Row],[Kor1]],$AI$3:$AK$105,3,FALSE)</f>
        <v>Operating Service Fees</v>
      </c>
      <c r="AF4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1" spans="18:32" x14ac:dyDescent="0.2">
      <c r="R4251" t="s">
        <v>40</v>
      </c>
      <c r="S4251" t="s">
        <v>236</v>
      </c>
      <c r="T4251" t="s">
        <v>6</v>
      </c>
      <c r="U4251" s="21">
        <v>20</v>
      </c>
      <c r="V4251" s="21" t="s">
        <v>368</v>
      </c>
      <c r="W4251" t="str">
        <f>VLOOKUP(Table_Query_from_Actuarial___Production[[#This Row],[Kor1]],$AI$3:$AK$105,3,FALSE)</f>
        <v>Misc. Income</v>
      </c>
      <c r="X4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1"/>
      <c r="Z4251" t="s">
        <v>41</v>
      </c>
      <c r="AA4251" t="s">
        <v>244</v>
      </c>
      <c r="AB4251" t="s">
        <v>442</v>
      </c>
      <c r="AC4251" s="21">
        <v>1240.78</v>
      </c>
      <c r="AD4251" s="21" t="s">
        <v>368</v>
      </c>
      <c r="AE4251" t="str">
        <f>VLOOKUP(Table_Query_from_Actuarial___Production3[[#This Row],[Kor1]],$AI$3:$AK$105,3,FALSE)</f>
        <v>Misc. Income</v>
      </c>
      <c r="AF4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2" spans="18:32" x14ac:dyDescent="0.2">
      <c r="R4252" t="s">
        <v>12</v>
      </c>
      <c r="S4252" t="s">
        <v>264</v>
      </c>
      <c r="T4252" t="s">
        <v>427</v>
      </c>
      <c r="U4252" s="21">
        <v>140729.73000000001</v>
      </c>
      <c r="V4252" s="21" t="s">
        <v>368</v>
      </c>
      <c r="W4252" t="str">
        <f>VLOOKUP(Table_Query_from_Actuarial___Production[[#This Row],[Kor1]],$AI$3:$AK$105,3,FALSE)</f>
        <v>Premium Tax</v>
      </c>
      <c r="X4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2"/>
      <c r="Z4252" t="s">
        <v>13</v>
      </c>
      <c r="AA4252" t="s">
        <v>244</v>
      </c>
      <c r="AB4252" t="s">
        <v>356</v>
      </c>
      <c r="AC4252" s="21">
        <v>314406.45</v>
      </c>
      <c r="AD4252" s="21" t="s">
        <v>368</v>
      </c>
      <c r="AE4252" t="str">
        <f>VLOOKUP(Table_Query_from_Actuarial___Production3[[#This Row],[Kor1]],$AI$3:$AK$105,3,FALSE)</f>
        <v>Operating Service Fees</v>
      </c>
      <c r="AF4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3" spans="18:32" x14ac:dyDescent="0.2">
      <c r="R4253" t="s">
        <v>3</v>
      </c>
      <c r="S4253" t="s">
        <v>238</v>
      </c>
      <c r="T4253" t="s">
        <v>7</v>
      </c>
      <c r="U4253" s="21">
        <v>60703</v>
      </c>
      <c r="V4253" s="21" t="s">
        <v>368</v>
      </c>
      <c r="W4253" t="str">
        <f>VLOOKUP(Table_Query_from_Actuarial___Production[[#This Row],[Kor1]],$AI$3:$AK$105,3,FALSE)</f>
        <v>Premiums Written</v>
      </c>
      <c r="X4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3"/>
      <c r="Z4253" t="s">
        <v>41</v>
      </c>
      <c r="AA4253" t="s">
        <v>259</v>
      </c>
      <c r="AB4253" t="s">
        <v>356</v>
      </c>
      <c r="AC4253" s="21">
        <v>1299.99</v>
      </c>
      <c r="AD4253" s="21" t="s">
        <v>368</v>
      </c>
      <c r="AE4253" t="str">
        <f>VLOOKUP(Table_Query_from_Actuarial___Production3[[#This Row],[Kor1]],$AI$3:$AK$105,3,FALSE)</f>
        <v>Misc. Income</v>
      </c>
      <c r="AF4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4" spans="18:32" x14ac:dyDescent="0.2">
      <c r="R4254" t="s">
        <v>50</v>
      </c>
      <c r="S4254" t="s">
        <v>259</v>
      </c>
      <c r="T4254" t="s">
        <v>433</v>
      </c>
      <c r="U4254" s="21">
        <v>669.4</v>
      </c>
      <c r="V4254" s="21" t="s">
        <v>368</v>
      </c>
      <c r="W4254" t="str">
        <f>VLOOKUP(Table_Query_from_Actuarial___Production[[#This Row],[Kor1]],$AI$3:$AK$105,3,FALSE)</f>
        <v>ALAE Reserve</v>
      </c>
      <c r="X4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4"/>
      <c r="Z4254" t="s">
        <v>47</v>
      </c>
      <c r="AA4254" t="s">
        <v>4</v>
      </c>
      <c r="AB4254" t="s">
        <v>442</v>
      </c>
      <c r="AC4254" s="21">
        <v>38408.800000000003</v>
      </c>
      <c r="AD4254" s="21" t="s">
        <v>368</v>
      </c>
      <c r="AE4254" t="str">
        <f>VLOOKUP(Table_Query_from_Actuarial___Production3[[#This Row],[Kor1]],$AI$3:$AK$105,3,FALSE)</f>
        <v>Investment Income</v>
      </c>
      <c r="AF4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5" spans="18:32" x14ac:dyDescent="0.2">
      <c r="R4255" t="s">
        <v>13</v>
      </c>
      <c r="S4255" t="s">
        <v>239</v>
      </c>
      <c r="T4255" t="s">
        <v>9</v>
      </c>
      <c r="U4255" s="21">
        <v>32658.97</v>
      </c>
      <c r="V4255" s="21" t="s">
        <v>368</v>
      </c>
      <c r="W4255" t="str">
        <f>VLOOKUP(Table_Query_from_Actuarial___Production[[#This Row],[Kor1]],$AI$3:$AK$105,3,FALSE)</f>
        <v>Operating Service Fees</v>
      </c>
      <c r="X4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5"/>
      <c r="Z4255" t="s">
        <v>11</v>
      </c>
      <c r="AA4255" t="s">
        <v>267</v>
      </c>
      <c r="AB4255" t="s">
        <v>442</v>
      </c>
      <c r="AC4255" s="21">
        <v>683347.11</v>
      </c>
      <c r="AD4255" s="21" t="s">
        <v>368</v>
      </c>
      <c r="AE4255" t="str">
        <f>VLOOKUP(Table_Query_from_Actuarial___Production3[[#This Row],[Kor1]],$AI$3:$AK$105,3,FALSE)</f>
        <v>Losses Paid</v>
      </c>
      <c r="AF4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6" spans="18:32" x14ac:dyDescent="0.2">
      <c r="R4256" t="s">
        <v>41</v>
      </c>
      <c r="S4256" t="s">
        <v>258</v>
      </c>
      <c r="T4256" t="s">
        <v>356</v>
      </c>
      <c r="U4256" s="21">
        <v>650.03</v>
      </c>
      <c r="V4256" s="21" t="s">
        <v>368</v>
      </c>
      <c r="W4256" t="str">
        <f>VLOOKUP(Table_Query_from_Actuarial___Production[[#This Row],[Kor1]],$AI$3:$AK$105,3,FALSE)</f>
        <v>Misc. Income</v>
      </c>
      <c r="X4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6"/>
      <c r="Z4256" t="s">
        <v>14</v>
      </c>
      <c r="AA4256" t="s">
        <v>227</v>
      </c>
      <c r="AB4256" t="s">
        <v>351</v>
      </c>
      <c r="AC4256" s="21">
        <v>3416.14</v>
      </c>
      <c r="AD4256" s="21" t="s">
        <v>368</v>
      </c>
      <c r="AE4256" t="str">
        <f>VLOOKUP(Table_Query_from_Actuarial___Production3[[#This Row],[Kor1]],$AI$3:$AK$105,3,FALSE)</f>
        <v>Claims Expense</v>
      </c>
      <c r="AF4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7" spans="18:32" x14ac:dyDescent="0.2">
      <c r="R4257" t="s">
        <v>11</v>
      </c>
      <c r="S4257" t="s">
        <v>252</v>
      </c>
      <c r="T4257" t="s">
        <v>6</v>
      </c>
      <c r="U4257" s="21">
        <v>13049278.82</v>
      </c>
      <c r="V4257" s="21" t="s">
        <v>368</v>
      </c>
      <c r="W4257" t="str">
        <f>VLOOKUP(Table_Query_from_Actuarial___Production[[#This Row],[Kor1]],$AI$3:$AK$105,3,FALSE)</f>
        <v>Losses Paid</v>
      </c>
      <c r="X4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7"/>
      <c r="Z4257" t="s">
        <v>40</v>
      </c>
      <c r="AA4257" t="s">
        <v>268</v>
      </c>
      <c r="AB4257" t="s">
        <v>351</v>
      </c>
      <c r="AC4257" s="21">
        <v>56</v>
      </c>
      <c r="AD4257" s="21" t="s">
        <v>368</v>
      </c>
      <c r="AE4257" t="str">
        <f>VLOOKUP(Table_Query_from_Actuarial___Production3[[#This Row],[Kor1]],$AI$3:$AK$105,3,FALSE)</f>
        <v>Misc. Income</v>
      </c>
      <c r="AF4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58" spans="18:32" x14ac:dyDescent="0.2">
      <c r="R4258" t="s">
        <v>33</v>
      </c>
      <c r="S4258" t="s">
        <v>227</v>
      </c>
      <c r="T4258" t="s">
        <v>433</v>
      </c>
      <c r="U4258" s="21">
        <v>18486.11</v>
      </c>
      <c r="V4258" s="21" t="s">
        <v>368</v>
      </c>
      <c r="W4258" t="str">
        <f>VLOOKUP(Table_Query_from_Actuarial___Production[[#This Row],[Kor1]],$AI$3:$AK$105,3,FALSE)</f>
        <v>Misc. Expense</v>
      </c>
      <c r="X4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8"/>
      <c r="Z4258" t="s">
        <v>11</v>
      </c>
      <c r="AA4258" t="s">
        <v>225</v>
      </c>
      <c r="AB4258" t="s">
        <v>7</v>
      </c>
      <c r="AC4258" s="21">
        <v>3059054.22</v>
      </c>
      <c r="AD4258" s="21" t="s">
        <v>369</v>
      </c>
      <c r="AE4258" t="str">
        <f>VLOOKUP(Table_Query_from_Actuarial___Production3[[#This Row],[Kor1]],$AI$3:$AK$105,3,FALSE)</f>
        <v>Losses Paid</v>
      </c>
      <c r="AF4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259" spans="18:32" x14ac:dyDescent="0.2">
      <c r="R4259" t="s">
        <v>37</v>
      </c>
      <c r="S4259" t="s">
        <v>266</v>
      </c>
      <c r="T4259" t="s">
        <v>351</v>
      </c>
      <c r="U4259" s="21">
        <v>153.9</v>
      </c>
      <c r="V4259" s="21" t="s">
        <v>368</v>
      </c>
      <c r="W4259" t="str">
        <f>VLOOKUP(Table_Query_from_Actuarial___Production[[#This Row],[Kor1]],$AI$3:$AK$105,3,FALSE)</f>
        <v>Misc. Expense</v>
      </c>
      <c r="X4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59"/>
      <c r="Z4259" t="s">
        <v>44</v>
      </c>
      <c r="AA4259" t="s">
        <v>231</v>
      </c>
      <c r="AB4259" t="s">
        <v>6</v>
      </c>
      <c r="AC4259" s="21">
        <v>-3</v>
      </c>
      <c r="AD4259" s="21" t="s">
        <v>368</v>
      </c>
      <c r="AE4259" t="str">
        <f>VLOOKUP(Table_Query_from_Actuarial___Production3[[#This Row],[Kor1]],$AI$3:$AK$105,3,FALSE)</f>
        <v>Charge-offs</v>
      </c>
      <c r="AF4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0" spans="18:32" x14ac:dyDescent="0.2">
      <c r="R4260" t="s">
        <v>10</v>
      </c>
      <c r="S4260" t="s">
        <v>253</v>
      </c>
      <c r="T4260" t="s">
        <v>445</v>
      </c>
      <c r="U4260" s="21">
        <v>1941</v>
      </c>
      <c r="V4260" s="21" t="s">
        <v>368</v>
      </c>
      <c r="W4260" t="str">
        <f>VLOOKUP(Table_Query_from_Actuarial___Production[[#This Row],[Kor1]],$AI$3:$AK$105,3,FALSE)</f>
        <v>Commissions</v>
      </c>
      <c r="X4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0"/>
      <c r="Z4260" t="s">
        <v>23</v>
      </c>
      <c r="AA4260" t="s">
        <v>259</v>
      </c>
      <c r="AB4260" t="s">
        <v>6</v>
      </c>
      <c r="AC4260" s="21">
        <v>2255.46</v>
      </c>
      <c r="AD4260" s="21" t="s">
        <v>368</v>
      </c>
      <c r="AE4260" t="str">
        <f>VLOOKUP(Table_Query_from_Actuarial___Production3[[#This Row],[Kor1]],$AI$3:$AK$105,3,FALSE)</f>
        <v>Misc. Expense</v>
      </c>
      <c r="AF4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1" spans="18:32" x14ac:dyDescent="0.2">
      <c r="R4261" t="s">
        <v>39</v>
      </c>
      <c r="S4261" t="s">
        <v>231</v>
      </c>
      <c r="T4261" t="s">
        <v>445</v>
      </c>
      <c r="U4261" s="21">
        <v>695.22</v>
      </c>
      <c r="V4261" s="21" t="s">
        <v>368</v>
      </c>
      <c r="W4261" t="str">
        <f>VLOOKUP(Table_Query_from_Actuarial___Production[[#This Row],[Kor1]],$AI$3:$AK$105,3,FALSE)</f>
        <v>Misc. Income for Insolvent Companies</v>
      </c>
      <c r="X4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1"/>
      <c r="Z4261" t="s">
        <v>41</v>
      </c>
      <c r="AA4261" t="s">
        <v>247</v>
      </c>
      <c r="AB4261" t="s">
        <v>351</v>
      </c>
      <c r="AC4261" s="21">
        <v>550</v>
      </c>
      <c r="AD4261" s="21" t="s">
        <v>368</v>
      </c>
      <c r="AE4261" t="str">
        <f>VLOOKUP(Table_Query_from_Actuarial___Production3[[#This Row],[Kor1]],$AI$3:$AK$105,3,FALSE)</f>
        <v>Misc. Income</v>
      </c>
      <c r="AF4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2" spans="18:32" x14ac:dyDescent="0.2">
      <c r="R4262" t="s">
        <v>17</v>
      </c>
      <c r="S4262" t="s">
        <v>224</v>
      </c>
      <c r="T4262" t="s">
        <v>443</v>
      </c>
      <c r="U4262" s="21">
        <v>364210.59</v>
      </c>
      <c r="V4262" s="21" t="s">
        <v>368</v>
      </c>
      <c r="W4262" t="str">
        <f>VLOOKUP(Table_Query_from_Actuarial___Production[[#This Row],[Kor1]],$AI$3:$AK$105,3,FALSE)</f>
        <v>IBNR</v>
      </c>
      <c r="X4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262"/>
      <c r="Z4262" t="s">
        <v>10</v>
      </c>
      <c r="AA4262" t="s">
        <v>267</v>
      </c>
      <c r="AB4262" t="s">
        <v>9</v>
      </c>
      <c r="AC4262" s="21">
        <v>14024.83</v>
      </c>
      <c r="AD4262" s="21" t="s">
        <v>368</v>
      </c>
      <c r="AE4262" t="str">
        <f>VLOOKUP(Table_Query_from_Actuarial___Production3[[#This Row],[Kor1]],$AI$3:$AK$105,3,FALSE)</f>
        <v>Commissions</v>
      </c>
      <c r="AF4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3" spans="18:32" x14ac:dyDescent="0.2">
      <c r="R4263" t="s">
        <v>38</v>
      </c>
      <c r="S4263" t="s">
        <v>224</v>
      </c>
      <c r="T4263" t="s">
        <v>7</v>
      </c>
      <c r="U4263" s="21">
        <v>5128.6099999999997</v>
      </c>
      <c r="V4263" s="21" t="s">
        <v>369</v>
      </c>
      <c r="W4263" t="str">
        <f>VLOOKUP(Table_Query_from_Actuarial___Production[[#This Row],[Kor1]],$AI$3:$AK$105,3,FALSE)</f>
        <v>Misc. Income</v>
      </c>
      <c r="X4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263"/>
      <c r="Z4263" t="s">
        <v>34</v>
      </c>
      <c r="AA4263" t="s">
        <v>254</v>
      </c>
      <c r="AB4263" t="s">
        <v>356</v>
      </c>
      <c r="AC4263" s="21">
        <v>72.98</v>
      </c>
      <c r="AD4263" s="21" t="s">
        <v>368</v>
      </c>
      <c r="AE4263" t="str">
        <f>VLOOKUP(Table_Query_from_Actuarial___Production3[[#This Row],[Kor1]],$AI$3:$AK$105,3,FALSE)</f>
        <v>Misc. Expense</v>
      </c>
      <c r="AF4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4" spans="18:32" x14ac:dyDescent="0.2">
      <c r="R4264" t="s">
        <v>14</v>
      </c>
      <c r="S4264" t="s">
        <v>233</v>
      </c>
      <c r="T4264" t="s">
        <v>427</v>
      </c>
      <c r="U4264" s="21">
        <v>69913.149999999994</v>
      </c>
      <c r="V4264" s="21" t="s">
        <v>368</v>
      </c>
      <c r="W4264" t="str">
        <f>VLOOKUP(Table_Query_from_Actuarial___Production[[#This Row],[Kor1]],$AI$3:$AK$105,3,FALSE)</f>
        <v>Claims Expense</v>
      </c>
      <c r="X4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4"/>
      <c r="Z4264" t="s">
        <v>49</v>
      </c>
      <c r="AA4264" t="s">
        <v>256</v>
      </c>
      <c r="AB4264" t="s">
        <v>427</v>
      </c>
      <c r="AC4264" s="21">
        <v>4651.8</v>
      </c>
      <c r="AD4264" s="21" t="s">
        <v>368</v>
      </c>
      <c r="AE4264" t="str">
        <f>VLOOKUP(Table_Query_from_Actuarial___Production3[[#This Row],[Kor1]],$AI$3:$AK$105,3,FALSE)</f>
        <v>ALAE Paid</v>
      </c>
      <c r="AF4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5" spans="18:32" x14ac:dyDescent="0.2">
      <c r="R4265" t="s">
        <v>38</v>
      </c>
      <c r="S4265" t="s">
        <v>226</v>
      </c>
      <c r="T4265" t="s">
        <v>8</v>
      </c>
      <c r="U4265" s="21">
        <v>2371.5700000000002</v>
      </c>
      <c r="V4265" s="21" t="s">
        <v>368</v>
      </c>
      <c r="W4265" t="str">
        <f>VLOOKUP(Table_Query_from_Actuarial___Production[[#This Row],[Kor1]],$AI$3:$AK$105,3,FALSE)</f>
        <v>Misc. Income</v>
      </c>
      <c r="X4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265"/>
      <c r="Z4265" t="s">
        <v>3</v>
      </c>
      <c r="AA4265" t="s">
        <v>259</v>
      </c>
      <c r="AB4265" t="s">
        <v>427</v>
      </c>
      <c r="AC4265" s="21">
        <v>523424</v>
      </c>
      <c r="AD4265" s="21" t="s">
        <v>368</v>
      </c>
      <c r="AE4265" t="str">
        <f>VLOOKUP(Table_Query_from_Actuarial___Production3[[#This Row],[Kor1]],$AI$3:$AK$105,3,FALSE)</f>
        <v>Premiums Written</v>
      </c>
      <c r="AF4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6" spans="18:32" x14ac:dyDescent="0.2">
      <c r="R4266" t="s">
        <v>33</v>
      </c>
      <c r="S4266" t="s">
        <v>255</v>
      </c>
      <c r="T4266" t="s">
        <v>441</v>
      </c>
      <c r="U4266" s="21">
        <v>17897.21</v>
      </c>
      <c r="V4266" s="21" t="s">
        <v>368</v>
      </c>
      <c r="W4266" t="str">
        <f>VLOOKUP(Table_Query_from_Actuarial___Production[[#This Row],[Kor1]],$AI$3:$AK$105,3,FALSE)</f>
        <v>Misc. Expense</v>
      </c>
      <c r="X4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6"/>
      <c r="Z4266" t="s">
        <v>14</v>
      </c>
      <c r="AA4266" t="s">
        <v>229</v>
      </c>
      <c r="AB4266" t="s">
        <v>433</v>
      </c>
      <c r="AC4266" s="21">
        <v>13171.66</v>
      </c>
      <c r="AD4266" s="21" t="s">
        <v>368</v>
      </c>
      <c r="AE4266" t="str">
        <f>VLOOKUP(Table_Query_from_Actuarial___Production3[[#This Row],[Kor1]],$AI$3:$AK$105,3,FALSE)</f>
        <v>Claims Expense</v>
      </c>
      <c r="AF4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7" spans="18:32" x14ac:dyDescent="0.2">
      <c r="R4267" t="s">
        <v>41</v>
      </c>
      <c r="S4267" t="s">
        <v>237</v>
      </c>
      <c r="T4267" t="s">
        <v>443</v>
      </c>
      <c r="U4267" s="21">
        <v>14798.26</v>
      </c>
      <c r="V4267" s="21" t="s">
        <v>368</v>
      </c>
      <c r="W4267" t="str">
        <f>VLOOKUP(Table_Query_from_Actuarial___Production[[#This Row],[Kor1]],$AI$3:$AK$105,3,FALSE)</f>
        <v>Misc. Income</v>
      </c>
      <c r="X4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7"/>
      <c r="Z4267" t="s">
        <v>3</v>
      </c>
      <c r="AA4267" t="s">
        <v>236</v>
      </c>
      <c r="AB4267" t="s">
        <v>8</v>
      </c>
      <c r="AC4267" s="21">
        <v>56491</v>
      </c>
      <c r="AD4267" s="21" t="s">
        <v>368</v>
      </c>
      <c r="AE4267" t="str">
        <f>VLOOKUP(Table_Query_from_Actuarial___Production3[[#This Row],[Kor1]],$AI$3:$AK$105,3,FALSE)</f>
        <v>Premiums Written</v>
      </c>
      <c r="AF4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8" spans="18:32" x14ac:dyDescent="0.2">
      <c r="R4268" t="s">
        <v>3</v>
      </c>
      <c r="S4268" t="s">
        <v>249</v>
      </c>
      <c r="T4268" t="s">
        <v>8</v>
      </c>
      <c r="U4268" s="21">
        <v>552596</v>
      </c>
      <c r="V4268" s="21" t="s">
        <v>368</v>
      </c>
      <c r="W4268" t="str">
        <f>VLOOKUP(Table_Query_from_Actuarial___Production[[#This Row],[Kor1]],$AI$3:$AK$105,3,FALSE)</f>
        <v>Premiums Written</v>
      </c>
      <c r="X4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8"/>
      <c r="Z4268" t="s">
        <v>11</v>
      </c>
      <c r="AA4268" t="s">
        <v>228</v>
      </c>
      <c r="AB4268" t="s">
        <v>427</v>
      </c>
      <c r="AC4268" s="21">
        <v>2041182.2</v>
      </c>
      <c r="AD4268" s="21" t="s">
        <v>368</v>
      </c>
      <c r="AE4268" t="str">
        <f>VLOOKUP(Table_Query_from_Actuarial___Production3[[#This Row],[Kor1]],$AI$3:$AK$105,3,FALSE)</f>
        <v>Losses Paid</v>
      </c>
      <c r="AF4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69" spans="18:32" x14ac:dyDescent="0.2">
      <c r="R4269" t="s">
        <v>43</v>
      </c>
      <c r="S4269" t="s">
        <v>252</v>
      </c>
      <c r="T4269" t="s">
        <v>443</v>
      </c>
      <c r="U4269" s="21">
        <v>2915.32</v>
      </c>
      <c r="V4269" s="21" t="s">
        <v>368</v>
      </c>
      <c r="W4269" t="str">
        <f>VLOOKUP(Table_Query_from_Actuarial___Production[[#This Row],[Kor1]],$AI$3:$AK$105,3,FALSE)</f>
        <v>Charge-offs</v>
      </c>
      <c r="X4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69"/>
      <c r="Z4269" t="s">
        <v>40</v>
      </c>
      <c r="AA4269" t="s">
        <v>236</v>
      </c>
      <c r="AB4269" t="s">
        <v>6</v>
      </c>
      <c r="AC4269" s="21">
        <v>20</v>
      </c>
      <c r="AD4269" s="21" t="s">
        <v>368</v>
      </c>
      <c r="AE4269" t="str">
        <f>VLOOKUP(Table_Query_from_Actuarial___Production3[[#This Row],[Kor1]],$AI$3:$AK$105,3,FALSE)</f>
        <v>Misc. Income</v>
      </c>
      <c r="AF4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0" spans="18:32" x14ac:dyDescent="0.2">
      <c r="R4270" t="s">
        <v>33</v>
      </c>
      <c r="S4270" t="s">
        <v>260</v>
      </c>
      <c r="T4270" t="s">
        <v>6</v>
      </c>
      <c r="U4270" s="21">
        <v>18877.080000000002</v>
      </c>
      <c r="V4270" s="21" t="s">
        <v>368</v>
      </c>
      <c r="W4270" t="str">
        <f>VLOOKUP(Table_Query_from_Actuarial___Production[[#This Row],[Kor1]],$AI$3:$AK$105,3,FALSE)</f>
        <v>Misc. Expense</v>
      </c>
      <c r="X4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0"/>
      <c r="Z4270" t="s">
        <v>12</v>
      </c>
      <c r="AA4270" t="s">
        <v>264</v>
      </c>
      <c r="AB4270" t="s">
        <v>427</v>
      </c>
      <c r="AC4270" s="21">
        <v>140729.73000000001</v>
      </c>
      <c r="AD4270" s="21" t="s">
        <v>368</v>
      </c>
      <c r="AE4270" t="str">
        <f>VLOOKUP(Table_Query_from_Actuarial___Production3[[#This Row],[Kor1]],$AI$3:$AK$105,3,FALSE)</f>
        <v>Premium Tax</v>
      </c>
      <c r="AF4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1" spans="18:32" x14ac:dyDescent="0.2">
      <c r="R4271" t="s">
        <v>47</v>
      </c>
      <c r="S4271" t="s">
        <v>238</v>
      </c>
      <c r="T4271" t="s">
        <v>427</v>
      </c>
      <c r="U4271" s="21">
        <v>8420.7000000000007</v>
      </c>
      <c r="V4271" s="21" t="s">
        <v>368</v>
      </c>
      <c r="W4271" t="str">
        <f>VLOOKUP(Table_Query_from_Actuarial___Production[[#This Row],[Kor1]],$AI$3:$AK$105,3,FALSE)</f>
        <v>Investment Income</v>
      </c>
      <c r="X4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1"/>
      <c r="Z4271" t="s">
        <v>3</v>
      </c>
      <c r="AA4271" t="s">
        <v>238</v>
      </c>
      <c r="AB4271" t="s">
        <v>7</v>
      </c>
      <c r="AC4271" s="21">
        <v>60703</v>
      </c>
      <c r="AD4271" s="21" t="s">
        <v>368</v>
      </c>
      <c r="AE4271" t="str">
        <f>VLOOKUP(Table_Query_from_Actuarial___Production3[[#This Row],[Kor1]],$AI$3:$AK$105,3,FALSE)</f>
        <v>Premiums Written</v>
      </c>
      <c r="AF4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2" spans="18:32" x14ac:dyDescent="0.2">
      <c r="R4272" t="s">
        <v>3</v>
      </c>
      <c r="S4272" t="s">
        <v>229</v>
      </c>
      <c r="T4272" t="s">
        <v>8</v>
      </c>
      <c r="U4272" s="21">
        <v>18487</v>
      </c>
      <c r="V4272" s="21" t="s">
        <v>368</v>
      </c>
      <c r="W4272" t="str">
        <f>VLOOKUP(Table_Query_from_Actuarial___Production[[#This Row],[Kor1]],$AI$3:$AK$105,3,FALSE)</f>
        <v>Premiums Written</v>
      </c>
      <c r="X4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2"/>
      <c r="Z4272" t="s">
        <v>50</v>
      </c>
      <c r="AA4272" t="s">
        <v>259</v>
      </c>
      <c r="AB4272" t="s">
        <v>433</v>
      </c>
      <c r="AC4272" s="21">
        <v>467.92</v>
      </c>
      <c r="AD4272" s="21" t="s">
        <v>368</v>
      </c>
      <c r="AE4272" t="str">
        <f>VLOOKUP(Table_Query_from_Actuarial___Production3[[#This Row],[Kor1]],$AI$3:$AK$105,3,FALSE)</f>
        <v>ALAE Reserve</v>
      </c>
      <c r="AF4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3" spans="18:32" x14ac:dyDescent="0.2">
      <c r="R4273" t="s">
        <v>18</v>
      </c>
      <c r="S4273" t="s">
        <v>224</v>
      </c>
      <c r="T4273" t="s">
        <v>8</v>
      </c>
      <c r="U4273" s="21">
        <v>259767.53</v>
      </c>
      <c r="V4273" s="21" t="s">
        <v>370</v>
      </c>
      <c r="W4273" t="str">
        <f>VLOOKUP(Table_Query_from_Actuarial___Production[[#This Row],[Kor1]],$AI$3:$AK$105,3,FALSE)</f>
        <v>Misc. Expense</v>
      </c>
      <c r="X4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273"/>
      <c r="Z4273" t="s">
        <v>13</v>
      </c>
      <c r="AA4273" t="s">
        <v>239</v>
      </c>
      <c r="AB4273" t="s">
        <v>9</v>
      </c>
      <c r="AC4273" s="21">
        <v>32658.97</v>
      </c>
      <c r="AD4273" s="21" t="s">
        <v>368</v>
      </c>
      <c r="AE4273" t="str">
        <f>VLOOKUP(Table_Query_from_Actuarial___Production3[[#This Row],[Kor1]],$AI$3:$AK$105,3,FALSE)</f>
        <v>Operating Service Fees</v>
      </c>
      <c r="AF4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4" spans="18:32" x14ac:dyDescent="0.2">
      <c r="R4274" t="s">
        <v>11</v>
      </c>
      <c r="S4274" t="s">
        <v>237</v>
      </c>
      <c r="T4274" t="s">
        <v>6</v>
      </c>
      <c r="U4274" s="21">
        <v>2182585.54</v>
      </c>
      <c r="V4274" s="21" t="s">
        <v>368</v>
      </c>
      <c r="W4274" t="str">
        <f>VLOOKUP(Table_Query_from_Actuarial___Production[[#This Row],[Kor1]],$AI$3:$AK$105,3,FALSE)</f>
        <v>Losses Paid</v>
      </c>
      <c r="X4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4"/>
      <c r="Z4274" t="s">
        <v>41</v>
      </c>
      <c r="AA4274" t="s">
        <v>258</v>
      </c>
      <c r="AB4274" t="s">
        <v>356</v>
      </c>
      <c r="AC4274" s="21">
        <v>650.03</v>
      </c>
      <c r="AD4274" s="21" t="s">
        <v>368</v>
      </c>
      <c r="AE4274" t="str">
        <f>VLOOKUP(Table_Query_from_Actuarial___Production3[[#This Row],[Kor1]],$AI$3:$AK$105,3,FALSE)</f>
        <v>Misc. Income</v>
      </c>
      <c r="AF4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5" spans="18:32" x14ac:dyDescent="0.2">
      <c r="R4275" t="s">
        <v>43</v>
      </c>
      <c r="S4275" t="s">
        <v>235</v>
      </c>
      <c r="T4275" t="s">
        <v>6</v>
      </c>
      <c r="U4275" s="21">
        <v>-3.84</v>
      </c>
      <c r="V4275" s="21" t="s">
        <v>368</v>
      </c>
      <c r="W4275" t="str">
        <f>VLOOKUP(Table_Query_from_Actuarial___Production[[#This Row],[Kor1]],$AI$3:$AK$105,3,FALSE)</f>
        <v>Charge-offs</v>
      </c>
      <c r="X4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5"/>
      <c r="Z4275" t="s">
        <v>11</v>
      </c>
      <c r="AA4275" t="s">
        <v>252</v>
      </c>
      <c r="AB4275" t="s">
        <v>6</v>
      </c>
      <c r="AC4275" s="21">
        <v>13038080.720000001</v>
      </c>
      <c r="AD4275" s="21" t="s">
        <v>368</v>
      </c>
      <c r="AE4275" t="str">
        <f>VLOOKUP(Table_Query_from_Actuarial___Production3[[#This Row],[Kor1]],$AI$3:$AK$105,3,FALSE)</f>
        <v>Losses Paid</v>
      </c>
      <c r="AF4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6" spans="18:32" x14ac:dyDescent="0.2">
      <c r="R4276" t="s">
        <v>41</v>
      </c>
      <c r="S4276" t="s">
        <v>237</v>
      </c>
      <c r="T4276" t="s">
        <v>7</v>
      </c>
      <c r="U4276" s="21">
        <v>50.02</v>
      </c>
      <c r="V4276" s="21" t="s">
        <v>368</v>
      </c>
      <c r="W4276" t="str">
        <f>VLOOKUP(Table_Query_from_Actuarial___Production[[#This Row],[Kor1]],$AI$3:$AK$105,3,FALSE)</f>
        <v>Misc. Income</v>
      </c>
      <c r="X4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6"/>
      <c r="Z4276" t="s">
        <v>15</v>
      </c>
      <c r="AA4276" t="s">
        <v>230</v>
      </c>
      <c r="AB4276" t="s">
        <v>442</v>
      </c>
      <c r="AC4276" s="21">
        <v>1649939.32</v>
      </c>
      <c r="AD4276" s="21" t="s">
        <v>368</v>
      </c>
      <c r="AE4276" t="str">
        <f>VLOOKUP(Table_Query_from_Actuarial___Production3[[#This Row],[Kor1]],$AI$3:$AK$105,3,FALSE)</f>
        <v>Unearned Premiums</v>
      </c>
      <c r="AF4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7" spans="18:32" x14ac:dyDescent="0.2">
      <c r="R4277" t="s">
        <v>18</v>
      </c>
      <c r="S4277" t="s">
        <v>354</v>
      </c>
      <c r="T4277" t="s">
        <v>442</v>
      </c>
      <c r="U4277" s="21">
        <v>8580340.9399999995</v>
      </c>
      <c r="V4277" s="21" t="s">
        <v>369</v>
      </c>
      <c r="W4277" t="str">
        <f>VLOOKUP(Table_Query_from_Actuarial___Production[[#This Row],[Kor1]],$AI$3:$AK$105,3,FALSE)</f>
        <v>Misc. Expense</v>
      </c>
      <c r="X4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277"/>
      <c r="Z4277" t="s">
        <v>33</v>
      </c>
      <c r="AA4277" t="s">
        <v>227</v>
      </c>
      <c r="AB4277" t="s">
        <v>433</v>
      </c>
      <c r="AC4277" s="21">
        <v>18486.11</v>
      </c>
      <c r="AD4277" s="21" t="s">
        <v>368</v>
      </c>
      <c r="AE4277" t="str">
        <f>VLOOKUP(Table_Query_from_Actuarial___Production3[[#This Row],[Kor1]],$AI$3:$AK$105,3,FALSE)</f>
        <v>Misc. Expense</v>
      </c>
      <c r="AF4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8" spans="18:32" x14ac:dyDescent="0.2">
      <c r="R4278" t="s">
        <v>3</v>
      </c>
      <c r="S4278" t="s">
        <v>240</v>
      </c>
      <c r="T4278" t="s">
        <v>433</v>
      </c>
      <c r="U4278" s="21">
        <v>6516068</v>
      </c>
      <c r="V4278" s="21" t="s">
        <v>368</v>
      </c>
      <c r="W4278" t="str">
        <f>VLOOKUP(Table_Query_from_Actuarial___Production[[#This Row],[Kor1]],$AI$3:$AK$105,3,FALSE)</f>
        <v>Premiums Written</v>
      </c>
      <c r="X4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8"/>
      <c r="Z4278" t="s">
        <v>37</v>
      </c>
      <c r="AA4278" t="s">
        <v>266</v>
      </c>
      <c r="AB4278" t="s">
        <v>351</v>
      </c>
      <c r="AC4278" s="21">
        <v>153.9</v>
      </c>
      <c r="AD4278" s="21" t="s">
        <v>368</v>
      </c>
      <c r="AE4278" t="str">
        <f>VLOOKUP(Table_Query_from_Actuarial___Production3[[#This Row],[Kor1]],$AI$3:$AK$105,3,FALSE)</f>
        <v>Misc. Expense</v>
      </c>
      <c r="AF4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79" spans="18:32" x14ac:dyDescent="0.2">
      <c r="R4279" t="s">
        <v>14</v>
      </c>
      <c r="S4279" t="s">
        <v>227</v>
      </c>
      <c r="T4279" t="s">
        <v>433</v>
      </c>
      <c r="U4279" s="21">
        <v>2063.3200000000002</v>
      </c>
      <c r="V4279" s="21" t="s">
        <v>368</v>
      </c>
      <c r="W4279" t="str">
        <f>VLOOKUP(Table_Query_from_Actuarial___Production[[#This Row],[Kor1]],$AI$3:$AK$105,3,FALSE)</f>
        <v>Claims Expense</v>
      </c>
      <c r="X4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79"/>
      <c r="Z4279" t="s">
        <v>17</v>
      </c>
      <c r="AA4279" t="s">
        <v>224</v>
      </c>
      <c r="AB4279" t="s">
        <v>443</v>
      </c>
      <c r="AC4279" s="21">
        <v>321404.28999999998</v>
      </c>
      <c r="AD4279" s="21" t="s">
        <v>368</v>
      </c>
      <c r="AE4279" t="str">
        <f>VLOOKUP(Table_Query_from_Actuarial___Production3[[#This Row],[Kor1]],$AI$3:$AK$105,3,FALSE)</f>
        <v>IBNR</v>
      </c>
      <c r="AF4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280" spans="18:32" x14ac:dyDescent="0.2">
      <c r="R4280" t="s">
        <v>40</v>
      </c>
      <c r="S4280" t="s">
        <v>261</v>
      </c>
      <c r="T4280" t="s">
        <v>442</v>
      </c>
      <c r="U4280" s="21">
        <v>163</v>
      </c>
      <c r="V4280" s="21" t="s">
        <v>368</v>
      </c>
      <c r="W4280" t="str">
        <f>VLOOKUP(Table_Query_from_Actuarial___Production[[#This Row],[Kor1]],$AI$3:$AK$105,3,FALSE)</f>
        <v>Misc. Income</v>
      </c>
      <c r="X4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0"/>
      <c r="Z4280" t="s">
        <v>38</v>
      </c>
      <c r="AA4280" t="s">
        <v>224</v>
      </c>
      <c r="AB4280" t="s">
        <v>7</v>
      </c>
      <c r="AC4280" s="21">
        <v>5128.6099999999997</v>
      </c>
      <c r="AD4280" s="21" t="s">
        <v>369</v>
      </c>
      <c r="AE4280" t="str">
        <f>VLOOKUP(Table_Query_from_Actuarial___Production3[[#This Row],[Kor1]],$AI$3:$AK$105,3,FALSE)</f>
        <v>Misc. Income</v>
      </c>
      <c r="AF4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281" spans="18:32" x14ac:dyDescent="0.2">
      <c r="R4281" t="s">
        <v>10</v>
      </c>
      <c r="S4281" t="s">
        <v>252</v>
      </c>
      <c r="T4281" t="s">
        <v>356</v>
      </c>
      <c r="U4281" s="21">
        <v>2248361.39</v>
      </c>
      <c r="V4281" s="21" t="s">
        <v>368</v>
      </c>
      <c r="W4281" t="str">
        <f>VLOOKUP(Table_Query_from_Actuarial___Production[[#This Row],[Kor1]],$AI$3:$AK$105,3,FALSE)</f>
        <v>Commissions</v>
      </c>
      <c r="X4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1"/>
      <c r="Z4281" t="s">
        <v>14</v>
      </c>
      <c r="AA4281" t="s">
        <v>233</v>
      </c>
      <c r="AB4281" t="s">
        <v>427</v>
      </c>
      <c r="AC4281" s="21">
        <v>69913.149999999994</v>
      </c>
      <c r="AD4281" s="21" t="s">
        <v>368</v>
      </c>
      <c r="AE4281" t="str">
        <f>VLOOKUP(Table_Query_from_Actuarial___Production3[[#This Row],[Kor1]],$AI$3:$AK$105,3,FALSE)</f>
        <v>Claims Expense</v>
      </c>
      <c r="AF4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2" spans="18:32" x14ac:dyDescent="0.2">
      <c r="R4282" t="s">
        <v>10</v>
      </c>
      <c r="S4282" t="s">
        <v>255</v>
      </c>
      <c r="T4282" t="s">
        <v>442</v>
      </c>
      <c r="U4282" s="21">
        <v>23351.55</v>
      </c>
      <c r="V4282" s="21" t="s">
        <v>368</v>
      </c>
      <c r="W4282" t="str">
        <f>VLOOKUP(Table_Query_from_Actuarial___Production[[#This Row],[Kor1]],$AI$3:$AK$105,3,FALSE)</f>
        <v>Commissions</v>
      </c>
      <c r="X4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2"/>
      <c r="Z4282" t="s">
        <v>38</v>
      </c>
      <c r="AA4282" t="s">
        <v>226</v>
      </c>
      <c r="AB4282" t="s">
        <v>8</v>
      </c>
      <c r="AC4282" s="21">
        <v>2371.5700000000002</v>
      </c>
      <c r="AD4282" s="21" t="s">
        <v>368</v>
      </c>
      <c r="AE4282" t="str">
        <f>VLOOKUP(Table_Query_from_Actuarial___Production3[[#This Row],[Kor1]],$AI$3:$AK$105,3,FALSE)</f>
        <v>Misc. Income</v>
      </c>
      <c r="AF4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283" spans="18:32" x14ac:dyDescent="0.2">
      <c r="R4283" t="s">
        <v>10</v>
      </c>
      <c r="S4283" t="s">
        <v>262</v>
      </c>
      <c r="T4283" t="s">
        <v>8</v>
      </c>
      <c r="U4283" s="21">
        <v>6761.55</v>
      </c>
      <c r="V4283" s="21" t="s">
        <v>368</v>
      </c>
      <c r="W4283" t="str">
        <f>VLOOKUP(Table_Query_from_Actuarial___Production[[#This Row],[Kor1]],$AI$3:$AK$105,3,FALSE)</f>
        <v>Commissions</v>
      </c>
      <c r="X4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3"/>
      <c r="Z4283" t="s">
        <v>33</v>
      </c>
      <c r="AA4283" t="s">
        <v>255</v>
      </c>
      <c r="AB4283" t="s">
        <v>441</v>
      </c>
      <c r="AC4283" s="21">
        <v>17897.21</v>
      </c>
      <c r="AD4283" s="21" t="s">
        <v>368</v>
      </c>
      <c r="AE4283" t="str">
        <f>VLOOKUP(Table_Query_from_Actuarial___Production3[[#This Row],[Kor1]],$AI$3:$AK$105,3,FALSE)</f>
        <v>Misc. Expense</v>
      </c>
      <c r="AF4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4" spans="18:32" x14ac:dyDescent="0.2">
      <c r="R4284" t="s">
        <v>14</v>
      </c>
      <c r="S4284" t="s">
        <v>260</v>
      </c>
      <c r="T4284" t="s">
        <v>442</v>
      </c>
      <c r="U4284" s="21">
        <v>2054.19</v>
      </c>
      <c r="V4284" s="21" t="s">
        <v>368</v>
      </c>
      <c r="W4284" t="str">
        <f>VLOOKUP(Table_Query_from_Actuarial___Production[[#This Row],[Kor1]],$AI$3:$AK$105,3,FALSE)</f>
        <v>Claims Expense</v>
      </c>
      <c r="X4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4"/>
      <c r="Z4284" t="s">
        <v>41</v>
      </c>
      <c r="AA4284" t="s">
        <v>237</v>
      </c>
      <c r="AB4284" t="s">
        <v>443</v>
      </c>
      <c r="AC4284" s="21">
        <v>4153.6499999999996</v>
      </c>
      <c r="AD4284" s="21" t="s">
        <v>368</v>
      </c>
      <c r="AE4284" t="str">
        <f>VLOOKUP(Table_Query_from_Actuarial___Production3[[#This Row],[Kor1]],$AI$3:$AK$105,3,FALSE)</f>
        <v>Misc. Income</v>
      </c>
      <c r="AF4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5" spans="18:32" x14ac:dyDescent="0.2">
      <c r="R4285" t="s">
        <v>37</v>
      </c>
      <c r="S4285" t="s">
        <v>254</v>
      </c>
      <c r="T4285" t="s">
        <v>9</v>
      </c>
      <c r="U4285" s="21">
        <v>14812.45</v>
      </c>
      <c r="V4285" s="21" t="s">
        <v>368</v>
      </c>
      <c r="W4285" t="str">
        <f>VLOOKUP(Table_Query_from_Actuarial___Production[[#This Row],[Kor1]],$AI$3:$AK$105,3,FALSE)</f>
        <v>Misc. Expense</v>
      </c>
      <c r="X4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5"/>
      <c r="Z4285" t="s">
        <v>19</v>
      </c>
      <c r="AA4285" t="s">
        <v>230</v>
      </c>
      <c r="AB4285" t="s">
        <v>5</v>
      </c>
      <c r="AC4285" s="21">
        <v>84207.08</v>
      </c>
      <c r="AD4285" s="21" t="s">
        <v>368</v>
      </c>
      <c r="AE4285" t="str">
        <f>VLOOKUP(Table_Query_from_Actuarial___Production3[[#This Row],[Kor1]],$AI$3:$AK$105,3,FALSE)</f>
        <v>Misc. Expense for Insolvent Companies</v>
      </c>
      <c r="AF4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6" spans="18:32" x14ac:dyDescent="0.2">
      <c r="R4286" t="s">
        <v>47</v>
      </c>
      <c r="S4286" t="s">
        <v>242</v>
      </c>
      <c r="T4286" t="s">
        <v>443</v>
      </c>
      <c r="U4286" s="21">
        <v>16120.59</v>
      </c>
      <c r="V4286" s="21" t="s">
        <v>368</v>
      </c>
      <c r="W4286" t="str">
        <f>VLOOKUP(Table_Query_from_Actuarial___Production[[#This Row],[Kor1]],$AI$3:$AK$105,3,FALSE)</f>
        <v>Investment Income</v>
      </c>
      <c r="X4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6"/>
      <c r="Z4286" t="s">
        <v>3</v>
      </c>
      <c r="AA4286" t="s">
        <v>249</v>
      </c>
      <c r="AB4286" t="s">
        <v>8</v>
      </c>
      <c r="AC4286" s="21">
        <v>552596</v>
      </c>
      <c r="AD4286" s="21" t="s">
        <v>368</v>
      </c>
      <c r="AE4286" t="str">
        <f>VLOOKUP(Table_Query_from_Actuarial___Production3[[#This Row],[Kor1]],$AI$3:$AK$105,3,FALSE)</f>
        <v>Premiums Written</v>
      </c>
      <c r="AF4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7" spans="18:32" x14ac:dyDescent="0.2">
      <c r="R4287" t="s">
        <v>3</v>
      </c>
      <c r="S4287" t="s">
        <v>264</v>
      </c>
      <c r="T4287" t="s">
        <v>6</v>
      </c>
      <c r="U4287" s="21">
        <v>2325120</v>
      </c>
      <c r="V4287" s="21" t="s">
        <v>368</v>
      </c>
      <c r="W4287" t="str">
        <f>VLOOKUP(Table_Query_from_Actuarial___Production[[#This Row],[Kor1]],$AI$3:$AK$105,3,FALSE)</f>
        <v>Premiums Written</v>
      </c>
      <c r="X4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7"/>
      <c r="Z4287" t="s">
        <v>43</v>
      </c>
      <c r="AA4287" t="s">
        <v>252</v>
      </c>
      <c r="AB4287" t="s">
        <v>443</v>
      </c>
      <c r="AC4287" s="21">
        <v>2722.75</v>
      </c>
      <c r="AD4287" s="21" t="s">
        <v>368</v>
      </c>
      <c r="AE4287" t="str">
        <f>VLOOKUP(Table_Query_from_Actuarial___Production3[[#This Row],[Kor1]],$AI$3:$AK$105,3,FALSE)</f>
        <v>Charge-offs</v>
      </c>
      <c r="AF4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8" spans="18:32" x14ac:dyDescent="0.2">
      <c r="R4288" t="s">
        <v>11</v>
      </c>
      <c r="S4288" t="s">
        <v>262</v>
      </c>
      <c r="T4288" t="s">
        <v>443</v>
      </c>
      <c r="U4288" s="21">
        <v>7456.71</v>
      </c>
      <c r="V4288" s="21" t="s">
        <v>368</v>
      </c>
      <c r="W4288" t="str">
        <f>VLOOKUP(Table_Query_from_Actuarial___Production[[#This Row],[Kor1]],$AI$3:$AK$105,3,FALSE)</f>
        <v>Losses Paid</v>
      </c>
      <c r="X4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8"/>
      <c r="Z4288" t="s">
        <v>33</v>
      </c>
      <c r="AA4288" t="s">
        <v>260</v>
      </c>
      <c r="AB4288" t="s">
        <v>6</v>
      </c>
      <c r="AC4288" s="21">
        <v>18877.080000000002</v>
      </c>
      <c r="AD4288" s="21" t="s">
        <v>368</v>
      </c>
      <c r="AE4288" t="str">
        <f>VLOOKUP(Table_Query_from_Actuarial___Production3[[#This Row],[Kor1]],$AI$3:$AK$105,3,FALSE)</f>
        <v>Misc. Expense</v>
      </c>
      <c r="AF4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89" spans="18:32" x14ac:dyDescent="0.2">
      <c r="R4289" t="s">
        <v>31</v>
      </c>
      <c r="S4289" t="s">
        <v>251</v>
      </c>
      <c r="T4289" t="s">
        <v>445</v>
      </c>
      <c r="U4289" s="21">
        <v>232.09</v>
      </c>
      <c r="V4289" s="21" t="s">
        <v>368</v>
      </c>
      <c r="W4289" t="str">
        <f>VLOOKUP(Table_Query_from_Actuarial___Production[[#This Row],[Kor1]],$AI$3:$AK$105,3,FALSE)</f>
        <v>Misc. Expense</v>
      </c>
      <c r="X4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89"/>
      <c r="Z4289" t="s">
        <v>47</v>
      </c>
      <c r="AA4289" t="s">
        <v>238</v>
      </c>
      <c r="AB4289" t="s">
        <v>427</v>
      </c>
      <c r="AC4289" s="21">
        <v>8420.7000000000007</v>
      </c>
      <c r="AD4289" s="21" t="s">
        <v>368</v>
      </c>
      <c r="AE4289" t="str">
        <f>VLOOKUP(Table_Query_from_Actuarial___Production3[[#This Row],[Kor1]],$AI$3:$AK$105,3,FALSE)</f>
        <v>Investment Income</v>
      </c>
      <c r="AF4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0" spans="18:32" x14ac:dyDescent="0.2">
      <c r="R4290" t="s">
        <v>41</v>
      </c>
      <c r="S4290" t="s">
        <v>254</v>
      </c>
      <c r="T4290" t="s">
        <v>441</v>
      </c>
      <c r="U4290" s="21">
        <v>50.2</v>
      </c>
      <c r="V4290" s="21" t="s">
        <v>368</v>
      </c>
      <c r="W4290" t="str">
        <f>VLOOKUP(Table_Query_from_Actuarial___Production[[#This Row],[Kor1]],$AI$3:$AK$105,3,FALSE)</f>
        <v>Misc. Income</v>
      </c>
      <c r="X4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0"/>
      <c r="Z4290" t="s">
        <v>3</v>
      </c>
      <c r="AA4290" t="s">
        <v>229</v>
      </c>
      <c r="AB4290" t="s">
        <v>8</v>
      </c>
      <c r="AC4290" s="21">
        <v>18487</v>
      </c>
      <c r="AD4290" s="21" t="s">
        <v>368</v>
      </c>
      <c r="AE4290" t="str">
        <f>VLOOKUP(Table_Query_from_Actuarial___Production3[[#This Row],[Kor1]],$AI$3:$AK$105,3,FALSE)</f>
        <v>Premiums Written</v>
      </c>
      <c r="AF4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1" spans="18:32" x14ac:dyDescent="0.2">
      <c r="R4291" t="s">
        <v>11</v>
      </c>
      <c r="S4291" t="s">
        <v>224</v>
      </c>
      <c r="T4291" t="s">
        <v>356</v>
      </c>
      <c r="U4291" s="21">
        <v>483194.58</v>
      </c>
      <c r="V4291" s="21" t="s">
        <v>370</v>
      </c>
      <c r="W4291" t="str">
        <f>VLOOKUP(Table_Query_from_Actuarial___Production[[#This Row],[Kor1]],$AI$3:$AK$105,3,FALSE)</f>
        <v>Losses Paid</v>
      </c>
      <c r="X4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291"/>
      <c r="Z4291" t="s">
        <v>18</v>
      </c>
      <c r="AA4291" t="s">
        <v>224</v>
      </c>
      <c r="AB4291" t="s">
        <v>8</v>
      </c>
      <c r="AC4291" s="21">
        <v>259767.53</v>
      </c>
      <c r="AD4291" s="21" t="s">
        <v>370</v>
      </c>
      <c r="AE4291" t="str">
        <f>VLOOKUP(Table_Query_from_Actuarial___Production3[[#This Row],[Kor1]],$AI$3:$AK$105,3,FALSE)</f>
        <v>Misc. Expense</v>
      </c>
      <c r="AF4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292" spans="18:32" x14ac:dyDescent="0.2">
      <c r="R4292" t="s">
        <v>3</v>
      </c>
      <c r="S4292" t="s">
        <v>259</v>
      </c>
      <c r="T4292" t="s">
        <v>443</v>
      </c>
      <c r="U4292" s="21">
        <v>69353</v>
      </c>
      <c r="V4292" s="21" t="s">
        <v>368</v>
      </c>
      <c r="W4292" t="str">
        <f>VLOOKUP(Table_Query_from_Actuarial___Production[[#This Row],[Kor1]],$AI$3:$AK$105,3,FALSE)</f>
        <v>Premiums Written</v>
      </c>
      <c r="X4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2"/>
      <c r="Z4292" t="s">
        <v>11</v>
      </c>
      <c r="AA4292" t="s">
        <v>237</v>
      </c>
      <c r="AB4292" t="s">
        <v>6</v>
      </c>
      <c r="AC4292" s="21">
        <v>2172208.75</v>
      </c>
      <c r="AD4292" s="21" t="s">
        <v>368</v>
      </c>
      <c r="AE4292" t="str">
        <f>VLOOKUP(Table_Query_from_Actuarial___Production3[[#This Row],[Kor1]],$AI$3:$AK$105,3,FALSE)</f>
        <v>Losses Paid</v>
      </c>
      <c r="AF4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3" spans="18:32" x14ac:dyDescent="0.2">
      <c r="R4293" t="s">
        <v>41</v>
      </c>
      <c r="S4293" t="s">
        <v>233</v>
      </c>
      <c r="T4293" t="s">
        <v>7</v>
      </c>
      <c r="U4293" s="21">
        <v>50</v>
      </c>
      <c r="V4293" s="21" t="s">
        <v>368</v>
      </c>
      <c r="W4293" t="str">
        <f>VLOOKUP(Table_Query_from_Actuarial___Production[[#This Row],[Kor1]],$AI$3:$AK$105,3,FALSE)</f>
        <v>Misc. Income</v>
      </c>
      <c r="X4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3"/>
      <c r="Z4293" t="s">
        <v>43</v>
      </c>
      <c r="AA4293" t="s">
        <v>235</v>
      </c>
      <c r="AB4293" t="s">
        <v>6</v>
      </c>
      <c r="AC4293" s="21">
        <v>-3.84</v>
      </c>
      <c r="AD4293" s="21" t="s">
        <v>368</v>
      </c>
      <c r="AE4293" t="str">
        <f>VLOOKUP(Table_Query_from_Actuarial___Production3[[#This Row],[Kor1]],$AI$3:$AK$105,3,FALSE)</f>
        <v>Charge-offs</v>
      </c>
      <c r="AF4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4" spans="18:32" x14ac:dyDescent="0.2">
      <c r="R4294" t="s">
        <v>20</v>
      </c>
      <c r="S4294" t="s">
        <v>262</v>
      </c>
      <c r="T4294" t="s">
        <v>427</v>
      </c>
      <c r="U4294" s="21">
        <v>255.31</v>
      </c>
      <c r="V4294" s="21" t="s">
        <v>368</v>
      </c>
      <c r="W4294" t="str">
        <f>VLOOKUP(Table_Query_from_Actuarial___Production[[#This Row],[Kor1]],$AI$3:$AK$105,3,FALSE)</f>
        <v>Misc. Expense</v>
      </c>
      <c r="X4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4"/>
      <c r="Z4294" t="s">
        <v>41</v>
      </c>
      <c r="AA4294" t="s">
        <v>237</v>
      </c>
      <c r="AB4294" t="s">
        <v>7</v>
      </c>
      <c r="AC4294" s="21">
        <v>50.02</v>
      </c>
      <c r="AD4294" s="21" t="s">
        <v>368</v>
      </c>
      <c r="AE4294" t="str">
        <f>VLOOKUP(Table_Query_from_Actuarial___Production3[[#This Row],[Kor1]],$AI$3:$AK$105,3,FALSE)</f>
        <v>Misc. Income</v>
      </c>
      <c r="AF4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5" spans="18:32" x14ac:dyDescent="0.2">
      <c r="R4295" t="s">
        <v>107</v>
      </c>
      <c r="S4295" t="s">
        <v>259</v>
      </c>
      <c r="T4295" t="s">
        <v>442</v>
      </c>
      <c r="U4295" s="21">
        <v>7.45</v>
      </c>
      <c r="V4295" s="21" t="s">
        <v>368</v>
      </c>
      <c r="W4295" t="str">
        <f>VLOOKUP(Table_Query_from_Actuarial___Production[[#This Row],[Kor1]],$AI$3:$AK$105,3,FALSE)</f>
        <v>Misc. Expense</v>
      </c>
      <c r="X4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5"/>
      <c r="Z4295" t="s">
        <v>18</v>
      </c>
      <c r="AA4295" t="s">
        <v>354</v>
      </c>
      <c r="AB4295" t="s">
        <v>442</v>
      </c>
      <c r="AC4295" s="21">
        <v>8580340.9399999995</v>
      </c>
      <c r="AD4295" s="21" t="s">
        <v>369</v>
      </c>
      <c r="AE4295" t="str">
        <f>VLOOKUP(Table_Query_from_Actuarial___Production3[[#This Row],[Kor1]],$AI$3:$AK$105,3,FALSE)</f>
        <v>Misc. Expense</v>
      </c>
      <c r="AF4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296" spans="18:32" x14ac:dyDescent="0.2">
      <c r="R4296" t="s">
        <v>3</v>
      </c>
      <c r="S4296" t="s">
        <v>230</v>
      </c>
      <c r="T4296" t="s">
        <v>441</v>
      </c>
      <c r="U4296" s="21">
        <v>21352248</v>
      </c>
      <c r="V4296" s="21" t="s">
        <v>368</v>
      </c>
      <c r="W4296" t="str">
        <f>VLOOKUP(Table_Query_from_Actuarial___Production[[#This Row],[Kor1]],$AI$3:$AK$105,3,FALSE)</f>
        <v>Premiums Written</v>
      </c>
      <c r="X4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6"/>
      <c r="Z4296" t="s">
        <v>3</v>
      </c>
      <c r="AA4296" t="s">
        <v>240</v>
      </c>
      <c r="AB4296" t="s">
        <v>433</v>
      </c>
      <c r="AC4296" s="21">
        <v>6516068</v>
      </c>
      <c r="AD4296" s="21" t="s">
        <v>368</v>
      </c>
      <c r="AE4296" t="str">
        <f>VLOOKUP(Table_Query_from_Actuarial___Production3[[#This Row],[Kor1]],$AI$3:$AK$105,3,FALSE)</f>
        <v>Premiums Written</v>
      </c>
      <c r="AF4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7" spans="18:32" x14ac:dyDescent="0.2">
      <c r="R4297" t="s">
        <v>21</v>
      </c>
      <c r="S4297" t="s">
        <v>251</v>
      </c>
      <c r="T4297" t="s">
        <v>441</v>
      </c>
      <c r="U4297" s="21">
        <v>2119.13</v>
      </c>
      <c r="V4297" s="21" t="s">
        <v>368</v>
      </c>
      <c r="W4297" t="str">
        <f>VLOOKUP(Table_Query_from_Actuarial___Production[[#This Row],[Kor1]],$AI$3:$AK$105,3,FALSE)</f>
        <v>Misc. Expense</v>
      </c>
      <c r="X4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7"/>
      <c r="Z4297" t="s">
        <v>14</v>
      </c>
      <c r="AA4297" t="s">
        <v>227</v>
      </c>
      <c r="AB4297" t="s">
        <v>433</v>
      </c>
      <c r="AC4297" s="21">
        <v>2063.3200000000002</v>
      </c>
      <c r="AD4297" s="21" t="s">
        <v>368</v>
      </c>
      <c r="AE4297" t="str">
        <f>VLOOKUP(Table_Query_from_Actuarial___Production3[[#This Row],[Kor1]],$AI$3:$AK$105,3,FALSE)</f>
        <v>Claims Expense</v>
      </c>
      <c r="AF4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8" spans="18:32" x14ac:dyDescent="0.2">
      <c r="R4298" t="s">
        <v>33</v>
      </c>
      <c r="S4298" t="s">
        <v>261</v>
      </c>
      <c r="T4298" t="s">
        <v>441</v>
      </c>
      <c r="U4298" s="21">
        <v>17998.23</v>
      </c>
      <c r="V4298" s="21" t="s">
        <v>368</v>
      </c>
      <c r="W4298" t="str">
        <f>VLOOKUP(Table_Query_from_Actuarial___Production[[#This Row],[Kor1]],$AI$3:$AK$105,3,FALSE)</f>
        <v>Misc. Expense</v>
      </c>
      <c r="X4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8"/>
      <c r="Z4298" t="s">
        <v>40</v>
      </c>
      <c r="AA4298" t="s">
        <v>261</v>
      </c>
      <c r="AB4298" t="s">
        <v>442</v>
      </c>
      <c r="AC4298" s="21">
        <v>163</v>
      </c>
      <c r="AD4298" s="21" t="s">
        <v>368</v>
      </c>
      <c r="AE4298" t="str">
        <f>VLOOKUP(Table_Query_from_Actuarial___Production3[[#This Row],[Kor1]],$AI$3:$AK$105,3,FALSE)</f>
        <v>Misc. Income</v>
      </c>
      <c r="AF4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299" spans="18:32" x14ac:dyDescent="0.2">
      <c r="R4299" t="s">
        <v>47</v>
      </c>
      <c r="S4299" t="s">
        <v>228</v>
      </c>
      <c r="T4299" t="s">
        <v>442</v>
      </c>
      <c r="U4299" s="21">
        <v>5184.72</v>
      </c>
      <c r="V4299" s="21" t="s">
        <v>368</v>
      </c>
      <c r="W4299" t="str">
        <f>VLOOKUP(Table_Query_from_Actuarial___Production[[#This Row],[Kor1]],$AI$3:$AK$105,3,FALSE)</f>
        <v>Investment Income</v>
      </c>
      <c r="X4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299"/>
      <c r="Z4299" t="s">
        <v>10</v>
      </c>
      <c r="AA4299" t="s">
        <v>252</v>
      </c>
      <c r="AB4299" t="s">
        <v>356</v>
      </c>
      <c r="AC4299" s="21">
        <v>2248361.39</v>
      </c>
      <c r="AD4299" s="21" t="s">
        <v>368</v>
      </c>
      <c r="AE4299" t="str">
        <f>VLOOKUP(Table_Query_from_Actuarial___Production3[[#This Row],[Kor1]],$AI$3:$AK$105,3,FALSE)</f>
        <v>Commissions</v>
      </c>
      <c r="AF4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0" spans="18:32" x14ac:dyDescent="0.2">
      <c r="R4300" t="s">
        <v>19</v>
      </c>
      <c r="S4300" t="s">
        <v>236</v>
      </c>
      <c r="T4300" t="s">
        <v>9</v>
      </c>
      <c r="U4300" s="21">
        <v>25</v>
      </c>
      <c r="V4300" s="21" t="s">
        <v>368</v>
      </c>
      <c r="W4300" t="str">
        <f>VLOOKUP(Table_Query_from_Actuarial___Production[[#This Row],[Kor1]],$AI$3:$AK$105,3,FALSE)</f>
        <v>Misc. Expense for Insolvent Companies</v>
      </c>
      <c r="X4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0"/>
      <c r="Z4300" t="s">
        <v>10</v>
      </c>
      <c r="AA4300" t="s">
        <v>255</v>
      </c>
      <c r="AB4300" t="s">
        <v>442</v>
      </c>
      <c r="AC4300" s="21">
        <v>23345.7</v>
      </c>
      <c r="AD4300" s="21" t="s">
        <v>368</v>
      </c>
      <c r="AE4300" t="str">
        <f>VLOOKUP(Table_Query_from_Actuarial___Production3[[#This Row],[Kor1]],$AI$3:$AK$105,3,FALSE)</f>
        <v>Commissions</v>
      </c>
      <c r="AF4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1" spans="18:32" x14ac:dyDescent="0.2">
      <c r="R4301" t="s">
        <v>38</v>
      </c>
      <c r="S4301" t="s">
        <v>352</v>
      </c>
      <c r="T4301" t="s">
        <v>9</v>
      </c>
      <c r="U4301" s="21">
        <v>886.45</v>
      </c>
      <c r="V4301" s="21" t="s">
        <v>368</v>
      </c>
      <c r="W4301" t="str">
        <f>VLOOKUP(Table_Query_from_Actuarial___Production[[#This Row],[Kor1]],$AI$3:$AK$105,3,FALSE)</f>
        <v>Misc. Income</v>
      </c>
      <c r="X4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4301"/>
      <c r="Z4301" t="s">
        <v>10</v>
      </c>
      <c r="AA4301" t="s">
        <v>262</v>
      </c>
      <c r="AB4301" t="s">
        <v>8</v>
      </c>
      <c r="AC4301" s="21">
        <v>6761.55</v>
      </c>
      <c r="AD4301" s="21" t="s">
        <v>368</v>
      </c>
      <c r="AE4301" t="str">
        <f>VLOOKUP(Table_Query_from_Actuarial___Production3[[#This Row],[Kor1]],$AI$3:$AK$105,3,FALSE)</f>
        <v>Commissions</v>
      </c>
      <c r="AF4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2" spans="18:32" x14ac:dyDescent="0.2">
      <c r="R4302" t="s">
        <v>3</v>
      </c>
      <c r="S4302" t="s">
        <v>233</v>
      </c>
      <c r="T4302" t="s">
        <v>356</v>
      </c>
      <c r="U4302" s="21">
        <v>478533</v>
      </c>
      <c r="V4302" s="21" t="s">
        <v>368</v>
      </c>
      <c r="W4302" t="str">
        <f>VLOOKUP(Table_Query_from_Actuarial___Production[[#This Row],[Kor1]],$AI$3:$AK$105,3,FALSE)</f>
        <v>Premiums Written</v>
      </c>
      <c r="X4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2"/>
      <c r="Z4302" t="s">
        <v>14</v>
      </c>
      <c r="AA4302" t="s">
        <v>260</v>
      </c>
      <c r="AB4302" t="s">
        <v>442</v>
      </c>
      <c r="AC4302" s="21">
        <v>1951.75</v>
      </c>
      <c r="AD4302" s="21" t="s">
        <v>368</v>
      </c>
      <c r="AE4302" t="str">
        <f>VLOOKUP(Table_Query_from_Actuarial___Production3[[#This Row],[Kor1]],$AI$3:$AK$105,3,FALSE)</f>
        <v>Claims Expense</v>
      </c>
      <c r="AF4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3" spans="18:32" x14ac:dyDescent="0.2">
      <c r="R4303" t="s">
        <v>47</v>
      </c>
      <c r="S4303" t="s">
        <v>231</v>
      </c>
      <c r="T4303" t="s">
        <v>443</v>
      </c>
      <c r="U4303" s="21">
        <v>17010.13</v>
      </c>
      <c r="V4303" s="21" t="s">
        <v>368</v>
      </c>
      <c r="W4303" t="str">
        <f>VLOOKUP(Table_Query_from_Actuarial___Production[[#This Row],[Kor1]],$AI$3:$AK$105,3,FALSE)</f>
        <v>Investment Income</v>
      </c>
      <c r="X4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3"/>
      <c r="Z4303" t="s">
        <v>37</v>
      </c>
      <c r="AA4303" t="s">
        <v>254</v>
      </c>
      <c r="AB4303" t="s">
        <v>9</v>
      </c>
      <c r="AC4303" s="21">
        <v>14812.45</v>
      </c>
      <c r="AD4303" s="21" t="s">
        <v>368</v>
      </c>
      <c r="AE4303" t="str">
        <f>VLOOKUP(Table_Query_from_Actuarial___Production3[[#This Row],[Kor1]],$AI$3:$AK$105,3,FALSE)</f>
        <v>Misc. Expense</v>
      </c>
      <c r="AF4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4" spans="18:32" x14ac:dyDescent="0.2">
      <c r="R4304" t="s">
        <v>18</v>
      </c>
      <c r="S4304" t="s">
        <v>226</v>
      </c>
      <c r="T4304" t="s">
        <v>433</v>
      </c>
      <c r="U4304" s="21">
        <v>107295.88</v>
      </c>
      <c r="V4304" s="21" t="s">
        <v>368</v>
      </c>
      <c r="W4304" t="str">
        <f>VLOOKUP(Table_Query_from_Actuarial___Production[[#This Row],[Kor1]],$AI$3:$AK$105,3,FALSE)</f>
        <v>Misc. Expense</v>
      </c>
      <c r="X4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304"/>
      <c r="Z4304" t="s">
        <v>47</v>
      </c>
      <c r="AA4304" t="s">
        <v>242</v>
      </c>
      <c r="AB4304" t="s">
        <v>443</v>
      </c>
      <c r="AC4304" s="21">
        <v>5809.53</v>
      </c>
      <c r="AD4304" s="21" t="s">
        <v>368</v>
      </c>
      <c r="AE4304" t="str">
        <f>VLOOKUP(Table_Query_from_Actuarial___Production3[[#This Row],[Kor1]],$AI$3:$AK$105,3,FALSE)</f>
        <v>Investment Income</v>
      </c>
      <c r="AF4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5" spans="18:32" x14ac:dyDescent="0.2">
      <c r="R4305" t="s">
        <v>21</v>
      </c>
      <c r="S4305" t="s">
        <v>246</v>
      </c>
      <c r="T4305" t="s">
        <v>443</v>
      </c>
      <c r="U4305" s="21">
        <v>691.25</v>
      </c>
      <c r="V4305" s="21" t="s">
        <v>368</v>
      </c>
      <c r="W4305" t="str">
        <f>VLOOKUP(Table_Query_from_Actuarial___Production[[#This Row],[Kor1]],$AI$3:$AK$105,3,FALSE)</f>
        <v>Misc. Expense</v>
      </c>
      <c r="X4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5"/>
      <c r="Z4305" t="s">
        <v>3</v>
      </c>
      <c r="AA4305" t="s">
        <v>264</v>
      </c>
      <c r="AB4305" t="s">
        <v>6</v>
      </c>
      <c r="AC4305" s="21">
        <v>2325120</v>
      </c>
      <c r="AD4305" s="21" t="s">
        <v>368</v>
      </c>
      <c r="AE4305" t="str">
        <f>VLOOKUP(Table_Query_from_Actuarial___Production3[[#This Row],[Kor1]],$AI$3:$AK$105,3,FALSE)</f>
        <v>Premiums Written</v>
      </c>
      <c r="AF4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6" spans="18:32" x14ac:dyDescent="0.2">
      <c r="R4306" t="s">
        <v>13</v>
      </c>
      <c r="S4306" t="s">
        <v>226</v>
      </c>
      <c r="T4306" t="s">
        <v>441</v>
      </c>
      <c r="U4306" s="21">
        <v>937026.21</v>
      </c>
      <c r="V4306" s="21" t="s">
        <v>368</v>
      </c>
      <c r="W4306" t="str">
        <f>VLOOKUP(Table_Query_from_Actuarial___Production[[#This Row],[Kor1]],$AI$3:$AK$105,3,FALSE)</f>
        <v>Operating Service Fees</v>
      </c>
      <c r="X4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306"/>
      <c r="Z4306" t="s">
        <v>41</v>
      </c>
      <c r="AA4306" t="s">
        <v>254</v>
      </c>
      <c r="AB4306" t="s">
        <v>441</v>
      </c>
      <c r="AC4306" s="21">
        <v>50.2</v>
      </c>
      <c r="AD4306" s="21" t="s">
        <v>368</v>
      </c>
      <c r="AE4306" t="str">
        <f>VLOOKUP(Table_Query_from_Actuarial___Production3[[#This Row],[Kor1]],$AI$3:$AK$105,3,FALSE)</f>
        <v>Misc. Income</v>
      </c>
      <c r="AF4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7" spans="18:32" x14ac:dyDescent="0.2">
      <c r="R4307" t="s">
        <v>12</v>
      </c>
      <c r="S4307" t="s">
        <v>251</v>
      </c>
      <c r="T4307" t="s">
        <v>442</v>
      </c>
      <c r="U4307" s="21">
        <v>26818.67</v>
      </c>
      <c r="V4307" s="21" t="s">
        <v>368</v>
      </c>
      <c r="W4307" t="str">
        <f>VLOOKUP(Table_Query_from_Actuarial___Production[[#This Row],[Kor1]],$AI$3:$AK$105,3,FALSE)</f>
        <v>Premium Tax</v>
      </c>
      <c r="X4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7"/>
      <c r="Z4307" t="s">
        <v>11</v>
      </c>
      <c r="AA4307" t="s">
        <v>224</v>
      </c>
      <c r="AB4307" t="s">
        <v>356</v>
      </c>
      <c r="AC4307" s="21">
        <v>483194.58</v>
      </c>
      <c r="AD4307" s="21" t="s">
        <v>370</v>
      </c>
      <c r="AE4307" t="str">
        <f>VLOOKUP(Table_Query_from_Actuarial___Production3[[#This Row],[Kor1]],$AI$3:$AK$105,3,FALSE)</f>
        <v>Losses Paid</v>
      </c>
      <c r="AF4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308" spans="18:32" x14ac:dyDescent="0.2">
      <c r="R4308" t="s">
        <v>19</v>
      </c>
      <c r="S4308" t="s">
        <v>233</v>
      </c>
      <c r="T4308" t="s">
        <v>427</v>
      </c>
      <c r="U4308" s="21">
        <v>1388</v>
      </c>
      <c r="V4308" s="21" t="s">
        <v>368</v>
      </c>
      <c r="W4308" t="str">
        <f>VLOOKUP(Table_Query_from_Actuarial___Production[[#This Row],[Kor1]],$AI$3:$AK$105,3,FALSE)</f>
        <v>Misc. Expense for Insolvent Companies</v>
      </c>
      <c r="X4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8"/>
      <c r="Z4308" t="s">
        <v>41</v>
      </c>
      <c r="AA4308" t="s">
        <v>233</v>
      </c>
      <c r="AB4308" t="s">
        <v>7</v>
      </c>
      <c r="AC4308" s="21">
        <v>50</v>
      </c>
      <c r="AD4308" s="21" t="s">
        <v>368</v>
      </c>
      <c r="AE4308" t="str">
        <f>VLOOKUP(Table_Query_from_Actuarial___Production3[[#This Row],[Kor1]],$AI$3:$AK$105,3,FALSE)</f>
        <v>Misc. Income</v>
      </c>
      <c r="AF4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09" spans="18:32" x14ac:dyDescent="0.2">
      <c r="R4309" t="s">
        <v>40</v>
      </c>
      <c r="S4309" t="s">
        <v>253</v>
      </c>
      <c r="T4309" t="s">
        <v>441</v>
      </c>
      <c r="U4309" s="21">
        <v>14</v>
      </c>
      <c r="V4309" s="21" t="s">
        <v>368</v>
      </c>
      <c r="W4309" t="str">
        <f>VLOOKUP(Table_Query_from_Actuarial___Production[[#This Row],[Kor1]],$AI$3:$AK$105,3,FALSE)</f>
        <v>Misc. Income</v>
      </c>
      <c r="X4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09"/>
      <c r="Z4309" t="s">
        <v>20</v>
      </c>
      <c r="AA4309" t="s">
        <v>262</v>
      </c>
      <c r="AB4309" t="s">
        <v>427</v>
      </c>
      <c r="AC4309" s="21">
        <v>255.31</v>
      </c>
      <c r="AD4309" s="21" t="s">
        <v>368</v>
      </c>
      <c r="AE4309" t="str">
        <f>VLOOKUP(Table_Query_from_Actuarial___Production3[[#This Row],[Kor1]],$AI$3:$AK$105,3,FALSE)</f>
        <v>Misc. Expense</v>
      </c>
      <c r="AF4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0" spans="18:32" x14ac:dyDescent="0.2">
      <c r="R4310" t="s">
        <v>44</v>
      </c>
      <c r="S4310" t="s">
        <v>266</v>
      </c>
      <c r="T4310" t="s">
        <v>8</v>
      </c>
      <c r="U4310" s="21">
        <v>29603.53</v>
      </c>
      <c r="V4310" s="21" t="s">
        <v>368</v>
      </c>
      <c r="W4310" t="str">
        <f>VLOOKUP(Table_Query_from_Actuarial___Production[[#This Row],[Kor1]],$AI$3:$AK$105,3,FALSE)</f>
        <v>Charge-offs</v>
      </c>
      <c r="X4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0"/>
      <c r="Z4310" t="s">
        <v>107</v>
      </c>
      <c r="AA4310" t="s">
        <v>259</v>
      </c>
      <c r="AB4310" t="s">
        <v>442</v>
      </c>
      <c r="AC4310" s="21">
        <v>7.45</v>
      </c>
      <c r="AD4310" s="21" t="s">
        <v>368</v>
      </c>
      <c r="AE4310" t="str">
        <f>VLOOKUP(Table_Query_from_Actuarial___Production3[[#This Row],[Kor1]],$AI$3:$AK$105,3,FALSE)</f>
        <v>Misc. Expense</v>
      </c>
      <c r="AF4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1" spans="18:32" x14ac:dyDescent="0.2">
      <c r="R4311" t="s">
        <v>14</v>
      </c>
      <c r="S4311" t="s">
        <v>224</v>
      </c>
      <c r="T4311" t="s">
        <v>442</v>
      </c>
      <c r="U4311" s="21">
        <v>136360.41</v>
      </c>
      <c r="V4311" s="21" t="s">
        <v>370</v>
      </c>
      <c r="W4311" t="str">
        <f>VLOOKUP(Table_Query_from_Actuarial___Production[[#This Row],[Kor1]],$AI$3:$AK$105,3,FALSE)</f>
        <v>Claims Expense</v>
      </c>
      <c r="X4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311"/>
      <c r="Z4311" t="s">
        <v>3</v>
      </c>
      <c r="AA4311" t="s">
        <v>230</v>
      </c>
      <c r="AB4311" t="s">
        <v>441</v>
      </c>
      <c r="AC4311" s="21">
        <v>21352248</v>
      </c>
      <c r="AD4311" s="21" t="s">
        <v>368</v>
      </c>
      <c r="AE4311" t="str">
        <f>VLOOKUP(Table_Query_from_Actuarial___Production3[[#This Row],[Kor1]],$AI$3:$AK$105,3,FALSE)</f>
        <v>Premiums Written</v>
      </c>
      <c r="AF4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2" spans="18:32" x14ac:dyDescent="0.2">
      <c r="R4312" t="s">
        <v>40</v>
      </c>
      <c r="S4312" t="s">
        <v>241</v>
      </c>
      <c r="T4312" t="s">
        <v>7</v>
      </c>
      <c r="U4312" s="21">
        <v>119</v>
      </c>
      <c r="V4312" s="21" t="s">
        <v>368</v>
      </c>
      <c r="W4312" t="str">
        <f>VLOOKUP(Table_Query_from_Actuarial___Production[[#This Row],[Kor1]],$AI$3:$AK$105,3,FALSE)</f>
        <v>Misc. Income</v>
      </c>
      <c r="X4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2"/>
      <c r="Z4312" t="s">
        <v>21</v>
      </c>
      <c r="AA4312" t="s">
        <v>251</v>
      </c>
      <c r="AB4312" t="s">
        <v>441</v>
      </c>
      <c r="AC4312" s="21">
        <v>2119.13</v>
      </c>
      <c r="AD4312" s="21" t="s">
        <v>368</v>
      </c>
      <c r="AE4312" t="str">
        <f>VLOOKUP(Table_Query_from_Actuarial___Production3[[#This Row],[Kor1]],$AI$3:$AK$105,3,FALSE)</f>
        <v>Misc. Expense</v>
      </c>
      <c r="AF4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3" spans="18:32" x14ac:dyDescent="0.2">
      <c r="R4313" t="s">
        <v>33</v>
      </c>
      <c r="S4313" t="s">
        <v>258</v>
      </c>
      <c r="T4313" t="s">
        <v>445</v>
      </c>
      <c r="U4313" s="21">
        <v>12765.45</v>
      </c>
      <c r="V4313" s="21" t="s">
        <v>368</v>
      </c>
      <c r="W4313" t="str">
        <f>VLOOKUP(Table_Query_from_Actuarial___Production[[#This Row],[Kor1]],$AI$3:$AK$105,3,FALSE)</f>
        <v>Misc. Expense</v>
      </c>
      <c r="X4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3"/>
      <c r="Z4313" t="s">
        <v>33</v>
      </c>
      <c r="AA4313" t="s">
        <v>261</v>
      </c>
      <c r="AB4313" t="s">
        <v>441</v>
      </c>
      <c r="AC4313" s="21">
        <v>17998.23</v>
      </c>
      <c r="AD4313" s="21" t="s">
        <v>368</v>
      </c>
      <c r="AE4313" t="str">
        <f>VLOOKUP(Table_Query_from_Actuarial___Production3[[#This Row],[Kor1]],$AI$3:$AK$105,3,FALSE)</f>
        <v>Misc. Expense</v>
      </c>
      <c r="AF4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4" spans="18:32" x14ac:dyDescent="0.2">
      <c r="R4314" t="s">
        <v>41</v>
      </c>
      <c r="S4314" t="s">
        <v>252</v>
      </c>
      <c r="T4314" t="s">
        <v>443</v>
      </c>
      <c r="U4314" s="21">
        <v>1666</v>
      </c>
      <c r="V4314" s="21" t="s">
        <v>368</v>
      </c>
      <c r="W4314" t="str">
        <f>VLOOKUP(Table_Query_from_Actuarial___Production[[#This Row],[Kor1]],$AI$3:$AK$105,3,FALSE)</f>
        <v>Misc. Income</v>
      </c>
      <c r="X4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4"/>
      <c r="Z4314" t="s">
        <v>47</v>
      </c>
      <c r="AA4314" t="s">
        <v>228</v>
      </c>
      <c r="AB4314" t="s">
        <v>442</v>
      </c>
      <c r="AC4314" s="21">
        <v>5184.72</v>
      </c>
      <c r="AD4314" s="21" t="s">
        <v>368</v>
      </c>
      <c r="AE4314" t="str">
        <f>VLOOKUP(Table_Query_from_Actuarial___Production3[[#This Row],[Kor1]],$AI$3:$AK$105,3,FALSE)</f>
        <v>Investment Income</v>
      </c>
      <c r="AF4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5" spans="18:32" x14ac:dyDescent="0.2">
      <c r="R4315" t="s">
        <v>46</v>
      </c>
      <c r="S4315" t="s">
        <v>226</v>
      </c>
      <c r="T4315" t="s">
        <v>443</v>
      </c>
      <c r="U4315" s="21">
        <v>279798.43</v>
      </c>
      <c r="V4315" s="21" t="s">
        <v>368</v>
      </c>
      <c r="W4315" t="str">
        <f>VLOOKUP(Table_Query_from_Actuarial___Production[[#This Row],[Kor1]],$AI$3:$AK$105,3,FALSE)</f>
        <v>Investment Income</v>
      </c>
      <c r="X4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315"/>
      <c r="Z4315" t="s">
        <v>19</v>
      </c>
      <c r="AA4315" t="s">
        <v>236</v>
      </c>
      <c r="AB4315" t="s">
        <v>9</v>
      </c>
      <c r="AC4315" s="21">
        <v>25</v>
      </c>
      <c r="AD4315" s="21" t="s">
        <v>368</v>
      </c>
      <c r="AE4315" t="str">
        <f>VLOOKUP(Table_Query_from_Actuarial___Production3[[#This Row],[Kor1]],$AI$3:$AK$105,3,FALSE)</f>
        <v>Misc. Expense for Insolvent Companies</v>
      </c>
      <c r="AF4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6" spans="18:32" x14ac:dyDescent="0.2">
      <c r="R4316" t="s">
        <v>75</v>
      </c>
      <c r="S4316" t="s">
        <v>237</v>
      </c>
      <c r="T4316" t="s">
        <v>442</v>
      </c>
      <c r="U4316" s="21">
        <v>19101</v>
      </c>
      <c r="V4316" s="21" t="s">
        <v>368</v>
      </c>
      <c r="W4316" t="str">
        <f>VLOOKUP(Table_Query_from_Actuarial___Production[[#This Row],[Kor1]],$AI$3:$AK$105,3,FALSE)</f>
        <v>EBUB</v>
      </c>
      <c r="X4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6"/>
      <c r="Z4316" t="s">
        <v>38</v>
      </c>
      <c r="AA4316" t="s">
        <v>352</v>
      </c>
      <c r="AB4316" t="s">
        <v>9</v>
      </c>
      <c r="AC4316" s="21">
        <v>886.45</v>
      </c>
      <c r="AD4316" s="21" t="s">
        <v>368</v>
      </c>
      <c r="AE4316" t="str">
        <f>VLOOKUP(Table_Query_from_Actuarial___Production3[[#This Row],[Kor1]],$AI$3:$AK$105,3,FALSE)</f>
        <v>Misc. Income</v>
      </c>
      <c r="AF4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4317" spans="18:32" x14ac:dyDescent="0.2">
      <c r="R4317" t="s">
        <v>31</v>
      </c>
      <c r="S4317" t="s">
        <v>246</v>
      </c>
      <c r="T4317" t="s">
        <v>442</v>
      </c>
      <c r="U4317" s="21">
        <v>676.78</v>
      </c>
      <c r="V4317" s="21" t="s">
        <v>368</v>
      </c>
      <c r="W4317" t="str">
        <f>VLOOKUP(Table_Query_from_Actuarial___Production[[#This Row],[Kor1]],$AI$3:$AK$105,3,FALSE)</f>
        <v>Misc. Expense</v>
      </c>
      <c r="X4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7"/>
      <c r="Z4317" t="s">
        <v>3</v>
      </c>
      <c r="AA4317" t="s">
        <v>233</v>
      </c>
      <c r="AB4317" t="s">
        <v>356</v>
      </c>
      <c r="AC4317" s="21">
        <v>478533</v>
      </c>
      <c r="AD4317" s="21" t="s">
        <v>368</v>
      </c>
      <c r="AE4317" t="str">
        <f>VLOOKUP(Table_Query_from_Actuarial___Production3[[#This Row],[Kor1]],$AI$3:$AK$105,3,FALSE)</f>
        <v>Premiums Written</v>
      </c>
      <c r="AF4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8" spans="18:32" x14ac:dyDescent="0.2">
      <c r="R4318" t="s">
        <v>38</v>
      </c>
      <c r="S4318" t="s">
        <v>354</v>
      </c>
      <c r="T4318" t="s">
        <v>351</v>
      </c>
      <c r="U4318" s="21">
        <v>21460.35</v>
      </c>
      <c r="V4318" s="21" t="s">
        <v>368</v>
      </c>
      <c r="W4318" t="str">
        <f>VLOOKUP(Table_Query_from_Actuarial___Production[[#This Row],[Kor1]],$AI$3:$AK$105,3,FALSE)</f>
        <v>Misc. Income</v>
      </c>
      <c r="X4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318"/>
      <c r="Z4318" t="s">
        <v>47</v>
      </c>
      <c r="AA4318" t="s">
        <v>231</v>
      </c>
      <c r="AB4318" t="s">
        <v>443</v>
      </c>
      <c r="AC4318" s="21">
        <v>5041.01</v>
      </c>
      <c r="AD4318" s="21" t="s">
        <v>368</v>
      </c>
      <c r="AE4318" t="str">
        <f>VLOOKUP(Table_Query_from_Actuarial___Production3[[#This Row],[Kor1]],$AI$3:$AK$105,3,FALSE)</f>
        <v>Investment Income</v>
      </c>
      <c r="AF4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19" spans="18:32" x14ac:dyDescent="0.2">
      <c r="R4319" t="s">
        <v>11</v>
      </c>
      <c r="S4319" t="s">
        <v>253</v>
      </c>
      <c r="T4319" t="s">
        <v>433</v>
      </c>
      <c r="U4319" s="21">
        <v>1052.52</v>
      </c>
      <c r="V4319" s="21" t="s">
        <v>368</v>
      </c>
      <c r="W4319" t="str">
        <f>VLOOKUP(Table_Query_from_Actuarial___Production[[#This Row],[Kor1]],$AI$3:$AK$105,3,FALSE)</f>
        <v>Losses Paid</v>
      </c>
      <c r="X4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19"/>
      <c r="Z4319" t="s">
        <v>18</v>
      </c>
      <c r="AA4319" t="s">
        <v>226</v>
      </c>
      <c r="AB4319" t="s">
        <v>433</v>
      </c>
      <c r="AC4319" s="21">
        <v>107295.88</v>
      </c>
      <c r="AD4319" s="21" t="s">
        <v>368</v>
      </c>
      <c r="AE4319" t="str">
        <f>VLOOKUP(Table_Query_from_Actuarial___Production3[[#This Row],[Kor1]],$AI$3:$AK$105,3,FALSE)</f>
        <v>Misc. Expense</v>
      </c>
      <c r="AF4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320" spans="18:32" x14ac:dyDescent="0.2">
      <c r="R4320" t="s">
        <v>20</v>
      </c>
      <c r="S4320" t="s">
        <v>248</v>
      </c>
      <c r="T4320" t="s">
        <v>7</v>
      </c>
      <c r="U4320" s="21">
        <v>113.37</v>
      </c>
      <c r="V4320" s="21" t="s">
        <v>368</v>
      </c>
      <c r="W4320" t="str">
        <f>VLOOKUP(Table_Query_from_Actuarial___Production[[#This Row],[Kor1]],$AI$3:$AK$105,3,FALSE)</f>
        <v>Misc. Expense</v>
      </c>
      <c r="X4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0"/>
      <c r="Z4320" t="s">
        <v>21</v>
      </c>
      <c r="AA4320" t="s">
        <v>246</v>
      </c>
      <c r="AB4320" t="s">
        <v>443</v>
      </c>
      <c r="AC4320" s="21">
        <v>691.25</v>
      </c>
      <c r="AD4320" s="21" t="s">
        <v>368</v>
      </c>
      <c r="AE4320" t="str">
        <f>VLOOKUP(Table_Query_from_Actuarial___Production3[[#This Row],[Kor1]],$AI$3:$AK$105,3,FALSE)</f>
        <v>Misc. Expense</v>
      </c>
      <c r="AF4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1" spans="18:32" x14ac:dyDescent="0.2">
      <c r="R4321" t="s">
        <v>43</v>
      </c>
      <c r="S4321" t="s">
        <v>241</v>
      </c>
      <c r="T4321" t="s">
        <v>7</v>
      </c>
      <c r="U4321" s="21">
        <v>1462.61</v>
      </c>
      <c r="V4321" s="21" t="s">
        <v>368</v>
      </c>
      <c r="W4321" t="str">
        <f>VLOOKUP(Table_Query_from_Actuarial___Production[[#This Row],[Kor1]],$AI$3:$AK$105,3,FALSE)</f>
        <v>Charge-offs</v>
      </c>
      <c r="X4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1"/>
      <c r="Z4321" t="s">
        <v>13</v>
      </c>
      <c r="AA4321" t="s">
        <v>226</v>
      </c>
      <c r="AB4321" t="s">
        <v>441</v>
      </c>
      <c r="AC4321" s="21">
        <v>937026.21</v>
      </c>
      <c r="AD4321" s="21" t="s">
        <v>368</v>
      </c>
      <c r="AE4321" t="str">
        <f>VLOOKUP(Table_Query_from_Actuarial___Production3[[#This Row],[Kor1]],$AI$3:$AK$105,3,FALSE)</f>
        <v>Operating Service Fees</v>
      </c>
      <c r="AF4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322" spans="18:32" x14ac:dyDescent="0.2">
      <c r="R4322" t="s">
        <v>11</v>
      </c>
      <c r="S4322" t="s">
        <v>354</v>
      </c>
      <c r="T4322" t="s">
        <v>427</v>
      </c>
      <c r="U4322" s="21">
        <v>878348272.51999998</v>
      </c>
      <c r="V4322" s="21" t="s">
        <v>369</v>
      </c>
      <c r="W4322" t="str">
        <f>VLOOKUP(Table_Query_from_Actuarial___Production[[#This Row],[Kor1]],$AI$3:$AK$105,3,FALSE)</f>
        <v>Losses Paid</v>
      </c>
      <c r="X4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322"/>
      <c r="Z4322" t="s">
        <v>12</v>
      </c>
      <c r="AA4322" t="s">
        <v>251</v>
      </c>
      <c r="AB4322" t="s">
        <v>442</v>
      </c>
      <c r="AC4322" s="21">
        <v>26329.599999999999</v>
      </c>
      <c r="AD4322" s="21" t="s">
        <v>368</v>
      </c>
      <c r="AE4322" t="str">
        <f>VLOOKUP(Table_Query_from_Actuarial___Production3[[#This Row],[Kor1]],$AI$3:$AK$105,3,FALSE)</f>
        <v>Premium Tax</v>
      </c>
      <c r="AF4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3" spans="18:32" x14ac:dyDescent="0.2">
      <c r="R4323" t="s">
        <v>14</v>
      </c>
      <c r="S4323" t="s">
        <v>258</v>
      </c>
      <c r="T4323" t="s">
        <v>443</v>
      </c>
      <c r="U4323" s="21">
        <v>234127.29</v>
      </c>
      <c r="V4323" s="21" t="s">
        <v>368</v>
      </c>
      <c r="W4323" t="str">
        <f>VLOOKUP(Table_Query_from_Actuarial___Production[[#This Row],[Kor1]],$AI$3:$AK$105,3,FALSE)</f>
        <v>Claims Expense</v>
      </c>
      <c r="X4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3"/>
      <c r="Z4323" t="s">
        <v>15</v>
      </c>
      <c r="AA4323" t="s">
        <v>261</v>
      </c>
      <c r="AB4323" t="s">
        <v>442</v>
      </c>
      <c r="AC4323" s="21">
        <v>17867.87</v>
      </c>
      <c r="AD4323" s="21" t="s">
        <v>368</v>
      </c>
      <c r="AE4323" t="str">
        <f>VLOOKUP(Table_Query_from_Actuarial___Production3[[#This Row],[Kor1]],$AI$3:$AK$105,3,FALSE)</f>
        <v>Unearned Premiums</v>
      </c>
      <c r="AF4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4" spans="18:32" x14ac:dyDescent="0.2">
      <c r="R4324" t="s">
        <v>21</v>
      </c>
      <c r="S4324" t="s">
        <v>232</v>
      </c>
      <c r="T4324" t="s">
        <v>351</v>
      </c>
      <c r="U4324" s="21">
        <v>2665.25</v>
      </c>
      <c r="V4324" s="21" t="s">
        <v>368</v>
      </c>
      <c r="W4324" t="str">
        <f>VLOOKUP(Table_Query_from_Actuarial___Production[[#This Row],[Kor1]],$AI$3:$AK$105,3,FALSE)</f>
        <v>Misc. Expense</v>
      </c>
      <c r="X4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4"/>
      <c r="Z4324" t="s">
        <v>19</v>
      </c>
      <c r="AA4324" t="s">
        <v>233</v>
      </c>
      <c r="AB4324" t="s">
        <v>427</v>
      </c>
      <c r="AC4324" s="21">
        <v>1388</v>
      </c>
      <c r="AD4324" s="21" t="s">
        <v>368</v>
      </c>
      <c r="AE4324" t="str">
        <f>VLOOKUP(Table_Query_from_Actuarial___Production3[[#This Row],[Kor1]],$AI$3:$AK$105,3,FALSE)</f>
        <v>Misc. Expense for Insolvent Companies</v>
      </c>
      <c r="AF4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5" spans="18:32" x14ac:dyDescent="0.2">
      <c r="R4325" t="s">
        <v>43</v>
      </c>
      <c r="S4325" t="s">
        <v>243</v>
      </c>
      <c r="T4325" t="s">
        <v>8</v>
      </c>
      <c r="U4325" s="21">
        <v>-0.02</v>
      </c>
      <c r="V4325" s="21" t="s">
        <v>368</v>
      </c>
      <c r="W4325" t="str">
        <f>VLOOKUP(Table_Query_from_Actuarial___Production[[#This Row],[Kor1]],$AI$3:$AK$105,3,FALSE)</f>
        <v>Charge-offs</v>
      </c>
      <c r="X4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5"/>
      <c r="Z4325" t="s">
        <v>40</v>
      </c>
      <c r="AA4325" t="s">
        <v>253</v>
      </c>
      <c r="AB4325" t="s">
        <v>441</v>
      </c>
      <c r="AC4325" s="21">
        <v>14</v>
      </c>
      <c r="AD4325" s="21" t="s">
        <v>368</v>
      </c>
      <c r="AE4325" t="str">
        <f>VLOOKUP(Table_Query_from_Actuarial___Production3[[#This Row],[Kor1]],$AI$3:$AK$105,3,FALSE)</f>
        <v>Misc. Income</v>
      </c>
      <c r="AF4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6" spans="18:32" x14ac:dyDescent="0.2">
      <c r="R4326" t="s">
        <v>43</v>
      </c>
      <c r="S4326" t="s">
        <v>250</v>
      </c>
      <c r="T4326" t="s">
        <v>442</v>
      </c>
      <c r="U4326" s="21">
        <v>132.96</v>
      </c>
      <c r="V4326" s="21" t="s">
        <v>368</v>
      </c>
      <c r="W4326" t="str">
        <f>VLOOKUP(Table_Query_from_Actuarial___Production[[#This Row],[Kor1]],$AI$3:$AK$105,3,FALSE)</f>
        <v>Charge-offs</v>
      </c>
      <c r="X4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6"/>
      <c r="Z4326" t="s">
        <v>44</v>
      </c>
      <c r="AA4326" t="s">
        <v>266</v>
      </c>
      <c r="AB4326" t="s">
        <v>8</v>
      </c>
      <c r="AC4326" s="21">
        <v>29603.53</v>
      </c>
      <c r="AD4326" s="21" t="s">
        <v>368</v>
      </c>
      <c r="AE4326" t="str">
        <f>VLOOKUP(Table_Query_from_Actuarial___Production3[[#This Row],[Kor1]],$AI$3:$AK$105,3,FALSE)</f>
        <v>Charge-offs</v>
      </c>
      <c r="AF4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7" spans="18:32" x14ac:dyDescent="0.2">
      <c r="R4327" t="s">
        <v>50</v>
      </c>
      <c r="S4327" t="s">
        <v>251</v>
      </c>
      <c r="T4327" t="s">
        <v>441</v>
      </c>
      <c r="U4327" s="21">
        <v>2973.35</v>
      </c>
      <c r="V4327" s="21" t="s">
        <v>368</v>
      </c>
      <c r="W4327" t="str">
        <f>VLOOKUP(Table_Query_from_Actuarial___Production[[#This Row],[Kor1]],$AI$3:$AK$105,3,FALSE)</f>
        <v>ALAE Reserve</v>
      </c>
      <c r="X4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7"/>
      <c r="Z4327" t="s">
        <v>14</v>
      </c>
      <c r="AA4327" t="s">
        <v>224</v>
      </c>
      <c r="AB4327" t="s">
        <v>442</v>
      </c>
      <c r="AC4327" s="21">
        <v>121776.35</v>
      </c>
      <c r="AD4327" s="21" t="s">
        <v>370</v>
      </c>
      <c r="AE4327" t="str">
        <f>VLOOKUP(Table_Query_from_Actuarial___Production3[[#This Row],[Kor1]],$AI$3:$AK$105,3,FALSE)</f>
        <v>Claims Expense</v>
      </c>
      <c r="AF4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328" spans="18:32" x14ac:dyDescent="0.2">
      <c r="R4328" t="s">
        <v>40</v>
      </c>
      <c r="S4328" t="s">
        <v>244</v>
      </c>
      <c r="T4328" t="s">
        <v>433</v>
      </c>
      <c r="U4328" s="21">
        <v>5</v>
      </c>
      <c r="V4328" s="21" t="s">
        <v>368</v>
      </c>
      <c r="W4328" t="str">
        <f>VLOOKUP(Table_Query_from_Actuarial___Production[[#This Row],[Kor1]],$AI$3:$AK$105,3,FALSE)</f>
        <v>Misc. Income</v>
      </c>
      <c r="X4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28"/>
      <c r="Z4328" t="s">
        <v>40</v>
      </c>
      <c r="AA4328" t="s">
        <v>241</v>
      </c>
      <c r="AB4328" t="s">
        <v>7</v>
      </c>
      <c r="AC4328" s="21">
        <v>119</v>
      </c>
      <c r="AD4328" s="21" t="s">
        <v>368</v>
      </c>
      <c r="AE4328" t="str">
        <f>VLOOKUP(Table_Query_from_Actuarial___Production3[[#This Row],[Kor1]],$AI$3:$AK$105,3,FALSE)</f>
        <v>Misc. Income</v>
      </c>
      <c r="AF4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29" spans="18:32" x14ac:dyDescent="0.2">
      <c r="R4329" t="s">
        <v>10</v>
      </c>
      <c r="S4329" t="s">
        <v>224</v>
      </c>
      <c r="T4329" t="s">
        <v>351</v>
      </c>
      <c r="U4329" s="21">
        <v>179149.92</v>
      </c>
      <c r="V4329" s="21" t="s">
        <v>368</v>
      </c>
      <c r="W4329" t="str">
        <f>VLOOKUP(Table_Query_from_Actuarial___Production[[#This Row],[Kor1]],$AI$3:$AK$105,3,FALSE)</f>
        <v>Commissions</v>
      </c>
      <c r="X4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329"/>
      <c r="Z4329" t="s">
        <v>41</v>
      </c>
      <c r="AA4329" t="s">
        <v>252</v>
      </c>
      <c r="AB4329" t="s">
        <v>443</v>
      </c>
      <c r="AC4329" s="21">
        <v>826.75</v>
      </c>
      <c r="AD4329" s="21" t="s">
        <v>368</v>
      </c>
      <c r="AE4329" t="str">
        <f>VLOOKUP(Table_Query_from_Actuarial___Production3[[#This Row],[Kor1]],$AI$3:$AK$105,3,FALSE)</f>
        <v>Misc. Income</v>
      </c>
      <c r="AF4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0" spans="18:32" x14ac:dyDescent="0.2">
      <c r="R4330" t="s">
        <v>3</v>
      </c>
      <c r="S4330" t="s">
        <v>241</v>
      </c>
      <c r="T4330" t="s">
        <v>356</v>
      </c>
      <c r="U4330" s="21">
        <v>1365810</v>
      </c>
      <c r="V4330" s="21" t="s">
        <v>368</v>
      </c>
      <c r="W4330" t="str">
        <f>VLOOKUP(Table_Query_from_Actuarial___Production[[#This Row],[Kor1]],$AI$3:$AK$105,3,FALSE)</f>
        <v>Premiums Written</v>
      </c>
      <c r="X4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0"/>
      <c r="Z4330" t="s">
        <v>46</v>
      </c>
      <c r="AA4330" t="s">
        <v>226</v>
      </c>
      <c r="AB4330" t="s">
        <v>443</v>
      </c>
      <c r="AC4330" s="21">
        <v>101457.53</v>
      </c>
      <c r="AD4330" s="21" t="s">
        <v>368</v>
      </c>
      <c r="AE4330" t="str">
        <f>VLOOKUP(Table_Query_from_Actuarial___Production3[[#This Row],[Kor1]],$AI$3:$AK$105,3,FALSE)</f>
        <v>Investment Income</v>
      </c>
      <c r="AF4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331" spans="18:32" x14ac:dyDescent="0.2">
      <c r="R4331" t="s">
        <v>3</v>
      </c>
      <c r="S4331" t="s">
        <v>267</v>
      </c>
      <c r="T4331" t="s">
        <v>9</v>
      </c>
      <c r="U4331" s="21">
        <v>412350</v>
      </c>
      <c r="V4331" s="21" t="s">
        <v>368</v>
      </c>
      <c r="W4331" t="str">
        <f>VLOOKUP(Table_Query_from_Actuarial___Production[[#This Row],[Kor1]],$AI$3:$AK$105,3,FALSE)</f>
        <v>Premiums Written</v>
      </c>
      <c r="X4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1"/>
      <c r="Z4331" t="s">
        <v>31</v>
      </c>
      <c r="AA4331" t="s">
        <v>246</v>
      </c>
      <c r="AB4331" t="s">
        <v>442</v>
      </c>
      <c r="AC4331" s="21">
        <v>676.78</v>
      </c>
      <c r="AD4331" s="21" t="s">
        <v>368</v>
      </c>
      <c r="AE4331" t="str">
        <f>VLOOKUP(Table_Query_from_Actuarial___Production3[[#This Row],[Kor1]],$AI$3:$AK$105,3,FALSE)</f>
        <v>Misc. Expense</v>
      </c>
      <c r="AF4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2" spans="18:32" x14ac:dyDescent="0.2">
      <c r="R4332" t="s">
        <v>48</v>
      </c>
      <c r="S4332" t="s">
        <v>264</v>
      </c>
      <c r="T4332" t="s">
        <v>443</v>
      </c>
      <c r="U4332" s="21">
        <v>22448.38</v>
      </c>
      <c r="V4332" s="21" t="s">
        <v>368</v>
      </c>
      <c r="W4332" t="str">
        <f>VLOOKUP(Table_Query_from_Actuarial___Production[[#This Row],[Kor1]],$AI$3:$AK$105,3,FALSE)</f>
        <v>Anticipated Salvage</v>
      </c>
      <c r="X4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2"/>
      <c r="Z4332" t="s">
        <v>38</v>
      </c>
      <c r="AA4332" t="s">
        <v>354</v>
      </c>
      <c r="AB4332" t="s">
        <v>351</v>
      </c>
      <c r="AC4332" s="21">
        <v>21460.35</v>
      </c>
      <c r="AD4332" s="21" t="s">
        <v>368</v>
      </c>
      <c r="AE4332" t="str">
        <f>VLOOKUP(Table_Query_from_Actuarial___Production3[[#This Row],[Kor1]],$AI$3:$AK$105,3,FALSE)</f>
        <v>Misc. Income</v>
      </c>
      <c r="AF4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333" spans="18:32" x14ac:dyDescent="0.2">
      <c r="R4333" t="s">
        <v>16</v>
      </c>
      <c r="S4333" t="s">
        <v>225</v>
      </c>
      <c r="T4333" t="s">
        <v>445</v>
      </c>
      <c r="U4333" s="21">
        <v>20103.16</v>
      </c>
      <c r="V4333" s="21" t="s">
        <v>369</v>
      </c>
      <c r="W4333" t="str">
        <f>VLOOKUP(Table_Query_from_Actuarial___Production[[#This Row],[Kor1]],$AI$3:$AK$105,3,FALSE)</f>
        <v>Losses Outstanding</v>
      </c>
      <c r="X4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333"/>
      <c r="Z4333" t="s">
        <v>11</v>
      </c>
      <c r="AA4333" t="s">
        <v>253</v>
      </c>
      <c r="AB4333" t="s">
        <v>433</v>
      </c>
      <c r="AC4333" s="21">
        <v>1052.52</v>
      </c>
      <c r="AD4333" s="21" t="s">
        <v>368</v>
      </c>
      <c r="AE4333" t="str">
        <f>VLOOKUP(Table_Query_from_Actuarial___Production3[[#This Row],[Kor1]],$AI$3:$AK$105,3,FALSE)</f>
        <v>Losses Paid</v>
      </c>
      <c r="AF4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4" spans="18:32" x14ac:dyDescent="0.2">
      <c r="R4334" t="s">
        <v>3</v>
      </c>
      <c r="S4334" t="s">
        <v>238</v>
      </c>
      <c r="T4334" t="s">
        <v>427</v>
      </c>
      <c r="U4334" s="21">
        <v>990784</v>
      </c>
      <c r="V4334" s="21" t="s">
        <v>368</v>
      </c>
      <c r="W4334" t="str">
        <f>VLOOKUP(Table_Query_from_Actuarial___Production[[#This Row],[Kor1]],$AI$3:$AK$105,3,FALSE)</f>
        <v>Premiums Written</v>
      </c>
      <c r="X4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4"/>
      <c r="Z4334" t="s">
        <v>20</v>
      </c>
      <c r="AA4334" t="s">
        <v>248</v>
      </c>
      <c r="AB4334" t="s">
        <v>7</v>
      </c>
      <c r="AC4334" s="21">
        <v>113.37</v>
      </c>
      <c r="AD4334" s="21" t="s">
        <v>368</v>
      </c>
      <c r="AE4334" t="str">
        <f>VLOOKUP(Table_Query_from_Actuarial___Production3[[#This Row],[Kor1]],$AI$3:$AK$105,3,FALSE)</f>
        <v>Misc. Expense</v>
      </c>
      <c r="AF4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5" spans="18:32" x14ac:dyDescent="0.2">
      <c r="R4335" t="s">
        <v>12</v>
      </c>
      <c r="S4335" t="s">
        <v>238</v>
      </c>
      <c r="T4335" t="s">
        <v>442</v>
      </c>
      <c r="U4335" s="21">
        <v>34906.06</v>
      </c>
      <c r="V4335" s="21" t="s">
        <v>368</v>
      </c>
      <c r="W4335" t="str">
        <f>VLOOKUP(Table_Query_from_Actuarial___Production[[#This Row],[Kor1]],$AI$3:$AK$105,3,FALSE)</f>
        <v>Premium Tax</v>
      </c>
      <c r="X4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5"/>
      <c r="Z4335" t="s">
        <v>43</v>
      </c>
      <c r="AA4335" t="s">
        <v>241</v>
      </c>
      <c r="AB4335" t="s">
        <v>7</v>
      </c>
      <c r="AC4335" s="21">
        <v>1462.61</v>
      </c>
      <c r="AD4335" s="21" t="s">
        <v>368</v>
      </c>
      <c r="AE4335" t="str">
        <f>VLOOKUP(Table_Query_from_Actuarial___Production3[[#This Row],[Kor1]],$AI$3:$AK$105,3,FALSE)</f>
        <v>Charge-offs</v>
      </c>
      <c r="AF4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6" spans="18:32" x14ac:dyDescent="0.2">
      <c r="R4336" t="s">
        <v>14</v>
      </c>
      <c r="S4336" t="s">
        <v>240</v>
      </c>
      <c r="T4336" t="s">
        <v>351</v>
      </c>
      <c r="U4336" s="21">
        <v>179325.02</v>
      </c>
      <c r="V4336" s="21" t="s">
        <v>368</v>
      </c>
      <c r="W4336" t="str">
        <f>VLOOKUP(Table_Query_from_Actuarial___Production[[#This Row],[Kor1]],$AI$3:$AK$105,3,FALSE)</f>
        <v>Claims Expense</v>
      </c>
      <c r="X4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6"/>
      <c r="Z4336" t="s">
        <v>11</v>
      </c>
      <c r="AA4336" t="s">
        <v>354</v>
      </c>
      <c r="AB4336" t="s">
        <v>427</v>
      </c>
      <c r="AC4336" s="21">
        <v>870911714.52999997</v>
      </c>
      <c r="AD4336" s="21" t="s">
        <v>369</v>
      </c>
      <c r="AE4336" t="str">
        <f>VLOOKUP(Table_Query_from_Actuarial___Production3[[#This Row],[Kor1]],$AI$3:$AK$105,3,FALSE)</f>
        <v>Losses Paid</v>
      </c>
      <c r="AF4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337" spans="18:32" x14ac:dyDescent="0.2">
      <c r="R4337" t="s">
        <v>31</v>
      </c>
      <c r="S4337" t="s">
        <v>263</v>
      </c>
      <c r="T4337" t="s">
        <v>442</v>
      </c>
      <c r="U4337" s="21">
        <v>1008.02</v>
      </c>
      <c r="V4337" s="21" t="s">
        <v>368</v>
      </c>
      <c r="W4337" t="str">
        <f>VLOOKUP(Table_Query_from_Actuarial___Production[[#This Row],[Kor1]],$AI$3:$AK$105,3,FALSE)</f>
        <v>Misc. Expense</v>
      </c>
      <c r="X4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7"/>
      <c r="Z4337" t="s">
        <v>14</v>
      </c>
      <c r="AA4337" t="s">
        <v>258</v>
      </c>
      <c r="AB4337" t="s">
        <v>443</v>
      </c>
      <c r="AC4337" s="21">
        <v>23960.55</v>
      </c>
      <c r="AD4337" s="21" t="s">
        <v>368</v>
      </c>
      <c r="AE4337" t="str">
        <f>VLOOKUP(Table_Query_from_Actuarial___Production3[[#This Row],[Kor1]],$AI$3:$AK$105,3,FALSE)</f>
        <v>Claims Expense</v>
      </c>
      <c r="AF4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8" spans="18:32" x14ac:dyDescent="0.2">
      <c r="R4338" t="s">
        <v>47</v>
      </c>
      <c r="S4338" t="s">
        <v>242</v>
      </c>
      <c r="T4338" t="s">
        <v>427</v>
      </c>
      <c r="U4338" s="21">
        <v>3717.9</v>
      </c>
      <c r="V4338" s="21" t="s">
        <v>368</v>
      </c>
      <c r="W4338" t="str">
        <f>VLOOKUP(Table_Query_from_Actuarial___Production[[#This Row],[Kor1]],$AI$3:$AK$105,3,FALSE)</f>
        <v>Investment Income</v>
      </c>
      <c r="X4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8"/>
      <c r="Z4338" t="s">
        <v>21</v>
      </c>
      <c r="AA4338" t="s">
        <v>232</v>
      </c>
      <c r="AB4338" t="s">
        <v>351</v>
      </c>
      <c r="AC4338" s="21">
        <v>2665.25</v>
      </c>
      <c r="AD4338" s="21" t="s">
        <v>368</v>
      </c>
      <c r="AE4338" t="str">
        <f>VLOOKUP(Table_Query_from_Actuarial___Production3[[#This Row],[Kor1]],$AI$3:$AK$105,3,FALSE)</f>
        <v>Misc. Expense</v>
      </c>
      <c r="AF4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39" spans="18:32" x14ac:dyDescent="0.2">
      <c r="R4339" t="s">
        <v>14</v>
      </c>
      <c r="S4339" t="s">
        <v>268</v>
      </c>
      <c r="T4339" t="s">
        <v>443</v>
      </c>
      <c r="U4339" s="21">
        <v>247.57</v>
      </c>
      <c r="V4339" s="21" t="s">
        <v>368</v>
      </c>
      <c r="W4339" t="str">
        <f>VLOOKUP(Table_Query_from_Actuarial___Production[[#This Row],[Kor1]],$AI$3:$AK$105,3,FALSE)</f>
        <v>Claims Expense</v>
      </c>
      <c r="X4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39"/>
      <c r="Z4339" t="s">
        <v>33</v>
      </c>
      <c r="AA4339" t="s">
        <v>236</v>
      </c>
      <c r="AB4339" t="s">
        <v>5</v>
      </c>
      <c r="AC4339" s="21">
        <v>13795.18</v>
      </c>
      <c r="AD4339" s="21" t="s">
        <v>368</v>
      </c>
      <c r="AE4339" t="str">
        <f>VLOOKUP(Table_Query_from_Actuarial___Production3[[#This Row],[Kor1]],$AI$3:$AK$105,3,FALSE)</f>
        <v>Misc. Expense</v>
      </c>
      <c r="AF4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0" spans="18:32" x14ac:dyDescent="0.2">
      <c r="R4340" t="s">
        <v>37</v>
      </c>
      <c r="S4340" t="s">
        <v>231</v>
      </c>
      <c r="T4340" t="s">
        <v>351</v>
      </c>
      <c r="U4340" s="21">
        <v>9540.76</v>
      </c>
      <c r="V4340" s="21" t="s">
        <v>368</v>
      </c>
      <c r="W4340" t="str">
        <f>VLOOKUP(Table_Query_from_Actuarial___Production[[#This Row],[Kor1]],$AI$3:$AK$105,3,FALSE)</f>
        <v>Misc. Expense</v>
      </c>
      <c r="X4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0"/>
      <c r="Z4340" t="s">
        <v>49</v>
      </c>
      <c r="AA4340" t="s">
        <v>242</v>
      </c>
      <c r="AB4340" t="s">
        <v>5</v>
      </c>
      <c r="AC4340" s="21">
        <v>13003.5</v>
      </c>
      <c r="AD4340" s="21" t="s">
        <v>368</v>
      </c>
      <c r="AE4340" t="str">
        <f>VLOOKUP(Table_Query_from_Actuarial___Production3[[#This Row],[Kor1]],$AI$3:$AK$105,3,FALSE)</f>
        <v>ALAE Paid</v>
      </c>
      <c r="AF4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1" spans="18:32" x14ac:dyDescent="0.2">
      <c r="R4341" t="s">
        <v>12</v>
      </c>
      <c r="S4341" t="s">
        <v>242</v>
      </c>
      <c r="T4341" t="s">
        <v>442</v>
      </c>
      <c r="U4341" s="21">
        <v>23477.119999999999</v>
      </c>
      <c r="V4341" s="21" t="s">
        <v>368</v>
      </c>
      <c r="W4341" t="str">
        <f>VLOOKUP(Table_Query_from_Actuarial___Production[[#This Row],[Kor1]],$AI$3:$AK$105,3,FALSE)</f>
        <v>Premium Tax</v>
      </c>
      <c r="X4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1"/>
      <c r="Z4341" t="s">
        <v>43</v>
      </c>
      <c r="AA4341" t="s">
        <v>243</v>
      </c>
      <c r="AB4341" t="s">
        <v>8</v>
      </c>
      <c r="AC4341" s="21">
        <v>-0.02</v>
      </c>
      <c r="AD4341" s="21" t="s">
        <v>368</v>
      </c>
      <c r="AE4341" t="str">
        <f>VLOOKUP(Table_Query_from_Actuarial___Production3[[#This Row],[Kor1]],$AI$3:$AK$105,3,FALSE)</f>
        <v>Charge-offs</v>
      </c>
      <c r="AF4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2" spans="18:32" x14ac:dyDescent="0.2">
      <c r="R4342" t="s">
        <v>14</v>
      </c>
      <c r="S4342" t="s">
        <v>263</v>
      </c>
      <c r="T4342" t="s">
        <v>7</v>
      </c>
      <c r="U4342" s="21">
        <v>33626.800000000003</v>
      </c>
      <c r="V4342" s="21" t="s">
        <v>368</v>
      </c>
      <c r="W4342" t="str">
        <f>VLOOKUP(Table_Query_from_Actuarial___Production[[#This Row],[Kor1]],$AI$3:$AK$105,3,FALSE)</f>
        <v>Claims Expense</v>
      </c>
      <c r="X4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2"/>
      <c r="Z4342" t="s">
        <v>43</v>
      </c>
      <c r="AA4342" t="s">
        <v>250</v>
      </c>
      <c r="AB4342" t="s">
        <v>442</v>
      </c>
      <c r="AC4342" s="21">
        <v>83.38</v>
      </c>
      <c r="AD4342" s="21" t="s">
        <v>368</v>
      </c>
      <c r="AE4342" t="str">
        <f>VLOOKUP(Table_Query_from_Actuarial___Production3[[#This Row],[Kor1]],$AI$3:$AK$105,3,FALSE)</f>
        <v>Charge-offs</v>
      </c>
      <c r="AF4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3" spans="18:32" x14ac:dyDescent="0.2">
      <c r="R4343" t="s">
        <v>21</v>
      </c>
      <c r="S4343" t="s">
        <v>245</v>
      </c>
      <c r="T4343" t="s">
        <v>8</v>
      </c>
      <c r="U4343" s="21">
        <v>1600</v>
      </c>
      <c r="V4343" s="21" t="s">
        <v>368</v>
      </c>
      <c r="W4343" t="str">
        <f>VLOOKUP(Table_Query_from_Actuarial___Production[[#This Row],[Kor1]],$AI$3:$AK$105,3,FALSE)</f>
        <v>Misc. Expense</v>
      </c>
      <c r="X4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3"/>
      <c r="Z4343" t="s">
        <v>50</v>
      </c>
      <c r="AA4343" t="s">
        <v>251</v>
      </c>
      <c r="AB4343" t="s">
        <v>441</v>
      </c>
      <c r="AC4343" s="21">
        <v>13767.88</v>
      </c>
      <c r="AD4343" s="21" t="s">
        <v>368</v>
      </c>
      <c r="AE4343" t="str">
        <f>VLOOKUP(Table_Query_from_Actuarial___Production3[[#This Row],[Kor1]],$AI$3:$AK$105,3,FALSE)</f>
        <v>ALAE Reserve</v>
      </c>
      <c r="AF4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4" spans="18:32" x14ac:dyDescent="0.2">
      <c r="R4344" t="s">
        <v>10</v>
      </c>
      <c r="S4344" t="s">
        <v>248</v>
      </c>
      <c r="T4344" t="s">
        <v>445</v>
      </c>
      <c r="U4344" s="21">
        <v>20014.55</v>
      </c>
      <c r="V4344" s="21" t="s">
        <v>368</v>
      </c>
      <c r="W4344" t="str">
        <f>VLOOKUP(Table_Query_from_Actuarial___Production[[#This Row],[Kor1]],$AI$3:$AK$105,3,FALSE)</f>
        <v>Commissions</v>
      </c>
      <c r="X4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4"/>
      <c r="Z4344" t="s">
        <v>48</v>
      </c>
      <c r="AA4344" t="s">
        <v>4</v>
      </c>
      <c r="AB4344" t="s">
        <v>356</v>
      </c>
      <c r="AC4344" s="21">
        <v>9007.75</v>
      </c>
      <c r="AD4344" s="21" t="s">
        <v>368</v>
      </c>
      <c r="AE4344" t="str">
        <f>VLOOKUP(Table_Query_from_Actuarial___Production3[[#This Row],[Kor1]],$AI$3:$AK$105,3,FALSE)</f>
        <v>Anticipated Salvage</v>
      </c>
      <c r="AF4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5" spans="18:32" x14ac:dyDescent="0.2">
      <c r="R4345" t="s">
        <v>13</v>
      </c>
      <c r="S4345" t="s">
        <v>224</v>
      </c>
      <c r="T4345" t="s">
        <v>351</v>
      </c>
      <c r="U4345" s="21">
        <v>358404.53</v>
      </c>
      <c r="V4345" s="21" t="s">
        <v>368</v>
      </c>
      <c r="W4345" t="str">
        <f>VLOOKUP(Table_Query_from_Actuarial___Production[[#This Row],[Kor1]],$AI$3:$AK$105,3,FALSE)</f>
        <v>Operating Service Fees</v>
      </c>
      <c r="X4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345"/>
      <c r="Z4345" t="s">
        <v>40</v>
      </c>
      <c r="AA4345" t="s">
        <v>244</v>
      </c>
      <c r="AB4345" t="s">
        <v>433</v>
      </c>
      <c r="AC4345" s="21">
        <v>5</v>
      </c>
      <c r="AD4345" s="21" t="s">
        <v>368</v>
      </c>
      <c r="AE4345" t="str">
        <f>VLOOKUP(Table_Query_from_Actuarial___Production3[[#This Row],[Kor1]],$AI$3:$AK$105,3,FALSE)</f>
        <v>Misc. Income</v>
      </c>
      <c r="AF4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6" spans="18:32" x14ac:dyDescent="0.2">
      <c r="R4346" t="s">
        <v>17</v>
      </c>
      <c r="S4346" t="s">
        <v>225</v>
      </c>
      <c r="T4346" t="s">
        <v>356</v>
      </c>
      <c r="U4346" s="21">
        <v>528</v>
      </c>
      <c r="V4346" s="21" t="s">
        <v>369</v>
      </c>
      <c r="W4346" t="str">
        <f>VLOOKUP(Table_Query_from_Actuarial___Production[[#This Row],[Kor1]],$AI$3:$AK$105,3,FALSE)</f>
        <v>IBNR</v>
      </c>
      <c r="X4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346"/>
      <c r="Z4346" t="s">
        <v>10</v>
      </c>
      <c r="AA4346" t="s">
        <v>224</v>
      </c>
      <c r="AB4346" t="s">
        <v>351</v>
      </c>
      <c r="AC4346" s="21">
        <v>179149.92</v>
      </c>
      <c r="AD4346" s="21" t="s">
        <v>368</v>
      </c>
      <c r="AE4346" t="str">
        <f>VLOOKUP(Table_Query_from_Actuarial___Production3[[#This Row],[Kor1]],$AI$3:$AK$105,3,FALSE)</f>
        <v>Commissions</v>
      </c>
      <c r="AF4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347" spans="18:32" x14ac:dyDescent="0.2">
      <c r="R4347" t="s">
        <v>34</v>
      </c>
      <c r="S4347" t="s">
        <v>237</v>
      </c>
      <c r="T4347" t="s">
        <v>433</v>
      </c>
      <c r="U4347" s="21">
        <v>21561.21</v>
      </c>
      <c r="V4347" s="21" t="s">
        <v>368</v>
      </c>
      <c r="W4347" t="str">
        <f>VLOOKUP(Table_Query_from_Actuarial___Production[[#This Row],[Kor1]],$AI$3:$AK$105,3,FALSE)</f>
        <v>Misc. Expense</v>
      </c>
      <c r="X4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7"/>
      <c r="Z4347" t="s">
        <v>3</v>
      </c>
      <c r="AA4347" t="s">
        <v>241</v>
      </c>
      <c r="AB4347" t="s">
        <v>356</v>
      </c>
      <c r="AC4347" s="21">
        <v>1365810</v>
      </c>
      <c r="AD4347" s="21" t="s">
        <v>368</v>
      </c>
      <c r="AE4347" t="str">
        <f>VLOOKUP(Table_Query_from_Actuarial___Production3[[#This Row],[Kor1]],$AI$3:$AK$105,3,FALSE)</f>
        <v>Premiums Written</v>
      </c>
      <c r="AF4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8" spans="18:32" x14ac:dyDescent="0.2">
      <c r="R4348" t="s">
        <v>13</v>
      </c>
      <c r="S4348" t="s">
        <v>254</v>
      </c>
      <c r="T4348" t="s">
        <v>8</v>
      </c>
      <c r="U4348" s="21">
        <v>207137.34</v>
      </c>
      <c r="V4348" s="21" t="s">
        <v>368</v>
      </c>
      <c r="W4348" t="str">
        <f>VLOOKUP(Table_Query_from_Actuarial___Production[[#This Row],[Kor1]],$AI$3:$AK$105,3,FALSE)</f>
        <v>Operating Service Fees</v>
      </c>
      <c r="X4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8"/>
      <c r="Z4348" t="s">
        <v>3</v>
      </c>
      <c r="AA4348" t="s">
        <v>267</v>
      </c>
      <c r="AB4348" t="s">
        <v>9</v>
      </c>
      <c r="AC4348" s="21">
        <v>412350</v>
      </c>
      <c r="AD4348" s="21" t="s">
        <v>368</v>
      </c>
      <c r="AE4348" t="str">
        <f>VLOOKUP(Table_Query_from_Actuarial___Production3[[#This Row],[Kor1]],$AI$3:$AK$105,3,FALSE)</f>
        <v>Premiums Written</v>
      </c>
      <c r="AF4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49" spans="18:32" x14ac:dyDescent="0.2">
      <c r="R4349" t="s">
        <v>32</v>
      </c>
      <c r="S4349" t="s">
        <v>257</v>
      </c>
      <c r="T4349" t="s">
        <v>7</v>
      </c>
      <c r="U4349" s="21">
        <v>8002.52</v>
      </c>
      <c r="V4349" s="21" t="s">
        <v>368</v>
      </c>
      <c r="W4349" t="str">
        <f>VLOOKUP(Table_Query_from_Actuarial___Production[[#This Row],[Kor1]],$AI$3:$AK$105,3,FALSE)</f>
        <v>Misc. Expense</v>
      </c>
      <c r="X4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49"/>
      <c r="Z4349" t="s">
        <v>48</v>
      </c>
      <c r="AA4349" t="s">
        <v>264</v>
      </c>
      <c r="AB4349" t="s">
        <v>443</v>
      </c>
      <c r="AC4349" s="21">
        <v>4902.22</v>
      </c>
      <c r="AD4349" s="21" t="s">
        <v>368</v>
      </c>
      <c r="AE4349" t="str">
        <f>VLOOKUP(Table_Query_from_Actuarial___Production3[[#This Row],[Kor1]],$AI$3:$AK$105,3,FALSE)</f>
        <v>Anticipated Salvage</v>
      </c>
      <c r="AF4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0" spans="18:32" x14ac:dyDescent="0.2">
      <c r="R4350" t="s">
        <v>47</v>
      </c>
      <c r="S4350" t="s">
        <v>231</v>
      </c>
      <c r="T4350" t="s">
        <v>427</v>
      </c>
      <c r="U4350" s="21">
        <v>1866.55</v>
      </c>
      <c r="V4350" s="21" t="s">
        <v>368</v>
      </c>
      <c r="W4350" t="str">
        <f>VLOOKUP(Table_Query_from_Actuarial___Production[[#This Row],[Kor1]],$AI$3:$AK$105,3,FALSE)</f>
        <v>Investment Income</v>
      </c>
      <c r="X4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0"/>
      <c r="Z4350" t="s">
        <v>3</v>
      </c>
      <c r="AA4350" t="s">
        <v>238</v>
      </c>
      <c r="AB4350" t="s">
        <v>427</v>
      </c>
      <c r="AC4350" s="21">
        <v>990784</v>
      </c>
      <c r="AD4350" s="21" t="s">
        <v>368</v>
      </c>
      <c r="AE4350" t="str">
        <f>VLOOKUP(Table_Query_from_Actuarial___Production3[[#This Row],[Kor1]],$AI$3:$AK$105,3,FALSE)</f>
        <v>Premiums Written</v>
      </c>
      <c r="AF4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1" spans="18:32" x14ac:dyDescent="0.2">
      <c r="R4351" t="s">
        <v>11</v>
      </c>
      <c r="S4351" t="s">
        <v>262</v>
      </c>
      <c r="T4351" t="s">
        <v>7</v>
      </c>
      <c r="U4351" s="21">
        <v>57265.86</v>
      </c>
      <c r="V4351" s="21" t="s">
        <v>368</v>
      </c>
      <c r="W4351" t="str">
        <f>VLOOKUP(Table_Query_from_Actuarial___Production[[#This Row],[Kor1]],$AI$3:$AK$105,3,FALSE)</f>
        <v>Losses Paid</v>
      </c>
      <c r="X4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1"/>
      <c r="Z4351" t="s">
        <v>12</v>
      </c>
      <c r="AA4351" t="s">
        <v>238</v>
      </c>
      <c r="AB4351" t="s">
        <v>442</v>
      </c>
      <c r="AC4351" s="21">
        <v>36692.29</v>
      </c>
      <c r="AD4351" s="21" t="s">
        <v>368</v>
      </c>
      <c r="AE4351" t="str">
        <f>VLOOKUP(Table_Query_from_Actuarial___Production3[[#This Row],[Kor1]],$AI$3:$AK$105,3,FALSE)</f>
        <v>Premium Tax</v>
      </c>
      <c r="AF4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2" spans="18:32" x14ac:dyDescent="0.2">
      <c r="R4352" t="s">
        <v>11</v>
      </c>
      <c r="S4352" t="s">
        <v>254</v>
      </c>
      <c r="T4352" t="s">
        <v>433</v>
      </c>
      <c r="U4352" s="21">
        <v>12178835.77</v>
      </c>
      <c r="V4352" s="21" t="s">
        <v>368</v>
      </c>
      <c r="W4352" t="str">
        <f>VLOOKUP(Table_Query_from_Actuarial___Production[[#This Row],[Kor1]],$AI$3:$AK$105,3,FALSE)</f>
        <v>Losses Paid</v>
      </c>
      <c r="X4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2"/>
      <c r="Z4352" t="s">
        <v>14</v>
      </c>
      <c r="AA4352" t="s">
        <v>240</v>
      </c>
      <c r="AB4352" t="s">
        <v>351</v>
      </c>
      <c r="AC4352" s="21">
        <v>179325.02</v>
      </c>
      <c r="AD4352" s="21" t="s">
        <v>368</v>
      </c>
      <c r="AE4352" t="str">
        <f>VLOOKUP(Table_Query_from_Actuarial___Production3[[#This Row],[Kor1]],$AI$3:$AK$105,3,FALSE)</f>
        <v>Claims Expense</v>
      </c>
      <c r="AF4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3" spans="18:32" x14ac:dyDescent="0.2">
      <c r="R4353" t="s">
        <v>439</v>
      </c>
      <c r="S4353" t="s">
        <v>260</v>
      </c>
      <c r="T4353" t="s">
        <v>443</v>
      </c>
      <c r="U4353" s="21">
        <v>-268.69</v>
      </c>
      <c r="V4353" s="21" t="s">
        <v>368</v>
      </c>
      <c r="W4353" t="str">
        <f>VLOOKUP(Table_Query_from_Actuarial___Production[[#This Row],[Kor1]],$AI$3:$AK$105,3,FALSE)</f>
        <v>Operating Service Fees</v>
      </c>
      <c r="X4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3"/>
      <c r="Z4353" t="s">
        <v>31</v>
      </c>
      <c r="AA4353" t="s">
        <v>263</v>
      </c>
      <c r="AB4353" t="s">
        <v>442</v>
      </c>
      <c r="AC4353" s="21">
        <v>1008.02</v>
      </c>
      <c r="AD4353" s="21" t="s">
        <v>368</v>
      </c>
      <c r="AE4353" t="str">
        <f>VLOOKUP(Table_Query_from_Actuarial___Production3[[#This Row],[Kor1]],$AI$3:$AK$105,3,FALSE)</f>
        <v>Misc. Expense</v>
      </c>
      <c r="AF4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4" spans="18:32" x14ac:dyDescent="0.2">
      <c r="R4354" t="s">
        <v>12</v>
      </c>
      <c r="S4354" t="s">
        <v>239</v>
      </c>
      <c r="T4354" t="s">
        <v>6</v>
      </c>
      <c r="U4354" s="21">
        <v>1129</v>
      </c>
      <c r="V4354" s="21" t="s">
        <v>368</v>
      </c>
      <c r="W4354" t="str">
        <f>VLOOKUP(Table_Query_from_Actuarial___Production[[#This Row],[Kor1]],$AI$3:$AK$105,3,FALSE)</f>
        <v>Premium Tax</v>
      </c>
      <c r="X4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4"/>
      <c r="Z4354" t="s">
        <v>47</v>
      </c>
      <c r="AA4354" t="s">
        <v>242</v>
      </c>
      <c r="AB4354" t="s">
        <v>427</v>
      </c>
      <c r="AC4354" s="21">
        <v>3717.9</v>
      </c>
      <c r="AD4354" s="21" t="s">
        <v>368</v>
      </c>
      <c r="AE4354" t="str">
        <f>VLOOKUP(Table_Query_from_Actuarial___Production3[[#This Row],[Kor1]],$AI$3:$AK$105,3,FALSE)</f>
        <v>Investment Income</v>
      </c>
      <c r="AF4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5" spans="18:32" x14ac:dyDescent="0.2">
      <c r="R4355" t="s">
        <v>15</v>
      </c>
      <c r="S4355" t="s">
        <v>251</v>
      </c>
      <c r="T4355" t="s">
        <v>443</v>
      </c>
      <c r="U4355" s="21">
        <v>40197.050000000003</v>
      </c>
      <c r="V4355" s="21" t="s">
        <v>368</v>
      </c>
      <c r="W4355" t="str">
        <f>VLOOKUP(Table_Query_from_Actuarial___Production[[#This Row],[Kor1]],$AI$3:$AK$105,3,FALSE)</f>
        <v>Unearned Premiums</v>
      </c>
      <c r="X4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5"/>
      <c r="Z4355" t="s">
        <v>14</v>
      </c>
      <c r="AA4355" t="s">
        <v>268</v>
      </c>
      <c r="AB4355" t="s">
        <v>443</v>
      </c>
      <c r="AC4355" s="21">
        <v>5.77</v>
      </c>
      <c r="AD4355" s="21" t="s">
        <v>368</v>
      </c>
      <c r="AE4355" t="str">
        <f>VLOOKUP(Table_Query_from_Actuarial___Production3[[#This Row],[Kor1]],$AI$3:$AK$105,3,FALSE)</f>
        <v>Claims Expense</v>
      </c>
      <c r="AF4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6" spans="18:32" x14ac:dyDescent="0.2">
      <c r="R4356" t="s">
        <v>37</v>
      </c>
      <c r="S4356" t="s">
        <v>251</v>
      </c>
      <c r="T4356" t="s">
        <v>441</v>
      </c>
      <c r="U4356" s="21">
        <v>2819.5</v>
      </c>
      <c r="V4356" s="21" t="s">
        <v>368</v>
      </c>
      <c r="W4356" t="str">
        <f>VLOOKUP(Table_Query_from_Actuarial___Production[[#This Row],[Kor1]],$AI$3:$AK$105,3,FALSE)</f>
        <v>Misc. Expense</v>
      </c>
      <c r="X4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6"/>
      <c r="Z4356" t="s">
        <v>37</v>
      </c>
      <c r="AA4356" t="s">
        <v>231</v>
      </c>
      <c r="AB4356" t="s">
        <v>351</v>
      </c>
      <c r="AC4356" s="21">
        <v>9540.76</v>
      </c>
      <c r="AD4356" s="21" t="s">
        <v>368</v>
      </c>
      <c r="AE4356" t="str">
        <f>VLOOKUP(Table_Query_from_Actuarial___Production3[[#This Row],[Kor1]],$AI$3:$AK$105,3,FALSE)</f>
        <v>Misc. Expense</v>
      </c>
      <c r="AF4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7" spans="18:32" x14ac:dyDescent="0.2">
      <c r="R4357" t="s">
        <v>47</v>
      </c>
      <c r="S4357" t="s">
        <v>253</v>
      </c>
      <c r="T4357" t="s">
        <v>356</v>
      </c>
      <c r="U4357" s="21">
        <v>907.13</v>
      </c>
      <c r="V4357" s="21" t="s">
        <v>368</v>
      </c>
      <c r="W4357" t="str">
        <f>VLOOKUP(Table_Query_from_Actuarial___Production[[#This Row],[Kor1]],$AI$3:$AK$105,3,FALSE)</f>
        <v>Investment Income</v>
      </c>
      <c r="X4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7"/>
      <c r="Z4357" t="s">
        <v>12</v>
      </c>
      <c r="AA4357" t="s">
        <v>242</v>
      </c>
      <c r="AB4357" t="s">
        <v>442</v>
      </c>
      <c r="AC4357" s="21">
        <v>24066.7</v>
      </c>
      <c r="AD4357" s="21" t="s">
        <v>368</v>
      </c>
      <c r="AE4357" t="str">
        <f>VLOOKUP(Table_Query_from_Actuarial___Production3[[#This Row],[Kor1]],$AI$3:$AK$105,3,FALSE)</f>
        <v>Premium Tax</v>
      </c>
      <c r="AF4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8" spans="18:32" x14ac:dyDescent="0.2">
      <c r="R4358" t="s">
        <v>12</v>
      </c>
      <c r="S4358" t="s">
        <v>228</v>
      </c>
      <c r="T4358" t="s">
        <v>356</v>
      </c>
      <c r="U4358" s="21">
        <v>3237.76</v>
      </c>
      <c r="V4358" s="21" t="s">
        <v>368</v>
      </c>
      <c r="W4358" t="str">
        <f>VLOOKUP(Table_Query_from_Actuarial___Production[[#This Row],[Kor1]],$AI$3:$AK$105,3,FALSE)</f>
        <v>Premium Tax</v>
      </c>
      <c r="X4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8"/>
      <c r="Z4358" t="s">
        <v>14</v>
      </c>
      <c r="AA4358" t="s">
        <v>263</v>
      </c>
      <c r="AB4358" t="s">
        <v>7</v>
      </c>
      <c r="AC4358" s="21">
        <v>33626.800000000003</v>
      </c>
      <c r="AD4358" s="21" t="s">
        <v>368</v>
      </c>
      <c r="AE4358" t="str">
        <f>VLOOKUP(Table_Query_from_Actuarial___Production3[[#This Row],[Kor1]],$AI$3:$AK$105,3,FALSE)</f>
        <v>Claims Expense</v>
      </c>
      <c r="AF4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59" spans="18:32" x14ac:dyDescent="0.2">
      <c r="R4359" t="s">
        <v>15</v>
      </c>
      <c r="S4359" t="s">
        <v>238</v>
      </c>
      <c r="T4359" t="s">
        <v>443</v>
      </c>
      <c r="U4359" s="21">
        <v>553081</v>
      </c>
      <c r="V4359" s="21" t="s">
        <v>368</v>
      </c>
      <c r="W4359" t="str">
        <f>VLOOKUP(Table_Query_from_Actuarial___Production[[#This Row],[Kor1]],$AI$3:$AK$105,3,FALSE)</f>
        <v>Unearned Premiums</v>
      </c>
      <c r="X4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59"/>
      <c r="Z4359" t="s">
        <v>21</v>
      </c>
      <c r="AA4359" t="s">
        <v>245</v>
      </c>
      <c r="AB4359" t="s">
        <v>8</v>
      </c>
      <c r="AC4359" s="21">
        <v>1600</v>
      </c>
      <c r="AD4359" s="21" t="s">
        <v>368</v>
      </c>
      <c r="AE4359" t="str">
        <f>VLOOKUP(Table_Query_from_Actuarial___Production3[[#This Row],[Kor1]],$AI$3:$AK$105,3,FALSE)</f>
        <v>Misc. Expense</v>
      </c>
      <c r="AF4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0" spans="18:32" x14ac:dyDescent="0.2">
      <c r="R4360" t="s">
        <v>19</v>
      </c>
      <c r="S4360" t="s">
        <v>228</v>
      </c>
      <c r="T4360" t="s">
        <v>9</v>
      </c>
      <c r="U4360" s="21">
        <v>30</v>
      </c>
      <c r="V4360" s="21" t="s">
        <v>368</v>
      </c>
      <c r="W4360" t="str">
        <f>VLOOKUP(Table_Query_from_Actuarial___Production[[#This Row],[Kor1]],$AI$3:$AK$105,3,FALSE)</f>
        <v>Misc. Expense for Insolvent Companies</v>
      </c>
      <c r="X4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0"/>
      <c r="Z4360" t="s">
        <v>13</v>
      </c>
      <c r="AA4360" t="s">
        <v>224</v>
      </c>
      <c r="AB4360" t="s">
        <v>351</v>
      </c>
      <c r="AC4360" s="21">
        <v>358404.53</v>
      </c>
      <c r="AD4360" s="21" t="s">
        <v>368</v>
      </c>
      <c r="AE4360" t="str">
        <f>VLOOKUP(Table_Query_from_Actuarial___Production3[[#This Row],[Kor1]],$AI$3:$AK$105,3,FALSE)</f>
        <v>Operating Service Fees</v>
      </c>
      <c r="AF4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361" spans="18:32" x14ac:dyDescent="0.2">
      <c r="R4361" t="s">
        <v>21</v>
      </c>
      <c r="S4361" t="s">
        <v>246</v>
      </c>
      <c r="T4361" t="s">
        <v>427</v>
      </c>
      <c r="U4361" s="21">
        <v>1107.81</v>
      </c>
      <c r="V4361" s="21" t="s">
        <v>368</v>
      </c>
      <c r="W4361" t="str">
        <f>VLOOKUP(Table_Query_from_Actuarial___Production[[#This Row],[Kor1]],$AI$3:$AK$105,3,FALSE)</f>
        <v>Misc. Expense</v>
      </c>
      <c r="X4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1"/>
      <c r="Z4361" t="s">
        <v>17</v>
      </c>
      <c r="AA4361" t="s">
        <v>225</v>
      </c>
      <c r="AB4361" t="s">
        <v>356</v>
      </c>
      <c r="AC4361" s="21">
        <v>-1743.94</v>
      </c>
      <c r="AD4361" s="21" t="s">
        <v>369</v>
      </c>
      <c r="AE4361" t="str">
        <f>VLOOKUP(Table_Query_from_Actuarial___Production3[[#This Row],[Kor1]],$AI$3:$AK$105,3,FALSE)</f>
        <v>IBNR</v>
      </c>
      <c r="AF4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362" spans="18:32" x14ac:dyDescent="0.2">
      <c r="R4362" t="s">
        <v>11</v>
      </c>
      <c r="S4362" t="s">
        <v>255</v>
      </c>
      <c r="T4362" t="s">
        <v>8</v>
      </c>
      <c r="U4362" s="21">
        <v>9389.2900000000009</v>
      </c>
      <c r="V4362" s="21" t="s">
        <v>368</v>
      </c>
      <c r="W4362" t="str">
        <f>VLOOKUP(Table_Query_from_Actuarial___Production[[#This Row],[Kor1]],$AI$3:$AK$105,3,FALSE)</f>
        <v>Losses Paid</v>
      </c>
      <c r="X4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2"/>
      <c r="Z4362" t="s">
        <v>34</v>
      </c>
      <c r="AA4362" t="s">
        <v>237</v>
      </c>
      <c r="AB4362" t="s">
        <v>433</v>
      </c>
      <c r="AC4362" s="21">
        <v>21561.21</v>
      </c>
      <c r="AD4362" s="21" t="s">
        <v>368</v>
      </c>
      <c r="AE4362" t="str">
        <f>VLOOKUP(Table_Query_from_Actuarial___Production3[[#This Row],[Kor1]],$AI$3:$AK$105,3,FALSE)</f>
        <v>Misc. Expense</v>
      </c>
      <c r="AF4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3" spans="18:32" x14ac:dyDescent="0.2">
      <c r="R4363" t="s">
        <v>32</v>
      </c>
      <c r="S4363" t="s">
        <v>230</v>
      </c>
      <c r="T4363" t="s">
        <v>356</v>
      </c>
      <c r="U4363" s="21">
        <v>-31240.1</v>
      </c>
      <c r="V4363" s="21" t="s">
        <v>368</v>
      </c>
      <c r="W4363" t="str">
        <f>VLOOKUP(Table_Query_from_Actuarial___Production[[#This Row],[Kor1]],$AI$3:$AK$105,3,FALSE)</f>
        <v>Misc. Expense</v>
      </c>
      <c r="X4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3"/>
      <c r="Z4363" t="s">
        <v>13</v>
      </c>
      <c r="AA4363" t="s">
        <v>254</v>
      </c>
      <c r="AB4363" t="s">
        <v>8</v>
      </c>
      <c r="AC4363" s="21">
        <v>207137.34</v>
      </c>
      <c r="AD4363" s="21" t="s">
        <v>368</v>
      </c>
      <c r="AE4363" t="str">
        <f>VLOOKUP(Table_Query_from_Actuarial___Production3[[#This Row],[Kor1]],$AI$3:$AK$105,3,FALSE)</f>
        <v>Operating Service Fees</v>
      </c>
      <c r="AF4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4" spans="18:32" x14ac:dyDescent="0.2">
      <c r="R4364" t="s">
        <v>39</v>
      </c>
      <c r="S4364" t="s">
        <v>238</v>
      </c>
      <c r="T4364" t="s">
        <v>7</v>
      </c>
      <c r="U4364" s="21">
        <v>29</v>
      </c>
      <c r="V4364" s="21" t="s">
        <v>368</v>
      </c>
      <c r="W4364" t="str">
        <f>VLOOKUP(Table_Query_from_Actuarial___Production[[#This Row],[Kor1]],$AI$3:$AK$105,3,FALSE)</f>
        <v>Misc. Income for Insolvent Companies</v>
      </c>
      <c r="X4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4"/>
      <c r="Z4364" t="s">
        <v>32</v>
      </c>
      <c r="AA4364" t="s">
        <v>257</v>
      </c>
      <c r="AB4364" t="s">
        <v>7</v>
      </c>
      <c r="AC4364" s="21">
        <v>8002.52</v>
      </c>
      <c r="AD4364" s="21" t="s">
        <v>368</v>
      </c>
      <c r="AE4364" t="str">
        <f>VLOOKUP(Table_Query_from_Actuarial___Production3[[#This Row],[Kor1]],$AI$3:$AK$105,3,FALSE)</f>
        <v>Misc. Expense</v>
      </c>
      <c r="AF4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5" spans="18:32" x14ac:dyDescent="0.2">
      <c r="R4365" t="s">
        <v>47</v>
      </c>
      <c r="S4365" t="s">
        <v>234</v>
      </c>
      <c r="T4365" t="s">
        <v>7</v>
      </c>
      <c r="U4365" s="21">
        <v>0.05</v>
      </c>
      <c r="V4365" s="21" t="s">
        <v>368</v>
      </c>
      <c r="W4365" t="str">
        <f>VLOOKUP(Table_Query_from_Actuarial___Production[[#This Row],[Kor1]],$AI$3:$AK$105,3,FALSE)</f>
        <v>Investment Income</v>
      </c>
      <c r="X4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5"/>
      <c r="Z4365" t="s">
        <v>47</v>
      </c>
      <c r="AA4365" t="s">
        <v>231</v>
      </c>
      <c r="AB4365" t="s">
        <v>427</v>
      </c>
      <c r="AC4365" s="21">
        <v>1866.55</v>
      </c>
      <c r="AD4365" s="21" t="s">
        <v>368</v>
      </c>
      <c r="AE4365" t="str">
        <f>VLOOKUP(Table_Query_from_Actuarial___Production3[[#This Row],[Kor1]],$AI$3:$AK$105,3,FALSE)</f>
        <v>Investment Income</v>
      </c>
      <c r="AF4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6" spans="18:32" x14ac:dyDescent="0.2">
      <c r="R4366" t="s">
        <v>13</v>
      </c>
      <c r="S4366" t="s">
        <v>226</v>
      </c>
      <c r="T4366" t="s">
        <v>351</v>
      </c>
      <c r="U4366" s="21">
        <v>1133658.76</v>
      </c>
      <c r="V4366" s="21" t="s">
        <v>368</v>
      </c>
      <c r="W4366" t="str">
        <f>VLOOKUP(Table_Query_from_Actuarial___Production[[#This Row],[Kor1]],$AI$3:$AK$105,3,FALSE)</f>
        <v>Operating Service Fees</v>
      </c>
      <c r="X4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366"/>
      <c r="Z4366" t="s">
        <v>16</v>
      </c>
      <c r="AA4366" t="s">
        <v>224</v>
      </c>
      <c r="AB4366" t="s">
        <v>433</v>
      </c>
      <c r="AC4366" s="21">
        <v>9287.7199999999993</v>
      </c>
      <c r="AD4366" s="21" t="s">
        <v>370</v>
      </c>
      <c r="AE4366" t="str">
        <f>VLOOKUP(Table_Query_from_Actuarial___Production3[[#This Row],[Kor1]],$AI$3:$AK$105,3,FALSE)</f>
        <v>Losses Outstanding</v>
      </c>
      <c r="AF4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367" spans="18:32" x14ac:dyDescent="0.2">
      <c r="R4367" t="s">
        <v>11</v>
      </c>
      <c r="S4367" t="s">
        <v>248</v>
      </c>
      <c r="T4367" t="s">
        <v>351</v>
      </c>
      <c r="U4367" s="21">
        <v>56720.77</v>
      </c>
      <c r="V4367" s="21" t="s">
        <v>368</v>
      </c>
      <c r="W4367" t="str">
        <f>VLOOKUP(Table_Query_from_Actuarial___Production[[#This Row],[Kor1]],$AI$3:$AK$105,3,FALSE)</f>
        <v>Losses Paid</v>
      </c>
      <c r="X4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7"/>
      <c r="Z4367" t="s">
        <v>11</v>
      </c>
      <c r="AA4367" t="s">
        <v>262</v>
      </c>
      <c r="AB4367" t="s">
        <v>7</v>
      </c>
      <c r="AC4367" s="21">
        <v>57265.86</v>
      </c>
      <c r="AD4367" s="21" t="s">
        <v>368</v>
      </c>
      <c r="AE4367" t="str">
        <f>VLOOKUP(Table_Query_from_Actuarial___Production3[[#This Row],[Kor1]],$AI$3:$AK$105,3,FALSE)</f>
        <v>Losses Paid</v>
      </c>
      <c r="AF4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8" spans="18:32" x14ac:dyDescent="0.2">
      <c r="R4368" t="s">
        <v>43</v>
      </c>
      <c r="S4368" t="s">
        <v>252</v>
      </c>
      <c r="T4368" t="s">
        <v>427</v>
      </c>
      <c r="U4368" s="21">
        <v>73161.78</v>
      </c>
      <c r="V4368" s="21" t="s">
        <v>368</v>
      </c>
      <c r="W4368" t="str">
        <f>VLOOKUP(Table_Query_from_Actuarial___Production[[#This Row],[Kor1]],$AI$3:$AK$105,3,FALSE)</f>
        <v>Charge-offs</v>
      </c>
      <c r="X4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8"/>
      <c r="Z4368" t="s">
        <v>11</v>
      </c>
      <c r="AA4368" t="s">
        <v>254</v>
      </c>
      <c r="AB4368" t="s">
        <v>433</v>
      </c>
      <c r="AC4368" s="21">
        <v>9160381.9700000007</v>
      </c>
      <c r="AD4368" s="21" t="s">
        <v>368</v>
      </c>
      <c r="AE4368" t="str">
        <f>VLOOKUP(Table_Query_from_Actuarial___Production3[[#This Row],[Kor1]],$AI$3:$AK$105,3,FALSE)</f>
        <v>Losses Paid</v>
      </c>
      <c r="AF4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69" spans="18:32" x14ac:dyDescent="0.2">
      <c r="R4369" t="s">
        <v>3</v>
      </c>
      <c r="S4369" t="s">
        <v>237</v>
      </c>
      <c r="T4369" t="s">
        <v>356</v>
      </c>
      <c r="U4369" s="21">
        <v>41363523</v>
      </c>
      <c r="V4369" s="21" t="s">
        <v>368</v>
      </c>
      <c r="W4369" t="str">
        <f>VLOOKUP(Table_Query_from_Actuarial___Production[[#This Row],[Kor1]],$AI$3:$AK$105,3,FALSE)</f>
        <v>Premiums Written</v>
      </c>
      <c r="X4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69"/>
      <c r="Z4369" t="s">
        <v>16</v>
      </c>
      <c r="AA4369" t="s">
        <v>255</v>
      </c>
      <c r="AB4369" t="s">
        <v>442</v>
      </c>
      <c r="AC4369" s="21">
        <v>111822.2</v>
      </c>
      <c r="AD4369" s="21" t="s">
        <v>368</v>
      </c>
      <c r="AE4369" t="str">
        <f>VLOOKUP(Table_Query_from_Actuarial___Production3[[#This Row],[Kor1]],$AI$3:$AK$105,3,FALSE)</f>
        <v>Losses Outstanding</v>
      </c>
      <c r="AF4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0" spans="18:32" x14ac:dyDescent="0.2">
      <c r="R4370" t="s">
        <v>15</v>
      </c>
      <c r="S4370" t="s">
        <v>260</v>
      </c>
      <c r="T4370" t="s">
        <v>445</v>
      </c>
      <c r="U4370" s="21">
        <v>45078.65</v>
      </c>
      <c r="V4370" s="21" t="s">
        <v>368</v>
      </c>
      <c r="W4370" t="str">
        <f>VLOOKUP(Table_Query_from_Actuarial___Production[[#This Row],[Kor1]],$AI$3:$AK$105,3,FALSE)</f>
        <v>Unearned Premiums</v>
      </c>
      <c r="X4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0"/>
      <c r="Z4370" t="s">
        <v>439</v>
      </c>
      <c r="AA4370" t="s">
        <v>260</v>
      </c>
      <c r="AB4370" t="s">
        <v>443</v>
      </c>
      <c r="AC4370" s="21">
        <v>-268.69</v>
      </c>
      <c r="AD4370" s="21" t="s">
        <v>368</v>
      </c>
      <c r="AE4370" t="str">
        <f>VLOOKUP(Table_Query_from_Actuarial___Production3[[#This Row],[Kor1]],$AI$3:$AK$105,3,FALSE)</f>
        <v>Operating Service Fees</v>
      </c>
      <c r="AF4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1" spans="18:32" x14ac:dyDescent="0.2">
      <c r="R4371" t="s">
        <v>31</v>
      </c>
      <c r="S4371" t="s">
        <v>230</v>
      </c>
      <c r="T4371" t="s">
        <v>7</v>
      </c>
      <c r="U4371" s="21">
        <v>-671.14</v>
      </c>
      <c r="V4371" s="21" t="s">
        <v>368</v>
      </c>
      <c r="W4371" t="str">
        <f>VLOOKUP(Table_Query_from_Actuarial___Production[[#This Row],[Kor1]],$AI$3:$AK$105,3,FALSE)</f>
        <v>Misc. Expense</v>
      </c>
      <c r="X4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1"/>
      <c r="Z4371" t="s">
        <v>12</v>
      </c>
      <c r="AA4371" t="s">
        <v>239</v>
      </c>
      <c r="AB4371" t="s">
        <v>6</v>
      </c>
      <c r="AC4371" s="21">
        <v>1129</v>
      </c>
      <c r="AD4371" s="21" t="s">
        <v>368</v>
      </c>
      <c r="AE4371" t="str">
        <f>VLOOKUP(Table_Query_from_Actuarial___Production3[[#This Row],[Kor1]],$AI$3:$AK$105,3,FALSE)</f>
        <v>Premium Tax</v>
      </c>
      <c r="AF4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2" spans="18:32" x14ac:dyDescent="0.2">
      <c r="R4372" t="s">
        <v>37</v>
      </c>
      <c r="S4372" t="s">
        <v>238</v>
      </c>
      <c r="T4372" t="s">
        <v>433</v>
      </c>
      <c r="U4372" s="21">
        <v>1247.22</v>
      </c>
      <c r="V4372" s="21" t="s">
        <v>368</v>
      </c>
      <c r="W4372" t="str">
        <f>VLOOKUP(Table_Query_from_Actuarial___Production[[#This Row],[Kor1]],$AI$3:$AK$105,3,FALSE)</f>
        <v>Misc. Expense</v>
      </c>
      <c r="X4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2"/>
      <c r="Z4372" t="s">
        <v>15</v>
      </c>
      <c r="AA4372" t="s">
        <v>251</v>
      </c>
      <c r="AB4372" t="s">
        <v>443</v>
      </c>
      <c r="AC4372" s="21">
        <v>112696.84</v>
      </c>
      <c r="AD4372" s="21" t="s">
        <v>368</v>
      </c>
      <c r="AE4372" t="str">
        <f>VLOOKUP(Table_Query_from_Actuarial___Production3[[#This Row],[Kor1]],$AI$3:$AK$105,3,FALSE)</f>
        <v>Unearned Premiums</v>
      </c>
      <c r="AF4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3" spans="18:32" x14ac:dyDescent="0.2">
      <c r="R4373" t="s">
        <v>40</v>
      </c>
      <c r="S4373" t="s">
        <v>253</v>
      </c>
      <c r="T4373" t="s">
        <v>351</v>
      </c>
      <c r="U4373" s="21">
        <v>13</v>
      </c>
      <c r="V4373" s="21" t="s">
        <v>368</v>
      </c>
      <c r="W4373" t="str">
        <f>VLOOKUP(Table_Query_from_Actuarial___Production[[#This Row],[Kor1]],$AI$3:$AK$105,3,FALSE)</f>
        <v>Misc. Income</v>
      </c>
      <c r="X4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3"/>
      <c r="Z4373" t="s">
        <v>37</v>
      </c>
      <c r="AA4373" t="s">
        <v>251</v>
      </c>
      <c r="AB4373" t="s">
        <v>441</v>
      </c>
      <c r="AC4373" s="21">
        <v>2819.5</v>
      </c>
      <c r="AD4373" s="21" t="s">
        <v>368</v>
      </c>
      <c r="AE4373" t="str">
        <f>VLOOKUP(Table_Query_from_Actuarial___Production3[[#This Row],[Kor1]],$AI$3:$AK$105,3,FALSE)</f>
        <v>Misc. Expense</v>
      </c>
      <c r="AF4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4" spans="18:32" x14ac:dyDescent="0.2">
      <c r="R4374" t="s">
        <v>12</v>
      </c>
      <c r="S4374" t="s">
        <v>262</v>
      </c>
      <c r="T4374" t="s">
        <v>7</v>
      </c>
      <c r="U4374" s="21">
        <v>6928.76</v>
      </c>
      <c r="V4374" s="21" t="s">
        <v>368</v>
      </c>
      <c r="W4374" t="str">
        <f>VLOOKUP(Table_Query_from_Actuarial___Production[[#This Row],[Kor1]],$AI$3:$AK$105,3,FALSE)</f>
        <v>Premium Tax</v>
      </c>
      <c r="X4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4"/>
      <c r="Z4374" t="s">
        <v>47</v>
      </c>
      <c r="AA4374" t="s">
        <v>253</v>
      </c>
      <c r="AB4374" t="s">
        <v>356</v>
      </c>
      <c r="AC4374" s="21">
        <v>907.13</v>
      </c>
      <c r="AD4374" s="21" t="s">
        <v>368</v>
      </c>
      <c r="AE4374" t="str">
        <f>VLOOKUP(Table_Query_from_Actuarial___Production3[[#This Row],[Kor1]],$AI$3:$AK$105,3,FALSE)</f>
        <v>Investment Income</v>
      </c>
      <c r="AF4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5" spans="18:32" x14ac:dyDescent="0.2">
      <c r="R4375" t="s">
        <v>21</v>
      </c>
      <c r="S4375" t="s">
        <v>241</v>
      </c>
      <c r="T4375" t="s">
        <v>433</v>
      </c>
      <c r="U4375" s="21">
        <v>2165.6799999999998</v>
      </c>
      <c r="V4375" s="21" t="s">
        <v>368</v>
      </c>
      <c r="W4375" t="str">
        <f>VLOOKUP(Table_Query_from_Actuarial___Production[[#This Row],[Kor1]],$AI$3:$AK$105,3,FALSE)</f>
        <v>Misc. Expense</v>
      </c>
      <c r="X4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5"/>
      <c r="Z4375" t="s">
        <v>12</v>
      </c>
      <c r="AA4375" t="s">
        <v>228</v>
      </c>
      <c r="AB4375" t="s">
        <v>356</v>
      </c>
      <c r="AC4375" s="21">
        <v>3237.76</v>
      </c>
      <c r="AD4375" s="21" t="s">
        <v>368</v>
      </c>
      <c r="AE4375" t="str">
        <f>VLOOKUP(Table_Query_from_Actuarial___Production3[[#This Row],[Kor1]],$AI$3:$AK$105,3,FALSE)</f>
        <v>Premium Tax</v>
      </c>
      <c r="AF4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6" spans="18:32" x14ac:dyDescent="0.2">
      <c r="R4376" t="s">
        <v>3</v>
      </c>
      <c r="S4376" t="s">
        <v>259</v>
      </c>
      <c r="T4376" t="s">
        <v>7</v>
      </c>
      <c r="U4376" s="21">
        <v>95123</v>
      </c>
      <c r="V4376" s="21" t="s">
        <v>368</v>
      </c>
      <c r="W4376" t="str">
        <f>VLOOKUP(Table_Query_from_Actuarial___Production[[#This Row],[Kor1]],$AI$3:$AK$105,3,FALSE)</f>
        <v>Premiums Written</v>
      </c>
      <c r="X4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6"/>
      <c r="Z4376" t="s">
        <v>15</v>
      </c>
      <c r="AA4376" t="s">
        <v>238</v>
      </c>
      <c r="AB4376" t="s">
        <v>443</v>
      </c>
      <c r="AC4376" s="21">
        <v>392322</v>
      </c>
      <c r="AD4376" s="21" t="s">
        <v>368</v>
      </c>
      <c r="AE4376" t="str">
        <f>VLOOKUP(Table_Query_from_Actuarial___Production3[[#This Row],[Kor1]],$AI$3:$AK$105,3,FALSE)</f>
        <v>Unearned Premiums</v>
      </c>
      <c r="AF4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7" spans="18:32" x14ac:dyDescent="0.2">
      <c r="R4377" t="s">
        <v>41</v>
      </c>
      <c r="S4377" t="s">
        <v>260</v>
      </c>
      <c r="T4377" t="s">
        <v>6</v>
      </c>
      <c r="U4377" s="21">
        <v>487</v>
      </c>
      <c r="V4377" s="21" t="s">
        <v>368</v>
      </c>
      <c r="W4377" t="str">
        <f>VLOOKUP(Table_Query_from_Actuarial___Production[[#This Row],[Kor1]],$AI$3:$AK$105,3,FALSE)</f>
        <v>Misc. Income</v>
      </c>
      <c r="X4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7"/>
      <c r="Z4377" t="s">
        <v>19</v>
      </c>
      <c r="AA4377" t="s">
        <v>228</v>
      </c>
      <c r="AB4377" t="s">
        <v>9</v>
      </c>
      <c r="AC4377" s="21">
        <v>30</v>
      </c>
      <c r="AD4377" s="21" t="s">
        <v>368</v>
      </c>
      <c r="AE4377" t="str">
        <f>VLOOKUP(Table_Query_from_Actuarial___Production3[[#This Row],[Kor1]],$AI$3:$AK$105,3,FALSE)</f>
        <v>Misc. Expense for Insolvent Companies</v>
      </c>
      <c r="AF4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8" spans="18:32" x14ac:dyDescent="0.2">
      <c r="R4378" t="s">
        <v>19</v>
      </c>
      <c r="S4378" t="s">
        <v>246</v>
      </c>
      <c r="T4378" t="s">
        <v>351</v>
      </c>
      <c r="U4378" s="21">
        <v>5524.99</v>
      </c>
      <c r="V4378" s="21" t="s">
        <v>368</v>
      </c>
      <c r="W4378" t="str">
        <f>VLOOKUP(Table_Query_from_Actuarial___Production[[#This Row],[Kor1]],$AI$3:$AK$105,3,FALSE)</f>
        <v>Misc. Expense for Insolvent Companies</v>
      </c>
      <c r="X4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78"/>
      <c r="Z4378" t="s">
        <v>21</v>
      </c>
      <c r="AA4378" t="s">
        <v>246</v>
      </c>
      <c r="AB4378" t="s">
        <v>427</v>
      </c>
      <c r="AC4378" s="21">
        <v>1107.81</v>
      </c>
      <c r="AD4378" s="21" t="s">
        <v>368</v>
      </c>
      <c r="AE4378" t="str">
        <f>VLOOKUP(Table_Query_from_Actuarial___Production3[[#This Row],[Kor1]],$AI$3:$AK$105,3,FALSE)</f>
        <v>Misc. Expense</v>
      </c>
      <c r="AF4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79" spans="18:32" x14ac:dyDescent="0.2">
      <c r="R4379" t="s">
        <v>46</v>
      </c>
      <c r="S4379" t="s">
        <v>354</v>
      </c>
      <c r="T4379" t="s">
        <v>9</v>
      </c>
      <c r="U4379" s="21">
        <v>1967309.92</v>
      </c>
      <c r="V4379" s="21" t="s">
        <v>368</v>
      </c>
      <c r="W4379" t="str">
        <f>VLOOKUP(Table_Query_from_Actuarial___Production[[#This Row],[Kor1]],$AI$3:$AK$105,3,FALSE)</f>
        <v>Investment Income</v>
      </c>
      <c r="X4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379"/>
      <c r="Z4379" t="s">
        <v>11</v>
      </c>
      <c r="AA4379" t="s">
        <v>255</v>
      </c>
      <c r="AB4379" t="s">
        <v>8</v>
      </c>
      <c r="AC4379" s="21">
        <v>9389.2900000000009</v>
      </c>
      <c r="AD4379" s="21" t="s">
        <v>368</v>
      </c>
      <c r="AE4379" t="str">
        <f>VLOOKUP(Table_Query_from_Actuarial___Production3[[#This Row],[Kor1]],$AI$3:$AK$105,3,FALSE)</f>
        <v>Losses Paid</v>
      </c>
      <c r="AF4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0" spans="18:32" x14ac:dyDescent="0.2">
      <c r="R4380" t="s">
        <v>3</v>
      </c>
      <c r="S4380" t="s">
        <v>250</v>
      </c>
      <c r="T4380" t="s">
        <v>443</v>
      </c>
      <c r="U4380" s="21">
        <v>847841</v>
      </c>
      <c r="V4380" s="21" t="s">
        <v>368</v>
      </c>
      <c r="W4380" t="str">
        <f>VLOOKUP(Table_Query_from_Actuarial___Production[[#This Row],[Kor1]],$AI$3:$AK$105,3,FALSE)</f>
        <v>Premiums Written</v>
      </c>
      <c r="X4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0"/>
      <c r="Z4380" t="s">
        <v>32</v>
      </c>
      <c r="AA4380" t="s">
        <v>230</v>
      </c>
      <c r="AB4380" t="s">
        <v>356</v>
      </c>
      <c r="AC4380" s="21">
        <v>-31240.1</v>
      </c>
      <c r="AD4380" s="21" t="s">
        <v>368</v>
      </c>
      <c r="AE4380" t="str">
        <f>VLOOKUP(Table_Query_from_Actuarial___Production3[[#This Row],[Kor1]],$AI$3:$AK$105,3,FALSE)</f>
        <v>Misc. Expense</v>
      </c>
      <c r="AF4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1" spans="18:32" x14ac:dyDescent="0.2">
      <c r="R4381" t="s">
        <v>18</v>
      </c>
      <c r="S4381" t="s">
        <v>224</v>
      </c>
      <c r="T4381" t="s">
        <v>6</v>
      </c>
      <c r="U4381" s="21">
        <v>93100.74</v>
      </c>
      <c r="V4381" s="21" t="s">
        <v>368</v>
      </c>
      <c r="W4381" t="str">
        <f>VLOOKUP(Table_Query_from_Actuarial___Production[[#This Row],[Kor1]],$AI$3:$AK$105,3,FALSE)</f>
        <v>Misc. Expense</v>
      </c>
      <c r="X4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381"/>
      <c r="Z4381" t="s">
        <v>39</v>
      </c>
      <c r="AA4381" t="s">
        <v>238</v>
      </c>
      <c r="AB4381" t="s">
        <v>7</v>
      </c>
      <c r="AC4381" s="21">
        <v>29</v>
      </c>
      <c r="AD4381" s="21" t="s">
        <v>368</v>
      </c>
      <c r="AE4381" t="str">
        <f>VLOOKUP(Table_Query_from_Actuarial___Production3[[#This Row],[Kor1]],$AI$3:$AK$105,3,FALSE)</f>
        <v>Misc. Income for Insolvent Companies</v>
      </c>
      <c r="AF4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2" spans="18:32" x14ac:dyDescent="0.2">
      <c r="R4382" t="s">
        <v>17</v>
      </c>
      <c r="S4382" t="s">
        <v>266</v>
      </c>
      <c r="T4382" t="s">
        <v>433</v>
      </c>
      <c r="U4382" s="21">
        <v>110717.62</v>
      </c>
      <c r="V4382" s="21" t="s">
        <v>368</v>
      </c>
      <c r="W4382" t="str">
        <f>VLOOKUP(Table_Query_from_Actuarial___Production[[#This Row],[Kor1]],$AI$3:$AK$105,3,FALSE)</f>
        <v>IBNR</v>
      </c>
      <c r="X4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2"/>
      <c r="Z4382" t="s">
        <v>47</v>
      </c>
      <c r="AA4382" t="s">
        <v>234</v>
      </c>
      <c r="AB4382" t="s">
        <v>7</v>
      </c>
      <c r="AC4382" s="21">
        <v>0.05</v>
      </c>
      <c r="AD4382" s="21" t="s">
        <v>368</v>
      </c>
      <c r="AE4382" t="str">
        <f>VLOOKUP(Table_Query_from_Actuarial___Production3[[#This Row],[Kor1]],$AI$3:$AK$105,3,FALSE)</f>
        <v>Investment Income</v>
      </c>
      <c r="AF4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3" spans="18:32" x14ac:dyDescent="0.2">
      <c r="R4383" t="s">
        <v>21</v>
      </c>
      <c r="S4383" t="s">
        <v>265</v>
      </c>
      <c r="T4383" t="s">
        <v>441</v>
      </c>
      <c r="U4383" s="21">
        <v>968.47</v>
      </c>
      <c r="V4383" s="21" t="s">
        <v>368</v>
      </c>
      <c r="W4383" t="str">
        <f>VLOOKUP(Table_Query_from_Actuarial___Production[[#This Row],[Kor1]],$AI$3:$AK$105,3,FALSE)</f>
        <v>Misc. Expense</v>
      </c>
      <c r="X4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3"/>
      <c r="Z4383" t="s">
        <v>13</v>
      </c>
      <c r="AA4383" t="s">
        <v>226</v>
      </c>
      <c r="AB4383" t="s">
        <v>351</v>
      </c>
      <c r="AC4383" s="21">
        <v>1133658.76</v>
      </c>
      <c r="AD4383" s="21" t="s">
        <v>368</v>
      </c>
      <c r="AE4383" t="str">
        <f>VLOOKUP(Table_Query_from_Actuarial___Production3[[#This Row],[Kor1]],$AI$3:$AK$105,3,FALSE)</f>
        <v>Operating Service Fees</v>
      </c>
      <c r="AF4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384" spans="18:32" x14ac:dyDescent="0.2">
      <c r="R4384" t="s">
        <v>15</v>
      </c>
      <c r="S4384" t="s">
        <v>250</v>
      </c>
      <c r="T4384" t="s">
        <v>445</v>
      </c>
      <c r="U4384" s="21">
        <v>419139.47</v>
      </c>
      <c r="V4384" s="21" t="s">
        <v>368</v>
      </c>
      <c r="W4384" t="str">
        <f>VLOOKUP(Table_Query_from_Actuarial___Production[[#This Row],[Kor1]],$AI$3:$AK$105,3,FALSE)</f>
        <v>Unearned Premiums</v>
      </c>
      <c r="X4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4"/>
      <c r="Z4384" t="s">
        <v>11</v>
      </c>
      <c r="AA4384" t="s">
        <v>248</v>
      </c>
      <c r="AB4384" t="s">
        <v>351</v>
      </c>
      <c r="AC4384" s="21">
        <v>56720.77</v>
      </c>
      <c r="AD4384" s="21" t="s">
        <v>368</v>
      </c>
      <c r="AE4384" t="str">
        <f>VLOOKUP(Table_Query_from_Actuarial___Production3[[#This Row],[Kor1]],$AI$3:$AK$105,3,FALSE)</f>
        <v>Losses Paid</v>
      </c>
      <c r="AF4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5" spans="18:32" x14ac:dyDescent="0.2">
      <c r="R4385" t="s">
        <v>44</v>
      </c>
      <c r="S4385" t="s">
        <v>237</v>
      </c>
      <c r="T4385" t="s">
        <v>9</v>
      </c>
      <c r="U4385" s="21">
        <v>597328.54</v>
      </c>
      <c r="V4385" s="21" t="s">
        <v>368</v>
      </c>
      <c r="W4385" t="str">
        <f>VLOOKUP(Table_Query_from_Actuarial___Production[[#This Row],[Kor1]],$AI$3:$AK$105,3,FALSE)</f>
        <v>Charge-offs</v>
      </c>
      <c r="X4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5"/>
      <c r="Z4385" t="s">
        <v>43</v>
      </c>
      <c r="AA4385" t="s">
        <v>252</v>
      </c>
      <c r="AB4385" t="s">
        <v>427</v>
      </c>
      <c r="AC4385" s="21">
        <v>73161.78</v>
      </c>
      <c r="AD4385" s="21" t="s">
        <v>368</v>
      </c>
      <c r="AE4385" t="str">
        <f>VLOOKUP(Table_Query_from_Actuarial___Production3[[#This Row],[Kor1]],$AI$3:$AK$105,3,FALSE)</f>
        <v>Charge-offs</v>
      </c>
      <c r="AF4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6" spans="18:32" x14ac:dyDescent="0.2">
      <c r="R4386" t="s">
        <v>48</v>
      </c>
      <c r="S4386" t="s">
        <v>266</v>
      </c>
      <c r="T4386" t="s">
        <v>442</v>
      </c>
      <c r="U4386" s="21">
        <v>6791.57</v>
      </c>
      <c r="V4386" s="21" t="s">
        <v>368</v>
      </c>
      <c r="W4386" t="str">
        <f>VLOOKUP(Table_Query_from_Actuarial___Production[[#This Row],[Kor1]],$AI$3:$AK$105,3,FALSE)</f>
        <v>Anticipated Salvage</v>
      </c>
      <c r="X4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6"/>
      <c r="Z4386" t="s">
        <v>48</v>
      </c>
      <c r="AA4386" t="s">
        <v>252</v>
      </c>
      <c r="AB4386" t="s">
        <v>356</v>
      </c>
      <c r="AC4386" s="21">
        <v>4188.8</v>
      </c>
      <c r="AD4386" s="21" t="s">
        <v>368</v>
      </c>
      <c r="AE4386" t="str">
        <f>VLOOKUP(Table_Query_from_Actuarial___Production3[[#This Row],[Kor1]],$AI$3:$AK$105,3,FALSE)</f>
        <v>Anticipated Salvage</v>
      </c>
      <c r="AF4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7" spans="18:32" x14ac:dyDescent="0.2">
      <c r="R4387" t="s">
        <v>13</v>
      </c>
      <c r="S4387" t="s">
        <v>229</v>
      </c>
      <c r="T4387" t="s">
        <v>441</v>
      </c>
      <c r="U4387" s="21">
        <v>14227.31</v>
      </c>
      <c r="V4387" s="21" t="s">
        <v>368</v>
      </c>
      <c r="W4387" t="str">
        <f>VLOOKUP(Table_Query_from_Actuarial___Production[[#This Row],[Kor1]],$AI$3:$AK$105,3,FALSE)</f>
        <v>Operating Service Fees</v>
      </c>
      <c r="X4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7"/>
      <c r="Z4387" t="s">
        <v>3</v>
      </c>
      <c r="AA4387" t="s">
        <v>237</v>
      </c>
      <c r="AB4387" t="s">
        <v>356</v>
      </c>
      <c r="AC4387" s="21">
        <v>41363523</v>
      </c>
      <c r="AD4387" s="21" t="s">
        <v>368</v>
      </c>
      <c r="AE4387" t="str">
        <f>VLOOKUP(Table_Query_from_Actuarial___Production3[[#This Row],[Kor1]],$AI$3:$AK$105,3,FALSE)</f>
        <v>Premiums Written</v>
      </c>
      <c r="AF4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88" spans="18:32" x14ac:dyDescent="0.2">
      <c r="R4388" t="s">
        <v>40</v>
      </c>
      <c r="S4388" t="s">
        <v>4</v>
      </c>
      <c r="T4388" t="s">
        <v>442</v>
      </c>
      <c r="U4388" s="21">
        <v>12231.02</v>
      </c>
      <c r="V4388" s="21" t="s">
        <v>368</v>
      </c>
      <c r="W4388" t="str">
        <f>VLOOKUP(Table_Query_from_Actuarial___Production[[#This Row],[Kor1]],$AI$3:$AK$105,3,FALSE)</f>
        <v>Misc. Income</v>
      </c>
      <c r="X4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8"/>
      <c r="Z4388" t="s">
        <v>44</v>
      </c>
      <c r="AA4388" t="s">
        <v>226</v>
      </c>
      <c r="AB4388" t="s">
        <v>5</v>
      </c>
      <c r="AC4388" s="21">
        <v>229897.5</v>
      </c>
      <c r="AD4388" s="21" t="s">
        <v>368</v>
      </c>
      <c r="AE4388" t="str">
        <f>VLOOKUP(Table_Query_from_Actuarial___Production3[[#This Row],[Kor1]],$AI$3:$AK$105,3,FALSE)</f>
        <v>Charge-offs</v>
      </c>
      <c r="AF4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389" spans="18:32" x14ac:dyDescent="0.2">
      <c r="R4389" t="s">
        <v>40</v>
      </c>
      <c r="S4389" t="s">
        <v>256</v>
      </c>
      <c r="T4389" t="s">
        <v>441</v>
      </c>
      <c r="U4389" s="21">
        <v>526</v>
      </c>
      <c r="V4389" s="21" t="s">
        <v>368</v>
      </c>
      <c r="W4389" t="str">
        <f>VLOOKUP(Table_Query_from_Actuarial___Production[[#This Row],[Kor1]],$AI$3:$AK$105,3,FALSE)</f>
        <v>Misc. Income</v>
      </c>
      <c r="X4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89"/>
      <c r="Z4389" t="s">
        <v>31</v>
      </c>
      <c r="AA4389" t="s">
        <v>230</v>
      </c>
      <c r="AB4389" t="s">
        <v>7</v>
      </c>
      <c r="AC4389" s="21">
        <v>-671.14</v>
      </c>
      <c r="AD4389" s="21" t="s">
        <v>368</v>
      </c>
      <c r="AE4389" t="str">
        <f>VLOOKUP(Table_Query_from_Actuarial___Production3[[#This Row],[Kor1]],$AI$3:$AK$105,3,FALSE)</f>
        <v>Misc. Expense</v>
      </c>
      <c r="AF4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0" spans="18:32" x14ac:dyDescent="0.2">
      <c r="R4390" t="s">
        <v>10</v>
      </c>
      <c r="S4390" t="s">
        <v>224</v>
      </c>
      <c r="T4390" t="s">
        <v>441</v>
      </c>
      <c r="U4390" s="21">
        <v>114668.9</v>
      </c>
      <c r="V4390" s="21" t="s">
        <v>368</v>
      </c>
      <c r="W4390" t="str">
        <f>VLOOKUP(Table_Query_from_Actuarial___Production[[#This Row],[Kor1]],$AI$3:$AK$105,3,FALSE)</f>
        <v>Commissions</v>
      </c>
      <c r="X4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390"/>
      <c r="Z4390" t="s">
        <v>37</v>
      </c>
      <c r="AA4390" t="s">
        <v>238</v>
      </c>
      <c r="AB4390" t="s">
        <v>433</v>
      </c>
      <c r="AC4390" s="21">
        <v>1247.22</v>
      </c>
      <c r="AD4390" s="21" t="s">
        <v>368</v>
      </c>
      <c r="AE4390" t="str">
        <f>VLOOKUP(Table_Query_from_Actuarial___Production3[[#This Row],[Kor1]],$AI$3:$AK$105,3,FALSE)</f>
        <v>Misc. Expense</v>
      </c>
      <c r="AF4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1" spans="18:32" x14ac:dyDescent="0.2">
      <c r="R4391" t="s">
        <v>17</v>
      </c>
      <c r="S4391" t="s">
        <v>246</v>
      </c>
      <c r="T4391" t="s">
        <v>443</v>
      </c>
      <c r="U4391" s="21">
        <v>468462.42</v>
      </c>
      <c r="V4391" s="21" t="s">
        <v>368</v>
      </c>
      <c r="W4391" t="str">
        <f>VLOOKUP(Table_Query_from_Actuarial___Production[[#This Row],[Kor1]],$AI$3:$AK$105,3,FALSE)</f>
        <v>IBNR</v>
      </c>
      <c r="X4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1"/>
      <c r="Z4391" t="s">
        <v>40</v>
      </c>
      <c r="AA4391" t="s">
        <v>253</v>
      </c>
      <c r="AB4391" t="s">
        <v>351</v>
      </c>
      <c r="AC4391" s="21">
        <v>13</v>
      </c>
      <c r="AD4391" s="21" t="s">
        <v>368</v>
      </c>
      <c r="AE4391" t="str">
        <f>VLOOKUP(Table_Query_from_Actuarial___Production3[[#This Row],[Kor1]],$AI$3:$AK$105,3,FALSE)</f>
        <v>Misc. Income</v>
      </c>
      <c r="AF4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2" spans="18:32" x14ac:dyDescent="0.2">
      <c r="R4392" t="s">
        <v>10</v>
      </c>
      <c r="S4392" t="s">
        <v>231</v>
      </c>
      <c r="T4392" t="s">
        <v>356</v>
      </c>
      <c r="U4392" s="21">
        <v>17065.2</v>
      </c>
      <c r="V4392" s="21" t="s">
        <v>368</v>
      </c>
      <c r="W4392" t="str">
        <f>VLOOKUP(Table_Query_from_Actuarial___Production[[#This Row],[Kor1]],$AI$3:$AK$105,3,FALSE)</f>
        <v>Commissions</v>
      </c>
      <c r="X4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2"/>
      <c r="Z4392" t="s">
        <v>12</v>
      </c>
      <c r="AA4392" t="s">
        <v>262</v>
      </c>
      <c r="AB4392" t="s">
        <v>7</v>
      </c>
      <c r="AC4392" s="21">
        <v>6928.76</v>
      </c>
      <c r="AD4392" s="21" t="s">
        <v>368</v>
      </c>
      <c r="AE4392" t="str">
        <f>VLOOKUP(Table_Query_from_Actuarial___Production3[[#This Row],[Kor1]],$AI$3:$AK$105,3,FALSE)</f>
        <v>Premium Tax</v>
      </c>
      <c r="AF4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3" spans="18:32" x14ac:dyDescent="0.2">
      <c r="R4393" t="s">
        <v>47</v>
      </c>
      <c r="S4393" t="s">
        <v>249</v>
      </c>
      <c r="T4393" t="s">
        <v>442</v>
      </c>
      <c r="U4393" s="21">
        <v>2093.73</v>
      </c>
      <c r="V4393" s="21" t="s">
        <v>368</v>
      </c>
      <c r="W4393" t="str">
        <f>VLOOKUP(Table_Query_from_Actuarial___Production[[#This Row],[Kor1]],$AI$3:$AK$105,3,FALSE)</f>
        <v>Investment Income</v>
      </c>
      <c r="X4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3"/>
      <c r="Z4393" t="s">
        <v>21</v>
      </c>
      <c r="AA4393" t="s">
        <v>241</v>
      </c>
      <c r="AB4393" t="s">
        <v>433</v>
      </c>
      <c r="AC4393" s="21">
        <v>2165.6799999999998</v>
      </c>
      <c r="AD4393" s="21" t="s">
        <v>368</v>
      </c>
      <c r="AE4393" t="str">
        <f>VLOOKUP(Table_Query_from_Actuarial___Production3[[#This Row],[Kor1]],$AI$3:$AK$105,3,FALSE)</f>
        <v>Misc. Expense</v>
      </c>
      <c r="AF4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4" spans="18:32" x14ac:dyDescent="0.2">
      <c r="R4394" t="s">
        <v>19</v>
      </c>
      <c r="S4394" t="s">
        <v>230</v>
      </c>
      <c r="T4394" t="s">
        <v>433</v>
      </c>
      <c r="U4394" s="21">
        <v>82144.240000000005</v>
      </c>
      <c r="V4394" s="21" t="s">
        <v>368</v>
      </c>
      <c r="W4394" t="str">
        <f>VLOOKUP(Table_Query_from_Actuarial___Production[[#This Row],[Kor1]],$AI$3:$AK$105,3,FALSE)</f>
        <v>Misc. Expense for Insolvent Companies</v>
      </c>
      <c r="X4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4"/>
      <c r="Z4394" t="s">
        <v>3</v>
      </c>
      <c r="AA4394" t="s">
        <v>259</v>
      </c>
      <c r="AB4394" t="s">
        <v>7</v>
      </c>
      <c r="AC4394" s="21">
        <v>95123</v>
      </c>
      <c r="AD4394" s="21" t="s">
        <v>368</v>
      </c>
      <c r="AE4394" t="str">
        <f>VLOOKUP(Table_Query_from_Actuarial___Production3[[#This Row],[Kor1]],$AI$3:$AK$105,3,FALSE)</f>
        <v>Premiums Written</v>
      </c>
      <c r="AF4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5" spans="18:32" x14ac:dyDescent="0.2">
      <c r="R4395" t="s">
        <v>12</v>
      </c>
      <c r="S4395" t="s">
        <v>243</v>
      </c>
      <c r="T4395" t="s">
        <v>8</v>
      </c>
      <c r="U4395" s="21">
        <v>8058.3</v>
      </c>
      <c r="V4395" s="21" t="s">
        <v>368</v>
      </c>
      <c r="W4395" t="str">
        <f>VLOOKUP(Table_Query_from_Actuarial___Production[[#This Row],[Kor1]],$AI$3:$AK$105,3,FALSE)</f>
        <v>Premium Tax</v>
      </c>
      <c r="X4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5"/>
      <c r="Z4395" t="s">
        <v>41</v>
      </c>
      <c r="AA4395" t="s">
        <v>260</v>
      </c>
      <c r="AB4395" t="s">
        <v>6</v>
      </c>
      <c r="AC4395" s="21">
        <v>487</v>
      </c>
      <c r="AD4395" s="21" t="s">
        <v>368</v>
      </c>
      <c r="AE4395" t="str">
        <f>VLOOKUP(Table_Query_from_Actuarial___Production3[[#This Row],[Kor1]],$AI$3:$AK$105,3,FALSE)</f>
        <v>Misc. Income</v>
      </c>
      <c r="AF4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6" spans="18:32" x14ac:dyDescent="0.2">
      <c r="R4396" t="s">
        <v>12</v>
      </c>
      <c r="S4396" t="s">
        <v>264</v>
      </c>
      <c r="T4396" t="s">
        <v>7</v>
      </c>
      <c r="U4396" s="21">
        <v>46360.49</v>
      </c>
      <c r="V4396" s="21" t="s">
        <v>368</v>
      </c>
      <c r="W4396" t="str">
        <f>VLOOKUP(Table_Query_from_Actuarial___Production[[#This Row],[Kor1]],$AI$3:$AK$105,3,FALSE)</f>
        <v>Premium Tax</v>
      </c>
      <c r="X4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6"/>
      <c r="Z4396" t="s">
        <v>19</v>
      </c>
      <c r="AA4396" t="s">
        <v>246</v>
      </c>
      <c r="AB4396" t="s">
        <v>351</v>
      </c>
      <c r="AC4396" s="21">
        <v>4248.99</v>
      </c>
      <c r="AD4396" s="21" t="s">
        <v>368</v>
      </c>
      <c r="AE4396" t="str">
        <f>VLOOKUP(Table_Query_from_Actuarial___Production3[[#This Row],[Kor1]],$AI$3:$AK$105,3,FALSE)</f>
        <v>Misc. Expense for Insolvent Companies</v>
      </c>
      <c r="AF4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7" spans="18:32" x14ac:dyDescent="0.2">
      <c r="R4397" t="s">
        <v>17</v>
      </c>
      <c r="S4397" t="s">
        <v>250</v>
      </c>
      <c r="T4397" t="s">
        <v>442</v>
      </c>
      <c r="U4397" s="21">
        <v>185766.54</v>
      </c>
      <c r="V4397" s="21" t="s">
        <v>368</v>
      </c>
      <c r="W4397" t="str">
        <f>VLOOKUP(Table_Query_from_Actuarial___Production[[#This Row],[Kor1]],$AI$3:$AK$105,3,FALSE)</f>
        <v>IBNR</v>
      </c>
      <c r="X4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7"/>
      <c r="Z4397" t="s">
        <v>46</v>
      </c>
      <c r="AA4397" t="s">
        <v>354</v>
      </c>
      <c r="AB4397" t="s">
        <v>9</v>
      </c>
      <c r="AC4397" s="21">
        <v>1967309.92</v>
      </c>
      <c r="AD4397" s="21" t="s">
        <v>368</v>
      </c>
      <c r="AE4397" t="str">
        <f>VLOOKUP(Table_Query_from_Actuarial___Production3[[#This Row],[Kor1]],$AI$3:$AK$105,3,FALSE)</f>
        <v>Investment Income</v>
      </c>
      <c r="AF4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398" spans="18:32" x14ac:dyDescent="0.2">
      <c r="R4398" t="s">
        <v>25</v>
      </c>
      <c r="S4398" t="s">
        <v>259</v>
      </c>
      <c r="T4398" t="s">
        <v>351</v>
      </c>
      <c r="U4398" s="21">
        <v>975.61</v>
      </c>
      <c r="V4398" s="21" t="s">
        <v>368</v>
      </c>
      <c r="W4398" t="str">
        <f>VLOOKUP(Table_Query_from_Actuarial___Production[[#This Row],[Kor1]],$AI$3:$AK$105,3,FALSE)</f>
        <v>Misc. Expense</v>
      </c>
      <c r="X4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8"/>
      <c r="Z4398" t="s">
        <v>3</v>
      </c>
      <c r="AA4398" t="s">
        <v>250</v>
      </c>
      <c r="AB4398" t="s">
        <v>443</v>
      </c>
      <c r="AC4398" s="21">
        <v>283188</v>
      </c>
      <c r="AD4398" s="21" t="s">
        <v>368</v>
      </c>
      <c r="AE4398" t="str">
        <f>VLOOKUP(Table_Query_from_Actuarial___Production3[[#This Row],[Kor1]],$AI$3:$AK$105,3,FALSE)</f>
        <v>Premiums Written</v>
      </c>
      <c r="AF4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399" spans="18:32" x14ac:dyDescent="0.2">
      <c r="R4399" t="s">
        <v>33</v>
      </c>
      <c r="S4399" t="s">
        <v>259</v>
      </c>
      <c r="T4399" t="s">
        <v>351</v>
      </c>
      <c r="U4399" s="21">
        <v>22883.79</v>
      </c>
      <c r="V4399" s="21" t="s">
        <v>368</v>
      </c>
      <c r="W4399" t="str">
        <f>VLOOKUP(Table_Query_from_Actuarial___Production[[#This Row],[Kor1]],$AI$3:$AK$105,3,FALSE)</f>
        <v>Misc. Expense</v>
      </c>
      <c r="X4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399"/>
      <c r="Z4399" t="s">
        <v>18</v>
      </c>
      <c r="AA4399" t="s">
        <v>224</v>
      </c>
      <c r="AB4399" t="s">
        <v>6</v>
      </c>
      <c r="AC4399" s="21">
        <v>93100.74</v>
      </c>
      <c r="AD4399" s="21" t="s">
        <v>368</v>
      </c>
      <c r="AE4399" t="str">
        <f>VLOOKUP(Table_Query_from_Actuarial___Production3[[#This Row],[Kor1]],$AI$3:$AK$105,3,FALSE)</f>
        <v>Misc. Expense</v>
      </c>
      <c r="AF4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400" spans="18:32" x14ac:dyDescent="0.2">
      <c r="R4400" t="s">
        <v>40</v>
      </c>
      <c r="S4400" t="s">
        <v>259</v>
      </c>
      <c r="T4400" t="s">
        <v>8</v>
      </c>
      <c r="U4400" s="21">
        <v>175</v>
      </c>
      <c r="V4400" s="21" t="s">
        <v>368</v>
      </c>
      <c r="W4400" t="str">
        <f>VLOOKUP(Table_Query_from_Actuarial___Production[[#This Row],[Kor1]],$AI$3:$AK$105,3,FALSE)</f>
        <v>Misc. Income</v>
      </c>
      <c r="X4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0"/>
      <c r="Z4400" t="s">
        <v>17</v>
      </c>
      <c r="AA4400" t="s">
        <v>266</v>
      </c>
      <c r="AB4400" t="s">
        <v>433</v>
      </c>
      <c r="AC4400" s="21">
        <v>112629.73</v>
      </c>
      <c r="AD4400" s="21" t="s">
        <v>368</v>
      </c>
      <c r="AE4400" t="str">
        <f>VLOOKUP(Table_Query_from_Actuarial___Production3[[#This Row],[Kor1]],$AI$3:$AK$105,3,FALSE)</f>
        <v>IBNR</v>
      </c>
      <c r="AF4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1" spans="18:32" x14ac:dyDescent="0.2">
      <c r="R4401" t="s">
        <v>41</v>
      </c>
      <c r="S4401" t="s">
        <v>229</v>
      </c>
      <c r="T4401" t="s">
        <v>445</v>
      </c>
      <c r="U4401" s="21">
        <v>767.01</v>
      </c>
      <c r="V4401" s="21" t="s">
        <v>368</v>
      </c>
      <c r="W4401" t="str">
        <f>VLOOKUP(Table_Query_from_Actuarial___Production[[#This Row],[Kor1]],$AI$3:$AK$105,3,FALSE)</f>
        <v>Misc. Income</v>
      </c>
      <c r="X4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1"/>
      <c r="Z4401" t="s">
        <v>21</v>
      </c>
      <c r="AA4401" t="s">
        <v>265</v>
      </c>
      <c r="AB4401" t="s">
        <v>441</v>
      </c>
      <c r="AC4401" s="21">
        <v>968.47</v>
      </c>
      <c r="AD4401" s="21" t="s">
        <v>368</v>
      </c>
      <c r="AE4401" t="str">
        <f>VLOOKUP(Table_Query_from_Actuarial___Production3[[#This Row],[Kor1]],$AI$3:$AK$105,3,FALSE)</f>
        <v>Misc. Expense</v>
      </c>
      <c r="AF4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2" spans="18:32" x14ac:dyDescent="0.2">
      <c r="R4402" t="s">
        <v>167</v>
      </c>
      <c r="S4402" t="s">
        <v>354</v>
      </c>
      <c r="T4402" t="s">
        <v>433</v>
      </c>
      <c r="U4402" s="21">
        <v>26610700</v>
      </c>
      <c r="V4402" s="21" t="s">
        <v>368</v>
      </c>
      <c r="W4402" t="str">
        <f>VLOOKUP(Table_Query_from_Actuarial___Production[[#This Row],[Kor1]],$AI$3:$AK$105,3,FALSE)</f>
        <v>Recoupment</v>
      </c>
      <c r="X4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402"/>
      <c r="Z4402" t="s">
        <v>44</v>
      </c>
      <c r="AA4402" t="s">
        <v>237</v>
      </c>
      <c r="AB4402" t="s">
        <v>9</v>
      </c>
      <c r="AC4402" s="21">
        <v>623995.18000000005</v>
      </c>
      <c r="AD4402" s="21" t="s">
        <v>368</v>
      </c>
      <c r="AE4402" t="str">
        <f>VLOOKUP(Table_Query_from_Actuarial___Production3[[#This Row],[Kor1]],$AI$3:$AK$105,3,FALSE)</f>
        <v>Charge-offs</v>
      </c>
      <c r="AF4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3" spans="18:32" x14ac:dyDescent="0.2">
      <c r="R4403" t="s">
        <v>41</v>
      </c>
      <c r="S4403" t="s">
        <v>241</v>
      </c>
      <c r="T4403" t="s">
        <v>442</v>
      </c>
      <c r="U4403" s="21">
        <v>400</v>
      </c>
      <c r="V4403" s="21" t="s">
        <v>368</v>
      </c>
      <c r="W4403" t="str">
        <f>VLOOKUP(Table_Query_from_Actuarial___Production[[#This Row],[Kor1]],$AI$3:$AK$105,3,FALSE)</f>
        <v>Misc. Income</v>
      </c>
      <c r="X4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3"/>
      <c r="Z4403" t="s">
        <v>48</v>
      </c>
      <c r="AA4403" t="s">
        <v>266</v>
      </c>
      <c r="AB4403" t="s">
        <v>442</v>
      </c>
      <c r="AC4403" s="21">
        <v>6590.67</v>
      </c>
      <c r="AD4403" s="21" t="s">
        <v>368</v>
      </c>
      <c r="AE4403" t="str">
        <f>VLOOKUP(Table_Query_from_Actuarial___Production3[[#This Row],[Kor1]],$AI$3:$AK$105,3,FALSE)</f>
        <v>Anticipated Salvage</v>
      </c>
      <c r="AF4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4" spans="18:32" x14ac:dyDescent="0.2">
      <c r="R4404" t="s">
        <v>3</v>
      </c>
      <c r="S4404" t="s">
        <v>352</v>
      </c>
      <c r="T4404" t="s">
        <v>8</v>
      </c>
      <c r="U4404" s="21">
        <v>259264.73</v>
      </c>
      <c r="V4404" s="21" t="s">
        <v>369</v>
      </c>
      <c r="W4404" t="str">
        <f>VLOOKUP(Table_Query_from_Actuarial___Production[[#This Row],[Kor1]],$AI$3:$AK$105,3,FALSE)</f>
        <v>Premiums Written</v>
      </c>
      <c r="X4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404"/>
      <c r="Z4404" t="s">
        <v>13</v>
      </c>
      <c r="AA4404" t="s">
        <v>229</v>
      </c>
      <c r="AB4404" t="s">
        <v>441</v>
      </c>
      <c r="AC4404" s="21">
        <v>14227.31</v>
      </c>
      <c r="AD4404" s="21" t="s">
        <v>368</v>
      </c>
      <c r="AE4404" t="str">
        <f>VLOOKUP(Table_Query_from_Actuarial___Production3[[#This Row],[Kor1]],$AI$3:$AK$105,3,FALSE)</f>
        <v>Operating Service Fees</v>
      </c>
      <c r="AF4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5" spans="18:32" x14ac:dyDescent="0.2">
      <c r="R4405" t="s">
        <v>13</v>
      </c>
      <c r="S4405" t="s">
        <v>247</v>
      </c>
      <c r="T4405" t="s">
        <v>7</v>
      </c>
      <c r="U4405" s="21">
        <v>1115.31</v>
      </c>
      <c r="V4405" s="21" t="s">
        <v>368</v>
      </c>
      <c r="W4405" t="str">
        <f>VLOOKUP(Table_Query_from_Actuarial___Production[[#This Row],[Kor1]],$AI$3:$AK$105,3,FALSE)</f>
        <v>Operating Service Fees</v>
      </c>
      <c r="X4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5"/>
      <c r="Z4405" t="s">
        <v>40</v>
      </c>
      <c r="AA4405" t="s">
        <v>4</v>
      </c>
      <c r="AB4405" t="s">
        <v>442</v>
      </c>
      <c r="AC4405" s="21">
        <v>12231.02</v>
      </c>
      <c r="AD4405" s="21" t="s">
        <v>368</v>
      </c>
      <c r="AE4405" t="str">
        <f>VLOOKUP(Table_Query_from_Actuarial___Production3[[#This Row],[Kor1]],$AI$3:$AK$105,3,FALSE)</f>
        <v>Misc. Income</v>
      </c>
      <c r="AF4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6" spans="18:32" x14ac:dyDescent="0.2">
      <c r="R4406" t="s">
        <v>20</v>
      </c>
      <c r="S4406" t="s">
        <v>240</v>
      </c>
      <c r="T4406" t="s">
        <v>356</v>
      </c>
      <c r="U4406" s="21">
        <v>541.41999999999996</v>
      </c>
      <c r="V4406" s="21" t="s">
        <v>368</v>
      </c>
      <c r="W4406" t="str">
        <f>VLOOKUP(Table_Query_from_Actuarial___Production[[#This Row],[Kor1]],$AI$3:$AK$105,3,FALSE)</f>
        <v>Misc. Expense</v>
      </c>
      <c r="X4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6"/>
      <c r="Z4406" t="s">
        <v>40</v>
      </c>
      <c r="AA4406" t="s">
        <v>256</v>
      </c>
      <c r="AB4406" t="s">
        <v>441</v>
      </c>
      <c r="AC4406" s="21">
        <v>526</v>
      </c>
      <c r="AD4406" s="21" t="s">
        <v>368</v>
      </c>
      <c r="AE4406" t="str">
        <f>VLOOKUP(Table_Query_from_Actuarial___Production3[[#This Row],[Kor1]],$AI$3:$AK$105,3,FALSE)</f>
        <v>Misc. Income</v>
      </c>
      <c r="AF4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7" spans="18:32" x14ac:dyDescent="0.2">
      <c r="R4407" t="s">
        <v>44</v>
      </c>
      <c r="S4407" t="s">
        <v>261</v>
      </c>
      <c r="T4407" t="s">
        <v>7</v>
      </c>
      <c r="U4407" s="21">
        <v>-0.22</v>
      </c>
      <c r="V4407" s="21" t="s">
        <v>368</v>
      </c>
      <c r="W4407" t="str">
        <f>VLOOKUP(Table_Query_from_Actuarial___Production[[#This Row],[Kor1]],$AI$3:$AK$105,3,FALSE)</f>
        <v>Charge-offs</v>
      </c>
      <c r="X4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7"/>
      <c r="Z4407" t="s">
        <v>10</v>
      </c>
      <c r="AA4407" t="s">
        <v>224</v>
      </c>
      <c r="AB4407" t="s">
        <v>441</v>
      </c>
      <c r="AC4407" s="21">
        <v>114668.9</v>
      </c>
      <c r="AD4407" s="21" t="s">
        <v>368</v>
      </c>
      <c r="AE4407" t="str">
        <f>VLOOKUP(Table_Query_from_Actuarial___Production3[[#This Row],[Kor1]],$AI$3:$AK$105,3,FALSE)</f>
        <v>Commissions</v>
      </c>
      <c r="AF4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408" spans="18:32" x14ac:dyDescent="0.2">
      <c r="R4408" t="s">
        <v>43</v>
      </c>
      <c r="S4408" t="s">
        <v>232</v>
      </c>
      <c r="T4408" t="s">
        <v>351</v>
      </c>
      <c r="U4408" s="21">
        <v>2093.5500000000002</v>
      </c>
      <c r="V4408" s="21" t="s">
        <v>368</v>
      </c>
      <c r="W4408" t="str">
        <f>VLOOKUP(Table_Query_from_Actuarial___Production[[#This Row],[Kor1]],$AI$3:$AK$105,3,FALSE)</f>
        <v>Charge-offs</v>
      </c>
      <c r="X4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8"/>
      <c r="Z4408" t="s">
        <v>17</v>
      </c>
      <c r="AA4408" t="s">
        <v>246</v>
      </c>
      <c r="AB4408" t="s">
        <v>443</v>
      </c>
      <c r="AC4408" s="21">
        <v>49369.48</v>
      </c>
      <c r="AD4408" s="21" t="s">
        <v>368</v>
      </c>
      <c r="AE4408" t="str">
        <f>VLOOKUP(Table_Query_from_Actuarial___Production3[[#This Row],[Kor1]],$AI$3:$AK$105,3,FALSE)</f>
        <v>IBNR</v>
      </c>
      <c r="AF4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09" spans="18:32" x14ac:dyDescent="0.2">
      <c r="R4409" t="s">
        <v>48</v>
      </c>
      <c r="S4409" t="s">
        <v>4</v>
      </c>
      <c r="T4409" t="s">
        <v>442</v>
      </c>
      <c r="U4409" s="21">
        <v>245326.2</v>
      </c>
      <c r="V4409" s="21" t="s">
        <v>368</v>
      </c>
      <c r="W4409" t="str">
        <f>VLOOKUP(Table_Query_from_Actuarial___Production[[#This Row],[Kor1]],$AI$3:$AK$105,3,FALSE)</f>
        <v>Anticipated Salvage</v>
      </c>
      <c r="X4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09"/>
      <c r="Z4409" t="s">
        <v>10</v>
      </c>
      <c r="AA4409" t="s">
        <v>231</v>
      </c>
      <c r="AB4409" t="s">
        <v>356</v>
      </c>
      <c r="AC4409" s="21">
        <v>17065.2</v>
      </c>
      <c r="AD4409" s="21" t="s">
        <v>368</v>
      </c>
      <c r="AE4409" t="str">
        <f>VLOOKUP(Table_Query_from_Actuarial___Production3[[#This Row],[Kor1]],$AI$3:$AK$105,3,FALSE)</f>
        <v>Commissions</v>
      </c>
      <c r="AF4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0" spans="18:32" x14ac:dyDescent="0.2">
      <c r="R4410" t="s">
        <v>31</v>
      </c>
      <c r="S4410" t="s">
        <v>253</v>
      </c>
      <c r="T4410" t="s">
        <v>8</v>
      </c>
      <c r="U4410" s="21">
        <v>686.83</v>
      </c>
      <c r="V4410" s="21" t="s">
        <v>368</v>
      </c>
      <c r="W4410" t="str">
        <f>VLOOKUP(Table_Query_from_Actuarial___Production[[#This Row],[Kor1]],$AI$3:$AK$105,3,FALSE)</f>
        <v>Misc. Expense</v>
      </c>
      <c r="X4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0"/>
      <c r="Z4410" t="s">
        <v>47</v>
      </c>
      <c r="AA4410" t="s">
        <v>249</v>
      </c>
      <c r="AB4410" t="s">
        <v>442</v>
      </c>
      <c r="AC4410" s="21">
        <v>2093.73</v>
      </c>
      <c r="AD4410" s="21" t="s">
        <v>368</v>
      </c>
      <c r="AE4410" t="str">
        <f>VLOOKUP(Table_Query_from_Actuarial___Production3[[#This Row],[Kor1]],$AI$3:$AK$105,3,FALSE)</f>
        <v>Investment Income</v>
      </c>
      <c r="AF4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1" spans="18:32" x14ac:dyDescent="0.2">
      <c r="R4411" t="s">
        <v>20</v>
      </c>
      <c r="S4411" t="s">
        <v>234</v>
      </c>
      <c r="T4411" t="s">
        <v>427</v>
      </c>
      <c r="U4411" s="21">
        <v>344.12</v>
      </c>
      <c r="V4411" s="21" t="s">
        <v>368</v>
      </c>
      <c r="W4411" t="str">
        <f>VLOOKUP(Table_Query_from_Actuarial___Production[[#This Row],[Kor1]],$AI$3:$AK$105,3,FALSE)</f>
        <v>Misc. Expense</v>
      </c>
      <c r="X4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1"/>
      <c r="Z4411" t="s">
        <v>19</v>
      </c>
      <c r="AA4411" t="s">
        <v>230</v>
      </c>
      <c r="AB4411" t="s">
        <v>433</v>
      </c>
      <c r="AC4411" s="21">
        <v>82144.240000000005</v>
      </c>
      <c r="AD4411" s="21" t="s">
        <v>368</v>
      </c>
      <c r="AE4411" t="str">
        <f>VLOOKUP(Table_Query_from_Actuarial___Production3[[#This Row],[Kor1]],$AI$3:$AK$105,3,FALSE)</f>
        <v>Misc. Expense for Insolvent Companies</v>
      </c>
      <c r="AF4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2" spans="18:32" x14ac:dyDescent="0.2">
      <c r="R4412" t="s">
        <v>40</v>
      </c>
      <c r="S4412" t="s">
        <v>242</v>
      </c>
      <c r="T4412" t="s">
        <v>356</v>
      </c>
      <c r="U4412" s="21">
        <v>466.51</v>
      </c>
      <c r="V4412" s="21" t="s">
        <v>368</v>
      </c>
      <c r="W4412" t="str">
        <f>VLOOKUP(Table_Query_from_Actuarial___Production[[#This Row],[Kor1]],$AI$3:$AK$105,3,FALSE)</f>
        <v>Misc. Income</v>
      </c>
      <c r="X4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2"/>
      <c r="Z4412" t="s">
        <v>10</v>
      </c>
      <c r="AA4412" t="s">
        <v>352</v>
      </c>
      <c r="AB4412" t="s">
        <v>5</v>
      </c>
      <c r="AC4412" s="21">
        <v>935.18</v>
      </c>
      <c r="AD4412" s="21" t="s">
        <v>368</v>
      </c>
      <c r="AE4412" t="str">
        <f>VLOOKUP(Table_Query_from_Actuarial___Production3[[#This Row],[Kor1]],$AI$3:$AK$105,3,FALSE)</f>
        <v>Commissions</v>
      </c>
      <c r="AF4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4413" spans="18:32" x14ac:dyDescent="0.2">
      <c r="R4413" t="s">
        <v>10</v>
      </c>
      <c r="S4413" t="s">
        <v>233</v>
      </c>
      <c r="T4413" t="s">
        <v>356</v>
      </c>
      <c r="U4413" s="21">
        <v>43032.05</v>
      </c>
      <c r="V4413" s="21" t="s">
        <v>368</v>
      </c>
      <c r="W4413" t="str">
        <f>VLOOKUP(Table_Query_from_Actuarial___Production[[#This Row],[Kor1]],$AI$3:$AK$105,3,FALSE)</f>
        <v>Commissions</v>
      </c>
      <c r="X4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3"/>
      <c r="Z4413" t="s">
        <v>12</v>
      </c>
      <c r="AA4413" t="s">
        <v>243</v>
      </c>
      <c r="AB4413" t="s">
        <v>8</v>
      </c>
      <c r="AC4413" s="21">
        <v>8058.3</v>
      </c>
      <c r="AD4413" s="21" t="s">
        <v>368</v>
      </c>
      <c r="AE4413" t="str">
        <f>VLOOKUP(Table_Query_from_Actuarial___Production3[[#This Row],[Kor1]],$AI$3:$AK$105,3,FALSE)</f>
        <v>Premium Tax</v>
      </c>
      <c r="AF4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4" spans="18:32" x14ac:dyDescent="0.2">
      <c r="R4414" t="s">
        <v>14</v>
      </c>
      <c r="S4414" t="s">
        <v>261</v>
      </c>
      <c r="T4414" t="s">
        <v>8</v>
      </c>
      <c r="U4414" s="21">
        <v>126898.78</v>
      </c>
      <c r="V4414" s="21" t="s">
        <v>368</v>
      </c>
      <c r="W4414" t="str">
        <f>VLOOKUP(Table_Query_from_Actuarial___Production[[#This Row],[Kor1]],$AI$3:$AK$105,3,FALSE)</f>
        <v>Claims Expense</v>
      </c>
      <c r="X4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4"/>
      <c r="Z4414" t="s">
        <v>12</v>
      </c>
      <c r="AA4414" t="s">
        <v>264</v>
      </c>
      <c r="AB4414" t="s">
        <v>7</v>
      </c>
      <c r="AC4414" s="21">
        <v>46360.49</v>
      </c>
      <c r="AD4414" s="21" t="s">
        <v>368</v>
      </c>
      <c r="AE4414" t="str">
        <f>VLOOKUP(Table_Query_from_Actuarial___Production3[[#This Row],[Kor1]],$AI$3:$AK$105,3,FALSE)</f>
        <v>Premium Tax</v>
      </c>
      <c r="AF4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5" spans="18:32" x14ac:dyDescent="0.2">
      <c r="R4415" t="s">
        <v>39</v>
      </c>
      <c r="S4415" t="s">
        <v>228</v>
      </c>
      <c r="T4415" t="s">
        <v>6</v>
      </c>
      <c r="U4415" s="21">
        <v>812.56</v>
      </c>
      <c r="V4415" s="21" t="s">
        <v>368</v>
      </c>
      <c r="W4415" t="str">
        <f>VLOOKUP(Table_Query_from_Actuarial___Production[[#This Row],[Kor1]],$AI$3:$AK$105,3,FALSE)</f>
        <v>Misc. Income for Insolvent Companies</v>
      </c>
      <c r="X4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5"/>
      <c r="Z4415" t="s">
        <v>17</v>
      </c>
      <c r="AA4415" t="s">
        <v>250</v>
      </c>
      <c r="AB4415" t="s">
        <v>442</v>
      </c>
      <c r="AC4415" s="21">
        <v>223959.54</v>
      </c>
      <c r="AD4415" s="21" t="s">
        <v>368</v>
      </c>
      <c r="AE4415" t="str">
        <f>VLOOKUP(Table_Query_from_Actuarial___Production3[[#This Row],[Kor1]],$AI$3:$AK$105,3,FALSE)</f>
        <v>IBNR</v>
      </c>
      <c r="AF4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6" spans="18:32" x14ac:dyDescent="0.2">
      <c r="R4416" t="s">
        <v>47</v>
      </c>
      <c r="S4416" t="s">
        <v>233</v>
      </c>
      <c r="T4416" t="s">
        <v>8</v>
      </c>
      <c r="U4416" s="21">
        <v>1.1100000000000001</v>
      </c>
      <c r="V4416" s="21" t="s">
        <v>368</v>
      </c>
      <c r="W4416" t="str">
        <f>VLOOKUP(Table_Query_from_Actuarial___Production[[#This Row],[Kor1]],$AI$3:$AK$105,3,FALSE)</f>
        <v>Investment Income</v>
      </c>
      <c r="X4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6"/>
      <c r="Z4416" t="s">
        <v>25</v>
      </c>
      <c r="AA4416" t="s">
        <v>259</v>
      </c>
      <c r="AB4416" t="s">
        <v>351</v>
      </c>
      <c r="AC4416" s="21">
        <v>975.61</v>
      </c>
      <c r="AD4416" s="21" t="s">
        <v>368</v>
      </c>
      <c r="AE4416" t="str">
        <f>VLOOKUP(Table_Query_from_Actuarial___Production3[[#This Row],[Kor1]],$AI$3:$AK$105,3,FALSE)</f>
        <v>Misc. Expense</v>
      </c>
      <c r="AF4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7" spans="18:32" x14ac:dyDescent="0.2">
      <c r="R4417" t="s">
        <v>13</v>
      </c>
      <c r="S4417" t="s">
        <v>246</v>
      </c>
      <c r="T4417" t="s">
        <v>443</v>
      </c>
      <c r="U4417" s="21">
        <v>273209.03000000003</v>
      </c>
      <c r="V4417" s="21" t="s">
        <v>368</v>
      </c>
      <c r="W4417" t="str">
        <f>VLOOKUP(Table_Query_from_Actuarial___Production[[#This Row],[Kor1]],$AI$3:$AK$105,3,FALSE)</f>
        <v>Operating Service Fees</v>
      </c>
      <c r="X4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7"/>
      <c r="Z4417" t="s">
        <v>33</v>
      </c>
      <c r="AA4417" t="s">
        <v>259</v>
      </c>
      <c r="AB4417" t="s">
        <v>351</v>
      </c>
      <c r="AC4417" s="21">
        <v>22883.79</v>
      </c>
      <c r="AD4417" s="21" t="s">
        <v>368</v>
      </c>
      <c r="AE4417" t="str">
        <f>VLOOKUP(Table_Query_from_Actuarial___Production3[[#This Row],[Kor1]],$AI$3:$AK$105,3,FALSE)</f>
        <v>Misc. Expense</v>
      </c>
      <c r="AF4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8" spans="18:32" x14ac:dyDescent="0.2">
      <c r="R4418" t="s">
        <v>43</v>
      </c>
      <c r="S4418" t="s">
        <v>262</v>
      </c>
      <c r="T4418" t="s">
        <v>9</v>
      </c>
      <c r="U4418" s="21">
        <v>0.08</v>
      </c>
      <c r="V4418" s="21" t="s">
        <v>368</v>
      </c>
      <c r="W4418" t="str">
        <f>VLOOKUP(Table_Query_from_Actuarial___Production[[#This Row],[Kor1]],$AI$3:$AK$105,3,FALSE)</f>
        <v>Charge-offs</v>
      </c>
      <c r="X4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8"/>
      <c r="Z4418" t="s">
        <v>40</v>
      </c>
      <c r="AA4418" t="s">
        <v>259</v>
      </c>
      <c r="AB4418" t="s">
        <v>8</v>
      </c>
      <c r="AC4418" s="21">
        <v>175</v>
      </c>
      <c r="AD4418" s="21" t="s">
        <v>368</v>
      </c>
      <c r="AE4418" t="str">
        <f>VLOOKUP(Table_Query_from_Actuarial___Production3[[#This Row],[Kor1]],$AI$3:$AK$105,3,FALSE)</f>
        <v>Misc. Income</v>
      </c>
      <c r="AF4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19" spans="18:32" x14ac:dyDescent="0.2">
      <c r="R4419" t="s">
        <v>11</v>
      </c>
      <c r="S4419" t="s">
        <v>248</v>
      </c>
      <c r="T4419" t="s">
        <v>441</v>
      </c>
      <c r="U4419" s="21">
        <v>774158.98</v>
      </c>
      <c r="V4419" s="21" t="s">
        <v>368</v>
      </c>
      <c r="W4419" t="str">
        <f>VLOOKUP(Table_Query_from_Actuarial___Production[[#This Row],[Kor1]],$AI$3:$AK$105,3,FALSE)</f>
        <v>Losses Paid</v>
      </c>
      <c r="X4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19"/>
      <c r="Z4419" t="s">
        <v>167</v>
      </c>
      <c r="AA4419" t="s">
        <v>354</v>
      </c>
      <c r="AB4419" t="s">
        <v>433</v>
      </c>
      <c r="AC4419" s="21">
        <v>21360249</v>
      </c>
      <c r="AD4419" s="21" t="s">
        <v>368</v>
      </c>
      <c r="AE4419" t="str">
        <f>VLOOKUP(Table_Query_from_Actuarial___Production3[[#This Row],[Kor1]],$AI$3:$AK$105,3,FALSE)</f>
        <v>Recoupment</v>
      </c>
      <c r="AF4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420" spans="18:32" x14ac:dyDescent="0.2">
      <c r="R4420" t="s">
        <v>37</v>
      </c>
      <c r="S4420" t="s">
        <v>249</v>
      </c>
      <c r="T4420" t="s">
        <v>442</v>
      </c>
      <c r="U4420" s="21">
        <v>114.48</v>
      </c>
      <c r="V4420" s="21" t="s">
        <v>368</v>
      </c>
      <c r="W4420" t="str">
        <f>VLOOKUP(Table_Query_from_Actuarial___Production[[#This Row],[Kor1]],$AI$3:$AK$105,3,FALSE)</f>
        <v>Misc. Expense</v>
      </c>
      <c r="X4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0"/>
      <c r="Z4420" t="s">
        <v>41</v>
      </c>
      <c r="AA4420" t="s">
        <v>241</v>
      </c>
      <c r="AB4420" t="s">
        <v>442</v>
      </c>
      <c r="AC4420" s="21">
        <v>400</v>
      </c>
      <c r="AD4420" s="21" t="s">
        <v>368</v>
      </c>
      <c r="AE4420" t="str">
        <f>VLOOKUP(Table_Query_from_Actuarial___Production3[[#This Row],[Kor1]],$AI$3:$AK$105,3,FALSE)</f>
        <v>Misc. Income</v>
      </c>
      <c r="AF4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1" spans="18:32" x14ac:dyDescent="0.2">
      <c r="R4421" t="s">
        <v>43</v>
      </c>
      <c r="S4421" t="s">
        <v>252</v>
      </c>
      <c r="T4421" t="s">
        <v>7</v>
      </c>
      <c r="U4421" s="21">
        <v>3236.34</v>
      </c>
      <c r="V4421" s="21" t="s">
        <v>368</v>
      </c>
      <c r="W4421" t="str">
        <f>VLOOKUP(Table_Query_from_Actuarial___Production[[#This Row],[Kor1]],$AI$3:$AK$105,3,FALSE)</f>
        <v>Charge-offs</v>
      </c>
      <c r="X4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1"/>
      <c r="Z4421" t="s">
        <v>3</v>
      </c>
      <c r="AA4421" t="s">
        <v>352</v>
      </c>
      <c r="AB4421" t="s">
        <v>8</v>
      </c>
      <c r="AC4421" s="21">
        <v>261484.73</v>
      </c>
      <c r="AD4421" s="21" t="s">
        <v>369</v>
      </c>
      <c r="AE4421" t="str">
        <f>VLOOKUP(Table_Query_from_Actuarial___Production3[[#This Row],[Kor1]],$AI$3:$AK$105,3,FALSE)</f>
        <v>Premiums Written</v>
      </c>
      <c r="AF4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422" spans="18:32" x14ac:dyDescent="0.2">
      <c r="R4422" t="s">
        <v>43</v>
      </c>
      <c r="S4422" t="s">
        <v>237</v>
      </c>
      <c r="T4422" t="s">
        <v>9</v>
      </c>
      <c r="U4422" s="21">
        <v>1999.13</v>
      </c>
      <c r="V4422" s="21" t="s">
        <v>368</v>
      </c>
      <c r="W4422" t="str">
        <f>VLOOKUP(Table_Query_from_Actuarial___Production[[#This Row],[Kor1]],$AI$3:$AK$105,3,FALSE)</f>
        <v>Charge-offs</v>
      </c>
      <c r="X4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2"/>
      <c r="Z4422" t="s">
        <v>13</v>
      </c>
      <c r="AA4422" t="s">
        <v>247</v>
      </c>
      <c r="AB4422" t="s">
        <v>7</v>
      </c>
      <c r="AC4422" s="21">
        <v>1115.31</v>
      </c>
      <c r="AD4422" s="21" t="s">
        <v>368</v>
      </c>
      <c r="AE4422" t="str">
        <f>VLOOKUP(Table_Query_from_Actuarial___Production3[[#This Row],[Kor1]],$AI$3:$AK$105,3,FALSE)</f>
        <v>Operating Service Fees</v>
      </c>
      <c r="AF4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3" spans="18:32" x14ac:dyDescent="0.2">
      <c r="R4423" t="s">
        <v>16</v>
      </c>
      <c r="S4423" t="s">
        <v>226</v>
      </c>
      <c r="T4423" t="s">
        <v>442</v>
      </c>
      <c r="U4423" s="21">
        <v>466936.77</v>
      </c>
      <c r="V4423" s="21" t="s">
        <v>368</v>
      </c>
      <c r="W4423" t="str">
        <f>VLOOKUP(Table_Query_from_Actuarial___Production[[#This Row],[Kor1]],$AI$3:$AK$105,3,FALSE)</f>
        <v>Losses Outstanding</v>
      </c>
      <c r="X4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423"/>
      <c r="Z4423" t="s">
        <v>20</v>
      </c>
      <c r="AA4423" t="s">
        <v>240</v>
      </c>
      <c r="AB4423" t="s">
        <v>356</v>
      </c>
      <c r="AC4423" s="21">
        <v>541.41999999999996</v>
      </c>
      <c r="AD4423" s="21" t="s">
        <v>368</v>
      </c>
      <c r="AE4423" t="str">
        <f>VLOOKUP(Table_Query_from_Actuarial___Production3[[#This Row],[Kor1]],$AI$3:$AK$105,3,FALSE)</f>
        <v>Misc. Expense</v>
      </c>
      <c r="AF4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4" spans="18:32" x14ac:dyDescent="0.2">
      <c r="R4424" t="s">
        <v>10</v>
      </c>
      <c r="S4424" t="s">
        <v>4</v>
      </c>
      <c r="T4424" t="s">
        <v>433</v>
      </c>
      <c r="U4424" s="21">
        <v>4506792.03</v>
      </c>
      <c r="V4424" s="21" t="s">
        <v>368</v>
      </c>
      <c r="W4424" t="str">
        <f>VLOOKUP(Table_Query_from_Actuarial___Production[[#This Row],[Kor1]],$AI$3:$AK$105,3,FALSE)</f>
        <v>Commissions</v>
      </c>
      <c r="X4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4"/>
      <c r="Z4424" t="s">
        <v>44</v>
      </c>
      <c r="AA4424" t="s">
        <v>261</v>
      </c>
      <c r="AB4424" t="s">
        <v>7</v>
      </c>
      <c r="AC4424" s="21">
        <v>-0.22</v>
      </c>
      <c r="AD4424" s="21" t="s">
        <v>368</v>
      </c>
      <c r="AE4424" t="str">
        <f>VLOOKUP(Table_Query_from_Actuarial___Production3[[#This Row],[Kor1]],$AI$3:$AK$105,3,FALSE)</f>
        <v>Charge-offs</v>
      </c>
      <c r="AF4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5" spans="18:32" x14ac:dyDescent="0.2">
      <c r="R4425" t="s">
        <v>34</v>
      </c>
      <c r="S4425" t="s">
        <v>232</v>
      </c>
      <c r="T4425" t="s">
        <v>356</v>
      </c>
      <c r="U4425" s="21">
        <v>510.57</v>
      </c>
      <c r="V4425" s="21" t="s">
        <v>368</v>
      </c>
      <c r="W4425" t="str">
        <f>VLOOKUP(Table_Query_from_Actuarial___Production[[#This Row],[Kor1]],$AI$3:$AK$105,3,FALSE)</f>
        <v>Misc. Expense</v>
      </c>
      <c r="X4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5"/>
      <c r="Z4425" t="s">
        <v>43</v>
      </c>
      <c r="AA4425" t="s">
        <v>232</v>
      </c>
      <c r="AB4425" t="s">
        <v>351</v>
      </c>
      <c r="AC4425" s="21">
        <v>2093.5500000000002</v>
      </c>
      <c r="AD4425" s="21" t="s">
        <v>368</v>
      </c>
      <c r="AE4425" t="str">
        <f>VLOOKUP(Table_Query_from_Actuarial___Production3[[#This Row],[Kor1]],$AI$3:$AK$105,3,FALSE)</f>
        <v>Charge-offs</v>
      </c>
      <c r="AF4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6" spans="18:32" x14ac:dyDescent="0.2">
      <c r="R4426" t="s">
        <v>41</v>
      </c>
      <c r="S4426" t="s">
        <v>230</v>
      </c>
      <c r="T4426" t="s">
        <v>441</v>
      </c>
      <c r="U4426" s="21">
        <v>1587.48</v>
      </c>
      <c r="V4426" s="21" t="s">
        <v>368</v>
      </c>
      <c r="W4426" t="str">
        <f>VLOOKUP(Table_Query_from_Actuarial___Production[[#This Row],[Kor1]],$AI$3:$AK$105,3,FALSE)</f>
        <v>Misc. Income</v>
      </c>
      <c r="X4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6"/>
      <c r="Z4426" t="s">
        <v>48</v>
      </c>
      <c r="AA4426" t="s">
        <v>4</v>
      </c>
      <c r="AB4426" t="s">
        <v>442</v>
      </c>
      <c r="AC4426" s="21">
        <v>209410.28</v>
      </c>
      <c r="AD4426" s="21" t="s">
        <v>368</v>
      </c>
      <c r="AE4426" t="str">
        <f>VLOOKUP(Table_Query_from_Actuarial___Production3[[#This Row],[Kor1]],$AI$3:$AK$105,3,FALSE)</f>
        <v>Anticipated Salvage</v>
      </c>
      <c r="AF4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7" spans="18:32" x14ac:dyDescent="0.2">
      <c r="R4427" t="s">
        <v>13</v>
      </c>
      <c r="S4427" t="s">
        <v>236</v>
      </c>
      <c r="T4427" t="s">
        <v>351</v>
      </c>
      <c r="U4427" s="21">
        <v>7387.12</v>
      </c>
      <c r="V4427" s="21" t="s">
        <v>368</v>
      </c>
      <c r="W4427" t="str">
        <f>VLOOKUP(Table_Query_from_Actuarial___Production[[#This Row],[Kor1]],$AI$3:$AK$105,3,FALSE)</f>
        <v>Operating Service Fees</v>
      </c>
      <c r="X4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7"/>
      <c r="Z4427" t="s">
        <v>31</v>
      </c>
      <c r="AA4427" t="s">
        <v>253</v>
      </c>
      <c r="AB4427" t="s">
        <v>8</v>
      </c>
      <c r="AC4427" s="21">
        <v>686.83</v>
      </c>
      <c r="AD4427" s="21" t="s">
        <v>368</v>
      </c>
      <c r="AE4427" t="str">
        <f>VLOOKUP(Table_Query_from_Actuarial___Production3[[#This Row],[Kor1]],$AI$3:$AK$105,3,FALSE)</f>
        <v>Misc. Expense</v>
      </c>
      <c r="AF4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8" spans="18:32" x14ac:dyDescent="0.2">
      <c r="R4428" t="s">
        <v>14</v>
      </c>
      <c r="S4428" t="s">
        <v>262</v>
      </c>
      <c r="T4428" t="s">
        <v>356</v>
      </c>
      <c r="U4428" s="21">
        <v>11961.51</v>
      </c>
      <c r="V4428" s="21" t="s">
        <v>368</v>
      </c>
      <c r="W4428" t="str">
        <f>VLOOKUP(Table_Query_from_Actuarial___Production[[#This Row],[Kor1]],$AI$3:$AK$105,3,FALSE)</f>
        <v>Claims Expense</v>
      </c>
      <c r="X4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8"/>
      <c r="Z4428" t="s">
        <v>20</v>
      </c>
      <c r="AA4428" t="s">
        <v>234</v>
      </c>
      <c r="AB4428" t="s">
        <v>427</v>
      </c>
      <c r="AC4428" s="21">
        <v>344.12</v>
      </c>
      <c r="AD4428" s="21" t="s">
        <v>368</v>
      </c>
      <c r="AE4428" t="str">
        <f>VLOOKUP(Table_Query_from_Actuarial___Production3[[#This Row],[Kor1]],$AI$3:$AK$105,3,FALSE)</f>
        <v>Misc. Expense</v>
      </c>
      <c r="AF4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29" spans="18:32" x14ac:dyDescent="0.2">
      <c r="R4429" t="s">
        <v>50</v>
      </c>
      <c r="S4429" t="s">
        <v>264</v>
      </c>
      <c r="T4429" t="s">
        <v>433</v>
      </c>
      <c r="U4429" s="21">
        <v>48221.88</v>
      </c>
      <c r="V4429" s="21" t="s">
        <v>368</v>
      </c>
      <c r="W4429" t="str">
        <f>VLOOKUP(Table_Query_from_Actuarial___Production[[#This Row],[Kor1]],$AI$3:$AK$105,3,FALSE)</f>
        <v>ALAE Reserve</v>
      </c>
      <c r="X4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29"/>
      <c r="Z4429" t="s">
        <v>40</v>
      </c>
      <c r="AA4429" t="s">
        <v>242</v>
      </c>
      <c r="AB4429" t="s">
        <v>356</v>
      </c>
      <c r="AC4429" s="21">
        <v>466.51</v>
      </c>
      <c r="AD4429" s="21" t="s">
        <v>368</v>
      </c>
      <c r="AE4429" t="str">
        <f>VLOOKUP(Table_Query_from_Actuarial___Production3[[#This Row],[Kor1]],$AI$3:$AK$105,3,FALSE)</f>
        <v>Misc. Income</v>
      </c>
      <c r="AF4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0" spans="18:32" x14ac:dyDescent="0.2">
      <c r="R4430" t="s">
        <v>39</v>
      </c>
      <c r="S4430" t="s">
        <v>232</v>
      </c>
      <c r="T4430" t="s">
        <v>8</v>
      </c>
      <c r="U4430" s="21">
        <v>345</v>
      </c>
      <c r="V4430" s="21" t="s">
        <v>368</v>
      </c>
      <c r="W4430" t="str">
        <f>VLOOKUP(Table_Query_from_Actuarial___Production[[#This Row],[Kor1]],$AI$3:$AK$105,3,FALSE)</f>
        <v>Misc. Income for Insolvent Companies</v>
      </c>
      <c r="X4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0"/>
      <c r="Z4430" t="s">
        <v>10</v>
      </c>
      <c r="AA4430" t="s">
        <v>233</v>
      </c>
      <c r="AB4430" t="s">
        <v>356</v>
      </c>
      <c r="AC4430" s="21">
        <v>43032.05</v>
      </c>
      <c r="AD4430" s="21" t="s">
        <v>368</v>
      </c>
      <c r="AE4430" t="str">
        <f>VLOOKUP(Table_Query_from_Actuarial___Production3[[#This Row],[Kor1]],$AI$3:$AK$105,3,FALSE)</f>
        <v>Commissions</v>
      </c>
      <c r="AF4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1" spans="18:32" x14ac:dyDescent="0.2">
      <c r="R4431" t="s">
        <v>44</v>
      </c>
      <c r="S4431" t="s">
        <v>225</v>
      </c>
      <c r="T4431" t="s">
        <v>356</v>
      </c>
      <c r="U4431" s="21">
        <v>38820.85</v>
      </c>
      <c r="V4431" s="21" t="s">
        <v>368</v>
      </c>
      <c r="W4431" t="str">
        <f>VLOOKUP(Table_Query_from_Actuarial___Production[[#This Row],[Kor1]],$AI$3:$AK$105,3,FALSE)</f>
        <v>Charge-offs</v>
      </c>
      <c r="X4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431"/>
      <c r="Z4431" t="s">
        <v>14</v>
      </c>
      <c r="AA4431" t="s">
        <v>261</v>
      </c>
      <c r="AB4431" t="s">
        <v>8</v>
      </c>
      <c r="AC4431" s="21">
        <v>126898.78</v>
      </c>
      <c r="AD4431" s="21" t="s">
        <v>368</v>
      </c>
      <c r="AE4431" t="str">
        <f>VLOOKUP(Table_Query_from_Actuarial___Production3[[#This Row],[Kor1]],$AI$3:$AK$105,3,FALSE)</f>
        <v>Claims Expense</v>
      </c>
      <c r="AF4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2" spans="18:32" x14ac:dyDescent="0.2">
      <c r="R4432" t="s">
        <v>41</v>
      </c>
      <c r="S4432" t="s">
        <v>263</v>
      </c>
      <c r="T4432" t="s">
        <v>6</v>
      </c>
      <c r="U4432" s="21">
        <v>150.01</v>
      </c>
      <c r="V4432" s="21" t="s">
        <v>368</v>
      </c>
      <c r="W4432" t="str">
        <f>VLOOKUP(Table_Query_from_Actuarial___Production[[#This Row],[Kor1]],$AI$3:$AK$105,3,FALSE)</f>
        <v>Misc. Income</v>
      </c>
      <c r="X4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2"/>
      <c r="Z4432" t="s">
        <v>39</v>
      </c>
      <c r="AA4432" t="s">
        <v>228</v>
      </c>
      <c r="AB4432" t="s">
        <v>6</v>
      </c>
      <c r="AC4432" s="21">
        <v>812.56</v>
      </c>
      <c r="AD4432" s="21" t="s">
        <v>368</v>
      </c>
      <c r="AE4432" t="str">
        <f>VLOOKUP(Table_Query_from_Actuarial___Production3[[#This Row],[Kor1]],$AI$3:$AK$105,3,FALSE)</f>
        <v>Misc. Income for Insolvent Companies</v>
      </c>
      <c r="AF4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3" spans="18:32" x14ac:dyDescent="0.2">
      <c r="R4433" t="s">
        <v>48</v>
      </c>
      <c r="S4433" t="s">
        <v>354</v>
      </c>
      <c r="T4433" t="s">
        <v>427</v>
      </c>
      <c r="U4433" s="21">
        <v>365677.35</v>
      </c>
      <c r="V4433" s="21" t="s">
        <v>369</v>
      </c>
      <c r="W4433" t="str">
        <f>VLOOKUP(Table_Query_from_Actuarial___Production[[#This Row],[Kor1]],$AI$3:$AK$105,3,FALSE)</f>
        <v>Anticipated Salvage</v>
      </c>
      <c r="X4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433"/>
      <c r="Z4433" t="s">
        <v>47</v>
      </c>
      <c r="AA4433" t="s">
        <v>233</v>
      </c>
      <c r="AB4433" t="s">
        <v>8</v>
      </c>
      <c r="AC4433" s="21">
        <v>1.1100000000000001</v>
      </c>
      <c r="AD4433" s="21" t="s">
        <v>368</v>
      </c>
      <c r="AE4433" t="str">
        <f>VLOOKUP(Table_Query_from_Actuarial___Production3[[#This Row],[Kor1]],$AI$3:$AK$105,3,FALSE)</f>
        <v>Investment Income</v>
      </c>
      <c r="AF4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4" spans="18:32" x14ac:dyDescent="0.2">
      <c r="R4434" t="s">
        <v>48</v>
      </c>
      <c r="S4434" t="s">
        <v>238</v>
      </c>
      <c r="T4434" t="s">
        <v>443</v>
      </c>
      <c r="U4434" s="21">
        <v>6789.77</v>
      </c>
      <c r="V4434" s="21" t="s">
        <v>368</v>
      </c>
      <c r="W4434" t="str">
        <f>VLOOKUP(Table_Query_from_Actuarial___Production[[#This Row],[Kor1]],$AI$3:$AK$105,3,FALSE)</f>
        <v>Anticipated Salvage</v>
      </c>
      <c r="X4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4"/>
      <c r="Z4434" t="s">
        <v>13</v>
      </c>
      <c r="AA4434" t="s">
        <v>246</v>
      </c>
      <c r="AB4434" t="s">
        <v>443</v>
      </c>
      <c r="AC4434" s="21">
        <v>90575.02</v>
      </c>
      <c r="AD4434" s="21" t="s">
        <v>368</v>
      </c>
      <c r="AE4434" t="str">
        <f>VLOOKUP(Table_Query_from_Actuarial___Production3[[#This Row],[Kor1]],$AI$3:$AK$105,3,FALSE)</f>
        <v>Operating Service Fees</v>
      </c>
      <c r="AF4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5" spans="18:32" x14ac:dyDescent="0.2">
      <c r="R4435" t="s">
        <v>14</v>
      </c>
      <c r="S4435" t="s">
        <v>238</v>
      </c>
      <c r="T4435" t="s">
        <v>8</v>
      </c>
      <c r="U4435" s="21">
        <v>12970.79</v>
      </c>
      <c r="V4435" s="21" t="s">
        <v>368</v>
      </c>
      <c r="W4435" t="str">
        <f>VLOOKUP(Table_Query_from_Actuarial___Production[[#This Row],[Kor1]],$AI$3:$AK$105,3,FALSE)</f>
        <v>Claims Expense</v>
      </c>
      <c r="X4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5"/>
      <c r="Z4435" t="s">
        <v>37</v>
      </c>
      <c r="AA4435" t="s">
        <v>266</v>
      </c>
      <c r="AB4435" t="s">
        <v>5</v>
      </c>
      <c r="AC4435" s="21">
        <v>-315.69</v>
      </c>
      <c r="AD4435" s="21" t="s">
        <v>368</v>
      </c>
      <c r="AE4435" t="str">
        <f>VLOOKUP(Table_Query_from_Actuarial___Production3[[#This Row],[Kor1]],$AI$3:$AK$105,3,FALSE)</f>
        <v>Misc. Expense</v>
      </c>
      <c r="AF4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6" spans="18:32" x14ac:dyDescent="0.2">
      <c r="R4436" t="s">
        <v>20</v>
      </c>
      <c r="S4436" t="s">
        <v>259</v>
      </c>
      <c r="T4436" t="s">
        <v>427</v>
      </c>
      <c r="U4436" s="21">
        <v>429.22</v>
      </c>
      <c r="V4436" s="21" t="s">
        <v>368</v>
      </c>
      <c r="W4436" t="str">
        <f>VLOOKUP(Table_Query_from_Actuarial___Production[[#This Row],[Kor1]],$AI$3:$AK$105,3,FALSE)</f>
        <v>Misc. Expense</v>
      </c>
      <c r="X4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6"/>
      <c r="Z4436" t="s">
        <v>43</v>
      </c>
      <c r="AA4436" t="s">
        <v>262</v>
      </c>
      <c r="AB4436" t="s">
        <v>9</v>
      </c>
      <c r="AC4436" s="21">
        <v>0.08</v>
      </c>
      <c r="AD4436" s="21" t="s">
        <v>368</v>
      </c>
      <c r="AE4436" t="str">
        <f>VLOOKUP(Table_Query_from_Actuarial___Production3[[#This Row],[Kor1]],$AI$3:$AK$105,3,FALSE)</f>
        <v>Charge-offs</v>
      </c>
      <c r="AF4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7" spans="18:32" x14ac:dyDescent="0.2">
      <c r="R4437" t="s">
        <v>21</v>
      </c>
      <c r="S4437" t="s">
        <v>249</v>
      </c>
      <c r="T4437" t="s">
        <v>433</v>
      </c>
      <c r="U4437" s="21">
        <v>792.5</v>
      </c>
      <c r="V4437" s="21" t="s">
        <v>368</v>
      </c>
      <c r="W4437" t="str">
        <f>VLOOKUP(Table_Query_from_Actuarial___Production[[#This Row],[Kor1]],$AI$3:$AK$105,3,FALSE)</f>
        <v>Misc. Expense</v>
      </c>
      <c r="X4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7"/>
      <c r="Z4437" t="s">
        <v>11</v>
      </c>
      <c r="AA4437" t="s">
        <v>248</v>
      </c>
      <c r="AB4437" t="s">
        <v>441</v>
      </c>
      <c r="AC4437" s="21">
        <v>239158.98</v>
      </c>
      <c r="AD4437" s="21" t="s">
        <v>368</v>
      </c>
      <c r="AE4437" t="str">
        <f>VLOOKUP(Table_Query_from_Actuarial___Production3[[#This Row],[Kor1]],$AI$3:$AK$105,3,FALSE)</f>
        <v>Losses Paid</v>
      </c>
      <c r="AF4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8" spans="18:32" x14ac:dyDescent="0.2">
      <c r="R4438" t="s">
        <v>13</v>
      </c>
      <c r="S4438" t="s">
        <v>267</v>
      </c>
      <c r="T4438" t="s">
        <v>441</v>
      </c>
      <c r="U4438" s="21">
        <v>278007.67999999999</v>
      </c>
      <c r="V4438" s="21" t="s">
        <v>368</v>
      </c>
      <c r="W4438" t="str">
        <f>VLOOKUP(Table_Query_from_Actuarial___Production[[#This Row],[Kor1]],$AI$3:$AK$105,3,FALSE)</f>
        <v>Operating Service Fees</v>
      </c>
      <c r="X4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8"/>
      <c r="Z4438" t="s">
        <v>37</v>
      </c>
      <c r="AA4438" t="s">
        <v>249</v>
      </c>
      <c r="AB4438" t="s">
        <v>442</v>
      </c>
      <c r="AC4438" s="21">
        <v>91.64</v>
      </c>
      <c r="AD4438" s="21" t="s">
        <v>368</v>
      </c>
      <c r="AE4438" t="str">
        <f>VLOOKUP(Table_Query_from_Actuarial___Production3[[#This Row],[Kor1]],$AI$3:$AK$105,3,FALSE)</f>
        <v>Misc. Expense</v>
      </c>
      <c r="AF4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39" spans="18:32" x14ac:dyDescent="0.2">
      <c r="R4439" t="s">
        <v>44</v>
      </c>
      <c r="S4439" t="s">
        <v>234</v>
      </c>
      <c r="T4439" t="s">
        <v>7</v>
      </c>
      <c r="U4439" s="21">
        <v>428</v>
      </c>
      <c r="V4439" s="21" t="s">
        <v>368</v>
      </c>
      <c r="W4439" t="str">
        <f>VLOOKUP(Table_Query_from_Actuarial___Production[[#This Row],[Kor1]],$AI$3:$AK$105,3,FALSE)</f>
        <v>Charge-offs</v>
      </c>
      <c r="X4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39"/>
      <c r="Z4439" t="s">
        <v>43</v>
      </c>
      <c r="AA4439" t="s">
        <v>252</v>
      </c>
      <c r="AB4439" t="s">
        <v>7</v>
      </c>
      <c r="AC4439" s="21">
        <v>3236.34</v>
      </c>
      <c r="AD4439" s="21" t="s">
        <v>368</v>
      </c>
      <c r="AE4439" t="str">
        <f>VLOOKUP(Table_Query_from_Actuarial___Production3[[#This Row],[Kor1]],$AI$3:$AK$105,3,FALSE)</f>
        <v>Charge-offs</v>
      </c>
      <c r="AF4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0" spans="18:32" x14ac:dyDescent="0.2">
      <c r="R4440" t="s">
        <v>37</v>
      </c>
      <c r="S4440" t="s">
        <v>239</v>
      </c>
      <c r="T4440" t="s">
        <v>445</v>
      </c>
      <c r="U4440" s="21">
        <v>-8081.91</v>
      </c>
      <c r="V4440" s="21" t="s">
        <v>368</v>
      </c>
      <c r="W4440" t="str">
        <f>VLOOKUP(Table_Query_from_Actuarial___Production[[#This Row],[Kor1]],$AI$3:$AK$105,3,FALSE)</f>
        <v>Misc. Expense</v>
      </c>
      <c r="X4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0"/>
      <c r="Z4440" t="s">
        <v>43</v>
      </c>
      <c r="AA4440" t="s">
        <v>237</v>
      </c>
      <c r="AB4440" t="s">
        <v>9</v>
      </c>
      <c r="AC4440" s="21">
        <v>1999.13</v>
      </c>
      <c r="AD4440" s="21" t="s">
        <v>368</v>
      </c>
      <c r="AE4440" t="str">
        <f>VLOOKUP(Table_Query_from_Actuarial___Production3[[#This Row],[Kor1]],$AI$3:$AK$105,3,FALSE)</f>
        <v>Charge-offs</v>
      </c>
      <c r="AF4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1" spans="18:32" x14ac:dyDescent="0.2">
      <c r="R4441" t="s">
        <v>49</v>
      </c>
      <c r="S4441" t="s">
        <v>233</v>
      </c>
      <c r="T4441" t="s">
        <v>9</v>
      </c>
      <c r="U4441" s="21">
        <v>2909.5</v>
      </c>
      <c r="V4441" s="21" t="s">
        <v>368</v>
      </c>
      <c r="W4441" t="str">
        <f>VLOOKUP(Table_Query_from_Actuarial___Production[[#This Row],[Kor1]],$AI$3:$AK$105,3,FALSE)</f>
        <v>ALAE Paid</v>
      </c>
      <c r="X4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1"/>
      <c r="Z4441" t="s">
        <v>16</v>
      </c>
      <c r="AA4441" t="s">
        <v>226</v>
      </c>
      <c r="AB4441" t="s">
        <v>442</v>
      </c>
      <c r="AC4441" s="21">
        <v>597128.34</v>
      </c>
      <c r="AD4441" s="21" t="s">
        <v>368</v>
      </c>
      <c r="AE4441" t="str">
        <f>VLOOKUP(Table_Query_from_Actuarial___Production3[[#This Row],[Kor1]],$AI$3:$AK$105,3,FALSE)</f>
        <v>Losses Outstanding</v>
      </c>
      <c r="AF4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442" spans="18:32" x14ac:dyDescent="0.2">
      <c r="R4442" t="s">
        <v>10</v>
      </c>
      <c r="S4442" t="s">
        <v>225</v>
      </c>
      <c r="T4442" t="s">
        <v>9</v>
      </c>
      <c r="U4442" s="21">
        <v>52185.32</v>
      </c>
      <c r="V4442" s="21" t="s">
        <v>368</v>
      </c>
      <c r="W4442" t="str">
        <f>VLOOKUP(Table_Query_from_Actuarial___Production[[#This Row],[Kor1]],$AI$3:$AK$105,3,FALSE)</f>
        <v>Commissions</v>
      </c>
      <c r="X4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442"/>
      <c r="Z4442" t="s">
        <v>10</v>
      </c>
      <c r="AA4442" t="s">
        <v>4</v>
      </c>
      <c r="AB4442" t="s">
        <v>433</v>
      </c>
      <c r="AC4442" s="21">
        <v>4506732.8</v>
      </c>
      <c r="AD4442" s="21" t="s">
        <v>368</v>
      </c>
      <c r="AE4442" t="str">
        <f>VLOOKUP(Table_Query_from_Actuarial___Production3[[#This Row],[Kor1]],$AI$3:$AK$105,3,FALSE)</f>
        <v>Commissions</v>
      </c>
      <c r="AF4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3" spans="18:32" x14ac:dyDescent="0.2">
      <c r="R4443" t="s">
        <v>3</v>
      </c>
      <c r="S4443" t="s">
        <v>227</v>
      </c>
      <c r="T4443" t="s">
        <v>356</v>
      </c>
      <c r="U4443" s="21">
        <v>40320</v>
      </c>
      <c r="V4443" s="21" t="s">
        <v>368</v>
      </c>
      <c r="W4443" t="str">
        <f>VLOOKUP(Table_Query_from_Actuarial___Production[[#This Row],[Kor1]],$AI$3:$AK$105,3,FALSE)</f>
        <v>Premiums Written</v>
      </c>
      <c r="X4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3"/>
      <c r="Z4443" t="s">
        <v>34</v>
      </c>
      <c r="AA4443" t="s">
        <v>232</v>
      </c>
      <c r="AB4443" t="s">
        <v>356</v>
      </c>
      <c r="AC4443" s="21">
        <v>510.57</v>
      </c>
      <c r="AD4443" s="21" t="s">
        <v>368</v>
      </c>
      <c r="AE4443" t="str">
        <f>VLOOKUP(Table_Query_from_Actuarial___Production3[[#This Row],[Kor1]],$AI$3:$AK$105,3,FALSE)</f>
        <v>Misc. Expense</v>
      </c>
      <c r="AF4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4" spans="18:32" x14ac:dyDescent="0.2">
      <c r="R4444" t="s">
        <v>10</v>
      </c>
      <c r="S4444" t="s">
        <v>265</v>
      </c>
      <c r="T4444" t="s">
        <v>433</v>
      </c>
      <c r="U4444" s="21">
        <v>45395.55</v>
      </c>
      <c r="V4444" s="21" t="s">
        <v>368</v>
      </c>
      <c r="W4444" t="str">
        <f>VLOOKUP(Table_Query_from_Actuarial___Production[[#This Row],[Kor1]],$AI$3:$AK$105,3,FALSE)</f>
        <v>Commissions</v>
      </c>
      <c r="X4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4"/>
      <c r="Z4444" t="s">
        <v>41</v>
      </c>
      <c r="AA4444" t="s">
        <v>230</v>
      </c>
      <c r="AB4444" t="s">
        <v>441</v>
      </c>
      <c r="AC4444" s="21">
        <v>1587.48</v>
      </c>
      <c r="AD4444" s="21" t="s">
        <v>368</v>
      </c>
      <c r="AE4444" t="str">
        <f>VLOOKUP(Table_Query_from_Actuarial___Production3[[#This Row],[Kor1]],$AI$3:$AK$105,3,FALSE)</f>
        <v>Misc. Income</v>
      </c>
      <c r="AF4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5" spans="18:32" x14ac:dyDescent="0.2">
      <c r="R4445" t="s">
        <v>15</v>
      </c>
      <c r="S4445" t="s">
        <v>252</v>
      </c>
      <c r="T4445" t="s">
        <v>445</v>
      </c>
      <c r="U4445" s="21">
        <v>12812908.529999999</v>
      </c>
      <c r="V4445" s="21" t="s">
        <v>368</v>
      </c>
      <c r="W4445" t="str">
        <f>VLOOKUP(Table_Query_from_Actuarial___Production[[#This Row],[Kor1]],$AI$3:$AK$105,3,FALSE)</f>
        <v>Unearned Premiums</v>
      </c>
      <c r="X4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5"/>
      <c r="Z4445" t="s">
        <v>13</v>
      </c>
      <c r="AA4445" t="s">
        <v>236</v>
      </c>
      <c r="AB4445" t="s">
        <v>351</v>
      </c>
      <c r="AC4445" s="21">
        <v>7387.12</v>
      </c>
      <c r="AD4445" s="21" t="s">
        <v>368</v>
      </c>
      <c r="AE4445" t="str">
        <f>VLOOKUP(Table_Query_from_Actuarial___Production3[[#This Row],[Kor1]],$AI$3:$AK$105,3,FALSE)</f>
        <v>Operating Service Fees</v>
      </c>
      <c r="AF4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6" spans="18:32" x14ac:dyDescent="0.2">
      <c r="R4446" t="s">
        <v>48</v>
      </c>
      <c r="S4446" t="s">
        <v>264</v>
      </c>
      <c r="T4446" t="s">
        <v>427</v>
      </c>
      <c r="U4446" s="21">
        <v>2612</v>
      </c>
      <c r="V4446" s="21" t="s">
        <v>368</v>
      </c>
      <c r="W4446" t="str">
        <f>VLOOKUP(Table_Query_from_Actuarial___Production[[#This Row],[Kor1]],$AI$3:$AK$105,3,FALSE)</f>
        <v>Anticipated Salvage</v>
      </c>
      <c r="X4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6"/>
      <c r="Z4446" t="s">
        <v>14</v>
      </c>
      <c r="AA4446" t="s">
        <v>262</v>
      </c>
      <c r="AB4446" t="s">
        <v>356</v>
      </c>
      <c r="AC4446" s="21">
        <v>11961.51</v>
      </c>
      <c r="AD4446" s="21" t="s">
        <v>368</v>
      </c>
      <c r="AE4446" t="str">
        <f>VLOOKUP(Table_Query_from_Actuarial___Production3[[#This Row],[Kor1]],$AI$3:$AK$105,3,FALSE)</f>
        <v>Claims Expense</v>
      </c>
      <c r="AF4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7" spans="18:32" x14ac:dyDescent="0.2">
      <c r="R4447" t="s">
        <v>36</v>
      </c>
      <c r="S4447" t="s">
        <v>230</v>
      </c>
      <c r="T4447" t="s">
        <v>6</v>
      </c>
      <c r="U4447" s="21">
        <v>20079.560000000001</v>
      </c>
      <c r="V4447" s="21" t="s">
        <v>368</v>
      </c>
      <c r="W4447" t="str">
        <f>VLOOKUP(Table_Query_from_Actuarial___Production[[#This Row],[Kor1]],$AI$3:$AK$105,3,FALSE)</f>
        <v>Misc. Expense</v>
      </c>
      <c r="X4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7"/>
      <c r="Z4447" t="s">
        <v>50</v>
      </c>
      <c r="AA4447" t="s">
        <v>264</v>
      </c>
      <c r="AB4447" t="s">
        <v>433</v>
      </c>
      <c r="AC4447" s="21">
        <v>27508.83</v>
      </c>
      <c r="AD4447" s="21" t="s">
        <v>368</v>
      </c>
      <c r="AE4447" t="str">
        <f>VLOOKUP(Table_Query_from_Actuarial___Production3[[#This Row],[Kor1]],$AI$3:$AK$105,3,FALSE)</f>
        <v>ALAE Reserve</v>
      </c>
      <c r="AF4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8" spans="18:32" x14ac:dyDescent="0.2">
      <c r="R4448" t="s">
        <v>37</v>
      </c>
      <c r="S4448" t="s">
        <v>241</v>
      </c>
      <c r="T4448" t="s">
        <v>442</v>
      </c>
      <c r="U4448" s="21">
        <v>-82.55</v>
      </c>
      <c r="V4448" s="21" t="s">
        <v>368</v>
      </c>
      <c r="W4448" t="str">
        <f>VLOOKUP(Table_Query_from_Actuarial___Production[[#This Row],[Kor1]],$AI$3:$AK$105,3,FALSE)</f>
        <v>Misc. Expense</v>
      </c>
      <c r="X4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8"/>
      <c r="Z4448" t="s">
        <v>39</v>
      </c>
      <c r="AA4448" t="s">
        <v>232</v>
      </c>
      <c r="AB4448" t="s">
        <v>8</v>
      </c>
      <c r="AC4448" s="21">
        <v>345</v>
      </c>
      <c r="AD4448" s="21" t="s">
        <v>368</v>
      </c>
      <c r="AE4448" t="str">
        <f>VLOOKUP(Table_Query_from_Actuarial___Production3[[#This Row],[Kor1]],$AI$3:$AK$105,3,FALSE)</f>
        <v>Misc. Income for Insolvent Companies</v>
      </c>
      <c r="AF4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49" spans="18:32" x14ac:dyDescent="0.2">
      <c r="R4449" t="s">
        <v>13</v>
      </c>
      <c r="S4449" t="s">
        <v>229</v>
      </c>
      <c r="T4449" t="s">
        <v>351</v>
      </c>
      <c r="U4449" s="21">
        <v>11756.74</v>
      </c>
      <c r="V4449" s="21" t="s">
        <v>368</v>
      </c>
      <c r="W4449" t="str">
        <f>VLOOKUP(Table_Query_from_Actuarial___Production[[#This Row],[Kor1]],$AI$3:$AK$105,3,FALSE)</f>
        <v>Operating Service Fees</v>
      </c>
      <c r="X4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49"/>
      <c r="Z4449" t="s">
        <v>44</v>
      </c>
      <c r="AA4449" t="s">
        <v>225</v>
      </c>
      <c r="AB4449" t="s">
        <v>356</v>
      </c>
      <c r="AC4449" s="21">
        <v>38820.85</v>
      </c>
      <c r="AD4449" s="21" t="s">
        <v>368</v>
      </c>
      <c r="AE4449" t="str">
        <f>VLOOKUP(Table_Query_from_Actuarial___Production3[[#This Row],[Kor1]],$AI$3:$AK$105,3,FALSE)</f>
        <v>Charge-offs</v>
      </c>
      <c r="AF4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450" spans="18:32" x14ac:dyDescent="0.2">
      <c r="R4450" t="s">
        <v>18</v>
      </c>
      <c r="S4450" t="s">
        <v>225</v>
      </c>
      <c r="T4450" t="s">
        <v>445</v>
      </c>
      <c r="U4450" s="21">
        <v>368257.32</v>
      </c>
      <c r="V4450" s="21" t="s">
        <v>369</v>
      </c>
      <c r="W4450" t="str">
        <f>VLOOKUP(Table_Query_from_Actuarial___Production[[#This Row],[Kor1]],$AI$3:$AK$105,3,FALSE)</f>
        <v>Misc. Expense</v>
      </c>
      <c r="X4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450"/>
      <c r="Z4450" t="s">
        <v>41</v>
      </c>
      <c r="AA4450" t="s">
        <v>263</v>
      </c>
      <c r="AB4450" t="s">
        <v>6</v>
      </c>
      <c r="AC4450" s="21">
        <v>150.01</v>
      </c>
      <c r="AD4450" s="21" t="s">
        <v>368</v>
      </c>
      <c r="AE4450" t="str">
        <f>VLOOKUP(Table_Query_from_Actuarial___Production3[[#This Row],[Kor1]],$AI$3:$AK$105,3,FALSE)</f>
        <v>Misc. Income</v>
      </c>
      <c r="AF4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1" spans="18:32" x14ac:dyDescent="0.2">
      <c r="R4451" t="s">
        <v>12</v>
      </c>
      <c r="S4451" t="s">
        <v>255</v>
      </c>
      <c r="T4451" t="s">
        <v>9</v>
      </c>
      <c r="U4451" s="21">
        <v>12324.65</v>
      </c>
      <c r="V4451" s="21" t="s">
        <v>368</v>
      </c>
      <c r="W4451" t="str">
        <f>VLOOKUP(Table_Query_from_Actuarial___Production[[#This Row],[Kor1]],$AI$3:$AK$105,3,FALSE)</f>
        <v>Premium Tax</v>
      </c>
      <c r="X4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1"/>
      <c r="Z4451" t="s">
        <v>48</v>
      </c>
      <c r="AA4451" t="s">
        <v>354</v>
      </c>
      <c r="AB4451" t="s">
        <v>427</v>
      </c>
      <c r="AC4451" s="21">
        <v>501176.38</v>
      </c>
      <c r="AD4451" s="21" t="s">
        <v>369</v>
      </c>
      <c r="AE4451" t="str">
        <f>VLOOKUP(Table_Query_from_Actuarial___Production3[[#This Row],[Kor1]],$AI$3:$AK$105,3,FALSE)</f>
        <v>Anticipated Salvage</v>
      </c>
      <c r="AF4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452" spans="18:32" x14ac:dyDescent="0.2">
      <c r="R4452" t="s">
        <v>31</v>
      </c>
      <c r="S4452" t="s">
        <v>4</v>
      </c>
      <c r="T4452" t="s">
        <v>445</v>
      </c>
      <c r="U4452" s="21">
        <v>9690.7800000000007</v>
      </c>
      <c r="V4452" s="21" t="s">
        <v>368</v>
      </c>
      <c r="W4452" t="str">
        <f>VLOOKUP(Table_Query_from_Actuarial___Production[[#This Row],[Kor1]],$AI$3:$AK$105,3,FALSE)</f>
        <v>Misc. Expense</v>
      </c>
      <c r="X4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2"/>
      <c r="Z4452" t="s">
        <v>15</v>
      </c>
      <c r="AA4452" t="s">
        <v>255</v>
      </c>
      <c r="AB4452" t="s">
        <v>442</v>
      </c>
      <c r="AC4452" s="21">
        <v>32113.74</v>
      </c>
      <c r="AD4452" s="21" t="s">
        <v>368</v>
      </c>
      <c r="AE4452" t="str">
        <f>VLOOKUP(Table_Query_from_Actuarial___Production3[[#This Row],[Kor1]],$AI$3:$AK$105,3,FALSE)</f>
        <v>Unearned Premiums</v>
      </c>
      <c r="AF4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3" spans="18:32" x14ac:dyDescent="0.2">
      <c r="R4453" t="s">
        <v>17</v>
      </c>
      <c r="S4453" t="s">
        <v>248</v>
      </c>
      <c r="T4453" t="s">
        <v>445</v>
      </c>
      <c r="U4453" s="21">
        <v>40531.760000000002</v>
      </c>
      <c r="V4453" s="21" t="s">
        <v>368</v>
      </c>
      <c r="W4453" t="str">
        <f>VLOOKUP(Table_Query_from_Actuarial___Production[[#This Row],[Kor1]],$AI$3:$AK$105,3,FALSE)</f>
        <v>IBNR</v>
      </c>
      <c r="X4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3"/>
      <c r="Z4453" t="s">
        <v>48</v>
      </c>
      <c r="AA4453" t="s">
        <v>238</v>
      </c>
      <c r="AB4453" t="s">
        <v>443</v>
      </c>
      <c r="AC4453" s="21">
        <v>539.20000000000005</v>
      </c>
      <c r="AD4453" s="21" t="s">
        <v>368</v>
      </c>
      <c r="AE4453" t="str">
        <f>VLOOKUP(Table_Query_from_Actuarial___Production3[[#This Row],[Kor1]],$AI$3:$AK$105,3,FALSE)</f>
        <v>Anticipated Salvage</v>
      </c>
      <c r="AF4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4" spans="18:32" x14ac:dyDescent="0.2">
      <c r="R4454" t="s">
        <v>14</v>
      </c>
      <c r="S4454" t="s">
        <v>257</v>
      </c>
      <c r="T4454" t="s">
        <v>7</v>
      </c>
      <c r="U4454" s="21">
        <v>114206.87</v>
      </c>
      <c r="V4454" s="21" t="s">
        <v>368</v>
      </c>
      <c r="W4454" t="str">
        <f>VLOOKUP(Table_Query_from_Actuarial___Production[[#This Row],[Kor1]],$AI$3:$AK$105,3,FALSE)</f>
        <v>Claims Expense</v>
      </c>
      <c r="X4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4"/>
      <c r="Z4454" t="s">
        <v>14</v>
      </c>
      <c r="AA4454" t="s">
        <v>238</v>
      </c>
      <c r="AB4454" t="s">
        <v>8</v>
      </c>
      <c r="AC4454" s="21">
        <v>12970.79</v>
      </c>
      <c r="AD4454" s="21" t="s">
        <v>368</v>
      </c>
      <c r="AE4454" t="str">
        <f>VLOOKUP(Table_Query_from_Actuarial___Production3[[#This Row],[Kor1]],$AI$3:$AK$105,3,FALSE)</f>
        <v>Claims Expense</v>
      </c>
      <c r="AF4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5" spans="18:32" x14ac:dyDescent="0.2">
      <c r="R4455" t="s">
        <v>11</v>
      </c>
      <c r="S4455" t="s">
        <v>239</v>
      </c>
      <c r="T4455" t="s">
        <v>9</v>
      </c>
      <c r="U4455" s="21">
        <v>37217.67</v>
      </c>
      <c r="V4455" s="21" t="s">
        <v>368</v>
      </c>
      <c r="W4455" t="str">
        <f>VLOOKUP(Table_Query_from_Actuarial___Production[[#This Row],[Kor1]],$AI$3:$AK$105,3,FALSE)</f>
        <v>Losses Paid</v>
      </c>
      <c r="X4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5"/>
      <c r="Z4455" t="s">
        <v>20</v>
      </c>
      <c r="AA4455" t="s">
        <v>259</v>
      </c>
      <c r="AB4455" t="s">
        <v>427</v>
      </c>
      <c r="AC4455" s="21">
        <v>429.22</v>
      </c>
      <c r="AD4455" s="21" t="s">
        <v>368</v>
      </c>
      <c r="AE4455" t="str">
        <f>VLOOKUP(Table_Query_from_Actuarial___Production3[[#This Row],[Kor1]],$AI$3:$AK$105,3,FALSE)</f>
        <v>Misc. Expense</v>
      </c>
      <c r="AF4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6" spans="18:32" x14ac:dyDescent="0.2">
      <c r="R4456" t="s">
        <v>40</v>
      </c>
      <c r="S4456" t="s">
        <v>264</v>
      </c>
      <c r="T4456" t="s">
        <v>427</v>
      </c>
      <c r="U4456" s="21">
        <v>373.01</v>
      </c>
      <c r="V4456" s="21" t="s">
        <v>368</v>
      </c>
      <c r="W4456" t="str">
        <f>VLOOKUP(Table_Query_from_Actuarial___Production[[#This Row],[Kor1]],$AI$3:$AK$105,3,FALSE)</f>
        <v>Misc. Income</v>
      </c>
      <c r="X4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6"/>
      <c r="Z4456" t="s">
        <v>21</v>
      </c>
      <c r="AA4456" t="s">
        <v>249</v>
      </c>
      <c r="AB4456" t="s">
        <v>433</v>
      </c>
      <c r="AC4456" s="21">
        <v>792.5</v>
      </c>
      <c r="AD4456" s="21" t="s">
        <v>368</v>
      </c>
      <c r="AE4456" t="str">
        <f>VLOOKUP(Table_Query_from_Actuarial___Production3[[#This Row],[Kor1]],$AI$3:$AK$105,3,FALSE)</f>
        <v>Misc. Expense</v>
      </c>
      <c r="AF4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7" spans="18:32" x14ac:dyDescent="0.2">
      <c r="R4457" t="s">
        <v>47</v>
      </c>
      <c r="S4457" t="s">
        <v>248</v>
      </c>
      <c r="T4457" t="s">
        <v>443</v>
      </c>
      <c r="U4457" s="21">
        <v>15079.38</v>
      </c>
      <c r="V4457" s="21" t="s">
        <v>368</v>
      </c>
      <c r="W4457" t="str">
        <f>VLOOKUP(Table_Query_from_Actuarial___Production[[#This Row],[Kor1]],$AI$3:$AK$105,3,FALSE)</f>
        <v>Investment Income</v>
      </c>
      <c r="X4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7"/>
      <c r="Z4457" t="s">
        <v>13</v>
      </c>
      <c r="AA4457" t="s">
        <v>267</v>
      </c>
      <c r="AB4457" t="s">
        <v>441</v>
      </c>
      <c r="AC4457" s="21">
        <v>278007.67999999999</v>
      </c>
      <c r="AD4457" s="21" t="s">
        <v>368</v>
      </c>
      <c r="AE4457" t="str">
        <f>VLOOKUP(Table_Query_from_Actuarial___Production3[[#This Row],[Kor1]],$AI$3:$AK$105,3,FALSE)</f>
        <v>Operating Service Fees</v>
      </c>
      <c r="AF4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8" spans="18:32" x14ac:dyDescent="0.2">
      <c r="R4458" t="s">
        <v>10</v>
      </c>
      <c r="S4458" t="s">
        <v>258</v>
      </c>
      <c r="T4458" t="s">
        <v>356</v>
      </c>
      <c r="U4458" s="21">
        <v>168504.93</v>
      </c>
      <c r="V4458" s="21" t="s">
        <v>368</v>
      </c>
      <c r="W4458" t="str">
        <f>VLOOKUP(Table_Query_from_Actuarial___Production[[#This Row],[Kor1]],$AI$3:$AK$105,3,FALSE)</f>
        <v>Commissions</v>
      </c>
      <c r="X4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8"/>
      <c r="Z4458" t="s">
        <v>44</v>
      </c>
      <c r="AA4458" t="s">
        <v>234</v>
      </c>
      <c r="AB4458" t="s">
        <v>7</v>
      </c>
      <c r="AC4458" s="21">
        <v>428</v>
      </c>
      <c r="AD4458" s="21" t="s">
        <v>368</v>
      </c>
      <c r="AE4458" t="str">
        <f>VLOOKUP(Table_Query_from_Actuarial___Production3[[#This Row],[Kor1]],$AI$3:$AK$105,3,FALSE)</f>
        <v>Charge-offs</v>
      </c>
      <c r="AF4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59" spans="18:32" x14ac:dyDescent="0.2">
      <c r="R4459" t="s">
        <v>33</v>
      </c>
      <c r="S4459" t="s">
        <v>242</v>
      </c>
      <c r="T4459" t="s">
        <v>442</v>
      </c>
      <c r="U4459" s="21">
        <v>12381.45</v>
      </c>
      <c r="V4459" s="21" t="s">
        <v>368</v>
      </c>
      <c r="W4459" t="str">
        <f>VLOOKUP(Table_Query_from_Actuarial___Production[[#This Row],[Kor1]],$AI$3:$AK$105,3,FALSE)</f>
        <v>Misc. Expense</v>
      </c>
      <c r="X4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59"/>
      <c r="Z4459" t="s">
        <v>49</v>
      </c>
      <c r="AA4459" t="s">
        <v>233</v>
      </c>
      <c r="AB4459" t="s">
        <v>9</v>
      </c>
      <c r="AC4459" s="21">
        <v>2909.5</v>
      </c>
      <c r="AD4459" s="21" t="s">
        <v>368</v>
      </c>
      <c r="AE4459" t="str">
        <f>VLOOKUP(Table_Query_from_Actuarial___Production3[[#This Row],[Kor1]],$AI$3:$AK$105,3,FALSE)</f>
        <v>ALAE Paid</v>
      </c>
      <c r="AF4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0" spans="18:32" x14ac:dyDescent="0.2">
      <c r="R4460" t="s">
        <v>33</v>
      </c>
      <c r="S4460" t="s">
        <v>266</v>
      </c>
      <c r="T4460" t="s">
        <v>7</v>
      </c>
      <c r="U4460" s="21">
        <v>13382.48</v>
      </c>
      <c r="V4460" s="21" t="s">
        <v>368</v>
      </c>
      <c r="W4460" t="str">
        <f>VLOOKUP(Table_Query_from_Actuarial___Production[[#This Row],[Kor1]],$AI$3:$AK$105,3,FALSE)</f>
        <v>Misc. Expense</v>
      </c>
      <c r="X4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0"/>
      <c r="Z4460" t="s">
        <v>10</v>
      </c>
      <c r="AA4460" t="s">
        <v>225</v>
      </c>
      <c r="AB4460" t="s">
        <v>9</v>
      </c>
      <c r="AC4460" s="21">
        <v>52185.32</v>
      </c>
      <c r="AD4460" s="21" t="s">
        <v>368</v>
      </c>
      <c r="AE4460" t="str">
        <f>VLOOKUP(Table_Query_from_Actuarial___Production3[[#This Row],[Kor1]],$AI$3:$AK$105,3,FALSE)</f>
        <v>Commissions</v>
      </c>
      <c r="AF4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461" spans="18:32" x14ac:dyDescent="0.2">
      <c r="R4461" t="s">
        <v>13</v>
      </c>
      <c r="S4461" t="s">
        <v>224</v>
      </c>
      <c r="T4461" t="s">
        <v>9</v>
      </c>
      <c r="U4461" s="21">
        <v>143326.60999999999</v>
      </c>
      <c r="V4461" s="21" t="s">
        <v>370</v>
      </c>
      <c r="W4461" t="str">
        <f>VLOOKUP(Table_Query_from_Actuarial___Production[[#This Row],[Kor1]],$AI$3:$AK$105,3,FALSE)</f>
        <v>Operating Service Fees</v>
      </c>
      <c r="X4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461"/>
      <c r="Z4461" t="s">
        <v>3</v>
      </c>
      <c r="AA4461" t="s">
        <v>227</v>
      </c>
      <c r="AB4461" t="s">
        <v>356</v>
      </c>
      <c r="AC4461" s="21">
        <v>40320</v>
      </c>
      <c r="AD4461" s="21" t="s">
        <v>368</v>
      </c>
      <c r="AE4461" t="str">
        <f>VLOOKUP(Table_Query_from_Actuarial___Production3[[#This Row],[Kor1]],$AI$3:$AK$105,3,FALSE)</f>
        <v>Premiums Written</v>
      </c>
      <c r="AF4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2" spans="18:32" x14ac:dyDescent="0.2">
      <c r="R4462" t="s">
        <v>10</v>
      </c>
      <c r="S4462" t="s">
        <v>265</v>
      </c>
      <c r="T4462" t="s">
        <v>351</v>
      </c>
      <c r="U4462" s="21">
        <v>49640.800000000003</v>
      </c>
      <c r="V4462" s="21" t="s">
        <v>368</v>
      </c>
      <c r="W4462" t="str">
        <f>VLOOKUP(Table_Query_from_Actuarial___Production[[#This Row],[Kor1]],$AI$3:$AK$105,3,FALSE)</f>
        <v>Commissions</v>
      </c>
      <c r="X4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2"/>
      <c r="Z4462" t="s">
        <v>10</v>
      </c>
      <c r="AA4462" t="s">
        <v>265</v>
      </c>
      <c r="AB4462" t="s">
        <v>433</v>
      </c>
      <c r="AC4462" s="21">
        <v>45395.55</v>
      </c>
      <c r="AD4462" s="21" t="s">
        <v>368</v>
      </c>
      <c r="AE4462" t="str">
        <f>VLOOKUP(Table_Query_from_Actuarial___Production3[[#This Row],[Kor1]],$AI$3:$AK$105,3,FALSE)</f>
        <v>Commissions</v>
      </c>
      <c r="AF4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3" spans="18:32" x14ac:dyDescent="0.2">
      <c r="R4463" t="s">
        <v>20</v>
      </c>
      <c r="S4463" t="s">
        <v>229</v>
      </c>
      <c r="T4463" t="s">
        <v>6</v>
      </c>
      <c r="U4463" s="21">
        <v>305.61</v>
      </c>
      <c r="V4463" s="21" t="s">
        <v>368</v>
      </c>
      <c r="W4463" t="str">
        <f>VLOOKUP(Table_Query_from_Actuarial___Production[[#This Row],[Kor1]],$AI$3:$AK$105,3,FALSE)</f>
        <v>Misc. Expense</v>
      </c>
      <c r="X4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3"/>
      <c r="Z4463" t="s">
        <v>48</v>
      </c>
      <c r="AA4463" t="s">
        <v>264</v>
      </c>
      <c r="AB4463" t="s">
        <v>427</v>
      </c>
      <c r="AC4463" s="21">
        <v>10699.62</v>
      </c>
      <c r="AD4463" s="21" t="s">
        <v>368</v>
      </c>
      <c r="AE4463" t="str">
        <f>VLOOKUP(Table_Query_from_Actuarial___Production3[[#This Row],[Kor1]],$AI$3:$AK$105,3,FALSE)</f>
        <v>Anticipated Salvage</v>
      </c>
      <c r="AF4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4" spans="18:32" x14ac:dyDescent="0.2">
      <c r="R4464" t="s">
        <v>47</v>
      </c>
      <c r="S4464" t="s">
        <v>232</v>
      </c>
      <c r="T4464" t="s">
        <v>443</v>
      </c>
      <c r="U4464" s="21">
        <v>14609.14</v>
      </c>
      <c r="V4464" s="21" t="s">
        <v>368</v>
      </c>
      <c r="W4464" t="str">
        <f>VLOOKUP(Table_Query_from_Actuarial___Production[[#This Row],[Kor1]],$AI$3:$AK$105,3,FALSE)</f>
        <v>Investment Income</v>
      </c>
      <c r="X4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4"/>
      <c r="Z4464" t="s">
        <v>3</v>
      </c>
      <c r="AA4464" t="s">
        <v>240</v>
      </c>
      <c r="AB4464" t="s">
        <v>5</v>
      </c>
      <c r="AC4464" s="21">
        <v>776170</v>
      </c>
      <c r="AD4464" s="21" t="s">
        <v>368</v>
      </c>
      <c r="AE4464" t="str">
        <f>VLOOKUP(Table_Query_from_Actuarial___Production3[[#This Row],[Kor1]],$AI$3:$AK$105,3,FALSE)</f>
        <v>Premiums Written</v>
      </c>
      <c r="AF4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5" spans="18:32" x14ac:dyDescent="0.2">
      <c r="R4465" t="s">
        <v>47</v>
      </c>
      <c r="S4465" t="s">
        <v>235</v>
      </c>
      <c r="T4465" t="s">
        <v>9</v>
      </c>
      <c r="U4465" s="21">
        <v>217.49</v>
      </c>
      <c r="V4465" s="21" t="s">
        <v>368</v>
      </c>
      <c r="W4465" t="str">
        <f>VLOOKUP(Table_Query_from_Actuarial___Production[[#This Row],[Kor1]],$AI$3:$AK$105,3,FALSE)</f>
        <v>Investment Income</v>
      </c>
      <c r="X4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5"/>
      <c r="Z4465" t="s">
        <v>36</v>
      </c>
      <c r="AA4465" t="s">
        <v>230</v>
      </c>
      <c r="AB4465" t="s">
        <v>6</v>
      </c>
      <c r="AC4465" s="21">
        <v>20079.560000000001</v>
      </c>
      <c r="AD4465" s="21" t="s">
        <v>368</v>
      </c>
      <c r="AE4465" t="str">
        <f>VLOOKUP(Table_Query_from_Actuarial___Production3[[#This Row],[Kor1]],$AI$3:$AK$105,3,FALSE)</f>
        <v>Misc. Expense</v>
      </c>
      <c r="AF4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6" spans="18:32" x14ac:dyDescent="0.2">
      <c r="R4466" t="s">
        <v>49</v>
      </c>
      <c r="S4466" t="s">
        <v>233</v>
      </c>
      <c r="T4466" t="s">
        <v>427</v>
      </c>
      <c r="U4466" s="21">
        <v>24611.7</v>
      </c>
      <c r="V4466" s="21" t="s">
        <v>368</v>
      </c>
      <c r="W4466" t="str">
        <f>VLOOKUP(Table_Query_from_Actuarial___Production[[#This Row],[Kor1]],$AI$3:$AK$105,3,FALSE)</f>
        <v>ALAE Paid</v>
      </c>
      <c r="X4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6"/>
      <c r="Z4466" t="s">
        <v>37</v>
      </c>
      <c r="AA4466" t="s">
        <v>241</v>
      </c>
      <c r="AB4466" t="s">
        <v>442</v>
      </c>
      <c r="AC4466" s="21">
        <v>-82.55</v>
      </c>
      <c r="AD4466" s="21" t="s">
        <v>368</v>
      </c>
      <c r="AE4466" t="str">
        <f>VLOOKUP(Table_Query_from_Actuarial___Production3[[#This Row],[Kor1]],$AI$3:$AK$105,3,FALSE)</f>
        <v>Misc. Expense</v>
      </c>
      <c r="AF4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7" spans="18:32" x14ac:dyDescent="0.2">
      <c r="R4467" t="s">
        <v>12</v>
      </c>
      <c r="S4467" t="s">
        <v>262</v>
      </c>
      <c r="T4467" t="s">
        <v>443</v>
      </c>
      <c r="U4467" s="21">
        <v>1400.59</v>
      </c>
      <c r="V4467" s="21" t="s">
        <v>368</v>
      </c>
      <c r="W4467" t="str">
        <f>VLOOKUP(Table_Query_from_Actuarial___Production[[#This Row],[Kor1]],$AI$3:$AK$105,3,FALSE)</f>
        <v>Premium Tax</v>
      </c>
      <c r="X4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7"/>
      <c r="Z4467" t="s">
        <v>13</v>
      </c>
      <c r="AA4467" t="s">
        <v>229</v>
      </c>
      <c r="AB4467" t="s">
        <v>351</v>
      </c>
      <c r="AC4467" s="21">
        <v>11756.74</v>
      </c>
      <c r="AD4467" s="21" t="s">
        <v>368</v>
      </c>
      <c r="AE4467" t="str">
        <f>VLOOKUP(Table_Query_from_Actuarial___Production3[[#This Row],[Kor1]],$AI$3:$AK$105,3,FALSE)</f>
        <v>Operating Service Fees</v>
      </c>
      <c r="AF4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8" spans="18:32" x14ac:dyDescent="0.2">
      <c r="R4468" t="s">
        <v>3</v>
      </c>
      <c r="S4468" t="s">
        <v>247</v>
      </c>
      <c r="T4468" t="s">
        <v>9</v>
      </c>
      <c r="U4468" s="21">
        <v>10354</v>
      </c>
      <c r="V4468" s="21" t="s">
        <v>368</v>
      </c>
      <c r="W4468" t="str">
        <f>VLOOKUP(Table_Query_from_Actuarial___Production[[#This Row],[Kor1]],$AI$3:$AK$105,3,FALSE)</f>
        <v>Premiums Written</v>
      </c>
      <c r="X4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8"/>
      <c r="Z4468" t="s">
        <v>47</v>
      </c>
      <c r="AA4468" t="s">
        <v>239</v>
      </c>
      <c r="AB4468" t="s">
        <v>5</v>
      </c>
      <c r="AC4468" s="21">
        <v>0.57999999999999996</v>
      </c>
      <c r="AD4468" s="21" t="s">
        <v>368</v>
      </c>
      <c r="AE4468" t="str">
        <f>VLOOKUP(Table_Query_from_Actuarial___Production3[[#This Row],[Kor1]],$AI$3:$AK$105,3,FALSE)</f>
        <v>Investment Income</v>
      </c>
      <c r="AF4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69" spans="18:32" x14ac:dyDescent="0.2">
      <c r="R4469" t="s">
        <v>13</v>
      </c>
      <c r="S4469" t="s">
        <v>240</v>
      </c>
      <c r="T4469" t="s">
        <v>445</v>
      </c>
      <c r="U4469" s="21">
        <v>244589.2</v>
      </c>
      <c r="V4469" s="21" t="s">
        <v>368</v>
      </c>
      <c r="W4469" t="str">
        <f>VLOOKUP(Table_Query_from_Actuarial___Production[[#This Row],[Kor1]],$AI$3:$AK$105,3,FALSE)</f>
        <v>Operating Service Fees</v>
      </c>
      <c r="X4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69"/>
      <c r="Z4469" t="s">
        <v>21</v>
      </c>
      <c r="AA4469" t="s">
        <v>4</v>
      </c>
      <c r="AB4469" t="s">
        <v>5</v>
      </c>
      <c r="AC4469" s="21">
        <v>206.9</v>
      </c>
      <c r="AD4469" s="21" t="s">
        <v>368</v>
      </c>
      <c r="AE4469" t="str">
        <f>VLOOKUP(Table_Query_from_Actuarial___Production3[[#This Row],[Kor1]],$AI$3:$AK$105,3,FALSE)</f>
        <v>Misc. Expense</v>
      </c>
      <c r="AF4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0" spans="18:32" x14ac:dyDescent="0.2">
      <c r="R4470" t="s">
        <v>130</v>
      </c>
      <c r="S4470" t="s">
        <v>224</v>
      </c>
      <c r="T4470" t="s">
        <v>6</v>
      </c>
      <c r="U4470" s="21">
        <v>3094270.17</v>
      </c>
      <c r="V4470" s="21" t="s">
        <v>370</v>
      </c>
      <c r="W4470" t="str">
        <f>VLOOKUP(Table_Query_from_Actuarial___Production[[#This Row],[Kor1]],$AI$3:$AK$105,3,FALSE)</f>
        <v>CPAI Charge-offs</v>
      </c>
      <c r="X4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470"/>
      <c r="Z4470" t="s">
        <v>12</v>
      </c>
      <c r="AA4470" t="s">
        <v>255</v>
      </c>
      <c r="AB4470" t="s">
        <v>9</v>
      </c>
      <c r="AC4470" s="21">
        <v>12324.65</v>
      </c>
      <c r="AD4470" s="21" t="s">
        <v>368</v>
      </c>
      <c r="AE4470" t="str">
        <f>VLOOKUP(Table_Query_from_Actuarial___Production3[[#This Row],[Kor1]],$AI$3:$AK$105,3,FALSE)</f>
        <v>Premium Tax</v>
      </c>
      <c r="AF4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1" spans="18:32" x14ac:dyDescent="0.2">
      <c r="R4471" t="s">
        <v>47</v>
      </c>
      <c r="S4471" t="s">
        <v>237</v>
      </c>
      <c r="T4471" t="s">
        <v>443</v>
      </c>
      <c r="U4471" s="21">
        <v>153500.13</v>
      </c>
      <c r="V4471" s="21" t="s">
        <v>368</v>
      </c>
      <c r="W4471" t="str">
        <f>VLOOKUP(Table_Query_from_Actuarial___Production[[#This Row],[Kor1]],$AI$3:$AK$105,3,FALSE)</f>
        <v>Investment Income</v>
      </c>
      <c r="X4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1"/>
      <c r="Z4471" t="s">
        <v>14</v>
      </c>
      <c r="AA4471" t="s">
        <v>257</v>
      </c>
      <c r="AB4471" t="s">
        <v>7</v>
      </c>
      <c r="AC4471" s="21">
        <v>114206.87</v>
      </c>
      <c r="AD4471" s="21" t="s">
        <v>368</v>
      </c>
      <c r="AE4471" t="str">
        <f>VLOOKUP(Table_Query_from_Actuarial___Production3[[#This Row],[Kor1]],$AI$3:$AK$105,3,FALSE)</f>
        <v>Claims Expense</v>
      </c>
      <c r="AF4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2" spans="18:32" x14ac:dyDescent="0.2">
      <c r="R4472" t="s">
        <v>3</v>
      </c>
      <c r="S4472" t="s">
        <v>240</v>
      </c>
      <c r="T4472" t="s">
        <v>441</v>
      </c>
      <c r="U4472" s="21">
        <v>5395598</v>
      </c>
      <c r="V4472" s="21" t="s">
        <v>368</v>
      </c>
      <c r="W4472" t="str">
        <f>VLOOKUP(Table_Query_from_Actuarial___Production[[#This Row],[Kor1]],$AI$3:$AK$105,3,FALSE)</f>
        <v>Premiums Written</v>
      </c>
      <c r="X4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2"/>
      <c r="Z4472" t="s">
        <v>11</v>
      </c>
      <c r="AA4472" t="s">
        <v>239</v>
      </c>
      <c r="AB4472" t="s">
        <v>9</v>
      </c>
      <c r="AC4472" s="21">
        <v>37217.67</v>
      </c>
      <c r="AD4472" s="21" t="s">
        <v>368</v>
      </c>
      <c r="AE4472" t="str">
        <f>VLOOKUP(Table_Query_from_Actuarial___Production3[[#This Row],[Kor1]],$AI$3:$AK$105,3,FALSE)</f>
        <v>Losses Paid</v>
      </c>
      <c r="AF4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3" spans="18:32" x14ac:dyDescent="0.2">
      <c r="R4473" t="s">
        <v>12</v>
      </c>
      <c r="S4473" t="s">
        <v>240</v>
      </c>
      <c r="T4473" t="s">
        <v>6</v>
      </c>
      <c r="U4473" s="21">
        <v>21077.73</v>
      </c>
      <c r="V4473" s="21" t="s">
        <v>368</v>
      </c>
      <c r="W4473" t="str">
        <f>VLOOKUP(Table_Query_from_Actuarial___Production[[#This Row],[Kor1]],$AI$3:$AK$105,3,FALSE)</f>
        <v>Premium Tax</v>
      </c>
      <c r="X4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3"/>
      <c r="Z4473" t="s">
        <v>19</v>
      </c>
      <c r="AA4473" t="s">
        <v>261</v>
      </c>
      <c r="AB4473" t="s">
        <v>5</v>
      </c>
      <c r="AC4473" s="21">
        <v>876</v>
      </c>
      <c r="AD4473" s="21" t="s">
        <v>368</v>
      </c>
      <c r="AE4473" t="str">
        <f>VLOOKUP(Table_Query_from_Actuarial___Production3[[#This Row],[Kor1]],$AI$3:$AK$105,3,FALSE)</f>
        <v>Misc. Expense for Insolvent Companies</v>
      </c>
      <c r="AF4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4" spans="18:32" x14ac:dyDescent="0.2">
      <c r="R4474" t="s">
        <v>20</v>
      </c>
      <c r="S4474" t="s">
        <v>234</v>
      </c>
      <c r="T4474" t="s">
        <v>9</v>
      </c>
      <c r="U4474" s="21">
        <v>518.88</v>
      </c>
      <c r="V4474" s="21" t="s">
        <v>368</v>
      </c>
      <c r="W4474" t="str">
        <f>VLOOKUP(Table_Query_from_Actuarial___Production[[#This Row],[Kor1]],$AI$3:$AK$105,3,FALSE)</f>
        <v>Misc. Expense</v>
      </c>
      <c r="X4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4"/>
      <c r="Z4474" t="s">
        <v>40</v>
      </c>
      <c r="AA4474" t="s">
        <v>264</v>
      </c>
      <c r="AB4474" t="s">
        <v>427</v>
      </c>
      <c r="AC4474" s="21">
        <v>373.01</v>
      </c>
      <c r="AD4474" s="21" t="s">
        <v>368</v>
      </c>
      <c r="AE4474" t="str">
        <f>VLOOKUP(Table_Query_from_Actuarial___Production3[[#This Row],[Kor1]],$AI$3:$AK$105,3,FALSE)</f>
        <v>Misc. Income</v>
      </c>
      <c r="AF4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5" spans="18:32" x14ac:dyDescent="0.2">
      <c r="R4475" t="s">
        <v>12</v>
      </c>
      <c r="S4475" t="s">
        <v>257</v>
      </c>
      <c r="T4475" t="s">
        <v>445</v>
      </c>
      <c r="U4475" s="21">
        <v>20971.259999999998</v>
      </c>
      <c r="V4475" s="21" t="s">
        <v>368</v>
      </c>
      <c r="W4475" t="str">
        <f>VLOOKUP(Table_Query_from_Actuarial___Production[[#This Row],[Kor1]],$AI$3:$AK$105,3,FALSE)</f>
        <v>Premium Tax</v>
      </c>
      <c r="X4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5"/>
      <c r="Z4475" t="s">
        <v>47</v>
      </c>
      <c r="AA4475" t="s">
        <v>248</v>
      </c>
      <c r="AB4475" t="s">
        <v>443</v>
      </c>
      <c r="AC4475" s="21">
        <v>5014.75</v>
      </c>
      <c r="AD4475" s="21" t="s">
        <v>368</v>
      </c>
      <c r="AE4475" t="str">
        <f>VLOOKUP(Table_Query_from_Actuarial___Production3[[#This Row],[Kor1]],$AI$3:$AK$105,3,FALSE)</f>
        <v>Investment Income</v>
      </c>
      <c r="AF4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6" spans="18:32" x14ac:dyDescent="0.2">
      <c r="R4476" t="s">
        <v>31</v>
      </c>
      <c r="S4476" t="s">
        <v>237</v>
      </c>
      <c r="T4476" t="s">
        <v>356</v>
      </c>
      <c r="U4476" s="21">
        <v>-712.51</v>
      </c>
      <c r="V4476" s="21" t="s">
        <v>368</v>
      </c>
      <c r="W4476" t="str">
        <f>VLOOKUP(Table_Query_from_Actuarial___Production[[#This Row],[Kor1]],$AI$3:$AK$105,3,FALSE)</f>
        <v>Misc. Expense</v>
      </c>
      <c r="X4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6"/>
      <c r="Z4476" t="s">
        <v>10</v>
      </c>
      <c r="AA4476" t="s">
        <v>258</v>
      </c>
      <c r="AB4476" t="s">
        <v>356</v>
      </c>
      <c r="AC4476" s="21">
        <v>168504.93</v>
      </c>
      <c r="AD4476" s="21" t="s">
        <v>368</v>
      </c>
      <c r="AE4476" t="str">
        <f>VLOOKUP(Table_Query_from_Actuarial___Production3[[#This Row],[Kor1]],$AI$3:$AK$105,3,FALSE)</f>
        <v>Commissions</v>
      </c>
      <c r="AF4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7" spans="18:32" x14ac:dyDescent="0.2">
      <c r="R4477" t="s">
        <v>13</v>
      </c>
      <c r="S4477" t="s">
        <v>226</v>
      </c>
      <c r="T4477" t="s">
        <v>433</v>
      </c>
      <c r="U4477" s="21">
        <v>1293796.1399999999</v>
      </c>
      <c r="V4477" s="21" t="s">
        <v>368</v>
      </c>
      <c r="W4477" t="str">
        <f>VLOOKUP(Table_Query_from_Actuarial___Production[[#This Row],[Kor1]],$AI$3:$AK$105,3,FALSE)</f>
        <v>Operating Service Fees</v>
      </c>
      <c r="X4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477"/>
      <c r="Z4477" t="s">
        <v>33</v>
      </c>
      <c r="AA4477" t="s">
        <v>242</v>
      </c>
      <c r="AB4477" t="s">
        <v>442</v>
      </c>
      <c r="AC4477" s="21">
        <v>12381.45</v>
      </c>
      <c r="AD4477" s="21" t="s">
        <v>368</v>
      </c>
      <c r="AE4477" t="str">
        <f>VLOOKUP(Table_Query_from_Actuarial___Production3[[#This Row],[Kor1]],$AI$3:$AK$105,3,FALSE)</f>
        <v>Misc. Expense</v>
      </c>
      <c r="AF4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8" spans="18:32" x14ac:dyDescent="0.2">
      <c r="R4478" t="s">
        <v>48</v>
      </c>
      <c r="S4478" t="s">
        <v>249</v>
      </c>
      <c r="T4478" t="s">
        <v>443</v>
      </c>
      <c r="U4478" s="21">
        <v>2220.34</v>
      </c>
      <c r="V4478" s="21" t="s">
        <v>368</v>
      </c>
      <c r="W4478" t="str">
        <f>VLOOKUP(Table_Query_from_Actuarial___Production[[#This Row],[Kor1]],$AI$3:$AK$105,3,FALSE)</f>
        <v>Anticipated Salvage</v>
      </c>
      <c r="X4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8"/>
      <c r="Z4478" t="s">
        <v>33</v>
      </c>
      <c r="AA4478" t="s">
        <v>266</v>
      </c>
      <c r="AB4478" t="s">
        <v>7</v>
      </c>
      <c r="AC4478" s="21">
        <v>13382.48</v>
      </c>
      <c r="AD4478" s="21" t="s">
        <v>368</v>
      </c>
      <c r="AE4478" t="str">
        <f>VLOOKUP(Table_Query_from_Actuarial___Production3[[#This Row],[Kor1]],$AI$3:$AK$105,3,FALSE)</f>
        <v>Misc. Expense</v>
      </c>
      <c r="AF4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79" spans="18:32" x14ac:dyDescent="0.2">
      <c r="R4479" t="s">
        <v>31</v>
      </c>
      <c r="S4479" t="s">
        <v>248</v>
      </c>
      <c r="T4479" t="s">
        <v>7</v>
      </c>
      <c r="U4479" s="21">
        <v>973.97</v>
      </c>
      <c r="V4479" s="21" t="s">
        <v>368</v>
      </c>
      <c r="W4479" t="str">
        <f>VLOOKUP(Table_Query_from_Actuarial___Production[[#This Row],[Kor1]],$AI$3:$AK$105,3,FALSE)</f>
        <v>Misc. Expense</v>
      </c>
      <c r="X4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79"/>
      <c r="Z4479" t="s">
        <v>13</v>
      </c>
      <c r="AA4479" t="s">
        <v>224</v>
      </c>
      <c r="AB4479" t="s">
        <v>9</v>
      </c>
      <c r="AC4479" s="21">
        <v>143326.60999999999</v>
      </c>
      <c r="AD4479" s="21" t="s">
        <v>370</v>
      </c>
      <c r="AE4479" t="str">
        <f>VLOOKUP(Table_Query_from_Actuarial___Production3[[#This Row],[Kor1]],$AI$3:$AK$105,3,FALSE)</f>
        <v>Operating Service Fees</v>
      </c>
      <c r="AF4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480" spans="18:32" x14ac:dyDescent="0.2">
      <c r="R4480" t="s">
        <v>3</v>
      </c>
      <c r="S4480" t="s">
        <v>224</v>
      </c>
      <c r="T4480" t="s">
        <v>356</v>
      </c>
      <c r="U4480" s="21">
        <v>80699.25</v>
      </c>
      <c r="V4480" s="21" t="s">
        <v>369</v>
      </c>
      <c r="W4480" t="str">
        <f>VLOOKUP(Table_Query_from_Actuarial___Production[[#This Row],[Kor1]],$AI$3:$AK$105,3,FALSE)</f>
        <v>Premiums Written</v>
      </c>
      <c r="X4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480"/>
      <c r="Z4480" t="s">
        <v>10</v>
      </c>
      <c r="AA4480" t="s">
        <v>265</v>
      </c>
      <c r="AB4480" t="s">
        <v>351</v>
      </c>
      <c r="AC4480" s="21">
        <v>49640.800000000003</v>
      </c>
      <c r="AD4480" s="21" t="s">
        <v>368</v>
      </c>
      <c r="AE4480" t="str">
        <f>VLOOKUP(Table_Query_from_Actuarial___Production3[[#This Row],[Kor1]],$AI$3:$AK$105,3,FALSE)</f>
        <v>Commissions</v>
      </c>
      <c r="AF4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1" spans="18:32" x14ac:dyDescent="0.2">
      <c r="R4481" t="s">
        <v>14</v>
      </c>
      <c r="S4481" t="s">
        <v>243</v>
      </c>
      <c r="T4481" t="s">
        <v>445</v>
      </c>
      <c r="U4481" s="21">
        <v>5402.36</v>
      </c>
      <c r="V4481" s="21" t="s">
        <v>368</v>
      </c>
      <c r="W4481" t="str">
        <f>VLOOKUP(Table_Query_from_Actuarial___Production[[#This Row],[Kor1]],$AI$3:$AK$105,3,FALSE)</f>
        <v>Claims Expense</v>
      </c>
      <c r="X4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1"/>
      <c r="Z4481" t="s">
        <v>20</v>
      </c>
      <c r="AA4481" t="s">
        <v>229</v>
      </c>
      <c r="AB4481" t="s">
        <v>6</v>
      </c>
      <c r="AC4481" s="21">
        <v>305.61</v>
      </c>
      <c r="AD4481" s="21" t="s">
        <v>368</v>
      </c>
      <c r="AE4481" t="str">
        <f>VLOOKUP(Table_Query_from_Actuarial___Production3[[#This Row],[Kor1]],$AI$3:$AK$105,3,FALSE)</f>
        <v>Misc. Expense</v>
      </c>
      <c r="AF4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2" spans="18:32" x14ac:dyDescent="0.2">
      <c r="R4482" t="s">
        <v>40</v>
      </c>
      <c r="S4482" t="s">
        <v>233</v>
      </c>
      <c r="T4482" t="s">
        <v>351</v>
      </c>
      <c r="U4482" s="21">
        <v>21</v>
      </c>
      <c r="V4482" s="21" t="s">
        <v>368</v>
      </c>
      <c r="W4482" t="str">
        <f>VLOOKUP(Table_Query_from_Actuarial___Production[[#This Row],[Kor1]],$AI$3:$AK$105,3,FALSE)</f>
        <v>Misc. Income</v>
      </c>
      <c r="X4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2"/>
      <c r="Z4482" t="s">
        <v>47</v>
      </c>
      <c r="AA4482" t="s">
        <v>232</v>
      </c>
      <c r="AB4482" t="s">
        <v>443</v>
      </c>
      <c r="AC4482" s="21">
        <v>4618.3500000000004</v>
      </c>
      <c r="AD4482" s="21" t="s">
        <v>368</v>
      </c>
      <c r="AE4482" t="str">
        <f>VLOOKUP(Table_Query_from_Actuarial___Production3[[#This Row],[Kor1]],$AI$3:$AK$105,3,FALSE)</f>
        <v>Investment Income</v>
      </c>
      <c r="AF4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3" spans="18:32" x14ac:dyDescent="0.2">
      <c r="R4483" t="s">
        <v>41</v>
      </c>
      <c r="S4483" t="s">
        <v>254</v>
      </c>
      <c r="T4483" t="s">
        <v>8</v>
      </c>
      <c r="U4483" s="21">
        <v>100</v>
      </c>
      <c r="V4483" s="21" t="s">
        <v>368</v>
      </c>
      <c r="W4483" t="str">
        <f>VLOOKUP(Table_Query_from_Actuarial___Production[[#This Row],[Kor1]],$AI$3:$AK$105,3,FALSE)</f>
        <v>Misc. Income</v>
      </c>
      <c r="X4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3"/>
      <c r="Z4483" t="s">
        <v>48</v>
      </c>
      <c r="AA4483" t="s">
        <v>238</v>
      </c>
      <c r="AB4483" t="s">
        <v>427</v>
      </c>
      <c r="AC4483" s="21">
        <v>740.61</v>
      </c>
      <c r="AD4483" s="21" t="s">
        <v>368</v>
      </c>
      <c r="AE4483" t="str">
        <f>VLOOKUP(Table_Query_from_Actuarial___Production3[[#This Row],[Kor1]],$AI$3:$AK$105,3,FALSE)</f>
        <v>Anticipated Salvage</v>
      </c>
      <c r="AF4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4" spans="18:32" x14ac:dyDescent="0.2">
      <c r="R4484" t="s">
        <v>13</v>
      </c>
      <c r="S4484" t="s">
        <v>246</v>
      </c>
      <c r="T4484" t="s">
        <v>7</v>
      </c>
      <c r="U4484" s="21">
        <v>89627.09</v>
      </c>
      <c r="V4484" s="21" t="s">
        <v>368</v>
      </c>
      <c r="W4484" t="str">
        <f>VLOOKUP(Table_Query_from_Actuarial___Production[[#This Row],[Kor1]],$AI$3:$AK$105,3,FALSE)</f>
        <v>Operating Service Fees</v>
      </c>
      <c r="X4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4"/>
      <c r="Z4484" t="s">
        <v>47</v>
      </c>
      <c r="AA4484" t="s">
        <v>235</v>
      </c>
      <c r="AB4484" t="s">
        <v>9</v>
      </c>
      <c r="AC4484" s="21">
        <v>217.49</v>
      </c>
      <c r="AD4484" s="21" t="s">
        <v>368</v>
      </c>
      <c r="AE4484" t="str">
        <f>VLOOKUP(Table_Query_from_Actuarial___Production3[[#This Row],[Kor1]],$AI$3:$AK$105,3,FALSE)</f>
        <v>Investment Income</v>
      </c>
      <c r="AF4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5" spans="18:32" x14ac:dyDescent="0.2">
      <c r="R4485" t="s">
        <v>37</v>
      </c>
      <c r="S4485" t="s">
        <v>266</v>
      </c>
      <c r="T4485" t="s">
        <v>441</v>
      </c>
      <c r="U4485" s="21">
        <v>4407.04</v>
      </c>
      <c r="V4485" s="21" t="s">
        <v>368</v>
      </c>
      <c r="W4485" t="str">
        <f>VLOOKUP(Table_Query_from_Actuarial___Production[[#This Row],[Kor1]],$AI$3:$AK$105,3,FALSE)</f>
        <v>Misc. Expense</v>
      </c>
      <c r="X4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5"/>
      <c r="Z4485" t="s">
        <v>49</v>
      </c>
      <c r="AA4485" t="s">
        <v>233</v>
      </c>
      <c r="AB4485" t="s">
        <v>427</v>
      </c>
      <c r="AC4485" s="21">
        <v>21163.65</v>
      </c>
      <c r="AD4485" s="21" t="s">
        <v>368</v>
      </c>
      <c r="AE4485" t="str">
        <f>VLOOKUP(Table_Query_from_Actuarial___Production3[[#This Row],[Kor1]],$AI$3:$AK$105,3,FALSE)</f>
        <v>ALAE Paid</v>
      </c>
      <c r="AF4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6" spans="18:32" x14ac:dyDescent="0.2">
      <c r="R4486" t="s">
        <v>10</v>
      </c>
      <c r="S4486" t="s">
        <v>4</v>
      </c>
      <c r="T4486" t="s">
        <v>441</v>
      </c>
      <c r="U4486" s="21">
        <v>5648136.54</v>
      </c>
      <c r="V4486" s="21" t="s">
        <v>368</v>
      </c>
      <c r="W4486" t="str">
        <f>VLOOKUP(Table_Query_from_Actuarial___Production[[#This Row],[Kor1]],$AI$3:$AK$105,3,FALSE)</f>
        <v>Commissions</v>
      </c>
      <c r="X4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6"/>
      <c r="Z4486" t="s">
        <v>12</v>
      </c>
      <c r="AA4486" t="s">
        <v>262</v>
      </c>
      <c r="AB4486" t="s">
        <v>443</v>
      </c>
      <c r="AC4486" s="21">
        <v>1439.88</v>
      </c>
      <c r="AD4486" s="21" t="s">
        <v>368</v>
      </c>
      <c r="AE4486" t="str">
        <f>VLOOKUP(Table_Query_from_Actuarial___Production3[[#This Row],[Kor1]],$AI$3:$AK$105,3,FALSE)</f>
        <v>Premium Tax</v>
      </c>
      <c r="AF4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7" spans="18:32" x14ac:dyDescent="0.2">
      <c r="R4487" t="s">
        <v>14</v>
      </c>
      <c r="S4487" t="s">
        <v>250</v>
      </c>
      <c r="T4487" t="s">
        <v>356</v>
      </c>
      <c r="U4487" s="21">
        <v>153800.24</v>
      </c>
      <c r="V4487" s="21" t="s">
        <v>368</v>
      </c>
      <c r="W4487" t="str">
        <f>VLOOKUP(Table_Query_from_Actuarial___Production[[#This Row],[Kor1]],$AI$3:$AK$105,3,FALSE)</f>
        <v>Claims Expense</v>
      </c>
      <c r="X4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7"/>
      <c r="Z4487" t="s">
        <v>33</v>
      </c>
      <c r="AA4487" t="s">
        <v>255</v>
      </c>
      <c r="AB4487" t="s">
        <v>5</v>
      </c>
      <c r="AC4487" s="21">
        <v>11871.19</v>
      </c>
      <c r="AD4487" s="21" t="s">
        <v>368</v>
      </c>
      <c r="AE4487" t="str">
        <f>VLOOKUP(Table_Query_from_Actuarial___Production3[[#This Row],[Kor1]],$AI$3:$AK$105,3,FALSE)</f>
        <v>Misc. Expense</v>
      </c>
      <c r="AF4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8" spans="18:32" x14ac:dyDescent="0.2">
      <c r="R4488" t="s">
        <v>14</v>
      </c>
      <c r="S4488" t="s">
        <v>267</v>
      </c>
      <c r="T4488" t="s">
        <v>9</v>
      </c>
      <c r="U4488" s="21">
        <v>25153.360000000001</v>
      </c>
      <c r="V4488" s="21" t="s">
        <v>368</v>
      </c>
      <c r="W4488" t="str">
        <f>VLOOKUP(Table_Query_from_Actuarial___Production[[#This Row],[Kor1]],$AI$3:$AK$105,3,FALSE)</f>
        <v>Claims Expense</v>
      </c>
      <c r="X4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88"/>
      <c r="Z4488" t="s">
        <v>3</v>
      </c>
      <c r="AA4488" t="s">
        <v>247</v>
      </c>
      <c r="AB4488" t="s">
        <v>9</v>
      </c>
      <c r="AC4488" s="21">
        <v>10354</v>
      </c>
      <c r="AD4488" s="21" t="s">
        <v>368</v>
      </c>
      <c r="AE4488" t="str">
        <f>VLOOKUP(Table_Query_from_Actuarial___Production3[[#This Row],[Kor1]],$AI$3:$AK$105,3,FALSE)</f>
        <v>Premiums Written</v>
      </c>
      <c r="AF4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89" spans="18:32" x14ac:dyDescent="0.2">
      <c r="R4489" t="s">
        <v>18</v>
      </c>
      <c r="S4489" t="s">
        <v>224</v>
      </c>
      <c r="T4489" t="s">
        <v>445</v>
      </c>
      <c r="U4489" s="21">
        <v>81061.440000000002</v>
      </c>
      <c r="V4489" s="21" t="s">
        <v>368</v>
      </c>
      <c r="W4489" t="str">
        <f>VLOOKUP(Table_Query_from_Actuarial___Production[[#This Row],[Kor1]],$AI$3:$AK$105,3,FALSE)</f>
        <v>Misc. Expense</v>
      </c>
      <c r="X4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489"/>
      <c r="Z4489" t="s">
        <v>13</v>
      </c>
      <c r="AA4489" t="s">
        <v>235</v>
      </c>
      <c r="AB4489" t="s">
        <v>5</v>
      </c>
      <c r="AC4489" s="21">
        <v>21604.77</v>
      </c>
      <c r="AD4489" s="21" t="s">
        <v>368</v>
      </c>
      <c r="AE4489" t="str">
        <f>VLOOKUP(Table_Query_from_Actuarial___Production3[[#This Row],[Kor1]],$AI$3:$AK$105,3,FALSE)</f>
        <v>Operating Service Fees</v>
      </c>
      <c r="AF4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0" spans="18:32" x14ac:dyDescent="0.2">
      <c r="R4490" t="s">
        <v>38</v>
      </c>
      <c r="S4490" t="s">
        <v>224</v>
      </c>
      <c r="T4490" t="s">
        <v>427</v>
      </c>
      <c r="U4490" s="21">
        <v>7351.93</v>
      </c>
      <c r="V4490" s="21" t="s">
        <v>369</v>
      </c>
      <c r="W4490" t="str">
        <f>VLOOKUP(Table_Query_from_Actuarial___Production[[#This Row],[Kor1]],$AI$3:$AK$105,3,FALSE)</f>
        <v>Misc. Income</v>
      </c>
      <c r="X4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490"/>
      <c r="Z4490" t="s">
        <v>130</v>
      </c>
      <c r="AA4490" t="s">
        <v>224</v>
      </c>
      <c r="AB4490" t="s">
        <v>6</v>
      </c>
      <c r="AC4490" s="21">
        <v>3094270.17</v>
      </c>
      <c r="AD4490" s="21" t="s">
        <v>370</v>
      </c>
      <c r="AE4490" t="str">
        <f>VLOOKUP(Table_Query_from_Actuarial___Production3[[#This Row],[Kor1]],$AI$3:$AK$105,3,FALSE)</f>
        <v>CPAI Charge-offs</v>
      </c>
      <c r="AF4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491" spans="18:32" x14ac:dyDescent="0.2">
      <c r="R4491" t="s">
        <v>19</v>
      </c>
      <c r="S4491" t="s">
        <v>246</v>
      </c>
      <c r="T4491" t="s">
        <v>441</v>
      </c>
      <c r="U4491" s="21">
        <v>3403</v>
      </c>
      <c r="V4491" s="21" t="s">
        <v>368</v>
      </c>
      <c r="W4491" t="str">
        <f>VLOOKUP(Table_Query_from_Actuarial___Production[[#This Row],[Kor1]],$AI$3:$AK$105,3,FALSE)</f>
        <v>Misc. Expense for Insolvent Companies</v>
      </c>
      <c r="X4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1"/>
      <c r="Z4491" t="s">
        <v>13</v>
      </c>
      <c r="AA4491" t="s">
        <v>267</v>
      </c>
      <c r="AB4491" t="s">
        <v>5</v>
      </c>
      <c r="AC4491" s="21">
        <v>140720.95999999999</v>
      </c>
      <c r="AD4491" s="21" t="s">
        <v>368</v>
      </c>
      <c r="AE4491" t="str">
        <f>VLOOKUP(Table_Query_from_Actuarial___Production3[[#This Row],[Kor1]],$AI$3:$AK$105,3,FALSE)</f>
        <v>Operating Service Fees</v>
      </c>
      <c r="AF4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2" spans="18:32" x14ac:dyDescent="0.2">
      <c r="R4492" t="s">
        <v>37</v>
      </c>
      <c r="S4492" t="s">
        <v>227</v>
      </c>
      <c r="T4492" t="s">
        <v>7</v>
      </c>
      <c r="U4492" s="21">
        <v>48.55</v>
      </c>
      <c r="V4492" s="21" t="s">
        <v>368</v>
      </c>
      <c r="W4492" t="str">
        <f>VLOOKUP(Table_Query_from_Actuarial___Production[[#This Row],[Kor1]],$AI$3:$AK$105,3,FALSE)</f>
        <v>Misc. Expense</v>
      </c>
      <c r="X4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2"/>
      <c r="Z4492" t="s">
        <v>47</v>
      </c>
      <c r="AA4492" t="s">
        <v>237</v>
      </c>
      <c r="AB4492" t="s">
        <v>443</v>
      </c>
      <c r="AC4492" s="21">
        <v>47453.83</v>
      </c>
      <c r="AD4492" s="21" t="s">
        <v>368</v>
      </c>
      <c r="AE4492" t="str">
        <f>VLOOKUP(Table_Query_from_Actuarial___Production3[[#This Row],[Kor1]],$AI$3:$AK$105,3,FALSE)</f>
        <v>Investment Income</v>
      </c>
      <c r="AF4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3" spans="18:32" x14ac:dyDescent="0.2">
      <c r="R4493" t="s">
        <v>44</v>
      </c>
      <c r="S4493" t="s">
        <v>237</v>
      </c>
      <c r="T4493" t="s">
        <v>427</v>
      </c>
      <c r="U4493" s="21">
        <v>1280433.3700000001</v>
      </c>
      <c r="V4493" s="21" t="s">
        <v>368</v>
      </c>
      <c r="W4493" t="str">
        <f>VLOOKUP(Table_Query_from_Actuarial___Production[[#This Row],[Kor1]],$AI$3:$AK$105,3,FALSE)</f>
        <v>Charge-offs</v>
      </c>
      <c r="X4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3"/>
      <c r="Z4493" t="s">
        <v>3</v>
      </c>
      <c r="AA4493" t="s">
        <v>240</v>
      </c>
      <c r="AB4493" t="s">
        <v>441</v>
      </c>
      <c r="AC4493" s="21">
        <v>5395598</v>
      </c>
      <c r="AD4493" s="21" t="s">
        <v>368</v>
      </c>
      <c r="AE4493" t="str">
        <f>VLOOKUP(Table_Query_from_Actuarial___Production3[[#This Row],[Kor1]],$AI$3:$AK$105,3,FALSE)</f>
        <v>Premiums Written</v>
      </c>
      <c r="AF4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4" spans="18:32" x14ac:dyDescent="0.2">
      <c r="R4494" t="s">
        <v>47</v>
      </c>
      <c r="S4494" t="s">
        <v>239</v>
      </c>
      <c r="T4494" t="s">
        <v>351</v>
      </c>
      <c r="U4494" s="21">
        <v>910.61</v>
      </c>
      <c r="V4494" s="21" t="s">
        <v>368</v>
      </c>
      <c r="W4494" t="str">
        <f>VLOOKUP(Table_Query_from_Actuarial___Production[[#This Row],[Kor1]],$AI$3:$AK$105,3,FALSE)</f>
        <v>Investment Income</v>
      </c>
      <c r="X4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4"/>
      <c r="Z4494" t="s">
        <v>12</v>
      </c>
      <c r="AA4494" t="s">
        <v>240</v>
      </c>
      <c r="AB4494" t="s">
        <v>6</v>
      </c>
      <c r="AC4494" s="21">
        <v>21077.73</v>
      </c>
      <c r="AD4494" s="21" t="s">
        <v>368</v>
      </c>
      <c r="AE4494" t="str">
        <f>VLOOKUP(Table_Query_from_Actuarial___Production3[[#This Row],[Kor1]],$AI$3:$AK$105,3,FALSE)</f>
        <v>Premium Tax</v>
      </c>
      <c r="AF4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5" spans="18:32" x14ac:dyDescent="0.2">
      <c r="R4495" t="s">
        <v>3</v>
      </c>
      <c r="S4495" t="s">
        <v>250</v>
      </c>
      <c r="T4495" t="s">
        <v>427</v>
      </c>
      <c r="U4495" s="21">
        <v>1039567</v>
      </c>
      <c r="V4495" s="21" t="s">
        <v>368</v>
      </c>
      <c r="W4495" t="str">
        <f>VLOOKUP(Table_Query_from_Actuarial___Production[[#This Row],[Kor1]],$AI$3:$AK$105,3,FALSE)</f>
        <v>Premiums Written</v>
      </c>
      <c r="X4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5"/>
      <c r="Z4495" t="s">
        <v>20</v>
      </c>
      <c r="AA4495" t="s">
        <v>234</v>
      </c>
      <c r="AB4495" t="s">
        <v>9</v>
      </c>
      <c r="AC4495" s="21">
        <v>518.88</v>
      </c>
      <c r="AD4495" s="21" t="s">
        <v>368</v>
      </c>
      <c r="AE4495" t="str">
        <f>VLOOKUP(Table_Query_from_Actuarial___Production3[[#This Row],[Kor1]],$AI$3:$AK$105,3,FALSE)</f>
        <v>Misc. Expense</v>
      </c>
      <c r="AF4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6" spans="18:32" x14ac:dyDescent="0.2">
      <c r="R4496" t="s">
        <v>14</v>
      </c>
      <c r="S4496" t="s">
        <v>264</v>
      </c>
      <c r="T4496" t="s">
        <v>441</v>
      </c>
      <c r="U4496" s="21">
        <v>285443.77</v>
      </c>
      <c r="V4496" s="21" t="s">
        <v>368</v>
      </c>
      <c r="W4496" t="str">
        <f>VLOOKUP(Table_Query_from_Actuarial___Production[[#This Row],[Kor1]],$AI$3:$AK$105,3,FALSE)</f>
        <v>Claims Expense</v>
      </c>
      <c r="X4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6"/>
      <c r="Z4496" t="s">
        <v>40</v>
      </c>
      <c r="AA4496" t="s">
        <v>256</v>
      </c>
      <c r="AB4496" t="s">
        <v>5</v>
      </c>
      <c r="AC4496" s="21">
        <v>50</v>
      </c>
      <c r="AD4496" s="21" t="s">
        <v>368</v>
      </c>
      <c r="AE4496" t="str">
        <f>VLOOKUP(Table_Query_from_Actuarial___Production3[[#This Row],[Kor1]],$AI$3:$AK$105,3,FALSE)</f>
        <v>Misc. Income</v>
      </c>
      <c r="AF4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7" spans="18:32" x14ac:dyDescent="0.2">
      <c r="R4497" t="s">
        <v>32</v>
      </c>
      <c r="S4497" t="s">
        <v>252</v>
      </c>
      <c r="T4497" t="s">
        <v>442</v>
      </c>
      <c r="U4497" s="21">
        <v>3000.1</v>
      </c>
      <c r="V4497" s="21" t="s">
        <v>368</v>
      </c>
      <c r="W4497" t="str">
        <f>VLOOKUP(Table_Query_from_Actuarial___Production[[#This Row],[Kor1]],$AI$3:$AK$105,3,FALSE)</f>
        <v>Misc. Expense</v>
      </c>
      <c r="X4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7"/>
      <c r="Z4497" t="s">
        <v>31</v>
      </c>
      <c r="AA4497" t="s">
        <v>237</v>
      </c>
      <c r="AB4497" t="s">
        <v>356</v>
      </c>
      <c r="AC4497" s="21">
        <v>-712.51</v>
      </c>
      <c r="AD4497" s="21" t="s">
        <v>368</v>
      </c>
      <c r="AE4497" t="str">
        <f>VLOOKUP(Table_Query_from_Actuarial___Production3[[#This Row],[Kor1]],$AI$3:$AK$105,3,FALSE)</f>
        <v>Misc. Expense</v>
      </c>
      <c r="AF4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498" spans="18:32" x14ac:dyDescent="0.2">
      <c r="R4498" t="s">
        <v>3</v>
      </c>
      <c r="S4498" t="s">
        <v>268</v>
      </c>
      <c r="T4498" t="s">
        <v>442</v>
      </c>
      <c r="U4498" s="21">
        <v>397764</v>
      </c>
      <c r="V4498" s="21" t="s">
        <v>368</v>
      </c>
      <c r="W4498" t="str">
        <f>VLOOKUP(Table_Query_from_Actuarial___Production[[#This Row],[Kor1]],$AI$3:$AK$105,3,FALSE)</f>
        <v>Premiums Written</v>
      </c>
      <c r="X4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8"/>
      <c r="Z4498" t="s">
        <v>13</v>
      </c>
      <c r="AA4498" t="s">
        <v>226</v>
      </c>
      <c r="AB4498" t="s">
        <v>433</v>
      </c>
      <c r="AC4498" s="21">
        <v>1293843.04</v>
      </c>
      <c r="AD4498" s="21" t="s">
        <v>368</v>
      </c>
      <c r="AE4498" t="str">
        <f>VLOOKUP(Table_Query_from_Actuarial___Production3[[#This Row],[Kor1]],$AI$3:$AK$105,3,FALSE)</f>
        <v>Operating Service Fees</v>
      </c>
      <c r="AF4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499" spans="18:32" x14ac:dyDescent="0.2">
      <c r="R4499" t="s">
        <v>21</v>
      </c>
      <c r="S4499" t="s">
        <v>237</v>
      </c>
      <c r="T4499" t="s">
        <v>442</v>
      </c>
      <c r="U4499" s="21">
        <v>18131.45</v>
      </c>
      <c r="V4499" s="21" t="s">
        <v>368</v>
      </c>
      <c r="W4499" t="str">
        <f>VLOOKUP(Table_Query_from_Actuarial___Production[[#This Row],[Kor1]],$AI$3:$AK$105,3,FALSE)</f>
        <v>Misc. Expense</v>
      </c>
      <c r="X4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499"/>
      <c r="Z4499" t="s">
        <v>48</v>
      </c>
      <c r="AA4499" t="s">
        <v>249</v>
      </c>
      <c r="AB4499" t="s">
        <v>443</v>
      </c>
      <c r="AC4499" s="21">
        <v>372.4</v>
      </c>
      <c r="AD4499" s="21" t="s">
        <v>368</v>
      </c>
      <c r="AE4499" t="str">
        <f>VLOOKUP(Table_Query_from_Actuarial___Production3[[#This Row],[Kor1]],$AI$3:$AK$105,3,FALSE)</f>
        <v>Anticipated Salvage</v>
      </c>
      <c r="AF4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0" spans="18:32" x14ac:dyDescent="0.2">
      <c r="R4500" t="s">
        <v>33</v>
      </c>
      <c r="S4500" t="s">
        <v>266</v>
      </c>
      <c r="T4500" t="s">
        <v>427</v>
      </c>
      <c r="U4500" s="21">
        <v>12521.02</v>
      </c>
      <c r="V4500" s="21" t="s">
        <v>368</v>
      </c>
      <c r="W4500" t="str">
        <f>VLOOKUP(Table_Query_from_Actuarial___Production[[#This Row],[Kor1]],$AI$3:$AK$105,3,FALSE)</f>
        <v>Misc. Expense</v>
      </c>
      <c r="X4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0"/>
      <c r="Z4500" t="s">
        <v>31</v>
      </c>
      <c r="AA4500" t="s">
        <v>248</v>
      </c>
      <c r="AB4500" t="s">
        <v>7</v>
      </c>
      <c r="AC4500" s="21">
        <v>973.97</v>
      </c>
      <c r="AD4500" s="21" t="s">
        <v>368</v>
      </c>
      <c r="AE4500" t="str">
        <f>VLOOKUP(Table_Query_from_Actuarial___Production3[[#This Row],[Kor1]],$AI$3:$AK$105,3,FALSE)</f>
        <v>Misc. Expense</v>
      </c>
      <c r="AF4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1" spans="18:32" x14ac:dyDescent="0.2">
      <c r="R4501" t="s">
        <v>10</v>
      </c>
      <c r="S4501" t="s">
        <v>253</v>
      </c>
      <c r="T4501" t="s">
        <v>6</v>
      </c>
      <c r="U4501" s="21">
        <v>1646.5</v>
      </c>
      <c r="V4501" s="21" t="s">
        <v>368</v>
      </c>
      <c r="W4501" t="str">
        <f>VLOOKUP(Table_Query_from_Actuarial___Production[[#This Row],[Kor1]],$AI$3:$AK$105,3,FALSE)</f>
        <v>Commissions</v>
      </c>
      <c r="X4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1"/>
      <c r="Z4501" t="s">
        <v>3</v>
      </c>
      <c r="AA4501" t="s">
        <v>224</v>
      </c>
      <c r="AB4501" t="s">
        <v>356</v>
      </c>
      <c r="AC4501" s="21">
        <v>80699.25</v>
      </c>
      <c r="AD4501" s="21" t="s">
        <v>369</v>
      </c>
      <c r="AE4501" t="str">
        <f>VLOOKUP(Table_Query_from_Actuarial___Production3[[#This Row],[Kor1]],$AI$3:$AK$105,3,FALSE)</f>
        <v>Premiums Written</v>
      </c>
      <c r="AF4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02" spans="18:32" x14ac:dyDescent="0.2">
      <c r="R4502" t="s">
        <v>12</v>
      </c>
      <c r="S4502" t="s">
        <v>262</v>
      </c>
      <c r="T4502" t="s">
        <v>427</v>
      </c>
      <c r="U4502" s="21">
        <v>8129.86</v>
      </c>
      <c r="V4502" s="21" t="s">
        <v>368</v>
      </c>
      <c r="W4502" t="str">
        <f>VLOOKUP(Table_Query_from_Actuarial___Production[[#This Row],[Kor1]],$AI$3:$AK$105,3,FALSE)</f>
        <v>Premium Tax</v>
      </c>
      <c r="X4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2"/>
      <c r="Z4502" t="s">
        <v>40</v>
      </c>
      <c r="AA4502" t="s">
        <v>233</v>
      </c>
      <c r="AB4502" t="s">
        <v>351</v>
      </c>
      <c r="AC4502" s="21">
        <v>21</v>
      </c>
      <c r="AD4502" s="21" t="s">
        <v>368</v>
      </c>
      <c r="AE4502" t="str">
        <f>VLOOKUP(Table_Query_from_Actuarial___Production3[[#This Row],[Kor1]],$AI$3:$AK$105,3,FALSE)</f>
        <v>Misc. Income</v>
      </c>
      <c r="AF4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3" spans="18:32" x14ac:dyDescent="0.2">
      <c r="R4503" t="s">
        <v>19</v>
      </c>
      <c r="S4503" t="s">
        <v>230</v>
      </c>
      <c r="T4503" t="s">
        <v>351</v>
      </c>
      <c r="U4503" s="21">
        <v>154291.39000000001</v>
      </c>
      <c r="V4503" s="21" t="s">
        <v>368</v>
      </c>
      <c r="W4503" t="str">
        <f>VLOOKUP(Table_Query_from_Actuarial___Production[[#This Row],[Kor1]],$AI$3:$AK$105,3,FALSE)</f>
        <v>Misc. Expense for Insolvent Companies</v>
      </c>
      <c r="X4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3"/>
      <c r="Z4503" t="s">
        <v>41</v>
      </c>
      <c r="AA4503" t="s">
        <v>254</v>
      </c>
      <c r="AB4503" t="s">
        <v>8</v>
      </c>
      <c r="AC4503" s="21">
        <v>100</v>
      </c>
      <c r="AD4503" s="21" t="s">
        <v>368</v>
      </c>
      <c r="AE4503" t="str">
        <f>VLOOKUP(Table_Query_from_Actuarial___Production3[[#This Row],[Kor1]],$AI$3:$AK$105,3,FALSE)</f>
        <v>Misc. Income</v>
      </c>
      <c r="AF4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4" spans="18:32" x14ac:dyDescent="0.2">
      <c r="R4504" t="s">
        <v>41</v>
      </c>
      <c r="S4504" t="s">
        <v>263</v>
      </c>
      <c r="T4504" t="s">
        <v>445</v>
      </c>
      <c r="U4504" s="21">
        <v>200.01</v>
      </c>
      <c r="V4504" s="21" t="s">
        <v>368</v>
      </c>
      <c r="W4504" t="str">
        <f>VLOOKUP(Table_Query_from_Actuarial___Production[[#This Row],[Kor1]],$AI$3:$AK$105,3,FALSE)</f>
        <v>Misc. Income</v>
      </c>
      <c r="X4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4"/>
      <c r="Z4504" t="s">
        <v>10</v>
      </c>
      <c r="AA4504" t="s">
        <v>224</v>
      </c>
      <c r="AB4504" t="s">
        <v>5</v>
      </c>
      <c r="AC4504" s="21">
        <v>94998.28</v>
      </c>
      <c r="AD4504" s="21" t="s">
        <v>368</v>
      </c>
      <c r="AE4504" t="str">
        <f>VLOOKUP(Table_Query_from_Actuarial___Production3[[#This Row],[Kor1]],$AI$3:$AK$105,3,FALSE)</f>
        <v>Commissions</v>
      </c>
      <c r="AF4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505" spans="18:32" x14ac:dyDescent="0.2">
      <c r="R4505" t="s">
        <v>17</v>
      </c>
      <c r="S4505" t="s">
        <v>236</v>
      </c>
      <c r="T4505" t="s">
        <v>443</v>
      </c>
      <c r="U4505" s="21">
        <v>14307.97</v>
      </c>
      <c r="V4505" s="21" t="s">
        <v>368</v>
      </c>
      <c r="W4505" t="str">
        <f>VLOOKUP(Table_Query_from_Actuarial___Production[[#This Row],[Kor1]],$AI$3:$AK$105,3,FALSE)</f>
        <v>IBNR</v>
      </c>
      <c r="X4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5"/>
      <c r="Z4505" t="s">
        <v>13</v>
      </c>
      <c r="AA4505" t="s">
        <v>246</v>
      </c>
      <c r="AB4505" t="s">
        <v>7</v>
      </c>
      <c r="AC4505" s="21">
        <v>89627.09</v>
      </c>
      <c r="AD4505" s="21" t="s">
        <v>368</v>
      </c>
      <c r="AE4505" t="str">
        <f>VLOOKUP(Table_Query_from_Actuarial___Production3[[#This Row],[Kor1]],$AI$3:$AK$105,3,FALSE)</f>
        <v>Operating Service Fees</v>
      </c>
      <c r="AF4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6" spans="18:32" x14ac:dyDescent="0.2">
      <c r="R4506" t="s">
        <v>39</v>
      </c>
      <c r="S4506" t="s">
        <v>228</v>
      </c>
      <c r="T4506" t="s">
        <v>445</v>
      </c>
      <c r="U4506" s="21">
        <v>472.64</v>
      </c>
      <c r="V4506" s="21" t="s">
        <v>368</v>
      </c>
      <c r="W4506" t="str">
        <f>VLOOKUP(Table_Query_from_Actuarial___Production[[#This Row],[Kor1]],$AI$3:$AK$105,3,FALSE)</f>
        <v>Misc. Income for Insolvent Companies</v>
      </c>
      <c r="X4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6"/>
      <c r="Z4506" t="s">
        <v>37</v>
      </c>
      <c r="AA4506" t="s">
        <v>266</v>
      </c>
      <c r="AB4506" t="s">
        <v>441</v>
      </c>
      <c r="AC4506" s="21">
        <v>4407.04</v>
      </c>
      <c r="AD4506" s="21" t="s">
        <v>368</v>
      </c>
      <c r="AE4506" t="str">
        <f>VLOOKUP(Table_Query_from_Actuarial___Production3[[#This Row],[Kor1]],$AI$3:$AK$105,3,FALSE)</f>
        <v>Misc. Expense</v>
      </c>
      <c r="AF4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7" spans="18:32" x14ac:dyDescent="0.2">
      <c r="R4507" t="s">
        <v>34</v>
      </c>
      <c r="S4507" t="s">
        <v>257</v>
      </c>
      <c r="T4507" t="s">
        <v>356</v>
      </c>
      <c r="U4507" s="21">
        <v>1804.2</v>
      </c>
      <c r="V4507" s="21" t="s">
        <v>368</v>
      </c>
      <c r="W4507" t="str">
        <f>VLOOKUP(Table_Query_from_Actuarial___Production[[#This Row],[Kor1]],$AI$3:$AK$105,3,FALSE)</f>
        <v>Misc. Expense</v>
      </c>
      <c r="X4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7"/>
      <c r="Z4507" t="s">
        <v>10</v>
      </c>
      <c r="AA4507" t="s">
        <v>4</v>
      </c>
      <c r="AB4507" t="s">
        <v>441</v>
      </c>
      <c r="AC4507" s="21">
        <v>5648858.79</v>
      </c>
      <c r="AD4507" s="21" t="s">
        <v>368</v>
      </c>
      <c r="AE4507" t="str">
        <f>VLOOKUP(Table_Query_from_Actuarial___Production3[[#This Row],[Kor1]],$AI$3:$AK$105,3,FALSE)</f>
        <v>Commissions</v>
      </c>
      <c r="AF4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8" spans="18:32" x14ac:dyDescent="0.2">
      <c r="R4508" t="s">
        <v>19</v>
      </c>
      <c r="S4508" t="s">
        <v>249</v>
      </c>
      <c r="T4508" t="s">
        <v>7</v>
      </c>
      <c r="U4508" s="21">
        <v>5.01</v>
      </c>
      <c r="V4508" s="21" t="s">
        <v>368</v>
      </c>
      <c r="W4508" t="str">
        <f>VLOOKUP(Table_Query_from_Actuarial___Production[[#This Row],[Kor1]],$AI$3:$AK$105,3,FALSE)</f>
        <v>Misc. Expense for Insolvent Companies</v>
      </c>
      <c r="X4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8"/>
      <c r="Z4508" t="s">
        <v>14</v>
      </c>
      <c r="AA4508" t="s">
        <v>250</v>
      </c>
      <c r="AB4508" t="s">
        <v>356</v>
      </c>
      <c r="AC4508" s="21">
        <v>153800.24</v>
      </c>
      <c r="AD4508" s="21" t="s">
        <v>368</v>
      </c>
      <c r="AE4508" t="str">
        <f>VLOOKUP(Table_Query_from_Actuarial___Production3[[#This Row],[Kor1]],$AI$3:$AK$105,3,FALSE)</f>
        <v>Claims Expense</v>
      </c>
      <c r="AF4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09" spans="18:32" x14ac:dyDescent="0.2">
      <c r="R4509" t="s">
        <v>48</v>
      </c>
      <c r="S4509" t="s">
        <v>241</v>
      </c>
      <c r="T4509" t="s">
        <v>445</v>
      </c>
      <c r="U4509" s="21">
        <v>249.18</v>
      </c>
      <c r="V4509" s="21" t="s">
        <v>368</v>
      </c>
      <c r="W4509" t="str">
        <f>VLOOKUP(Table_Query_from_Actuarial___Production[[#This Row],[Kor1]],$AI$3:$AK$105,3,FALSE)</f>
        <v>Anticipated Salvage</v>
      </c>
      <c r="X4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09"/>
      <c r="Z4509" t="s">
        <v>14</v>
      </c>
      <c r="AA4509" t="s">
        <v>267</v>
      </c>
      <c r="AB4509" t="s">
        <v>9</v>
      </c>
      <c r="AC4509" s="21">
        <v>25153.360000000001</v>
      </c>
      <c r="AD4509" s="21" t="s">
        <v>368</v>
      </c>
      <c r="AE4509" t="str">
        <f>VLOOKUP(Table_Query_from_Actuarial___Production3[[#This Row],[Kor1]],$AI$3:$AK$105,3,FALSE)</f>
        <v>Claims Expense</v>
      </c>
      <c r="AF4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0" spans="18:32" x14ac:dyDescent="0.2">
      <c r="R4510" t="s">
        <v>48</v>
      </c>
      <c r="S4510" t="s">
        <v>265</v>
      </c>
      <c r="T4510" t="s">
        <v>442</v>
      </c>
      <c r="U4510" s="21">
        <v>3707.63</v>
      </c>
      <c r="V4510" s="21" t="s">
        <v>368</v>
      </c>
      <c r="W4510" t="str">
        <f>VLOOKUP(Table_Query_from_Actuarial___Production[[#This Row],[Kor1]],$AI$3:$AK$105,3,FALSE)</f>
        <v>Anticipated Salvage</v>
      </c>
      <c r="X4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0"/>
      <c r="Z4510" t="s">
        <v>38</v>
      </c>
      <c r="AA4510" t="s">
        <v>224</v>
      </c>
      <c r="AB4510" t="s">
        <v>427</v>
      </c>
      <c r="AC4510" s="21">
        <v>7351.93</v>
      </c>
      <c r="AD4510" s="21" t="s">
        <v>369</v>
      </c>
      <c r="AE4510" t="str">
        <f>VLOOKUP(Table_Query_from_Actuarial___Production3[[#This Row],[Kor1]],$AI$3:$AK$105,3,FALSE)</f>
        <v>Misc. Income</v>
      </c>
      <c r="AF4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11" spans="18:32" x14ac:dyDescent="0.2">
      <c r="R4511" t="s">
        <v>31</v>
      </c>
      <c r="S4511" t="s">
        <v>254</v>
      </c>
      <c r="T4511" t="s">
        <v>7</v>
      </c>
      <c r="U4511" s="21">
        <v>1018.02</v>
      </c>
      <c r="V4511" s="21" t="s">
        <v>368</v>
      </c>
      <c r="W4511" t="str">
        <f>VLOOKUP(Table_Query_from_Actuarial___Production[[#This Row],[Kor1]],$AI$3:$AK$105,3,FALSE)</f>
        <v>Misc. Expense</v>
      </c>
      <c r="X4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1"/>
      <c r="Z4511" t="s">
        <v>11</v>
      </c>
      <c r="AA4511" t="s">
        <v>248</v>
      </c>
      <c r="AB4511" t="s">
        <v>5</v>
      </c>
      <c r="AC4511" s="21">
        <v>512363.99</v>
      </c>
      <c r="AD4511" s="21" t="s">
        <v>368</v>
      </c>
      <c r="AE4511" t="str">
        <f>VLOOKUP(Table_Query_from_Actuarial___Production3[[#This Row],[Kor1]],$AI$3:$AK$105,3,FALSE)</f>
        <v>Losses Paid</v>
      </c>
      <c r="AF4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2" spans="18:32" x14ac:dyDescent="0.2">
      <c r="R4512" t="s">
        <v>11</v>
      </c>
      <c r="S4512" t="s">
        <v>261</v>
      </c>
      <c r="T4512" t="s">
        <v>8</v>
      </c>
      <c r="U4512" s="21">
        <v>866933.27</v>
      </c>
      <c r="V4512" s="21" t="s">
        <v>368</v>
      </c>
      <c r="W4512" t="str">
        <f>VLOOKUP(Table_Query_from_Actuarial___Production[[#This Row],[Kor1]],$AI$3:$AK$105,3,FALSE)</f>
        <v>Losses Paid</v>
      </c>
      <c r="X4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2"/>
      <c r="Z4512" t="s">
        <v>37</v>
      </c>
      <c r="AA4512" t="s">
        <v>227</v>
      </c>
      <c r="AB4512" t="s">
        <v>7</v>
      </c>
      <c r="AC4512" s="21">
        <v>48.55</v>
      </c>
      <c r="AD4512" s="21" t="s">
        <v>368</v>
      </c>
      <c r="AE4512" t="str">
        <f>VLOOKUP(Table_Query_from_Actuarial___Production3[[#This Row],[Kor1]],$AI$3:$AK$105,3,FALSE)</f>
        <v>Misc. Expense</v>
      </c>
      <c r="AF4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3" spans="18:32" x14ac:dyDescent="0.2">
      <c r="R4513" t="s">
        <v>439</v>
      </c>
      <c r="S4513" t="s">
        <v>236</v>
      </c>
      <c r="T4513" t="s">
        <v>433</v>
      </c>
      <c r="U4513" s="21">
        <v>876</v>
      </c>
      <c r="V4513" s="21" t="s">
        <v>368</v>
      </c>
      <c r="W4513" t="str">
        <f>VLOOKUP(Table_Query_from_Actuarial___Production[[#This Row],[Kor1]],$AI$3:$AK$105,3,FALSE)</f>
        <v>Operating Service Fees</v>
      </c>
      <c r="X4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3"/>
      <c r="Z4513" t="s">
        <v>44</v>
      </c>
      <c r="AA4513" t="s">
        <v>237</v>
      </c>
      <c r="AB4513" t="s">
        <v>427</v>
      </c>
      <c r="AC4513" s="21">
        <v>1301766.71</v>
      </c>
      <c r="AD4513" s="21" t="s">
        <v>368</v>
      </c>
      <c r="AE4513" t="str">
        <f>VLOOKUP(Table_Query_from_Actuarial___Production3[[#This Row],[Kor1]],$AI$3:$AK$105,3,FALSE)</f>
        <v>Charge-offs</v>
      </c>
      <c r="AF4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4" spans="18:32" x14ac:dyDescent="0.2">
      <c r="R4514" t="s">
        <v>46</v>
      </c>
      <c r="S4514" t="s">
        <v>226</v>
      </c>
      <c r="T4514" t="s">
        <v>351</v>
      </c>
      <c r="U4514" s="21">
        <v>22399.42</v>
      </c>
      <c r="V4514" s="21" t="s">
        <v>368</v>
      </c>
      <c r="W4514" t="str">
        <f>VLOOKUP(Table_Query_from_Actuarial___Production[[#This Row],[Kor1]],$AI$3:$AK$105,3,FALSE)</f>
        <v>Investment Income</v>
      </c>
      <c r="X4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514"/>
      <c r="Z4514" t="s">
        <v>47</v>
      </c>
      <c r="AA4514" t="s">
        <v>239</v>
      </c>
      <c r="AB4514" t="s">
        <v>351</v>
      </c>
      <c r="AC4514" s="21">
        <v>910.61</v>
      </c>
      <c r="AD4514" s="21" t="s">
        <v>368</v>
      </c>
      <c r="AE4514" t="str">
        <f>VLOOKUP(Table_Query_from_Actuarial___Production3[[#This Row],[Kor1]],$AI$3:$AK$105,3,FALSE)</f>
        <v>Investment Income</v>
      </c>
      <c r="AF4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5" spans="18:32" x14ac:dyDescent="0.2">
      <c r="R4515" t="s">
        <v>20</v>
      </c>
      <c r="S4515" t="s">
        <v>264</v>
      </c>
      <c r="T4515" t="s">
        <v>9</v>
      </c>
      <c r="U4515" s="21">
        <v>1558.9</v>
      </c>
      <c r="V4515" s="21" t="s">
        <v>368</v>
      </c>
      <c r="W4515" t="str">
        <f>VLOOKUP(Table_Query_from_Actuarial___Production[[#This Row],[Kor1]],$AI$3:$AK$105,3,FALSE)</f>
        <v>Misc. Expense</v>
      </c>
      <c r="X4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5"/>
      <c r="Z4515" t="s">
        <v>3</v>
      </c>
      <c r="AA4515" t="s">
        <v>250</v>
      </c>
      <c r="AB4515" t="s">
        <v>427</v>
      </c>
      <c r="AC4515" s="21">
        <v>1039567</v>
      </c>
      <c r="AD4515" s="21" t="s">
        <v>368</v>
      </c>
      <c r="AE4515" t="str">
        <f>VLOOKUP(Table_Query_from_Actuarial___Production3[[#This Row],[Kor1]],$AI$3:$AK$105,3,FALSE)</f>
        <v>Premiums Written</v>
      </c>
      <c r="AF4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6" spans="18:32" x14ac:dyDescent="0.2">
      <c r="R4516" t="s">
        <v>39</v>
      </c>
      <c r="S4516" t="s">
        <v>247</v>
      </c>
      <c r="T4516" t="s">
        <v>7</v>
      </c>
      <c r="U4516" s="21">
        <v>90</v>
      </c>
      <c r="V4516" s="21" t="s">
        <v>368</v>
      </c>
      <c r="W4516" t="str">
        <f>VLOOKUP(Table_Query_from_Actuarial___Production[[#This Row],[Kor1]],$AI$3:$AK$105,3,FALSE)</f>
        <v>Misc. Income for Insolvent Companies</v>
      </c>
      <c r="X4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6"/>
      <c r="Z4516" t="s">
        <v>14</v>
      </c>
      <c r="AA4516" t="s">
        <v>264</v>
      </c>
      <c r="AB4516" t="s">
        <v>441</v>
      </c>
      <c r="AC4516" s="21">
        <v>285459.52</v>
      </c>
      <c r="AD4516" s="21" t="s">
        <v>368</v>
      </c>
      <c r="AE4516" t="str">
        <f>VLOOKUP(Table_Query_from_Actuarial___Production3[[#This Row],[Kor1]],$AI$3:$AK$105,3,FALSE)</f>
        <v>Claims Expense</v>
      </c>
      <c r="AF4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7" spans="18:32" x14ac:dyDescent="0.2">
      <c r="R4517" t="s">
        <v>43</v>
      </c>
      <c r="S4517" t="s">
        <v>224</v>
      </c>
      <c r="T4517" t="s">
        <v>445</v>
      </c>
      <c r="U4517" s="21">
        <v>0.13</v>
      </c>
      <c r="V4517" s="21" t="s">
        <v>369</v>
      </c>
      <c r="W4517" t="str">
        <f>VLOOKUP(Table_Query_from_Actuarial___Production[[#This Row],[Kor1]],$AI$3:$AK$105,3,FALSE)</f>
        <v>Charge-offs</v>
      </c>
      <c r="X4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17"/>
      <c r="Z4517" t="s">
        <v>32</v>
      </c>
      <c r="AA4517" t="s">
        <v>252</v>
      </c>
      <c r="AB4517" t="s">
        <v>442</v>
      </c>
      <c r="AC4517" s="21">
        <v>3000.1</v>
      </c>
      <c r="AD4517" s="21" t="s">
        <v>368</v>
      </c>
      <c r="AE4517" t="str">
        <f>VLOOKUP(Table_Query_from_Actuarial___Production3[[#This Row],[Kor1]],$AI$3:$AK$105,3,FALSE)</f>
        <v>Misc. Expense</v>
      </c>
      <c r="AF4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8" spans="18:32" x14ac:dyDescent="0.2">
      <c r="R4518" t="s">
        <v>46</v>
      </c>
      <c r="S4518" t="s">
        <v>224</v>
      </c>
      <c r="T4518" t="s">
        <v>6</v>
      </c>
      <c r="U4518" s="21">
        <v>16.88</v>
      </c>
      <c r="V4518" s="21" t="s">
        <v>369</v>
      </c>
      <c r="W4518" t="str">
        <f>VLOOKUP(Table_Query_from_Actuarial___Production[[#This Row],[Kor1]],$AI$3:$AK$105,3,FALSE)</f>
        <v>Investment Income</v>
      </c>
      <c r="X4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18"/>
      <c r="Z4518" t="s">
        <v>3</v>
      </c>
      <c r="AA4518" t="s">
        <v>268</v>
      </c>
      <c r="AB4518" t="s">
        <v>442</v>
      </c>
      <c r="AC4518" s="21">
        <v>397764</v>
      </c>
      <c r="AD4518" s="21" t="s">
        <v>368</v>
      </c>
      <c r="AE4518" t="str">
        <f>VLOOKUP(Table_Query_from_Actuarial___Production3[[#This Row],[Kor1]],$AI$3:$AK$105,3,FALSE)</f>
        <v>Premiums Written</v>
      </c>
      <c r="AF4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19" spans="18:32" x14ac:dyDescent="0.2">
      <c r="R4519" t="s">
        <v>31</v>
      </c>
      <c r="S4519" t="s">
        <v>258</v>
      </c>
      <c r="T4519" t="s">
        <v>9</v>
      </c>
      <c r="U4519" s="21">
        <v>-251.84</v>
      </c>
      <c r="V4519" s="21" t="s">
        <v>368</v>
      </c>
      <c r="W4519" t="str">
        <f>VLOOKUP(Table_Query_from_Actuarial___Production[[#This Row],[Kor1]],$AI$3:$AK$105,3,FALSE)</f>
        <v>Misc. Expense</v>
      </c>
      <c r="X4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19"/>
      <c r="Z4519" t="s">
        <v>21</v>
      </c>
      <c r="AA4519" t="s">
        <v>237</v>
      </c>
      <c r="AB4519" t="s">
        <v>442</v>
      </c>
      <c r="AC4519" s="21">
        <v>18131.45</v>
      </c>
      <c r="AD4519" s="21" t="s">
        <v>368</v>
      </c>
      <c r="AE4519" t="str">
        <f>VLOOKUP(Table_Query_from_Actuarial___Production3[[#This Row],[Kor1]],$AI$3:$AK$105,3,FALSE)</f>
        <v>Misc. Expense</v>
      </c>
      <c r="AF4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0" spans="18:32" x14ac:dyDescent="0.2">
      <c r="R4520" t="s">
        <v>50</v>
      </c>
      <c r="S4520" t="s">
        <v>249</v>
      </c>
      <c r="T4520" t="s">
        <v>433</v>
      </c>
      <c r="U4520" s="21">
        <v>2671.83</v>
      </c>
      <c r="V4520" s="21" t="s">
        <v>368</v>
      </c>
      <c r="W4520" t="str">
        <f>VLOOKUP(Table_Query_from_Actuarial___Production[[#This Row],[Kor1]],$AI$3:$AK$105,3,FALSE)</f>
        <v>ALAE Reserve</v>
      </c>
      <c r="X4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0"/>
      <c r="Z4520" t="s">
        <v>33</v>
      </c>
      <c r="AA4520" t="s">
        <v>266</v>
      </c>
      <c r="AB4520" t="s">
        <v>427</v>
      </c>
      <c r="AC4520" s="21">
        <v>12521.02</v>
      </c>
      <c r="AD4520" s="21" t="s">
        <v>368</v>
      </c>
      <c r="AE4520" t="str">
        <f>VLOOKUP(Table_Query_from_Actuarial___Production3[[#This Row],[Kor1]],$AI$3:$AK$105,3,FALSE)</f>
        <v>Misc. Expense</v>
      </c>
      <c r="AF4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1" spans="18:32" x14ac:dyDescent="0.2">
      <c r="R4521" t="s">
        <v>21</v>
      </c>
      <c r="S4521" t="s">
        <v>241</v>
      </c>
      <c r="T4521" t="s">
        <v>351</v>
      </c>
      <c r="U4521" s="21">
        <v>2069.02</v>
      </c>
      <c r="V4521" s="21" t="s">
        <v>368</v>
      </c>
      <c r="W4521" t="str">
        <f>VLOOKUP(Table_Query_from_Actuarial___Production[[#This Row],[Kor1]],$AI$3:$AK$105,3,FALSE)</f>
        <v>Misc. Expense</v>
      </c>
      <c r="X4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1"/>
      <c r="Z4521" t="s">
        <v>14</v>
      </c>
      <c r="AA4521" t="s">
        <v>238</v>
      </c>
      <c r="AB4521" t="s">
        <v>5</v>
      </c>
      <c r="AC4521" s="21">
        <v>7041.79</v>
      </c>
      <c r="AD4521" s="21" t="s">
        <v>368</v>
      </c>
      <c r="AE4521" t="str">
        <f>VLOOKUP(Table_Query_from_Actuarial___Production3[[#This Row],[Kor1]],$AI$3:$AK$105,3,FALSE)</f>
        <v>Claims Expense</v>
      </c>
      <c r="AF4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2" spans="18:32" x14ac:dyDescent="0.2">
      <c r="R4522" t="s">
        <v>33</v>
      </c>
      <c r="S4522" t="s">
        <v>268</v>
      </c>
      <c r="T4522" t="s">
        <v>351</v>
      </c>
      <c r="U4522" s="21">
        <v>20207.14</v>
      </c>
      <c r="V4522" s="21" t="s">
        <v>368</v>
      </c>
      <c r="W4522" t="str">
        <f>VLOOKUP(Table_Query_from_Actuarial___Production[[#This Row],[Kor1]],$AI$3:$AK$105,3,FALSE)</f>
        <v>Misc. Expense</v>
      </c>
      <c r="X4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2"/>
      <c r="Z4522" t="s">
        <v>10</v>
      </c>
      <c r="AA4522" t="s">
        <v>253</v>
      </c>
      <c r="AB4522" t="s">
        <v>6</v>
      </c>
      <c r="AC4522" s="21">
        <v>1646.5</v>
      </c>
      <c r="AD4522" s="21" t="s">
        <v>368</v>
      </c>
      <c r="AE4522" t="str">
        <f>VLOOKUP(Table_Query_from_Actuarial___Production3[[#This Row],[Kor1]],$AI$3:$AK$105,3,FALSE)</f>
        <v>Commissions</v>
      </c>
      <c r="AF4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3" spans="18:32" x14ac:dyDescent="0.2">
      <c r="R4523" t="s">
        <v>37</v>
      </c>
      <c r="S4523" t="s">
        <v>263</v>
      </c>
      <c r="T4523" t="s">
        <v>6</v>
      </c>
      <c r="U4523" s="21">
        <v>78.53</v>
      </c>
      <c r="V4523" s="21" t="s">
        <v>368</v>
      </c>
      <c r="W4523" t="str">
        <f>VLOOKUP(Table_Query_from_Actuarial___Production[[#This Row],[Kor1]],$AI$3:$AK$105,3,FALSE)</f>
        <v>Misc. Expense</v>
      </c>
      <c r="X4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3"/>
      <c r="Z4523" t="s">
        <v>12</v>
      </c>
      <c r="AA4523" t="s">
        <v>262</v>
      </c>
      <c r="AB4523" t="s">
        <v>427</v>
      </c>
      <c r="AC4523" s="21">
        <v>8129.86</v>
      </c>
      <c r="AD4523" s="21" t="s">
        <v>368</v>
      </c>
      <c r="AE4523" t="str">
        <f>VLOOKUP(Table_Query_from_Actuarial___Production3[[#This Row],[Kor1]],$AI$3:$AK$105,3,FALSE)</f>
        <v>Premium Tax</v>
      </c>
      <c r="AF4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4" spans="18:32" x14ac:dyDescent="0.2">
      <c r="R4524" t="s">
        <v>44</v>
      </c>
      <c r="S4524" t="s">
        <v>256</v>
      </c>
      <c r="T4524" t="s">
        <v>7</v>
      </c>
      <c r="U4524" s="21">
        <v>8</v>
      </c>
      <c r="V4524" s="21" t="s">
        <v>368</v>
      </c>
      <c r="W4524" t="str">
        <f>VLOOKUP(Table_Query_from_Actuarial___Production[[#This Row],[Kor1]],$AI$3:$AK$105,3,FALSE)</f>
        <v>Charge-offs</v>
      </c>
      <c r="X4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4"/>
      <c r="Z4524" t="s">
        <v>19</v>
      </c>
      <c r="AA4524" t="s">
        <v>230</v>
      </c>
      <c r="AB4524" t="s">
        <v>351</v>
      </c>
      <c r="AC4524" s="21">
        <v>154291.39000000001</v>
      </c>
      <c r="AD4524" s="21" t="s">
        <v>368</v>
      </c>
      <c r="AE4524" t="str">
        <f>VLOOKUP(Table_Query_from_Actuarial___Production3[[#This Row],[Kor1]],$AI$3:$AK$105,3,FALSE)</f>
        <v>Misc. Expense for Insolvent Companies</v>
      </c>
      <c r="AF4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5" spans="18:32" x14ac:dyDescent="0.2">
      <c r="R4525" t="s">
        <v>38</v>
      </c>
      <c r="S4525" t="s">
        <v>352</v>
      </c>
      <c r="T4525" t="s">
        <v>442</v>
      </c>
      <c r="U4525" s="21">
        <v>29604.3</v>
      </c>
      <c r="V4525" s="21" t="s">
        <v>369</v>
      </c>
      <c r="W4525" t="str">
        <f>VLOOKUP(Table_Query_from_Actuarial___Production[[#This Row],[Kor1]],$AI$3:$AK$105,3,FALSE)</f>
        <v>Misc. Income</v>
      </c>
      <c r="X4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525"/>
      <c r="Z4525" t="s">
        <v>17</v>
      </c>
      <c r="AA4525" t="s">
        <v>236</v>
      </c>
      <c r="AB4525" t="s">
        <v>443</v>
      </c>
      <c r="AC4525" s="21">
        <v>1175.74</v>
      </c>
      <c r="AD4525" s="21" t="s">
        <v>368</v>
      </c>
      <c r="AE4525" t="str">
        <f>VLOOKUP(Table_Query_from_Actuarial___Production3[[#This Row],[Kor1]],$AI$3:$AK$105,3,FALSE)</f>
        <v>IBNR</v>
      </c>
      <c r="AF4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6" spans="18:32" x14ac:dyDescent="0.2">
      <c r="R4526" t="s">
        <v>77</v>
      </c>
      <c r="S4526" t="s">
        <v>225</v>
      </c>
      <c r="T4526" t="s">
        <v>443</v>
      </c>
      <c r="U4526" s="21">
        <v>1180</v>
      </c>
      <c r="V4526" s="21" t="s">
        <v>368</v>
      </c>
      <c r="W4526" t="str">
        <f>VLOOKUP(Table_Query_from_Actuarial___Production[[#This Row],[Kor1]],$AI$3:$AK$105,3,FALSE)</f>
        <v>PDR</v>
      </c>
      <c r="X4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526"/>
      <c r="Z4526" t="s">
        <v>34</v>
      </c>
      <c r="AA4526" t="s">
        <v>257</v>
      </c>
      <c r="AB4526" t="s">
        <v>356</v>
      </c>
      <c r="AC4526" s="21">
        <v>1804.2</v>
      </c>
      <c r="AD4526" s="21" t="s">
        <v>368</v>
      </c>
      <c r="AE4526" t="str">
        <f>VLOOKUP(Table_Query_from_Actuarial___Production3[[#This Row],[Kor1]],$AI$3:$AK$105,3,FALSE)</f>
        <v>Misc. Expense</v>
      </c>
      <c r="AF4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7" spans="18:32" x14ac:dyDescent="0.2">
      <c r="R4527" t="s">
        <v>11</v>
      </c>
      <c r="S4527" t="s">
        <v>230</v>
      </c>
      <c r="T4527" t="s">
        <v>433</v>
      </c>
      <c r="U4527" s="21">
        <v>19119944.600000001</v>
      </c>
      <c r="V4527" s="21" t="s">
        <v>368</v>
      </c>
      <c r="W4527" t="str">
        <f>VLOOKUP(Table_Query_from_Actuarial___Production[[#This Row],[Kor1]],$AI$3:$AK$105,3,FALSE)</f>
        <v>Losses Paid</v>
      </c>
      <c r="X4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7"/>
      <c r="Z4527" t="s">
        <v>19</v>
      </c>
      <c r="AA4527" t="s">
        <v>249</v>
      </c>
      <c r="AB4527" t="s">
        <v>7</v>
      </c>
      <c r="AC4527" s="21">
        <v>5.01</v>
      </c>
      <c r="AD4527" s="21" t="s">
        <v>368</v>
      </c>
      <c r="AE4527" t="str">
        <f>VLOOKUP(Table_Query_from_Actuarial___Production3[[#This Row],[Kor1]],$AI$3:$AK$105,3,FALSE)</f>
        <v>Misc. Expense for Insolvent Companies</v>
      </c>
      <c r="AF4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8" spans="18:32" x14ac:dyDescent="0.2">
      <c r="R4528" t="s">
        <v>11</v>
      </c>
      <c r="S4528" t="s">
        <v>236</v>
      </c>
      <c r="T4528" t="s">
        <v>9</v>
      </c>
      <c r="U4528" s="21">
        <v>181933.75</v>
      </c>
      <c r="V4528" s="21" t="s">
        <v>368</v>
      </c>
      <c r="W4528" t="str">
        <f>VLOOKUP(Table_Query_from_Actuarial___Production[[#This Row],[Kor1]],$AI$3:$AK$105,3,FALSE)</f>
        <v>Losses Paid</v>
      </c>
      <c r="X4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8"/>
      <c r="Z4528" t="s">
        <v>48</v>
      </c>
      <c r="AA4528" t="s">
        <v>265</v>
      </c>
      <c r="AB4528" t="s">
        <v>442</v>
      </c>
      <c r="AC4528" s="21">
        <v>2048.48</v>
      </c>
      <c r="AD4528" s="21" t="s">
        <v>368</v>
      </c>
      <c r="AE4528" t="str">
        <f>VLOOKUP(Table_Query_from_Actuarial___Production3[[#This Row],[Kor1]],$AI$3:$AK$105,3,FALSE)</f>
        <v>Anticipated Salvage</v>
      </c>
      <c r="AF4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29" spans="18:32" x14ac:dyDescent="0.2">
      <c r="R4529" t="s">
        <v>439</v>
      </c>
      <c r="S4529" t="s">
        <v>256</v>
      </c>
      <c r="T4529" t="s">
        <v>433</v>
      </c>
      <c r="U4529" s="21">
        <v>3447</v>
      </c>
      <c r="V4529" s="21" t="s">
        <v>368</v>
      </c>
      <c r="W4529" t="str">
        <f>VLOOKUP(Table_Query_from_Actuarial___Production[[#This Row],[Kor1]],$AI$3:$AK$105,3,FALSE)</f>
        <v>Operating Service Fees</v>
      </c>
      <c r="X4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29"/>
      <c r="Z4529" t="s">
        <v>19</v>
      </c>
      <c r="AA4529" t="s">
        <v>246</v>
      </c>
      <c r="AB4529" t="s">
        <v>5</v>
      </c>
      <c r="AC4529" s="21">
        <v>351</v>
      </c>
      <c r="AD4529" s="21" t="s">
        <v>368</v>
      </c>
      <c r="AE4529" t="str">
        <f>VLOOKUP(Table_Query_from_Actuarial___Production3[[#This Row],[Kor1]],$AI$3:$AK$105,3,FALSE)</f>
        <v>Misc. Expense for Insolvent Companies</v>
      </c>
      <c r="AF4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0" spans="18:32" x14ac:dyDescent="0.2">
      <c r="R4530" t="s">
        <v>3</v>
      </c>
      <c r="S4530" t="s">
        <v>224</v>
      </c>
      <c r="T4530" t="s">
        <v>7</v>
      </c>
      <c r="U4530" s="21">
        <v>2951397.91</v>
      </c>
      <c r="V4530" s="21" t="s">
        <v>370</v>
      </c>
      <c r="W4530" t="str">
        <f>VLOOKUP(Table_Query_from_Actuarial___Production[[#This Row],[Kor1]],$AI$3:$AK$105,3,FALSE)</f>
        <v>Premiums Written</v>
      </c>
      <c r="X4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530"/>
      <c r="Z4530" t="s">
        <v>31</v>
      </c>
      <c r="AA4530" t="s">
        <v>254</v>
      </c>
      <c r="AB4530" t="s">
        <v>7</v>
      </c>
      <c r="AC4530" s="21">
        <v>1018.02</v>
      </c>
      <c r="AD4530" s="21" t="s">
        <v>368</v>
      </c>
      <c r="AE4530" t="str">
        <f>VLOOKUP(Table_Query_from_Actuarial___Production3[[#This Row],[Kor1]],$AI$3:$AK$105,3,FALSE)</f>
        <v>Misc. Expense</v>
      </c>
      <c r="AF4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1" spans="18:32" x14ac:dyDescent="0.2">
      <c r="R4531" t="s">
        <v>38</v>
      </c>
      <c r="S4531" t="s">
        <v>224</v>
      </c>
      <c r="T4531" t="s">
        <v>443</v>
      </c>
      <c r="U4531" s="21">
        <v>6046.46</v>
      </c>
      <c r="V4531" s="21" t="s">
        <v>369</v>
      </c>
      <c r="W4531" t="str">
        <f>VLOOKUP(Table_Query_from_Actuarial___Production[[#This Row],[Kor1]],$AI$3:$AK$105,3,FALSE)</f>
        <v>Misc. Income</v>
      </c>
      <c r="X4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31"/>
      <c r="Z4531" t="s">
        <v>11</v>
      </c>
      <c r="AA4531" t="s">
        <v>261</v>
      </c>
      <c r="AB4531" t="s">
        <v>8</v>
      </c>
      <c r="AC4531" s="21">
        <v>866933.27</v>
      </c>
      <c r="AD4531" s="21" t="s">
        <v>368</v>
      </c>
      <c r="AE4531" t="str">
        <f>VLOOKUP(Table_Query_from_Actuarial___Production3[[#This Row],[Kor1]],$AI$3:$AK$105,3,FALSE)</f>
        <v>Losses Paid</v>
      </c>
      <c r="AF4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2" spans="18:32" x14ac:dyDescent="0.2">
      <c r="R4532" t="s">
        <v>44</v>
      </c>
      <c r="S4532" t="s">
        <v>244</v>
      </c>
      <c r="T4532" t="s">
        <v>7</v>
      </c>
      <c r="U4532" s="21">
        <v>4569</v>
      </c>
      <c r="V4532" s="21" t="s">
        <v>368</v>
      </c>
      <c r="W4532" t="str">
        <f>VLOOKUP(Table_Query_from_Actuarial___Production[[#This Row],[Kor1]],$AI$3:$AK$105,3,FALSE)</f>
        <v>Charge-offs</v>
      </c>
      <c r="X4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2"/>
      <c r="Z4532" t="s">
        <v>439</v>
      </c>
      <c r="AA4532" t="s">
        <v>236</v>
      </c>
      <c r="AB4532" t="s">
        <v>433</v>
      </c>
      <c r="AC4532" s="21">
        <v>876</v>
      </c>
      <c r="AD4532" s="21" t="s">
        <v>368</v>
      </c>
      <c r="AE4532" t="str">
        <f>VLOOKUP(Table_Query_from_Actuarial___Production3[[#This Row],[Kor1]],$AI$3:$AK$105,3,FALSE)</f>
        <v>Operating Service Fees</v>
      </c>
      <c r="AF4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3" spans="18:32" x14ac:dyDescent="0.2">
      <c r="R4533" t="s">
        <v>14</v>
      </c>
      <c r="S4533" t="s">
        <v>264</v>
      </c>
      <c r="T4533" t="s">
        <v>356</v>
      </c>
      <c r="U4533" s="21">
        <v>71063.95</v>
      </c>
      <c r="V4533" s="21" t="s">
        <v>368</v>
      </c>
      <c r="W4533" t="str">
        <f>VLOOKUP(Table_Query_from_Actuarial___Production[[#This Row],[Kor1]],$AI$3:$AK$105,3,FALSE)</f>
        <v>Claims Expense</v>
      </c>
      <c r="X4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3"/>
      <c r="Z4533" t="s">
        <v>46</v>
      </c>
      <c r="AA4533" t="s">
        <v>226</v>
      </c>
      <c r="AB4533" t="s">
        <v>351</v>
      </c>
      <c r="AC4533" s="21">
        <v>22399.42</v>
      </c>
      <c r="AD4533" s="21" t="s">
        <v>368</v>
      </c>
      <c r="AE4533" t="str">
        <f>VLOOKUP(Table_Query_from_Actuarial___Production3[[#This Row],[Kor1]],$AI$3:$AK$105,3,FALSE)</f>
        <v>Investment Income</v>
      </c>
      <c r="AF4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534" spans="18:32" x14ac:dyDescent="0.2">
      <c r="R4534" t="s">
        <v>13</v>
      </c>
      <c r="S4534" t="s">
        <v>235</v>
      </c>
      <c r="T4534" t="s">
        <v>441</v>
      </c>
      <c r="U4534" s="21">
        <v>61217.05</v>
      </c>
      <c r="V4534" s="21" t="s">
        <v>368</v>
      </c>
      <c r="W4534" t="str">
        <f>VLOOKUP(Table_Query_from_Actuarial___Production[[#This Row],[Kor1]],$AI$3:$AK$105,3,FALSE)</f>
        <v>Operating Service Fees</v>
      </c>
      <c r="X4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4"/>
      <c r="Z4534" t="s">
        <v>20</v>
      </c>
      <c r="AA4534" t="s">
        <v>264</v>
      </c>
      <c r="AB4534" t="s">
        <v>9</v>
      </c>
      <c r="AC4534" s="21">
        <v>1558.9</v>
      </c>
      <c r="AD4534" s="21" t="s">
        <v>368</v>
      </c>
      <c r="AE4534" t="str">
        <f>VLOOKUP(Table_Query_from_Actuarial___Production3[[#This Row],[Kor1]],$AI$3:$AK$105,3,FALSE)</f>
        <v>Misc. Expense</v>
      </c>
      <c r="AF4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5" spans="18:32" x14ac:dyDescent="0.2">
      <c r="R4535" t="s">
        <v>19</v>
      </c>
      <c r="S4535" t="s">
        <v>254</v>
      </c>
      <c r="T4535" t="s">
        <v>8</v>
      </c>
      <c r="U4535" s="21">
        <v>378</v>
      </c>
      <c r="V4535" s="21" t="s">
        <v>368</v>
      </c>
      <c r="W4535" t="str">
        <f>VLOOKUP(Table_Query_from_Actuarial___Production[[#This Row],[Kor1]],$AI$3:$AK$105,3,FALSE)</f>
        <v>Misc. Expense for Insolvent Companies</v>
      </c>
      <c r="X4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5"/>
      <c r="Z4535" t="s">
        <v>39</v>
      </c>
      <c r="AA4535" t="s">
        <v>247</v>
      </c>
      <c r="AB4535" t="s">
        <v>7</v>
      </c>
      <c r="AC4535" s="21">
        <v>90</v>
      </c>
      <c r="AD4535" s="21" t="s">
        <v>368</v>
      </c>
      <c r="AE4535" t="str">
        <f>VLOOKUP(Table_Query_from_Actuarial___Production3[[#This Row],[Kor1]],$AI$3:$AK$105,3,FALSE)</f>
        <v>Misc. Income for Insolvent Companies</v>
      </c>
      <c r="AF4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6" spans="18:32" x14ac:dyDescent="0.2">
      <c r="R4536" t="s">
        <v>31</v>
      </c>
      <c r="S4536" t="s">
        <v>4</v>
      </c>
      <c r="T4536" t="s">
        <v>6</v>
      </c>
      <c r="U4536" s="21">
        <v>121.5</v>
      </c>
      <c r="V4536" s="21" t="s">
        <v>368</v>
      </c>
      <c r="W4536" t="str">
        <f>VLOOKUP(Table_Query_from_Actuarial___Production[[#This Row],[Kor1]],$AI$3:$AK$105,3,FALSE)</f>
        <v>Misc. Expense</v>
      </c>
      <c r="X4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6"/>
      <c r="Z4536" t="s">
        <v>48</v>
      </c>
      <c r="AA4536" t="s">
        <v>249</v>
      </c>
      <c r="AB4536" t="s">
        <v>427</v>
      </c>
      <c r="AC4536" s="21">
        <v>197.77</v>
      </c>
      <c r="AD4536" s="21" t="s">
        <v>368</v>
      </c>
      <c r="AE4536" t="str">
        <f>VLOOKUP(Table_Query_from_Actuarial___Production3[[#This Row],[Kor1]],$AI$3:$AK$105,3,FALSE)</f>
        <v>Anticipated Salvage</v>
      </c>
      <c r="AF4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7" spans="18:32" x14ac:dyDescent="0.2">
      <c r="R4537" t="s">
        <v>32</v>
      </c>
      <c r="S4537" t="s">
        <v>229</v>
      </c>
      <c r="T4537" t="s">
        <v>433</v>
      </c>
      <c r="U4537" s="21">
        <v>-2772.3</v>
      </c>
      <c r="V4537" s="21" t="s">
        <v>368</v>
      </c>
      <c r="W4537" t="str">
        <f>VLOOKUP(Table_Query_from_Actuarial___Production[[#This Row],[Kor1]],$AI$3:$AK$105,3,FALSE)</f>
        <v>Misc. Expense</v>
      </c>
      <c r="X4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7"/>
      <c r="Z4537" t="s">
        <v>46</v>
      </c>
      <c r="AA4537" t="s">
        <v>224</v>
      </c>
      <c r="AB4537" t="s">
        <v>6</v>
      </c>
      <c r="AC4537" s="21">
        <v>16.88</v>
      </c>
      <c r="AD4537" s="21" t="s">
        <v>369</v>
      </c>
      <c r="AE4537" t="str">
        <f>VLOOKUP(Table_Query_from_Actuarial___Production3[[#This Row],[Kor1]],$AI$3:$AK$105,3,FALSE)</f>
        <v>Investment Income</v>
      </c>
      <c r="AF4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38" spans="18:32" x14ac:dyDescent="0.2">
      <c r="R4538" t="s">
        <v>77</v>
      </c>
      <c r="S4538" t="s">
        <v>231</v>
      </c>
      <c r="T4538" t="s">
        <v>443</v>
      </c>
      <c r="U4538" s="21">
        <v>40571</v>
      </c>
      <c r="V4538" s="21" t="s">
        <v>368</v>
      </c>
      <c r="W4538" t="str">
        <f>VLOOKUP(Table_Query_from_Actuarial___Production[[#This Row],[Kor1]],$AI$3:$AK$105,3,FALSE)</f>
        <v>PDR</v>
      </c>
      <c r="X4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8"/>
      <c r="Z4538" t="s">
        <v>31</v>
      </c>
      <c r="AA4538" t="s">
        <v>258</v>
      </c>
      <c r="AB4538" t="s">
        <v>9</v>
      </c>
      <c r="AC4538" s="21">
        <v>-251.84</v>
      </c>
      <c r="AD4538" s="21" t="s">
        <v>368</v>
      </c>
      <c r="AE4538" t="str">
        <f>VLOOKUP(Table_Query_from_Actuarial___Production3[[#This Row],[Kor1]],$AI$3:$AK$105,3,FALSE)</f>
        <v>Misc. Expense</v>
      </c>
      <c r="AF4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39" spans="18:32" x14ac:dyDescent="0.2">
      <c r="R4539" t="s">
        <v>21</v>
      </c>
      <c r="S4539" t="s">
        <v>249</v>
      </c>
      <c r="T4539" t="s">
        <v>351</v>
      </c>
      <c r="U4539" s="21">
        <v>1840.52</v>
      </c>
      <c r="V4539" s="21" t="s">
        <v>368</v>
      </c>
      <c r="W4539" t="str">
        <f>VLOOKUP(Table_Query_from_Actuarial___Production[[#This Row],[Kor1]],$AI$3:$AK$105,3,FALSE)</f>
        <v>Misc. Expense</v>
      </c>
      <c r="X4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39"/>
      <c r="Z4539" t="s">
        <v>50</v>
      </c>
      <c r="AA4539" t="s">
        <v>249</v>
      </c>
      <c r="AB4539" t="s">
        <v>433</v>
      </c>
      <c r="AC4539" s="21">
        <v>13693.74</v>
      </c>
      <c r="AD4539" s="21" t="s">
        <v>368</v>
      </c>
      <c r="AE4539" t="str">
        <f>VLOOKUP(Table_Query_from_Actuarial___Production3[[#This Row],[Kor1]],$AI$3:$AK$105,3,FALSE)</f>
        <v>ALAE Reserve</v>
      </c>
      <c r="AF4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0" spans="18:32" x14ac:dyDescent="0.2">
      <c r="R4540" t="s">
        <v>33</v>
      </c>
      <c r="S4540" t="s">
        <v>259</v>
      </c>
      <c r="T4540" t="s">
        <v>441</v>
      </c>
      <c r="U4540" s="21">
        <v>18502.400000000001</v>
      </c>
      <c r="V4540" s="21" t="s">
        <v>368</v>
      </c>
      <c r="W4540" t="str">
        <f>VLOOKUP(Table_Query_from_Actuarial___Production[[#This Row],[Kor1]],$AI$3:$AK$105,3,FALSE)</f>
        <v>Misc. Expense</v>
      </c>
      <c r="X4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0"/>
      <c r="Z4540" t="s">
        <v>21</v>
      </c>
      <c r="AA4540" t="s">
        <v>241</v>
      </c>
      <c r="AB4540" t="s">
        <v>351</v>
      </c>
      <c r="AC4540" s="21">
        <v>2069.02</v>
      </c>
      <c r="AD4540" s="21" t="s">
        <v>368</v>
      </c>
      <c r="AE4540" t="str">
        <f>VLOOKUP(Table_Query_from_Actuarial___Production3[[#This Row],[Kor1]],$AI$3:$AK$105,3,FALSE)</f>
        <v>Misc. Expense</v>
      </c>
      <c r="AF4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1" spans="18:32" x14ac:dyDescent="0.2">
      <c r="R4541" t="s">
        <v>47</v>
      </c>
      <c r="S4541" t="s">
        <v>239</v>
      </c>
      <c r="T4541" t="s">
        <v>441</v>
      </c>
      <c r="U4541" s="21">
        <v>72.81</v>
      </c>
      <c r="V4541" s="21" t="s">
        <v>368</v>
      </c>
      <c r="W4541" t="str">
        <f>VLOOKUP(Table_Query_from_Actuarial___Production[[#This Row],[Kor1]],$AI$3:$AK$105,3,FALSE)</f>
        <v>Investment Income</v>
      </c>
      <c r="X4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1"/>
      <c r="Z4541" t="s">
        <v>33</v>
      </c>
      <c r="AA4541" t="s">
        <v>268</v>
      </c>
      <c r="AB4541" t="s">
        <v>351</v>
      </c>
      <c r="AC4541" s="21">
        <v>20207.14</v>
      </c>
      <c r="AD4541" s="21" t="s">
        <v>368</v>
      </c>
      <c r="AE4541" t="str">
        <f>VLOOKUP(Table_Query_from_Actuarial___Production3[[#This Row],[Kor1]],$AI$3:$AK$105,3,FALSE)</f>
        <v>Misc. Expense</v>
      </c>
      <c r="AF4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2" spans="18:32" x14ac:dyDescent="0.2">
      <c r="R4542" t="s">
        <v>3</v>
      </c>
      <c r="S4542" t="s">
        <v>257</v>
      </c>
      <c r="T4542" t="s">
        <v>356</v>
      </c>
      <c r="U4542" s="21">
        <v>792913</v>
      </c>
      <c r="V4542" s="21" t="s">
        <v>368</v>
      </c>
      <c r="W4542" t="str">
        <f>VLOOKUP(Table_Query_from_Actuarial___Production[[#This Row],[Kor1]],$AI$3:$AK$105,3,FALSE)</f>
        <v>Premiums Written</v>
      </c>
      <c r="X4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2"/>
      <c r="Z4542" t="s">
        <v>37</v>
      </c>
      <c r="AA4542" t="s">
        <v>263</v>
      </c>
      <c r="AB4542" t="s">
        <v>6</v>
      </c>
      <c r="AC4542" s="21">
        <v>78.53</v>
      </c>
      <c r="AD4542" s="21" t="s">
        <v>368</v>
      </c>
      <c r="AE4542" t="str">
        <f>VLOOKUP(Table_Query_from_Actuarial___Production3[[#This Row],[Kor1]],$AI$3:$AK$105,3,FALSE)</f>
        <v>Misc. Expense</v>
      </c>
      <c r="AF4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3" spans="18:32" x14ac:dyDescent="0.2">
      <c r="R4543" t="s">
        <v>41</v>
      </c>
      <c r="S4543" t="s">
        <v>230</v>
      </c>
      <c r="T4543" t="s">
        <v>351</v>
      </c>
      <c r="U4543" s="21">
        <v>1356.73</v>
      </c>
      <c r="V4543" s="21" t="s">
        <v>368</v>
      </c>
      <c r="W4543" t="str">
        <f>VLOOKUP(Table_Query_from_Actuarial___Production[[#This Row],[Kor1]],$AI$3:$AK$105,3,FALSE)</f>
        <v>Misc. Income</v>
      </c>
      <c r="X4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3"/>
      <c r="Z4543" t="s">
        <v>44</v>
      </c>
      <c r="AA4543" t="s">
        <v>256</v>
      </c>
      <c r="AB4543" t="s">
        <v>7</v>
      </c>
      <c r="AC4543" s="21">
        <v>8</v>
      </c>
      <c r="AD4543" s="21" t="s">
        <v>368</v>
      </c>
      <c r="AE4543" t="str">
        <f>VLOOKUP(Table_Query_from_Actuarial___Production3[[#This Row],[Kor1]],$AI$3:$AK$105,3,FALSE)</f>
        <v>Charge-offs</v>
      </c>
      <c r="AF4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4" spans="18:32" x14ac:dyDescent="0.2">
      <c r="R4544" t="s">
        <v>43</v>
      </c>
      <c r="S4544" t="s">
        <v>224</v>
      </c>
      <c r="T4544" t="s">
        <v>8</v>
      </c>
      <c r="U4544" s="21">
        <v>3.94</v>
      </c>
      <c r="V4544" s="21" t="s">
        <v>425</v>
      </c>
      <c r="W4544" t="str">
        <f>VLOOKUP(Table_Query_from_Actuarial___Production[[#This Row],[Kor1]],$AI$3:$AK$105,3,FALSE)</f>
        <v>Charge-offs</v>
      </c>
      <c r="X4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44"/>
      <c r="Z4544" t="s">
        <v>38</v>
      </c>
      <c r="AA4544" t="s">
        <v>352</v>
      </c>
      <c r="AB4544" t="s">
        <v>442</v>
      </c>
      <c r="AC4544" s="21">
        <v>29604.3</v>
      </c>
      <c r="AD4544" s="21" t="s">
        <v>369</v>
      </c>
      <c r="AE4544" t="str">
        <f>VLOOKUP(Table_Query_from_Actuarial___Production3[[#This Row],[Kor1]],$AI$3:$AK$105,3,FALSE)</f>
        <v>Misc. Income</v>
      </c>
      <c r="AF4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545" spans="18:32" x14ac:dyDescent="0.2">
      <c r="R4545" t="s">
        <v>44</v>
      </c>
      <c r="S4545" t="s">
        <v>224</v>
      </c>
      <c r="T4545" t="s">
        <v>356</v>
      </c>
      <c r="U4545" s="21">
        <v>507.72</v>
      </c>
      <c r="V4545" s="21" t="s">
        <v>425</v>
      </c>
      <c r="W4545" t="str">
        <f>VLOOKUP(Table_Query_from_Actuarial___Production[[#This Row],[Kor1]],$AI$3:$AK$105,3,FALSE)</f>
        <v>Charge-offs</v>
      </c>
      <c r="X4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45"/>
      <c r="Z4545" t="s">
        <v>77</v>
      </c>
      <c r="AA4545" t="s">
        <v>225</v>
      </c>
      <c r="AB4545" t="s">
        <v>443</v>
      </c>
      <c r="AC4545" s="21">
        <v>292065</v>
      </c>
      <c r="AD4545" s="21" t="s">
        <v>368</v>
      </c>
      <c r="AE4545" t="str">
        <f>VLOOKUP(Table_Query_from_Actuarial___Production3[[#This Row],[Kor1]],$AI$3:$AK$105,3,FALSE)</f>
        <v>PDR</v>
      </c>
      <c r="AF4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546" spans="18:32" x14ac:dyDescent="0.2">
      <c r="R4546" t="s">
        <v>10</v>
      </c>
      <c r="S4546" t="s">
        <v>232</v>
      </c>
      <c r="T4546" t="s">
        <v>356</v>
      </c>
      <c r="U4546" s="21">
        <v>67482.8</v>
      </c>
      <c r="V4546" s="21" t="s">
        <v>368</v>
      </c>
      <c r="W4546" t="str">
        <f>VLOOKUP(Table_Query_from_Actuarial___Production[[#This Row],[Kor1]],$AI$3:$AK$105,3,FALSE)</f>
        <v>Commissions</v>
      </c>
      <c r="X4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6"/>
      <c r="Z4546" t="s">
        <v>11</v>
      </c>
      <c r="AA4546" t="s">
        <v>230</v>
      </c>
      <c r="AB4546" t="s">
        <v>433</v>
      </c>
      <c r="AC4546" s="21">
        <v>12528904.029999999</v>
      </c>
      <c r="AD4546" s="21" t="s">
        <v>368</v>
      </c>
      <c r="AE4546" t="str">
        <f>VLOOKUP(Table_Query_from_Actuarial___Production3[[#This Row],[Kor1]],$AI$3:$AK$105,3,FALSE)</f>
        <v>Losses Paid</v>
      </c>
      <c r="AF4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7" spans="18:32" x14ac:dyDescent="0.2">
      <c r="R4547" t="s">
        <v>14</v>
      </c>
      <c r="S4547" t="s">
        <v>242</v>
      </c>
      <c r="T4547" t="s">
        <v>356</v>
      </c>
      <c r="U4547" s="21">
        <v>60139.35</v>
      </c>
      <c r="V4547" s="21" t="s">
        <v>368</v>
      </c>
      <c r="W4547" t="str">
        <f>VLOOKUP(Table_Query_from_Actuarial___Production[[#This Row],[Kor1]],$AI$3:$AK$105,3,FALSE)</f>
        <v>Claims Expense</v>
      </c>
      <c r="X4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7"/>
      <c r="Z4547" t="s">
        <v>11</v>
      </c>
      <c r="AA4547" t="s">
        <v>236</v>
      </c>
      <c r="AB4547" t="s">
        <v>9</v>
      </c>
      <c r="AC4547" s="21">
        <v>181933.75</v>
      </c>
      <c r="AD4547" s="21" t="s">
        <v>368</v>
      </c>
      <c r="AE4547" t="str">
        <f>VLOOKUP(Table_Query_from_Actuarial___Production3[[#This Row],[Kor1]],$AI$3:$AK$105,3,FALSE)</f>
        <v>Losses Paid</v>
      </c>
      <c r="AF4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8" spans="18:32" x14ac:dyDescent="0.2">
      <c r="R4548" t="s">
        <v>49</v>
      </c>
      <c r="S4548" t="s">
        <v>226</v>
      </c>
      <c r="T4548" t="s">
        <v>441</v>
      </c>
      <c r="U4548" s="21">
        <v>46694.79</v>
      </c>
      <c r="V4548" s="21" t="s">
        <v>368</v>
      </c>
      <c r="W4548" t="str">
        <f>VLOOKUP(Table_Query_from_Actuarial___Production[[#This Row],[Kor1]],$AI$3:$AK$105,3,FALSE)</f>
        <v>ALAE Paid</v>
      </c>
      <c r="X4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548"/>
      <c r="Z4548" t="s">
        <v>44</v>
      </c>
      <c r="AA4548" t="s">
        <v>248</v>
      </c>
      <c r="AB4548" t="s">
        <v>5</v>
      </c>
      <c r="AC4548" s="21">
        <v>-2</v>
      </c>
      <c r="AD4548" s="21" t="s">
        <v>368</v>
      </c>
      <c r="AE4548" t="str">
        <f>VLOOKUP(Table_Query_from_Actuarial___Production3[[#This Row],[Kor1]],$AI$3:$AK$105,3,FALSE)</f>
        <v>Charge-offs</v>
      </c>
      <c r="AF4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49" spans="18:32" x14ac:dyDescent="0.2">
      <c r="R4549" t="s">
        <v>10</v>
      </c>
      <c r="S4549" t="s">
        <v>228</v>
      </c>
      <c r="T4549" t="s">
        <v>8</v>
      </c>
      <c r="U4549" s="21">
        <v>1975.3</v>
      </c>
      <c r="V4549" s="21" t="s">
        <v>368</v>
      </c>
      <c r="W4549" t="str">
        <f>VLOOKUP(Table_Query_from_Actuarial___Production[[#This Row],[Kor1]],$AI$3:$AK$105,3,FALSE)</f>
        <v>Commissions</v>
      </c>
      <c r="X4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49"/>
      <c r="Z4549" t="s">
        <v>439</v>
      </c>
      <c r="AA4549" t="s">
        <v>256</v>
      </c>
      <c r="AB4549" t="s">
        <v>433</v>
      </c>
      <c r="AC4549" s="21">
        <v>3447</v>
      </c>
      <c r="AD4549" s="21" t="s">
        <v>368</v>
      </c>
      <c r="AE4549" t="str">
        <f>VLOOKUP(Table_Query_from_Actuarial___Production3[[#This Row],[Kor1]],$AI$3:$AK$105,3,FALSE)</f>
        <v>Operating Service Fees</v>
      </c>
      <c r="AF4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0" spans="18:32" x14ac:dyDescent="0.2">
      <c r="R4550" t="s">
        <v>33</v>
      </c>
      <c r="S4550" t="s">
        <v>245</v>
      </c>
      <c r="T4550" t="s">
        <v>443</v>
      </c>
      <c r="U4550" s="21">
        <v>12102.76</v>
      </c>
      <c r="V4550" s="21" t="s">
        <v>368</v>
      </c>
      <c r="W4550" t="str">
        <f>VLOOKUP(Table_Query_from_Actuarial___Production[[#This Row],[Kor1]],$AI$3:$AK$105,3,FALSE)</f>
        <v>Misc. Expense</v>
      </c>
      <c r="X4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0"/>
      <c r="Z4550" t="s">
        <v>3</v>
      </c>
      <c r="AA4550" t="s">
        <v>224</v>
      </c>
      <c r="AB4550" t="s">
        <v>7</v>
      </c>
      <c r="AC4550" s="21">
        <v>2951397.91</v>
      </c>
      <c r="AD4550" s="21" t="s">
        <v>370</v>
      </c>
      <c r="AE4550" t="str">
        <f>VLOOKUP(Table_Query_from_Actuarial___Production3[[#This Row],[Kor1]],$AI$3:$AK$105,3,FALSE)</f>
        <v>Premiums Written</v>
      </c>
      <c r="AF4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551" spans="18:32" x14ac:dyDescent="0.2">
      <c r="R4551" t="s">
        <v>44</v>
      </c>
      <c r="S4551" t="s">
        <v>263</v>
      </c>
      <c r="T4551" t="s">
        <v>7</v>
      </c>
      <c r="U4551" s="21">
        <v>30.75</v>
      </c>
      <c r="V4551" s="21" t="s">
        <v>368</v>
      </c>
      <c r="W4551" t="str">
        <f>VLOOKUP(Table_Query_from_Actuarial___Production[[#This Row],[Kor1]],$AI$3:$AK$105,3,FALSE)</f>
        <v>Charge-offs</v>
      </c>
      <c r="X4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1"/>
      <c r="Z4551" t="s">
        <v>38</v>
      </c>
      <c r="AA4551" t="s">
        <v>224</v>
      </c>
      <c r="AB4551" t="s">
        <v>443</v>
      </c>
      <c r="AC4551" s="21">
        <v>6046.46</v>
      </c>
      <c r="AD4551" s="21" t="s">
        <v>369</v>
      </c>
      <c r="AE4551" t="str">
        <f>VLOOKUP(Table_Query_from_Actuarial___Production3[[#This Row],[Kor1]],$AI$3:$AK$105,3,FALSE)</f>
        <v>Misc. Income</v>
      </c>
      <c r="AF4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52" spans="18:32" x14ac:dyDescent="0.2">
      <c r="R4552" t="s">
        <v>11</v>
      </c>
      <c r="S4552" t="s">
        <v>264</v>
      </c>
      <c r="T4552" t="s">
        <v>7</v>
      </c>
      <c r="U4552" s="21">
        <v>1437396.51</v>
      </c>
      <c r="V4552" s="21" t="s">
        <v>368</v>
      </c>
      <c r="W4552" t="str">
        <f>VLOOKUP(Table_Query_from_Actuarial___Production[[#This Row],[Kor1]],$AI$3:$AK$105,3,FALSE)</f>
        <v>Losses Paid</v>
      </c>
      <c r="X4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2"/>
      <c r="Z4552" t="s">
        <v>44</v>
      </c>
      <c r="AA4552" t="s">
        <v>244</v>
      </c>
      <c r="AB4552" t="s">
        <v>7</v>
      </c>
      <c r="AC4552" s="21">
        <v>4569</v>
      </c>
      <c r="AD4552" s="21" t="s">
        <v>368</v>
      </c>
      <c r="AE4552" t="str">
        <f>VLOOKUP(Table_Query_from_Actuarial___Production3[[#This Row],[Kor1]],$AI$3:$AK$105,3,FALSE)</f>
        <v>Charge-offs</v>
      </c>
      <c r="AF4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3" spans="18:32" x14ac:dyDescent="0.2">
      <c r="R4553" t="s">
        <v>31</v>
      </c>
      <c r="S4553" t="s">
        <v>244</v>
      </c>
      <c r="T4553" t="s">
        <v>445</v>
      </c>
      <c r="U4553" s="21">
        <v>1137.46</v>
      </c>
      <c r="V4553" s="21" t="s">
        <v>368</v>
      </c>
      <c r="W4553" t="str">
        <f>VLOOKUP(Table_Query_from_Actuarial___Production[[#This Row],[Kor1]],$AI$3:$AK$105,3,FALSE)</f>
        <v>Misc. Expense</v>
      </c>
      <c r="X4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3"/>
      <c r="Z4553" t="s">
        <v>14</v>
      </c>
      <c r="AA4553" t="s">
        <v>264</v>
      </c>
      <c r="AB4553" t="s">
        <v>356</v>
      </c>
      <c r="AC4553" s="21">
        <v>71063.95</v>
      </c>
      <c r="AD4553" s="21" t="s">
        <v>368</v>
      </c>
      <c r="AE4553" t="str">
        <f>VLOOKUP(Table_Query_from_Actuarial___Production3[[#This Row],[Kor1]],$AI$3:$AK$105,3,FALSE)</f>
        <v>Claims Expense</v>
      </c>
      <c r="AF4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4" spans="18:32" x14ac:dyDescent="0.2">
      <c r="R4554" t="s">
        <v>47</v>
      </c>
      <c r="S4554" t="s">
        <v>263</v>
      </c>
      <c r="T4554" t="s">
        <v>356</v>
      </c>
      <c r="U4554" s="21">
        <v>1693.08</v>
      </c>
      <c r="V4554" s="21" t="s">
        <v>368</v>
      </c>
      <c r="W4554" t="str">
        <f>VLOOKUP(Table_Query_from_Actuarial___Production[[#This Row],[Kor1]],$AI$3:$AK$105,3,FALSE)</f>
        <v>Investment Income</v>
      </c>
      <c r="X4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4"/>
      <c r="Z4554" t="s">
        <v>13</v>
      </c>
      <c r="AA4554" t="s">
        <v>235</v>
      </c>
      <c r="AB4554" t="s">
        <v>441</v>
      </c>
      <c r="AC4554" s="21">
        <v>61217.05</v>
      </c>
      <c r="AD4554" s="21" t="s">
        <v>368</v>
      </c>
      <c r="AE4554" t="str">
        <f>VLOOKUP(Table_Query_from_Actuarial___Production3[[#This Row],[Kor1]],$AI$3:$AK$105,3,FALSE)</f>
        <v>Operating Service Fees</v>
      </c>
      <c r="AF4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5" spans="18:32" x14ac:dyDescent="0.2">
      <c r="R4555" t="s">
        <v>49</v>
      </c>
      <c r="S4555" t="s">
        <v>225</v>
      </c>
      <c r="T4555" t="s">
        <v>442</v>
      </c>
      <c r="U4555" s="21">
        <v>26519.82</v>
      </c>
      <c r="V4555" s="21" t="s">
        <v>368</v>
      </c>
      <c r="W4555" t="str">
        <f>VLOOKUP(Table_Query_from_Actuarial___Production[[#This Row],[Kor1]],$AI$3:$AK$105,3,FALSE)</f>
        <v>ALAE Paid</v>
      </c>
      <c r="X4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555"/>
      <c r="Z4555" t="s">
        <v>19</v>
      </c>
      <c r="AA4555" t="s">
        <v>254</v>
      </c>
      <c r="AB4555" t="s">
        <v>8</v>
      </c>
      <c r="AC4555" s="21">
        <v>378</v>
      </c>
      <c r="AD4555" s="21" t="s">
        <v>368</v>
      </c>
      <c r="AE4555" t="str">
        <f>VLOOKUP(Table_Query_from_Actuarial___Production3[[#This Row],[Kor1]],$AI$3:$AK$105,3,FALSE)</f>
        <v>Misc. Expense for Insolvent Companies</v>
      </c>
      <c r="AF4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6" spans="18:32" x14ac:dyDescent="0.2">
      <c r="R4556" t="s">
        <v>21</v>
      </c>
      <c r="S4556" t="s">
        <v>263</v>
      </c>
      <c r="T4556" t="s">
        <v>6</v>
      </c>
      <c r="U4556" s="21">
        <v>206</v>
      </c>
      <c r="V4556" s="21" t="s">
        <v>368</v>
      </c>
      <c r="W4556" t="str">
        <f>VLOOKUP(Table_Query_from_Actuarial___Production[[#This Row],[Kor1]],$AI$3:$AK$105,3,FALSE)</f>
        <v>Misc. Expense</v>
      </c>
      <c r="X4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6"/>
      <c r="Z4556" t="s">
        <v>31</v>
      </c>
      <c r="AA4556" t="s">
        <v>4</v>
      </c>
      <c r="AB4556" t="s">
        <v>6</v>
      </c>
      <c r="AC4556" s="21">
        <v>121.5</v>
      </c>
      <c r="AD4556" s="21" t="s">
        <v>368</v>
      </c>
      <c r="AE4556" t="str">
        <f>VLOOKUP(Table_Query_from_Actuarial___Production3[[#This Row],[Kor1]],$AI$3:$AK$105,3,FALSE)</f>
        <v>Misc. Expense</v>
      </c>
      <c r="AF4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7" spans="18:32" x14ac:dyDescent="0.2">
      <c r="R4557" t="s">
        <v>31</v>
      </c>
      <c r="S4557" t="s">
        <v>248</v>
      </c>
      <c r="T4557" t="s">
        <v>443</v>
      </c>
      <c r="U4557" s="21">
        <v>1039.43</v>
      </c>
      <c r="V4557" s="21" t="s">
        <v>368</v>
      </c>
      <c r="W4557" t="str">
        <f>VLOOKUP(Table_Query_from_Actuarial___Production[[#This Row],[Kor1]],$AI$3:$AK$105,3,FALSE)</f>
        <v>Misc. Expense</v>
      </c>
      <c r="X4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7"/>
      <c r="Z4557" t="s">
        <v>32</v>
      </c>
      <c r="AA4557" t="s">
        <v>229</v>
      </c>
      <c r="AB4557" t="s">
        <v>433</v>
      </c>
      <c r="AC4557" s="21">
        <v>-2772.3</v>
      </c>
      <c r="AD4557" s="21" t="s">
        <v>368</v>
      </c>
      <c r="AE4557" t="str">
        <f>VLOOKUP(Table_Query_from_Actuarial___Production3[[#This Row],[Kor1]],$AI$3:$AK$105,3,FALSE)</f>
        <v>Misc. Expense</v>
      </c>
      <c r="AF4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8" spans="18:32" x14ac:dyDescent="0.2">
      <c r="R4558" t="s">
        <v>47</v>
      </c>
      <c r="S4558" t="s">
        <v>239</v>
      </c>
      <c r="T4558" t="s">
        <v>433</v>
      </c>
      <c r="U4558" s="21">
        <v>820.82</v>
      </c>
      <c r="V4558" s="21" t="s">
        <v>368</v>
      </c>
      <c r="W4558" t="str">
        <f>VLOOKUP(Table_Query_from_Actuarial___Production[[#This Row],[Kor1]],$AI$3:$AK$105,3,FALSE)</f>
        <v>Investment Income</v>
      </c>
      <c r="X4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8"/>
      <c r="Z4558" t="s">
        <v>77</v>
      </c>
      <c r="AA4558" t="s">
        <v>231</v>
      </c>
      <c r="AB4558" t="s">
        <v>443</v>
      </c>
      <c r="AC4558" s="21">
        <v>202200</v>
      </c>
      <c r="AD4558" s="21" t="s">
        <v>368</v>
      </c>
      <c r="AE4558" t="str">
        <f>VLOOKUP(Table_Query_from_Actuarial___Production3[[#This Row],[Kor1]],$AI$3:$AK$105,3,FALSE)</f>
        <v>PDR</v>
      </c>
      <c r="AF4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59" spans="18:32" x14ac:dyDescent="0.2">
      <c r="R4559" t="s">
        <v>37</v>
      </c>
      <c r="S4559" t="s">
        <v>233</v>
      </c>
      <c r="T4559" t="s">
        <v>442</v>
      </c>
      <c r="U4559" s="21">
        <v>977.72</v>
      </c>
      <c r="V4559" s="21" t="s">
        <v>368</v>
      </c>
      <c r="W4559" t="str">
        <f>VLOOKUP(Table_Query_from_Actuarial___Production[[#This Row],[Kor1]],$AI$3:$AK$105,3,FALSE)</f>
        <v>Misc. Expense</v>
      </c>
      <c r="X4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59"/>
      <c r="Z4559" t="s">
        <v>21</v>
      </c>
      <c r="AA4559" t="s">
        <v>249</v>
      </c>
      <c r="AB4559" t="s">
        <v>351</v>
      </c>
      <c r="AC4559" s="21">
        <v>1840.52</v>
      </c>
      <c r="AD4559" s="21" t="s">
        <v>368</v>
      </c>
      <c r="AE4559" t="str">
        <f>VLOOKUP(Table_Query_from_Actuarial___Production3[[#This Row],[Kor1]],$AI$3:$AK$105,3,FALSE)</f>
        <v>Misc. Expense</v>
      </c>
      <c r="AF4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0" spans="18:32" x14ac:dyDescent="0.2">
      <c r="R4560" t="s">
        <v>75</v>
      </c>
      <c r="S4560" t="s">
        <v>354</v>
      </c>
      <c r="T4560" t="s">
        <v>443</v>
      </c>
      <c r="U4560" s="21">
        <v>-2205.66</v>
      </c>
      <c r="V4560" s="21" t="s">
        <v>368</v>
      </c>
      <c r="W4560" t="str">
        <f>VLOOKUP(Table_Query_from_Actuarial___Production[[#This Row],[Kor1]],$AI$3:$AK$105,3,FALSE)</f>
        <v>EBUB</v>
      </c>
      <c r="X4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560"/>
      <c r="Z4560" t="s">
        <v>33</v>
      </c>
      <c r="AA4560" t="s">
        <v>259</v>
      </c>
      <c r="AB4560" t="s">
        <v>441</v>
      </c>
      <c r="AC4560" s="21">
        <v>18502.400000000001</v>
      </c>
      <c r="AD4560" s="21" t="s">
        <v>368</v>
      </c>
      <c r="AE4560" t="str">
        <f>VLOOKUP(Table_Query_from_Actuarial___Production3[[#This Row],[Kor1]],$AI$3:$AK$105,3,FALSE)</f>
        <v>Misc. Expense</v>
      </c>
      <c r="AF4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1" spans="18:32" x14ac:dyDescent="0.2">
      <c r="R4561" t="s">
        <v>21</v>
      </c>
      <c r="S4561" t="s">
        <v>241</v>
      </c>
      <c r="T4561" t="s">
        <v>441</v>
      </c>
      <c r="U4561" s="21">
        <v>3061.07</v>
      </c>
      <c r="V4561" s="21" t="s">
        <v>368</v>
      </c>
      <c r="W4561" t="str">
        <f>VLOOKUP(Table_Query_from_Actuarial___Production[[#This Row],[Kor1]],$AI$3:$AK$105,3,FALSE)</f>
        <v>Misc. Expense</v>
      </c>
      <c r="X4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1"/>
      <c r="Z4561" t="s">
        <v>47</v>
      </c>
      <c r="AA4561" t="s">
        <v>239</v>
      </c>
      <c r="AB4561" t="s">
        <v>441</v>
      </c>
      <c r="AC4561" s="21">
        <v>72.81</v>
      </c>
      <c r="AD4561" s="21" t="s">
        <v>368</v>
      </c>
      <c r="AE4561" t="str">
        <f>VLOOKUP(Table_Query_from_Actuarial___Production3[[#This Row],[Kor1]],$AI$3:$AK$105,3,FALSE)</f>
        <v>Investment Income</v>
      </c>
      <c r="AF4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2" spans="18:32" x14ac:dyDescent="0.2">
      <c r="R4562" t="s">
        <v>40</v>
      </c>
      <c r="S4562" t="s">
        <v>254</v>
      </c>
      <c r="T4562" t="s">
        <v>9</v>
      </c>
      <c r="U4562" s="21">
        <v>42.01</v>
      </c>
      <c r="V4562" s="21" t="s">
        <v>368</v>
      </c>
      <c r="W4562" t="str">
        <f>VLOOKUP(Table_Query_from_Actuarial___Production[[#This Row],[Kor1]],$AI$3:$AK$105,3,FALSE)</f>
        <v>Misc. Income</v>
      </c>
      <c r="X4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2"/>
      <c r="Z4562" t="s">
        <v>3</v>
      </c>
      <c r="AA4562" t="s">
        <v>257</v>
      </c>
      <c r="AB4562" t="s">
        <v>356</v>
      </c>
      <c r="AC4562" s="21">
        <v>792913</v>
      </c>
      <c r="AD4562" s="21" t="s">
        <v>368</v>
      </c>
      <c r="AE4562" t="str">
        <f>VLOOKUP(Table_Query_from_Actuarial___Production3[[#This Row],[Kor1]],$AI$3:$AK$105,3,FALSE)</f>
        <v>Premiums Written</v>
      </c>
      <c r="AF4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3" spans="18:32" x14ac:dyDescent="0.2">
      <c r="R4563" t="s">
        <v>47</v>
      </c>
      <c r="S4563" t="s">
        <v>230</v>
      </c>
      <c r="T4563" t="s">
        <v>445</v>
      </c>
      <c r="U4563" s="21">
        <v>130088.49</v>
      </c>
      <c r="V4563" s="21" t="s">
        <v>368</v>
      </c>
      <c r="W4563" t="str">
        <f>VLOOKUP(Table_Query_from_Actuarial___Production[[#This Row],[Kor1]],$AI$3:$AK$105,3,FALSE)</f>
        <v>Investment Income</v>
      </c>
      <c r="X4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3"/>
      <c r="Z4563" t="s">
        <v>41</v>
      </c>
      <c r="AA4563" t="s">
        <v>230</v>
      </c>
      <c r="AB4563" t="s">
        <v>351</v>
      </c>
      <c r="AC4563" s="21">
        <v>1356.73</v>
      </c>
      <c r="AD4563" s="21" t="s">
        <v>368</v>
      </c>
      <c r="AE4563" t="str">
        <f>VLOOKUP(Table_Query_from_Actuarial___Production3[[#This Row],[Kor1]],$AI$3:$AK$105,3,FALSE)</f>
        <v>Misc. Income</v>
      </c>
      <c r="AF4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4" spans="18:32" x14ac:dyDescent="0.2">
      <c r="R4564" t="s">
        <v>3</v>
      </c>
      <c r="S4564" t="s">
        <v>255</v>
      </c>
      <c r="T4564" t="s">
        <v>356</v>
      </c>
      <c r="U4564" s="21">
        <v>370037</v>
      </c>
      <c r="V4564" s="21" t="s">
        <v>368</v>
      </c>
      <c r="W4564" t="str">
        <f>VLOOKUP(Table_Query_from_Actuarial___Production[[#This Row],[Kor1]],$AI$3:$AK$105,3,FALSE)</f>
        <v>Premiums Written</v>
      </c>
      <c r="X4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4"/>
      <c r="Z4564" t="s">
        <v>47</v>
      </c>
      <c r="AA4564" t="s">
        <v>229</v>
      </c>
      <c r="AB4564" t="s">
        <v>5</v>
      </c>
      <c r="AC4564" s="21">
        <v>0.09</v>
      </c>
      <c r="AD4564" s="21" t="s">
        <v>368</v>
      </c>
      <c r="AE4564" t="str">
        <f>VLOOKUP(Table_Query_from_Actuarial___Production3[[#This Row],[Kor1]],$AI$3:$AK$105,3,FALSE)</f>
        <v>Investment Income</v>
      </c>
      <c r="AF4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5" spans="18:32" x14ac:dyDescent="0.2">
      <c r="R4565" t="s">
        <v>14</v>
      </c>
      <c r="S4565" t="s">
        <v>252</v>
      </c>
      <c r="T4565" t="s">
        <v>443</v>
      </c>
      <c r="U4565" s="21">
        <v>1907444.99</v>
      </c>
      <c r="V4565" s="21" t="s">
        <v>368</v>
      </c>
      <c r="W4565" t="str">
        <f>VLOOKUP(Table_Query_from_Actuarial___Production[[#This Row],[Kor1]],$AI$3:$AK$105,3,FALSE)</f>
        <v>Claims Expense</v>
      </c>
      <c r="X4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5"/>
      <c r="Z4565" t="s">
        <v>43</v>
      </c>
      <c r="AA4565" t="s">
        <v>224</v>
      </c>
      <c r="AB4565" t="s">
        <v>8</v>
      </c>
      <c r="AC4565" s="21">
        <v>3.94</v>
      </c>
      <c r="AD4565" s="21" t="s">
        <v>425</v>
      </c>
      <c r="AE4565" t="str">
        <f>VLOOKUP(Table_Query_from_Actuarial___Production3[[#This Row],[Kor1]],$AI$3:$AK$105,3,FALSE)</f>
        <v>Charge-offs</v>
      </c>
      <c r="AF4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66" spans="18:32" x14ac:dyDescent="0.2">
      <c r="R4566" t="s">
        <v>33</v>
      </c>
      <c r="S4566" t="s">
        <v>228</v>
      </c>
      <c r="T4566" t="s">
        <v>443</v>
      </c>
      <c r="U4566" s="21">
        <v>12426.73</v>
      </c>
      <c r="V4566" s="21" t="s">
        <v>368</v>
      </c>
      <c r="W4566" t="str">
        <f>VLOOKUP(Table_Query_from_Actuarial___Production[[#This Row],[Kor1]],$AI$3:$AK$105,3,FALSE)</f>
        <v>Misc. Expense</v>
      </c>
      <c r="X4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6"/>
      <c r="Z4566" t="s">
        <v>44</v>
      </c>
      <c r="AA4566" t="s">
        <v>224</v>
      </c>
      <c r="AB4566" t="s">
        <v>356</v>
      </c>
      <c r="AC4566" s="21">
        <v>6.72</v>
      </c>
      <c r="AD4566" s="21" t="s">
        <v>425</v>
      </c>
      <c r="AE4566" t="str">
        <f>VLOOKUP(Table_Query_from_Actuarial___Production3[[#This Row],[Kor1]],$AI$3:$AK$105,3,FALSE)</f>
        <v>Charge-offs</v>
      </c>
      <c r="AF4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67" spans="18:32" x14ac:dyDescent="0.2">
      <c r="R4567" t="s">
        <v>13</v>
      </c>
      <c r="S4567" t="s">
        <v>262</v>
      </c>
      <c r="T4567" t="s">
        <v>443</v>
      </c>
      <c r="U4567" s="21">
        <v>24281.1</v>
      </c>
      <c r="V4567" s="21" t="s">
        <v>368</v>
      </c>
      <c r="W4567" t="str">
        <f>VLOOKUP(Table_Query_from_Actuarial___Production[[#This Row],[Kor1]],$AI$3:$AK$105,3,FALSE)</f>
        <v>Operating Service Fees</v>
      </c>
      <c r="X4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7"/>
      <c r="Z4567" t="s">
        <v>11</v>
      </c>
      <c r="AA4567" t="s">
        <v>238</v>
      </c>
      <c r="AB4567" t="s">
        <v>5</v>
      </c>
      <c r="AC4567" s="21">
        <v>7184.09</v>
      </c>
      <c r="AD4567" s="21" t="s">
        <v>368</v>
      </c>
      <c r="AE4567" t="str">
        <f>VLOOKUP(Table_Query_from_Actuarial___Production3[[#This Row],[Kor1]],$AI$3:$AK$105,3,FALSE)</f>
        <v>Losses Paid</v>
      </c>
      <c r="AF4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8" spans="18:32" x14ac:dyDescent="0.2">
      <c r="R4568" t="s">
        <v>44</v>
      </c>
      <c r="S4568" t="s">
        <v>256</v>
      </c>
      <c r="T4568" t="s">
        <v>427</v>
      </c>
      <c r="U4568" s="21">
        <v>0.3</v>
      </c>
      <c r="V4568" s="21" t="s">
        <v>368</v>
      </c>
      <c r="W4568" t="str">
        <f>VLOOKUP(Table_Query_from_Actuarial___Production[[#This Row],[Kor1]],$AI$3:$AK$105,3,FALSE)</f>
        <v>Charge-offs</v>
      </c>
      <c r="X4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8"/>
      <c r="Z4568" t="s">
        <v>10</v>
      </c>
      <c r="AA4568" t="s">
        <v>232</v>
      </c>
      <c r="AB4568" t="s">
        <v>356</v>
      </c>
      <c r="AC4568" s="21">
        <v>67482.8</v>
      </c>
      <c r="AD4568" s="21" t="s">
        <v>368</v>
      </c>
      <c r="AE4568" t="str">
        <f>VLOOKUP(Table_Query_from_Actuarial___Production3[[#This Row],[Kor1]],$AI$3:$AK$105,3,FALSE)</f>
        <v>Commissions</v>
      </c>
      <c r="AF4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69" spans="18:32" x14ac:dyDescent="0.2">
      <c r="R4569" t="s">
        <v>41</v>
      </c>
      <c r="S4569" t="s">
        <v>239</v>
      </c>
      <c r="T4569" t="s">
        <v>9</v>
      </c>
      <c r="U4569" s="21">
        <v>150</v>
      </c>
      <c r="V4569" s="21" t="s">
        <v>368</v>
      </c>
      <c r="W4569" t="str">
        <f>VLOOKUP(Table_Query_from_Actuarial___Production[[#This Row],[Kor1]],$AI$3:$AK$105,3,FALSE)</f>
        <v>Misc. Income</v>
      </c>
      <c r="X4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69"/>
      <c r="Z4569" t="s">
        <v>14</v>
      </c>
      <c r="AA4569" t="s">
        <v>242</v>
      </c>
      <c r="AB4569" t="s">
        <v>356</v>
      </c>
      <c r="AC4569" s="21">
        <v>60139.35</v>
      </c>
      <c r="AD4569" s="21" t="s">
        <v>368</v>
      </c>
      <c r="AE4569" t="str">
        <f>VLOOKUP(Table_Query_from_Actuarial___Production3[[#This Row],[Kor1]],$AI$3:$AK$105,3,FALSE)</f>
        <v>Claims Expense</v>
      </c>
      <c r="AF4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0" spans="18:32" x14ac:dyDescent="0.2">
      <c r="R4570" t="s">
        <v>43</v>
      </c>
      <c r="S4570" t="s">
        <v>224</v>
      </c>
      <c r="T4570" t="s">
        <v>6</v>
      </c>
      <c r="U4570" s="21">
        <v>66.459999999999994</v>
      </c>
      <c r="V4570" s="21" t="s">
        <v>369</v>
      </c>
      <c r="W4570" t="str">
        <f>VLOOKUP(Table_Query_from_Actuarial___Production[[#This Row],[Kor1]],$AI$3:$AK$105,3,FALSE)</f>
        <v>Charge-offs</v>
      </c>
      <c r="X4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570"/>
      <c r="Z4570" t="s">
        <v>49</v>
      </c>
      <c r="AA4570" t="s">
        <v>226</v>
      </c>
      <c r="AB4570" t="s">
        <v>441</v>
      </c>
      <c r="AC4570" s="21">
        <v>43906.79</v>
      </c>
      <c r="AD4570" s="21" t="s">
        <v>368</v>
      </c>
      <c r="AE4570" t="str">
        <f>VLOOKUP(Table_Query_from_Actuarial___Production3[[#This Row],[Kor1]],$AI$3:$AK$105,3,FALSE)</f>
        <v>ALAE Paid</v>
      </c>
      <c r="AF4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571" spans="18:32" x14ac:dyDescent="0.2">
      <c r="R4571" t="s">
        <v>17</v>
      </c>
      <c r="S4571" t="s">
        <v>238</v>
      </c>
      <c r="T4571" t="s">
        <v>441</v>
      </c>
      <c r="U4571" s="21">
        <v>140517.87</v>
      </c>
      <c r="V4571" s="21" t="s">
        <v>368</v>
      </c>
      <c r="W4571" t="str">
        <f>VLOOKUP(Table_Query_from_Actuarial___Production[[#This Row],[Kor1]],$AI$3:$AK$105,3,FALSE)</f>
        <v>IBNR</v>
      </c>
      <c r="X4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1"/>
      <c r="Z4571" t="s">
        <v>10</v>
      </c>
      <c r="AA4571" t="s">
        <v>228</v>
      </c>
      <c r="AB4571" t="s">
        <v>8</v>
      </c>
      <c r="AC4571" s="21">
        <v>1975.3</v>
      </c>
      <c r="AD4571" s="21" t="s">
        <v>368</v>
      </c>
      <c r="AE4571" t="str">
        <f>VLOOKUP(Table_Query_from_Actuarial___Production3[[#This Row],[Kor1]],$AI$3:$AK$105,3,FALSE)</f>
        <v>Commissions</v>
      </c>
      <c r="AF4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2" spans="18:32" x14ac:dyDescent="0.2">
      <c r="R4572" t="s">
        <v>130</v>
      </c>
      <c r="S4572" t="s">
        <v>224</v>
      </c>
      <c r="T4572" t="s">
        <v>445</v>
      </c>
      <c r="U4572" s="21">
        <v>490537</v>
      </c>
      <c r="V4572" s="21" t="s">
        <v>370</v>
      </c>
      <c r="W4572" t="str">
        <f>VLOOKUP(Table_Query_from_Actuarial___Production[[#This Row],[Kor1]],$AI$3:$AK$105,3,FALSE)</f>
        <v>CPAI Charge-offs</v>
      </c>
      <c r="X4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572"/>
      <c r="Z4572" t="s">
        <v>33</v>
      </c>
      <c r="AA4572" t="s">
        <v>245</v>
      </c>
      <c r="AB4572" t="s">
        <v>443</v>
      </c>
      <c r="AC4572" s="21">
        <v>4172.66</v>
      </c>
      <c r="AD4572" s="21" t="s">
        <v>368</v>
      </c>
      <c r="AE4572" t="str">
        <f>VLOOKUP(Table_Query_from_Actuarial___Production3[[#This Row],[Kor1]],$AI$3:$AK$105,3,FALSE)</f>
        <v>Misc. Expense</v>
      </c>
      <c r="AF4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3" spans="18:32" x14ac:dyDescent="0.2">
      <c r="R4573" t="s">
        <v>3</v>
      </c>
      <c r="S4573" t="s">
        <v>262</v>
      </c>
      <c r="T4573" t="s">
        <v>445</v>
      </c>
      <c r="U4573" s="21">
        <v>219867</v>
      </c>
      <c r="V4573" s="21" t="s">
        <v>368</v>
      </c>
      <c r="W4573" t="str">
        <f>VLOOKUP(Table_Query_from_Actuarial___Production[[#This Row],[Kor1]],$AI$3:$AK$105,3,FALSE)</f>
        <v>Premiums Written</v>
      </c>
      <c r="X4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3"/>
      <c r="Z4573" t="s">
        <v>44</v>
      </c>
      <c r="AA4573" t="s">
        <v>263</v>
      </c>
      <c r="AB4573" t="s">
        <v>7</v>
      </c>
      <c r="AC4573" s="21">
        <v>30.75</v>
      </c>
      <c r="AD4573" s="21" t="s">
        <v>368</v>
      </c>
      <c r="AE4573" t="str">
        <f>VLOOKUP(Table_Query_from_Actuarial___Production3[[#This Row],[Kor1]],$AI$3:$AK$105,3,FALSE)</f>
        <v>Charge-offs</v>
      </c>
      <c r="AF4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4" spans="18:32" x14ac:dyDescent="0.2">
      <c r="R4574" t="s">
        <v>42</v>
      </c>
      <c r="S4574" t="s">
        <v>4</v>
      </c>
      <c r="T4574" t="s">
        <v>441</v>
      </c>
      <c r="U4574" s="21">
        <v>803.34</v>
      </c>
      <c r="V4574" s="21" t="s">
        <v>368</v>
      </c>
      <c r="W4574" t="str">
        <f>VLOOKUP(Table_Query_from_Actuarial___Production[[#This Row],[Kor1]],$AI$3:$AK$105,3,FALSE)</f>
        <v>Misc. Income</v>
      </c>
      <c r="X4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4"/>
      <c r="Z4574" t="s">
        <v>142</v>
      </c>
      <c r="AA4574" t="s">
        <v>352</v>
      </c>
      <c r="AB4574" t="s">
        <v>443</v>
      </c>
      <c r="AC4574" s="21">
        <v>200000</v>
      </c>
      <c r="AD4574" s="21" t="s">
        <v>369</v>
      </c>
      <c r="AE4574" t="str">
        <f>VLOOKUP(Table_Query_from_Actuarial___Production3[[#This Row],[Kor1]],$AI$3:$AK$105,3,FALSE)</f>
        <v>Contingency Fund</v>
      </c>
      <c r="AF4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575" spans="18:32" x14ac:dyDescent="0.2">
      <c r="R4575" t="s">
        <v>44</v>
      </c>
      <c r="S4575" t="s">
        <v>239</v>
      </c>
      <c r="T4575" t="s">
        <v>433</v>
      </c>
      <c r="U4575" s="21">
        <v>8991.94</v>
      </c>
      <c r="V4575" s="21" t="s">
        <v>368</v>
      </c>
      <c r="W4575" t="str">
        <f>VLOOKUP(Table_Query_from_Actuarial___Production[[#This Row],[Kor1]],$AI$3:$AK$105,3,FALSE)</f>
        <v>Charge-offs</v>
      </c>
      <c r="X4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5"/>
      <c r="Z4575" t="s">
        <v>11</v>
      </c>
      <c r="AA4575" t="s">
        <v>264</v>
      </c>
      <c r="AB4575" t="s">
        <v>7</v>
      </c>
      <c r="AC4575" s="21">
        <v>1437396.51</v>
      </c>
      <c r="AD4575" s="21" t="s">
        <v>368</v>
      </c>
      <c r="AE4575" t="str">
        <f>VLOOKUP(Table_Query_from_Actuarial___Production3[[#This Row],[Kor1]],$AI$3:$AK$105,3,FALSE)</f>
        <v>Losses Paid</v>
      </c>
      <c r="AF4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6" spans="18:32" x14ac:dyDescent="0.2">
      <c r="R4576" t="s">
        <v>33</v>
      </c>
      <c r="S4576" t="s">
        <v>251</v>
      </c>
      <c r="T4576" t="s">
        <v>9</v>
      </c>
      <c r="U4576" s="21">
        <v>16012.59</v>
      </c>
      <c r="V4576" s="21" t="s">
        <v>368</v>
      </c>
      <c r="W4576" t="str">
        <f>VLOOKUP(Table_Query_from_Actuarial___Production[[#This Row],[Kor1]],$AI$3:$AK$105,3,FALSE)</f>
        <v>Misc. Expense</v>
      </c>
      <c r="X4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6"/>
      <c r="Z4576" t="s">
        <v>50</v>
      </c>
      <c r="AA4576" t="s">
        <v>241</v>
      </c>
      <c r="AB4576" t="s">
        <v>427</v>
      </c>
      <c r="AC4576" s="21">
        <v>15118.42</v>
      </c>
      <c r="AD4576" s="21" t="s">
        <v>368</v>
      </c>
      <c r="AE4576" t="str">
        <f>VLOOKUP(Table_Query_from_Actuarial___Production3[[#This Row],[Kor1]],$AI$3:$AK$105,3,FALSE)</f>
        <v>ALAE Reserve</v>
      </c>
      <c r="AF4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7" spans="18:32" x14ac:dyDescent="0.2">
      <c r="R4577" t="s">
        <v>38</v>
      </c>
      <c r="S4577" t="s">
        <v>224</v>
      </c>
      <c r="T4577" t="s">
        <v>442</v>
      </c>
      <c r="U4577" s="21">
        <v>236100.09</v>
      </c>
      <c r="V4577" s="21" t="s">
        <v>368</v>
      </c>
      <c r="W4577" t="str">
        <f>VLOOKUP(Table_Query_from_Actuarial___Production[[#This Row],[Kor1]],$AI$3:$AK$105,3,FALSE)</f>
        <v>Misc. Income</v>
      </c>
      <c r="X4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577"/>
      <c r="Z4577" t="s">
        <v>47</v>
      </c>
      <c r="AA4577" t="s">
        <v>263</v>
      </c>
      <c r="AB4577" t="s">
        <v>356</v>
      </c>
      <c r="AC4577" s="21">
        <v>1693.08</v>
      </c>
      <c r="AD4577" s="21" t="s">
        <v>368</v>
      </c>
      <c r="AE4577" t="str">
        <f>VLOOKUP(Table_Query_from_Actuarial___Production3[[#This Row],[Kor1]],$AI$3:$AK$105,3,FALSE)</f>
        <v>Investment Income</v>
      </c>
      <c r="AF4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78" spans="18:32" x14ac:dyDescent="0.2">
      <c r="R4578" t="s">
        <v>12</v>
      </c>
      <c r="S4578" t="s">
        <v>240</v>
      </c>
      <c r="T4578" t="s">
        <v>445</v>
      </c>
      <c r="U4578" s="21">
        <v>36292.019999999997</v>
      </c>
      <c r="V4578" s="21" t="s">
        <v>368</v>
      </c>
      <c r="W4578" t="str">
        <f>VLOOKUP(Table_Query_from_Actuarial___Production[[#This Row],[Kor1]],$AI$3:$AK$105,3,FALSE)</f>
        <v>Premium Tax</v>
      </c>
      <c r="X4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8"/>
      <c r="Z4578" t="s">
        <v>49</v>
      </c>
      <c r="AA4578" t="s">
        <v>225</v>
      </c>
      <c r="AB4578" t="s">
        <v>442</v>
      </c>
      <c r="AC4578" s="21">
        <v>331.46</v>
      </c>
      <c r="AD4578" s="21" t="s">
        <v>368</v>
      </c>
      <c r="AE4578" t="str">
        <f>VLOOKUP(Table_Query_from_Actuarial___Production3[[#This Row],[Kor1]],$AI$3:$AK$105,3,FALSE)</f>
        <v>ALAE Paid</v>
      </c>
      <c r="AF4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579" spans="18:32" x14ac:dyDescent="0.2">
      <c r="R4579" t="s">
        <v>40</v>
      </c>
      <c r="S4579" t="s">
        <v>239</v>
      </c>
      <c r="T4579" t="s">
        <v>427</v>
      </c>
      <c r="U4579" s="21">
        <v>220</v>
      </c>
      <c r="V4579" s="21" t="s">
        <v>368</v>
      </c>
      <c r="W4579" t="str">
        <f>VLOOKUP(Table_Query_from_Actuarial___Production[[#This Row],[Kor1]],$AI$3:$AK$105,3,FALSE)</f>
        <v>Misc. Income</v>
      </c>
      <c r="X4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79"/>
      <c r="Z4579" t="s">
        <v>21</v>
      </c>
      <c r="AA4579" t="s">
        <v>263</v>
      </c>
      <c r="AB4579" t="s">
        <v>6</v>
      </c>
      <c r="AC4579" s="21">
        <v>206</v>
      </c>
      <c r="AD4579" s="21" t="s">
        <v>368</v>
      </c>
      <c r="AE4579" t="str">
        <f>VLOOKUP(Table_Query_from_Actuarial___Production3[[#This Row],[Kor1]],$AI$3:$AK$105,3,FALSE)</f>
        <v>Misc. Expense</v>
      </c>
      <c r="AF4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0" spans="18:32" x14ac:dyDescent="0.2">
      <c r="R4580" t="s">
        <v>37</v>
      </c>
      <c r="S4580" t="s">
        <v>237</v>
      </c>
      <c r="T4580" t="s">
        <v>442</v>
      </c>
      <c r="U4580" s="21">
        <v>194221.02</v>
      </c>
      <c r="V4580" s="21" t="s">
        <v>368</v>
      </c>
      <c r="W4580" t="str">
        <f>VLOOKUP(Table_Query_from_Actuarial___Production[[#This Row],[Kor1]],$AI$3:$AK$105,3,FALSE)</f>
        <v>Misc. Expense</v>
      </c>
      <c r="X4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0"/>
      <c r="Z4580" t="s">
        <v>31</v>
      </c>
      <c r="AA4580" t="s">
        <v>248</v>
      </c>
      <c r="AB4580" t="s">
        <v>443</v>
      </c>
      <c r="AC4580" s="21">
        <v>968.81</v>
      </c>
      <c r="AD4580" s="21" t="s">
        <v>368</v>
      </c>
      <c r="AE4580" t="str">
        <f>VLOOKUP(Table_Query_from_Actuarial___Production3[[#This Row],[Kor1]],$AI$3:$AK$105,3,FALSE)</f>
        <v>Misc. Expense</v>
      </c>
      <c r="AF4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1" spans="18:32" x14ac:dyDescent="0.2">
      <c r="R4581" t="s">
        <v>47</v>
      </c>
      <c r="S4581" t="s">
        <v>256</v>
      </c>
      <c r="T4581" t="s">
        <v>445</v>
      </c>
      <c r="U4581" s="21">
        <v>1259.4000000000001</v>
      </c>
      <c r="V4581" s="21" t="s">
        <v>368</v>
      </c>
      <c r="W4581" t="str">
        <f>VLOOKUP(Table_Query_from_Actuarial___Production[[#This Row],[Kor1]],$AI$3:$AK$105,3,FALSE)</f>
        <v>Investment Income</v>
      </c>
      <c r="X4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1"/>
      <c r="Z4581" t="s">
        <v>47</v>
      </c>
      <c r="AA4581" t="s">
        <v>239</v>
      </c>
      <c r="AB4581" t="s">
        <v>433</v>
      </c>
      <c r="AC4581" s="21">
        <v>820.82</v>
      </c>
      <c r="AD4581" s="21" t="s">
        <v>368</v>
      </c>
      <c r="AE4581" t="str">
        <f>VLOOKUP(Table_Query_from_Actuarial___Production3[[#This Row],[Kor1]],$AI$3:$AK$105,3,FALSE)</f>
        <v>Investment Income</v>
      </c>
      <c r="AF4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2" spans="18:32" x14ac:dyDescent="0.2">
      <c r="R4582" t="s">
        <v>33</v>
      </c>
      <c r="S4582" t="s">
        <v>246</v>
      </c>
      <c r="T4582" t="s">
        <v>8</v>
      </c>
      <c r="U4582" s="21">
        <v>15257.1</v>
      </c>
      <c r="V4582" s="21" t="s">
        <v>368</v>
      </c>
      <c r="W4582" t="str">
        <f>VLOOKUP(Table_Query_from_Actuarial___Production[[#This Row],[Kor1]],$AI$3:$AK$105,3,FALSE)</f>
        <v>Misc. Expense</v>
      </c>
      <c r="X4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2"/>
      <c r="Z4582" t="s">
        <v>37</v>
      </c>
      <c r="AA4582" t="s">
        <v>233</v>
      </c>
      <c r="AB4582" t="s">
        <v>442</v>
      </c>
      <c r="AC4582" s="21">
        <v>975.81</v>
      </c>
      <c r="AD4582" s="21" t="s">
        <v>368</v>
      </c>
      <c r="AE4582" t="str">
        <f>VLOOKUP(Table_Query_from_Actuarial___Production3[[#This Row],[Kor1]],$AI$3:$AK$105,3,FALSE)</f>
        <v>Misc. Expense</v>
      </c>
      <c r="AF4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3" spans="18:32" x14ac:dyDescent="0.2">
      <c r="R4583" t="s">
        <v>41</v>
      </c>
      <c r="S4583" t="s">
        <v>238</v>
      </c>
      <c r="T4583" t="s">
        <v>442</v>
      </c>
      <c r="U4583" s="21">
        <v>501.88</v>
      </c>
      <c r="V4583" s="21" t="s">
        <v>368</v>
      </c>
      <c r="W4583" t="str">
        <f>VLOOKUP(Table_Query_from_Actuarial___Production[[#This Row],[Kor1]],$AI$3:$AK$105,3,FALSE)</f>
        <v>Misc. Income</v>
      </c>
      <c r="X4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3"/>
      <c r="Z4583" t="s">
        <v>75</v>
      </c>
      <c r="AA4583" t="s">
        <v>354</v>
      </c>
      <c r="AB4583" t="s">
        <v>443</v>
      </c>
      <c r="AC4583" s="21">
        <v>54023.1</v>
      </c>
      <c r="AD4583" s="21" t="s">
        <v>368</v>
      </c>
      <c r="AE4583" t="str">
        <f>VLOOKUP(Table_Query_from_Actuarial___Production3[[#This Row],[Kor1]],$AI$3:$AK$105,3,FALSE)</f>
        <v>EBUB</v>
      </c>
      <c r="AF4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4584" spans="18:32" x14ac:dyDescent="0.2">
      <c r="R4584" t="s">
        <v>23</v>
      </c>
      <c r="S4584" t="s">
        <v>250</v>
      </c>
      <c r="T4584" t="s">
        <v>6</v>
      </c>
      <c r="U4584" s="21">
        <v>55.95</v>
      </c>
      <c r="V4584" s="21" t="s">
        <v>368</v>
      </c>
      <c r="W4584" t="str">
        <f>VLOOKUP(Table_Query_from_Actuarial___Production[[#This Row],[Kor1]],$AI$3:$AK$105,3,FALSE)</f>
        <v>Misc. Expense</v>
      </c>
      <c r="X4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4"/>
      <c r="Z4584" t="s">
        <v>21</v>
      </c>
      <c r="AA4584" t="s">
        <v>241</v>
      </c>
      <c r="AB4584" t="s">
        <v>441</v>
      </c>
      <c r="AC4584" s="21">
        <v>3061.07</v>
      </c>
      <c r="AD4584" s="21" t="s">
        <v>368</v>
      </c>
      <c r="AE4584" t="str">
        <f>VLOOKUP(Table_Query_from_Actuarial___Production3[[#This Row],[Kor1]],$AI$3:$AK$105,3,FALSE)</f>
        <v>Misc. Expense</v>
      </c>
      <c r="AF4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5" spans="18:32" x14ac:dyDescent="0.2">
      <c r="R4585" t="s">
        <v>48</v>
      </c>
      <c r="S4585" t="s">
        <v>225</v>
      </c>
      <c r="T4585" t="s">
        <v>441</v>
      </c>
      <c r="U4585" s="21">
        <v>4134.33</v>
      </c>
      <c r="V4585" s="21" t="s">
        <v>369</v>
      </c>
      <c r="W4585" t="str">
        <f>VLOOKUP(Table_Query_from_Actuarial___Production[[#This Row],[Kor1]],$AI$3:$AK$105,3,FALSE)</f>
        <v>Anticipated Salvage</v>
      </c>
      <c r="X4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585"/>
      <c r="Z4585" t="s">
        <v>40</v>
      </c>
      <c r="AA4585" t="s">
        <v>254</v>
      </c>
      <c r="AB4585" t="s">
        <v>9</v>
      </c>
      <c r="AC4585" s="21">
        <v>42.01</v>
      </c>
      <c r="AD4585" s="21" t="s">
        <v>368</v>
      </c>
      <c r="AE4585" t="str">
        <f>VLOOKUP(Table_Query_from_Actuarial___Production3[[#This Row],[Kor1]],$AI$3:$AK$105,3,FALSE)</f>
        <v>Misc. Income</v>
      </c>
      <c r="AF4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6" spans="18:32" x14ac:dyDescent="0.2">
      <c r="R4586" t="s">
        <v>19</v>
      </c>
      <c r="S4586" t="s">
        <v>239</v>
      </c>
      <c r="T4586" t="s">
        <v>9</v>
      </c>
      <c r="U4586" s="21">
        <v>62</v>
      </c>
      <c r="V4586" s="21" t="s">
        <v>368</v>
      </c>
      <c r="W4586" t="str">
        <f>VLOOKUP(Table_Query_from_Actuarial___Production[[#This Row],[Kor1]],$AI$3:$AK$105,3,FALSE)</f>
        <v>Misc. Expense for Insolvent Companies</v>
      </c>
      <c r="X4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6"/>
      <c r="Z4586" t="s">
        <v>3</v>
      </c>
      <c r="AA4586" t="s">
        <v>255</v>
      </c>
      <c r="AB4586" t="s">
        <v>356</v>
      </c>
      <c r="AC4586" s="21">
        <v>370037</v>
      </c>
      <c r="AD4586" s="21" t="s">
        <v>368</v>
      </c>
      <c r="AE4586" t="str">
        <f>VLOOKUP(Table_Query_from_Actuarial___Production3[[#This Row],[Kor1]],$AI$3:$AK$105,3,FALSE)</f>
        <v>Premiums Written</v>
      </c>
      <c r="AF4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7" spans="18:32" x14ac:dyDescent="0.2">
      <c r="R4587" t="s">
        <v>21</v>
      </c>
      <c r="S4587" t="s">
        <v>249</v>
      </c>
      <c r="T4587" t="s">
        <v>441</v>
      </c>
      <c r="U4587" s="21">
        <v>2543</v>
      </c>
      <c r="V4587" s="21" t="s">
        <v>368</v>
      </c>
      <c r="W4587" t="str">
        <f>VLOOKUP(Table_Query_from_Actuarial___Production[[#This Row],[Kor1]],$AI$3:$AK$105,3,FALSE)</f>
        <v>Misc. Expense</v>
      </c>
      <c r="X4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7"/>
      <c r="Z4587" t="s">
        <v>14</v>
      </c>
      <c r="AA4587" t="s">
        <v>252</v>
      </c>
      <c r="AB4587" t="s">
        <v>443</v>
      </c>
      <c r="AC4587" s="21">
        <v>427266.29</v>
      </c>
      <c r="AD4587" s="21" t="s">
        <v>368</v>
      </c>
      <c r="AE4587" t="str">
        <f>VLOOKUP(Table_Query_from_Actuarial___Production3[[#This Row],[Kor1]],$AI$3:$AK$105,3,FALSE)</f>
        <v>Claims Expense</v>
      </c>
      <c r="AF4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8" spans="18:32" x14ac:dyDescent="0.2">
      <c r="R4588" t="s">
        <v>50</v>
      </c>
      <c r="S4588" t="s">
        <v>233</v>
      </c>
      <c r="T4588" t="s">
        <v>442</v>
      </c>
      <c r="U4588" s="21">
        <v>36317.370000000003</v>
      </c>
      <c r="V4588" s="21" t="s">
        <v>368</v>
      </c>
      <c r="W4588" t="str">
        <f>VLOOKUP(Table_Query_from_Actuarial___Production[[#This Row],[Kor1]],$AI$3:$AK$105,3,FALSE)</f>
        <v>ALAE Reserve</v>
      </c>
      <c r="X4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8"/>
      <c r="Z4588" t="s">
        <v>33</v>
      </c>
      <c r="AA4588" t="s">
        <v>228</v>
      </c>
      <c r="AB4588" t="s">
        <v>443</v>
      </c>
      <c r="AC4588" s="21">
        <v>4253.63</v>
      </c>
      <c r="AD4588" s="21" t="s">
        <v>368</v>
      </c>
      <c r="AE4588" t="str">
        <f>VLOOKUP(Table_Query_from_Actuarial___Production3[[#This Row],[Kor1]],$AI$3:$AK$105,3,FALSE)</f>
        <v>Misc. Expense</v>
      </c>
      <c r="AF4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89" spans="18:32" x14ac:dyDescent="0.2">
      <c r="R4589" t="s">
        <v>41</v>
      </c>
      <c r="S4589" t="s">
        <v>236</v>
      </c>
      <c r="T4589" t="s">
        <v>445</v>
      </c>
      <c r="U4589" s="21">
        <v>450</v>
      </c>
      <c r="V4589" s="21" t="s">
        <v>368</v>
      </c>
      <c r="W4589" t="str">
        <f>VLOOKUP(Table_Query_from_Actuarial___Production[[#This Row],[Kor1]],$AI$3:$AK$105,3,FALSE)</f>
        <v>Misc. Income</v>
      </c>
      <c r="X4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89"/>
      <c r="Z4589" t="s">
        <v>13</v>
      </c>
      <c r="AA4589" t="s">
        <v>262</v>
      </c>
      <c r="AB4589" t="s">
        <v>443</v>
      </c>
      <c r="AC4589" s="21">
        <v>11467.98</v>
      </c>
      <c r="AD4589" s="21" t="s">
        <v>368</v>
      </c>
      <c r="AE4589" t="str">
        <f>VLOOKUP(Table_Query_from_Actuarial___Production3[[#This Row],[Kor1]],$AI$3:$AK$105,3,FALSE)</f>
        <v>Operating Service Fees</v>
      </c>
      <c r="AF4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0" spans="18:32" x14ac:dyDescent="0.2">
      <c r="R4590" t="s">
        <v>14</v>
      </c>
      <c r="S4590" t="s">
        <v>261</v>
      </c>
      <c r="T4590" t="s">
        <v>441</v>
      </c>
      <c r="U4590" s="21">
        <v>8757.2800000000007</v>
      </c>
      <c r="V4590" s="21" t="s">
        <v>368</v>
      </c>
      <c r="W4590" t="str">
        <f>VLOOKUP(Table_Query_from_Actuarial___Production[[#This Row],[Kor1]],$AI$3:$AK$105,3,FALSE)</f>
        <v>Claims Expense</v>
      </c>
      <c r="X4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0"/>
      <c r="Z4590" t="s">
        <v>44</v>
      </c>
      <c r="AA4590" t="s">
        <v>256</v>
      </c>
      <c r="AB4590" t="s">
        <v>427</v>
      </c>
      <c r="AC4590" s="21">
        <v>0.3</v>
      </c>
      <c r="AD4590" s="21" t="s">
        <v>368</v>
      </c>
      <c r="AE4590" t="str">
        <f>VLOOKUP(Table_Query_from_Actuarial___Production3[[#This Row],[Kor1]],$AI$3:$AK$105,3,FALSE)</f>
        <v>Charge-offs</v>
      </c>
      <c r="AF4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1" spans="18:32" x14ac:dyDescent="0.2">
      <c r="R4591" t="s">
        <v>31</v>
      </c>
      <c r="S4591" t="s">
        <v>248</v>
      </c>
      <c r="T4591" t="s">
        <v>427</v>
      </c>
      <c r="U4591" s="21">
        <v>764.23</v>
      </c>
      <c r="V4591" s="21" t="s">
        <v>368</v>
      </c>
      <c r="W4591" t="str">
        <f>VLOOKUP(Table_Query_from_Actuarial___Production[[#This Row],[Kor1]],$AI$3:$AK$105,3,FALSE)</f>
        <v>Misc. Expense</v>
      </c>
      <c r="X4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1"/>
      <c r="Z4591" t="s">
        <v>41</v>
      </c>
      <c r="AA4591" t="s">
        <v>239</v>
      </c>
      <c r="AB4591" t="s">
        <v>9</v>
      </c>
      <c r="AC4591" s="21">
        <v>150</v>
      </c>
      <c r="AD4591" s="21" t="s">
        <v>368</v>
      </c>
      <c r="AE4591" t="str">
        <f>VLOOKUP(Table_Query_from_Actuarial___Production3[[#This Row],[Kor1]],$AI$3:$AK$105,3,FALSE)</f>
        <v>Misc. Income</v>
      </c>
      <c r="AF4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2" spans="18:32" x14ac:dyDescent="0.2">
      <c r="R4592" t="s">
        <v>3</v>
      </c>
      <c r="S4592" t="s">
        <v>252</v>
      </c>
      <c r="T4592" t="s">
        <v>445</v>
      </c>
      <c r="U4592" s="21">
        <v>18704133</v>
      </c>
      <c r="V4592" s="21" t="s">
        <v>368</v>
      </c>
      <c r="W4592" t="str">
        <f>VLOOKUP(Table_Query_from_Actuarial___Production[[#This Row],[Kor1]],$AI$3:$AK$105,3,FALSE)</f>
        <v>Premiums Written</v>
      </c>
      <c r="X4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2"/>
      <c r="Z4592" t="s">
        <v>16</v>
      </c>
      <c r="AA4592" t="s">
        <v>258</v>
      </c>
      <c r="AB4592" t="s">
        <v>356</v>
      </c>
      <c r="AC4592" s="21">
        <v>167103.82999999999</v>
      </c>
      <c r="AD4592" s="21" t="s">
        <v>368</v>
      </c>
      <c r="AE4592" t="str">
        <f>VLOOKUP(Table_Query_from_Actuarial___Production3[[#This Row],[Kor1]],$AI$3:$AK$105,3,FALSE)</f>
        <v>Losses Outstanding</v>
      </c>
      <c r="AF4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3" spans="18:32" x14ac:dyDescent="0.2">
      <c r="R4593" t="s">
        <v>3</v>
      </c>
      <c r="S4593" t="s">
        <v>243</v>
      </c>
      <c r="T4593" t="s">
        <v>442</v>
      </c>
      <c r="U4593" s="21">
        <v>380498</v>
      </c>
      <c r="V4593" s="21" t="s">
        <v>368</v>
      </c>
      <c r="W4593" t="str">
        <f>VLOOKUP(Table_Query_from_Actuarial___Production[[#This Row],[Kor1]],$AI$3:$AK$105,3,FALSE)</f>
        <v>Premiums Written</v>
      </c>
      <c r="X4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3"/>
      <c r="Z4593" t="s">
        <v>43</v>
      </c>
      <c r="AA4593" t="s">
        <v>224</v>
      </c>
      <c r="AB4593" t="s">
        <v>6</v>
      </c>
      <c r="AC4593" s="21">
        <v>66.459999999999994</v>
      </c>
      <c r="AD4593" s="21" t="s">
        <v>369</v>
      </c>
      <c r="AE4593" t="str">
        <f>VLOOKUP(Table_Query_from_Actuarial___Production3[[#This Row],[Kor1]],$AI$3:$AK$105,3,FALSE)</f>
        <v>Charge-offs</v>
      </c>
      <c r="AF4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594" spans="18:32" x14ac:dyDescent="0.2">
      <c r="R4594" t="s">
        <v>10</v>
      </c>
      <c r="S4594" t="s">
        <v>245</v>
      </c>
      <c r="T4594" t="s">
        <v>6</v>
      </c>
      <c r="U4594" s="21">
        <v>4472.55</v>
      </c>
      <c r="V4594" s="21" t="s">
        <v>368</v>
      </c>
      <c r="W4594" t="str">
        <f>VLOOKUP(Table_Query_from_Actuarial___Production[[#This Row],[Kor1]],$AI$3:$AK$105,3,FALSE)</f>
        <v>Commissions</v>
      </c>
      <c r="X4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4"/>
      <c r="Z4594" t="s">
        <v>17</v>
      </c>
      <c r="AA4594" t="s">
        <v>238</v>
      </c>
      <c r="AB4594" t="s">
        <v>441</v>
      </c>
      <c r="AC4594" s="21">
        <v>207580.21</v>
      </c>
      <c r="AD4594" s="21" t="s">
        <v>368</v>
      </c>
      <c r="AE4594" t="str">
        <f>VLOOKUP(Table_Query_from_Actuarial___Production3[[#This Row],[Kor1]],$AI$3:$AK$105,3,FALSE)</f>
        <v>IBNR</v>
      </c>
      <c r="AF4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5" spans="18:32" x14ac:dyDescent="0.2">
      <c r="R4595" t="s">
        <v>34</v>
      </c>
      <c r="S4595" t="s">
        <v>258</v>
      </c>
      <c r="T4595" t="s">
        <v>427</v>
      </c>
      <c r="U4595" s="21">
        <v>1084.1300000000001</v>
      </c>
      <c r="V4595" s="21" t="s">
        <v>368</v>
      </c>
      <c r="W4595" t="str">
        <f>VLOOKUP(Table_Query_from_Actuarial___Production[[#This Row],[Kor1]],$AI$3:$AK$105,3,FALSE)</f>
        <v>Misc. Expense</v>
      </c>
      <c r="X4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5"/>
      <c r="Z4595" t="s">
        <v>42</v>
      </c>
      <c r="AA4595" t="s">
        <v>4</v>
      </c>
      <c r="AB4595" t="s">
        <v>441</v>
      </c>
      <c r="AC4595" s="21">
        <v>797.55</v>
      </c>
      <c r="AD4595" s="21" t="s">
        <v>368</v>
      </c>
      <c r="AE4595" t="str">
        <f>VLOOKUP(Table_Query_from_Actuarial___Production3[[#This Row],[Kor1]],$AI$3:$AK$105,3,FALSE)</f>
        <v>Misc. Income</v>
      </c>
      <c r="AF4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6" spans="18:32" x14ac:dyDescent="0.2">
      <c r="R4596" t="s">
        <v>31</v>
      </c>
      <c r="S4596" t="s">
        <v>241</v>
      </c>
      <c r="T4596" t="s">
        <v>7</v>
      </c>
      <c r="U4596" s="21">
        <v>1022.42</v>
      </c>
      <c r="V4596" s="21" t="s">
        <v>368</v>
      </c>
      <c r="W4596" t="str">
        <f>VLOOKUP(Table_Query_from_Actuarial___Production[[#This Row],[Kor1]],$AI$3:$AK$105,3,FALSE)</f>
        <v>Misc. Expense</v>
      </c>
      <c r="X4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6"/>
      <c r="Z4596" t="s">
        <v>44</v>
      </c>
      <c r="AA4596" t="s">
        <v>239</v>
      </c>
      <c r="AB4596" t="s">
        <v>433</v>
      </c>
      <c r="AC4596" s="21">
        <v>8991.94</v>
      </c>
      <c r="AD4596" s="21" t="s">
        <v>368</v>
      </c>
      <c r="AE4596" t="str">
        <f>VLOOKUP(Table_Query_from_Actuarial___Production3[[#This Row],[Kor1]],$AI$3:$AK$105,3,FALSE)</f>
        <v>Charge-offs</v>
      </c>
      <c r="AF4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7" spans="18:32" x14ac:dyDescent="0.2">
      <c r="R4597" t="s">
        <v>47</v>
      </c>
      <c r="S4597" t="s">
        <v>237</v>
      </c>
      <c r="T4597" t="s">
        <v>427</v>
      </c>
      <c r="U4597" s="21">
        <v>78124.98</v>
      </c>
      <c r="V4597" s="21" t="s">
        <v>368</v>
      </c>
      <c r="W4597" t="str">
        <f>VLOOKUP(Table_Query_from_Actuarial___Production[[#This Row],[Kor1]],$AI$3:$AK$105,3,FALSE)</f>
        <v>Investment Income</v>
      </c>
      <c r="X4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7"/>
      <c r="Z4597" t="s">
        <v>33</v>
      </c>
      <c r="AA4597" t="s">
        <v>251</v>
      </c>
      <c r="AB4597" t="s">
        <v>9</v>
      </c>
      <c r="AC4597" s="21">
        <v>16012.59</v>
      </c>
      <c r="AD4597" s="21" t="s">
        <v>368</v>
      </c>
      <c r="AE4597" t="str">
        <f>VLOOKUP(Table_Query_from_Actuarial___Production3[[#This Row],[Kor1]],$AI$3:$AK$105,3,FALSE)</f>
        <v>Misc. Expense</v>
      </c>
      <c r="AF4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598" spans="18:32" x14ac:dyDescent="0.2">
      <c r="R4598" t="s">
        <v>11</v>
      </c>
      <c r="S4598" t="s">
        <v>256</v>
      </c>
      <c r="T4598" t="s">
        <v>7</v>
      </c>
      <c r="U4598" s="21">
        <v>12361.45</v>
      </c>
      <c r="V4598" s="21" t="s">
        <v>368</v>
      </c>
      <c r="W4598" t="str">
        <f>VLOOKUP(Table_Query_from_Actuarial___Production[[#This Row],[Kor1]],$AI$3:$AK$105,3,FALSE)</f>
        <v>Losses Paid</v>
      </c>
      <c r="X4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8"/>
      <c r="Z4598" t="s">
        <v>38</v>
      </c>
      <c r="AA4598" t="s">
        <v>224</v>
      </c>
      <c r="AB4598" t="s">
        <v>442</v>
      </c>
      <c r="AC4598" s="21">
        <v>236100.09</v>
      </c>
      <c r="AD4598" s="21" t="s">
        <v>368</v>
      </c>
      <c r="AE4598" t="str">
        <f>VLOOKUP(Table_Query_from_Actuarial___Production3[[#This Row],[Kor1]],$AI$3:$AK$105,3,FALSE)</f>
        <v>Misc. Income</v>
      </c>
      <c r="AF4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599" spans="18:32" x14ac:dyDescent="0.2">
      <c r="R4599" t="s">
        <v>11</v>
      </c>
      <c r="S4599" t="s">
        <v>242</v>
      </c>
      <c r="T4599" t="s">
        <v>443</v>
      </c>
      <c r="U4599" s="21">
        <v>5705.17</v>
      </c>
      <c r="V4599" s="21" t="s">
        <v>368</v>
      </c>
      <c r="W4599" t="str">
        <f>VLOOKUP(Table_Query_from_Actuarial___Production[[#This Row],[Kor1]],$AI$3:$AK$105,3,FALSE)</f>
        <v>Losses Paid</v>
      </c>
      <c r="X4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599"/>
      <c r="Z4599" t="s">
        <v>39</v>
      </c>
      <c r="AA4599" t="s">
        <v>242</v>
      </c>
      <c r="AB4599" t="s">
        <v>5</v>
      </c>
      <c r="AC4599" s="21">
        <v>50138.36</v>
      </c>
      <c r="AD4599" s="21" t="s">
        <v>368</v>
      </c>
      <c r="AE4599" t="str">
        <f>VLOOKUP(Table_Query_from_Actuarial___Production3[[#This Row],[Kor1]],$AI$3:$AK$105,3,FALSE)</f>
        <v>Misc. Income for Insolvent Companies</v>
      </c>
      <c r="AF4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0" spans="18:32" x14ac:dyDescent="0.2">
      <c r="R4600" t="s">
        <v>13</v>
      </c>
      <c r="S4600" t="s">
        <v>242</v>
      </c>
      <c r="T4600" t="s">
        <v>356</v>
      </c>
      <c r="U4600" s="21">
        <v>94607.05</v>
      </c>
      <c r="V4600" s="21" t="s">
        <v>368</v>
      </c>
      <c r="W4600" t="str">
        <f>VLOOKUP(Table_Query_from_Actuarial___Production[[#This Row],[Kor1]],$AI$3:$AK$105,3,FALSE)</f>
        <v>Operating Service Fees</v>
      </c>
      <c r="X4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0"/>
      <c r="Z4600" t="s">
        <v>40</v>
      </c>
      <c r="AA4600" t="s">
        <v>239</v>
      </c>
      <c r="AB4600" t="s">
        <v>427</v>
      </c>
      <c r="AC4600" s="21">
        <v>220</v>
      </c>
      <c r="AD4600" s="21" t="s">
        <v>368</v>
      </c>
      <c r="AE4600" t="str">
        <f>VLOOKUP(Table_Query_from_Actuarial___Production3[[#This Row],[Kor1]],$AI$3:$AK$105,3,FALSE)</f>
        <v>Misc. Income</v>
      </c>
      <c r="AF4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1" spans="18:32" x14ac:dyDescent="0.2">
      <c r="R4601" t="s">
        <v>33</v>
      </c>
      <c r="S4601" t="s">
        <v>247</v>
      </c>
      <c r="T4601" t="s">
        <v>6</v>
      </c>
      <c r="U4601" s="21">
        <v>14280.51</v>
      </c>
      <c r="V4601" s="21" t="s">
        <v>368</v>
      </c>
      <c r="W4601" t="str">
        <f>VLOOKUP(Table_Query_from_Actuarial___Production[[#This Row],[Kor1]],$AI$3:$AK$105,3,FALSE)</f>
        <v>Misc. Expense</v>
      </c>
      <c r="X4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1"/>
      <c r="Z4601" t="s">
        <v>37</v>
      </c>
      <c r="AA4601" t="s">
        <v>237</v>
      </c>
      <c r="AB4601" t="s">
        <v>442</v>
      </c>
      <c r="AC4601" s="21">
        <v>203607.08</v>
      </c>
      <c r="AD4601" s="21" t="s">
        <v>368</v>
      </c>
      <c r="AE4601" t="str">
        <f>VLOOKUP(Table_Query_from_Actuarial___Production3[[#This Row],[Kor1]],$AI$3:$AK$105,3,FALSE)</f>
        <v>Misc. Expense</v>
      </c>
      <c r="AF4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2" spans="18:32" x14ac:dyDescent="0.2">
      <c r="R4602" t="s">
        <v>11</v>
      </c>
      <c r="S4602" t="s">
        <v>229</v>
      </c>
      <c r="T4602" t="s">
        <v>427</v>
      </c>
      <c r="U4602" s="21">
        <v>767362.2</v>
      </c>
      <c r="V4602" s="21" t="s">
        <v>368</v>
      </c>
      <c r="W4602" t="str">
        <f>VLOOKUP(Table_Query_from_Actuarial___Production[[#This Row],[Kor1]],$AI$3:$AK$105,3,FALSE)</f>
        <v>Losses Paid</v>
      </c>
      <c r="X4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2"/>
      <c r="Z4602" t="s">
        <v>33</v>
      </c>
      <c r="AA4602" t="s">
        <v>246</v>
      </c>
      <c r="AB4602" t="s">
        <v>8</v>
      </c>
      <c r="AC4602" s="21">
        <v>15257.1</v>
      </c>
      <c r="AD4602" s="21" t="s">
        <v>368</v>
      </c>
      <c r="AE4602" t="str">
        <f>VLOOKUP(Table_Query_from_Actuarial___Production3[[#This Row],[Kor1]],$AI$3:$AK$105,3,FALSE)</f>
        <v>Misc. Expense</v>
      </c>
      <c r="AF4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3" spans="18:32" x14ac:dyDescent="0.2">
      <c r="R4603" t="s">
        <v>12</v>
      </c>
      <c r="S4603" t="s">
        <v>247</v>
      </c>
      <c r="T4603" t="s">
        <v>7</v>
      </c>
      <c r="U4603" s="21">
        <v>146.08000000000001</v>
      </c>
      <c r="V4603" s="21" t="s">
        <v>368</v>
      </c>
      <c r="W4603" t="str">
        <f>VLOOKUP(Table_Query_from_Actuarial___Production[[#This Row],[Kor1]],$AI$3:$AK$105,3,FALSE)</f>
        <v>Premium Tax</v>
      </c>
      <c r="X4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3"/>
      <c r="Z4603" t="s">
        <v>39</v>
      </c>
      <c r="AA4603" t="s">
        <v>255</v>
      </c>
      <c r="AB4603" t="s">
        <v>5</v>
      </c>
      <c r="AC4603" s="21">
        <v>28901.27</v>
      </c>
      <c r="AD4603" s="21" t="s">
        <v>368</v>
      </c>
      <c r="AE4603" t="str">
        <f>VLOOKUP(Table_Query_from_Actuarial___Production3[[#This Row],[Kor1]],$AI$3:$AK$105,3,FALSE)</f>
        <v>Misc. Income for Insolvent Companies</v>
      </c>
      <c r="AF4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4" spans="18:32" x14ac:dyDescent="0.2">
      <c r="R4604" t="s">
        <v>34</v>
      </c>
      <c r="S4604" t="s">
        <v>228</v>
      </c>
      <c r="T4604" t="s">
        <v>8</v>
      </c>
      <c r="U4604" s="21">
        <v>0.67</v>
      </c>
      <c r="V4604" s="21" t="s">
        <v>368</v>
      </c>
      <c r="W4604" t="str">
        <f>VLOOKUP(Table_Query_from_Actuarial___Production[[#This Row],[Kor1]],$AI$3:$AK$105,3,FALSE)</f>
        <v>Misc. Expense</v>
      </c>
      <c r="X4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4"/>
      <c r="Z4604" t="s">
        <v>41</v>
      </c>
      <c r="AA4604" t="s">
        <v>238</v>
      </c>
      <c r="AB4604" t="s">
        <v>442</v>
      </c>
      <c r="AC4604" s="21">
        <v>501.88</v>
      </c>
      <c r="AD4604" s="21" t="s">
        <v>368</v>
      </c>
      <c r="AE4604" t="str">
        <f>VLOOKUP(Table_Query_from_Actuarial___Production3[[#This Row],[Kor1]],$AI$3:$AK$105,3,FALSE)</f>
        <v>Misc. Income</v>
      </c>
      <c r="AF4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5" spans="18:32" x14ac:dyDescent="0.2">
      <c r="R4605" t="s">
        <v>77</v>
      </c>
      <c r="S4605" t="s">
        <v>225</v>
      </c>
      <c r="T4605" t="s">
        <v>445</v>
      </c>
      <c r="U4605" s="21">
        <v>41206.99</v>
      </c>
      <c r="V4605" s="21" t="s">
        <v>369</v>
      </c>
      <c r="W4605" t="str">
        <f>VLOOKUP(Table_Query_from_Actuarial___Production[[#This Row],[Kor1]],$AI$3:$AK$105,3,FALSE)</f>
        <v>PDR</v>
      </c>
      <c r="X4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605"/>
      <c r="Z4605" t="s">
        <v>23</v>
      </c>
      <c r="AA4605" t="s">
        <v>250</v>
      </c>
      <c r="AB4605" t="s">
        <v>6</v>
      </c>
      <c r="AC4605" s="21">
        <v>55.95</v>
      </c>
      <c r="AD4605" s="21" t="s">
        <v>368</v>
      </c>
      <c r="AE4605" t="str">
        <f>VLOOKUP(Table_Query_from_Actuarial___Production3[[#This Row],[Kor1]],$AI$3:$AK$105,3,FALSE)</f>
        <v>Misc. Expense</v>
      </c>
      <c r="AF4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6" spans="18:32" x14ac:dyDescent="0.2">
      <c r="R4606" t="s">
        <v>17</v>
      </c>
      <c r="S4606" t="s">
        <v>235</v>
      </c>
      <c r="T4606" t="s">
        <v>441</v>
      </c>
      <c r="U4606" s="21">
        <v>20229.82</v>
      </c>
      <c r="V4606" s="21" t="s">
        <v>368</v>
      </c>
      <c r="W4606" t="str">
        <f>VLOOKUP(Table_Query_from_Actuarial___Production[[#This Row],[Kor1]],$AI$3:$AK$105,3,FALSE)</f>
        <v>IBNR</v>
      </c>
      <c r="X4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6"/>
      <c r="Z4606" t="s">
        <v>48</v>
      </c>
      <c r="AA4606" t="s">
        <v>225</v>
      </c>
      <c r="AB4606" t="s">
        <v>441</v>
      </c>
      <c r="AC4606" s="21">
        <v>5547.62</v>
      </c>
      <c r="AD4606" s="21" t="s">
        <v>369</v>
      </c>
      <c r="AE4606" t="str">
        <f>VLOOKUP(Table_Query_from_Actuarial___Production3[[#This Row],[Kor1]],$AI$3:$AK$105,3,FALSE)</f>
        <v>Anticipated Salvage</v>
      </c>
      <c r="AF4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607" spans="18:32" x14ac:dyDescent="0.2">
      <c r="R4607" t="s">
        <v>3</v>
      </c>
      <c r="S4607" t="s">
        <v>262</v>
      </c>
      <c r="T4607" t="s">
        <v>6</v>
      </c>
      <c r="U4607" s="21">
        <v>301680</v>
      </c>
      <c r="V4607" s="21" t="s">
        <v>368</v>
      </c>
      <c r="W4607" t="str">
        <f>VLOOKUP(Table_Query_from_Actuarial___Production[[#This Row],[Kor1]],$AI$3:$AK$105,3,FALSE)</f>
        <v>Premiums Written</v>
      </c>
      <c r="X4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7"/>
      <c r="Z4607" t="s">
        <v>17</v>
      </c>
      <c r="AA4607" t="s">
        <v>236</v>
      </c>
      <c r="AB4607" t="s">
        <v>427</v>
      </c>
      <c r="AC4607" s="21">
        <v>2725.83</v>
      </c>
      <c r="AD4607" s="21" t="s">
        <v>368</v>
      </c>
      <c r="AE4607" t="str">
        <f>VLOOKUP(Table_Query_from_Actuarial___Production3[[#This Row],[Kor1]],$AI$3:$AK$105,3,FALSE)</f>
        <v>IBNR</v>
      </c>
      <c r="AF4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8" spans="18:32" x14ac:dyDescent="0.2">
      <c r="R4608" t="s">
        <v>13</v>
      </c>
      <c r="S4608" t="s">
        <v>236</v>
      </c>
      <c r="T4608" t="s">
        <v>443</v>
      </c>
      <c r="U4608" s="21">
        <v>5490.43</v>
      </c>
      <c r="V4608" s="21" t="s">
        <v>368</v>
      </c>
      <c r="W4608" t="str">
        <f>VLOOKUP(Table_Query_from_Actuarial___Production[[#This Row],[Kor1]],$AI$3:$AK$105,3,FALSE)</f>
        <v>Operating Service Fees</v>
      </c>
      <c r="X4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08"/>
      <c r="Z4608" t="s">
        <v>19</v>
      </c>
      <c r="AA4608" t="s">
        <v>239</v>
      </c>
      <c r="AB4608" t="s">
        <v>9</v>
      </c>
      <c r="AC4608" s="21">
        <v>48</v>
      </c>
      <c r="AD4608" s="21" t="s">
        <v>368</v>
      </c>
      <c r="AE4608" t="str">
        <f>VLOOKUP(Table_Query_from_Actuarial___Production3[[#This Row],[Kor1]],$AI$3:$AK$105,3,FALSE)</f>
        <v>Misc. Expense for Insolvent Companies</v>
      </c>
      <c r="AF4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09" spans="18:32" x14ac:dyDescent="0.2">
      <c r="R4609" t="s">
        <v>46</v>
      </c>
      <c r="S4609" t="s">
        <v>354</v>
      </c>
      <c r="T4609" t="s">
        <v>445</v>
      </c>
      <c r="U4609" s="21">
        <v>23051835.75</v>
      </c>
      <c r="V4609" s="21" t="s">
        <v>369</v>
      </c>
      <c r="W4609" t="str">
        <f>VLOOKUP(Table_Query_from_Actuarial___Production[[#This Row],[Kor1]],$AI$3:$AK$105,3,FALSE)</f>
        <v>Investment Income</v>
      </c>
      <c r="X4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609"/>
      <c r="Z4609" t="s">
        <v>21</v>
      </c>
      <c r="AA4609" t="s">
        <v>249</v>
      </c>
      <c r="AB4609" t="s">
        <v>441</v>
      </c>
      <c r="AC4609" s="21">
        <v>2543</v>
      </c>
      <c r="AD4609" s="21" t="s">
        <v>368</v>
      </c>
      <c r="AE4609" t="str">
        <f>VLOOKUP(Table_Query_from_Actuarial___Production3[[#This Row],[Kor1]],$AI$3:$AK$105,3,FALSE)</f>
        <v>Misc. Expense</v>
      </c>
      <c r="AF4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0" spans="18:32" x14ac:dyDescent="0.2">
      <c r="R4610" t="s">
        <v>10</v>
      </c>
      <c r="S4610" t="s">
        <v>268</v>
      </c>
      <c r="T4610" t="s">
        <v>351</v>
      </c>
      <c r="U4610" s="21">
        <v>947.5</v>
      </c>
      <c r="V4610" s="21" t="s">
        <v>368</v>
      </c>
      <c r="W4610" t="str">
        <f>VLOOKUP(Table_Query_from_Actuarial___Production[[#This Row],[Kor1]],$AI$3:$AK$105,3,FALSE)</f>
        <v>Commissions</v>
      </c>
      <c r="X4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0"/>
      <c r="Z4610" t="s">
        <v>50</v>
      </c>
      <c r="AA4610" t="s">
        <v>233</v>
      </c>
      <c r="AB4610" t="s">
        <v>442</v>
      </c>
      <c r="AC4610" s="21">
        <v>54929.79</v>
      </c>
      <c r="AD4610" s="21" t="s">
        <v>368</v>
      </c>
      <c r="AE4610" t="str">
        <f>VLOOKUP(Table_Query_from_Actuarial___Production3[[#This Row],[Kor1]],$AI$3:$AK$105,3,FALSE)</f>
        <v>ALAE Reserve</v>
      </c>
      <c r="AF4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1" spans="18:32" x14ac:dyDescent="0.2">
      <c r="R4611" t="s">
        <v>10</v>
      </c>
      <c r="S4611" t="s">
        <v>244</v>
      </c>
      <c r="T4611" t="s">
        <v>442</v>
      </c>
      <c r="U4611" s="21">
        <v>208012.07</v>
      </c>
      <c r="V4611" s="21" t="s">
        <v>368</v>
      </c>
      <c r="W4611" t="str">
        <f>VLOOKUP(Table_Query_from_Actuarial___Production[[#This Row],[Kor1]],$AI$3:$AK$105,3,FALSE)</f>
        <v>Commissions</v>
      </c>
      <c r="X4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1"/>
      <c r="Z4611" t="s">
        <v>14</v>
      </c>
      <c r="AA4611" t="s">
        <v>261</v>
      </c>
      <c r="AB4611" t="s">
        <v>441</v>
      </c>
      <c r="AC4611" s="21">
        <v>8757.2800000000007</v>
      </c>
      <c r="AD4611" s="21" t="s">
        <v>368</v>
      </c>
      <c r="AE4611" t="str">
        <f>VLOOKUP(Table_Query_from_Actuarial___Production3[[#This Row],[Kor1]],$AI$3:$AK$105,3,FALSE)</f>
        <v>Claims Expense</v>
      </c>
      <c r="AF4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2" spans="18:32" x14ac:dyDescent="0.2">
      <c r="R4612" t="s">
        <v>10</v>
      </c>
      <c r="S4612" t="s">
        <v>266</v>
      </c>
      <c r="T4612" t="s">
        <v>443</v>
      </c>
      <c r="U4612" s="21">
        <v>120762.16</v>
      </c>
      <c r="V4612" s="21" t="s">
        <v>368</v>
      </c>
      <c r="W4612" t="str">
        <f>VLOOKUP(Table_Query_from_Actuarial___Production[[#This Row],[Kor1]],$AI$3:$AK$105,3,FALSE)</f>
        <v>Commissions</v>
      </c>
      <c r="X4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2"/>
      <c r="Z4612" t="s">
        <v>31</v>
      </c>
      <c r="AA4612" t="s">
        <v>248</v>
      </c>
      <c r="AB4612" t="s">
        <v>427</v>
      </c>
      <c r="AC4612" s="21">
        <v>764.23</v>
      </c>
      <c r="AD4612" s="21" t="s">
        <v>368</v>
      </c>
      <c r="AE4612" t="str">
        <f>VLOOKUP(Table_Query_from_Actuarial___Production3[[#This Row],[Kor1]],$AI$3:$AK$105,3,FALSE)</f>
        <v>Misc. Expense</v>
      </c>
      <c r="AF4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3" spans="18:32" x14ac:dyDescent="0.2">
      <c r="R4613" t="s">
        <v>10</v>
      </c>
      <c r="S4613" t="s">
        <v>249</v>
      </c>
      <c r="T4613" t="s">
        <v>433</v>
      </c>
      <c r="U4613" s="21">
        <v>32885.4</v>
      </c>
      <c r="V4613" s="21" t="s">
        <v>368</v>
      </c>
      <c r="W4613" t="str">
        <f>VLOOKUP(Table_Query_from_Actuarial___Production[[#This Row],[Kor1]],$AI$3:$AK$105,3,FALSE)</f>
        <v>Commissions</v>
      </c>
      <c r="X4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3"/>
      <c r="Z4613" t="s">
        <v>3</v>
      </c>
      <c r="AA4613" t="s">
        <v>243</v>
      </c>
      <c r="AB4613" t="s">
        <v>442</v>
      </c>
      <c r="AC4613" s="21">
        <v>390005</v>
      </c>
      <c r="AD4613" s="21" t="s">
        <v>368</v>
      </c>
      <c r="AE4613" t="str">
        <f>VLOOKUP(Table_Query_from_Actuarial___Production3[[#This Row],[Kor1]],$AI$3:$AK$105,3,FALSE)</f>
        <v>Premiums Written</v>
      </c>
      <c r="AF4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4" spans="18:32" x14ac:dyDescent="0.2">
      <c r="R4614" t="s">
        <v>47</v>
      </c>
      <c r="S4614" t="s">
        <v>248</v>
      </c>
      <c r="T4614" t="s">
        <v>351</v>
      </c>
      <c r="U4614" s="21">
        <v>244.96</v>
      </c>
      <c r="V4614" s="21" t="s">
        <v>368</v>
      </c>
      <c r="W4614" t="str">
        <f>VLOOKUP(Table_Query_from_Actuarial___Production[[#This Row],[Kor1]],$AI$3:$AK$105,3,FALSE)</f>
        <v>Investment Income</v>
      </c>
      <c r="X4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4"/>
      <c r="Z4614" t="s">
        <v>10</v>
      </c>
      <c r="AA4614" t="s">
        <v>245</v>
      </c>
      <c r="AB4614" t="s">
        <v>6</v>
      </c>
      <c r="AC4614" s="21">
        <v>4472.55</v>
      </c>
      <c r="AD4614" s="21" t="s">
        <v>368</v>
      </c>
      <c r="AE4614" t="str">
        <f>VLOOKUP(Table_Query_from_Actuarial___Production3[[#This Row],[Kor1]],$AI$3:$AK$105,3,FALSE)</f>
        <v>Commissions</v>
      </c>
      <c r="AF4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5" spans="18:32" x14ac:dyDescent="0.2">
      <c r="R4615" t="s">
        <v>11</v>
      </c>
      <c r="S4615" t="s">
        <v>238</v>
      </c>
      <c r="T4615" t="s">
        <v>441</v>
      </c>
      <c r="U4615" s="21">
        <v>2134090.39</v>
      </c>
      <c r="V4615" s="21" t="s">
        <v>368</v>
      </c>
      <c r="W4615" t="str">
        <f>VLOOKUP(Table_Query_from_Actuarial___Production[[#This Row],[Kor1]],$AI$3:$AK$105,3,FALSE)</f>
        <v>Losses Paid</v>
      </c>
      <c r="X4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5"/>
      <c r="Z4615" t="s">
        <v>34</v>
      </c>
      <c r="AA4615" t="s">
        <v>258</v>
      </c>
      <c r="AB4615" t="s">
        <v>427</v>
      </c>
      <c r="AC4615" s="21">
        <v>1084.1300000000001</v>
      </c>
      <c r="AD4615" s="21" t="s">
        <v>368</v>
      </c>
      <c r="AE4615" t="str">
        <f>VLOOKUP(Table_Query_from_Actuarial___Production3[[#This Row],[Kor1]],$AI$3:$AK$105,3,FALSE)</f>
        <v>Misc. Expense</v>
      </c>
      <c r="AF4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6" spans="18:32" x14ac:dyDescent="0.2">
      <c r="R4616" t="s">
        <v>16</v>
      </c>
      <c r="S4616" t="s">
        <v>266</v>
      </c>
      <c r="T4616" t="s">
        <v>443</v>
      </c>
      <c r="U4616" s="21">
        <v>413137.07</v>
      </c>
      <c r="V4616" s="21" t="s">
        <v>368</v>
      </c>
      <c r="W4616" t="str">
        <f>VLOOKUP(Table_Query_from_Actuarial___Production[[#This Row],[Kor1]],$AI$3:$AK$105,3,FALSE)</f>
        <v>Losses Outstanding</v>
      </c>
      <c r="X4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6"/>
      <c r="Z4616" t="s">
        <v>31</v>
      </c>
      <c r="AA4616" t="s">
        <v>241</v>
      </c>
      <c r="AB4616" t="s">
        <v>7</v>
      </c>
      <c r="AC4616" s="21">
        <v>1022.42</v>
      </c>
      <c r="AD4616" s="21" t="s">
        <v>368</v>
      </c>
      <c r="AE4616" t="str">
        <f>VLOOKUP(Table_Query_from_Actuarial___Production3[[#This Row],[Kor1]],$AI$3:$AK$105,3,FALSE)</f>
        <v>Misc. Expense</v>
      </c>
      <c r="AF4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7" spans="18:32" x14ac:dyDescent="0.2">
      <c r="R4617" t="s">
        <v>11</v>
      </c>
      <c r="S4617" t="s">
        <v>246</v>
      </c>
      <c r="T4617" t="s">
        <v>351</v>
      </c>
      <c r="U4617" s="21">
        <v>215849.44</v>
      </c>
      <c r="V4617" s="21" t="s">
        <v>368</v>
      </c>
      <c r="W4617" t="str">
        <f>VLOOKUP(Table_Query_from_Actuarial___Production[[#This Row],[Kor1]],$AI$3:$AK$105,3,FALSE)</f>
        <v>Losses Paid</v>
      </c>
      <c r="X4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7"/>
      <c r="Z4617" t="s">
        <v>47</v>
      </c>
      <c r="AA4617" t="s">
        <v>237</v>
      </c>
      <c r="AB4617" t="s">
        <v>427</v>
      </c>
      <c r="AC4617" s="21">
        <v>78124.98</v>
      </c>
      <c r="AD4617" s="21" t="s">
        <v>368</v>
      </c>
      <c r="AE4617" t="str">
        <f>VLOOKUP(Table_Query_from_Actuarial___Production3[[#This Row],[Kor1]],$AI$3:$AK$105,3,FALSE)</f>
        <v>Investment Income</v>
      </c>
      <c r="AF4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8" spans="18:32" x14ac:dyDescent="0.2">
      <c r="R4618" t="s">
        <v>31</v>
      </c>
      <c r="S4618" t="s">
        <v>232</v>
      </c>
      <c r="T4618" t="s">
        <v>427</v>
      </c>
      <c r="U4618" s="21">
        <v>477.14</v>
      </c>
      <c r="V4618" s="21" t="s">
        <v>368</v>
      </c>
      <c r="W4618" t="str">
        <f>VLOOKUP(Table_Query_from_Actuarial___Production[[#This Row],[Kor1]],$AI$3:$AK$105,3,FALSE)</f>
        <v>Misc. Expense</v>
      </c>
      <c r="X4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8"/>
      <c r="Z4618" t="s">
        <v>11</v>
      </c>
      <c r="AA4618" t="s">
        <v>256</v>
      </c>
      <c r="AB4618" t="s">
        <v>7</v>
      </c>
      <c r="AC4618" s="21">
        <v>12361.45</v>
      </c>
      <c r="AD4618" s="21" t="s">
        <v>368</v>
      </c>
      <c r="AE4618" t="str">
        <f>VLOOKUP(Table_Query_from_Actuarial___Production3[[#This Row],[Kor1]],$AI$3:$AK$105,3,FALSE)</f>
        <v>Losses Paid</v>
      </c>
      <c r="AF4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19" spans="18:32" x14ac:dyDescent="0.2">
      <c r="R4619" t="s">
        <v>13</v>
      </c>
      <c r="S4619" t="s">
        <v>250</v>
      </c>
      <c r="T4619" t="s">
        <v>7</v>
      </c>
      <c r="U4619" s="21">
        <v>178686.32</v>
      </c>
      <c r="V4619" s="21" t="s">
        <v>368</v>
      </c>
      <c r="W4619" t="str">
        <f>VLOOKUP(Table_Query_from_Actuarial___Production[[#This Row],[Kor1]],$AI$3:$AK$105,3,FALSE)</f>
        <v>Operating Service Fees</v>
      </c>
      <c r="X4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19"/>
      <c r="Z4619" t="s">
        <v>11</v>
      </c>
      <c r="AA4619" t="s">
        <v>242</v>
      </c>
      <c r="AB4619" t="s">
        <v>443</v>
      </c>
      <c r="AC4619" s="21">
        <v>5705.17</v>
      </c>
      <c r="AD4619" s="21" t="s">
        <v>368</v>
      </c>
      <c r="AE4619" t="str">
        <f>VLOOKUP(Table_Query_from_Actuarial___Production3[[#This Row],[Kor1]],$AI$3:$AK$105,3,FALSE)</f>
        <v>Losses Paid</v>
      </c>
      <c r="AF4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0" spans="18:32" x14ac:dyDescent="0.2">
      <c r="R4620" t="s">
        <v>13</v>
      </c>
      <c r="S4620" t="s">
        <v>267</v>
      </c>
      <c r="T4620" t="s">
        <v>433</v>
      </c>
      <c r="U4620" s="21">
        <v>56938.080000000002</v>
      </c>
      <c r="V4620" s="21" t="s">
        <v>368</v>
      </c>
      <c r="W4620" t="str">
        <f>VLOOKUP(Table_Query_from_Actuarial___Production[[#This Row],[Kor1]],$AI$3:$AK$105,3,FALSE)</f>
        <v>Operating Service Fees</v>
      </c>
      <c r="X4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0"/>
      <c r="Z4620" t="s">
        <v>13</v>
      </c>
      <c r="AA4620" t="s">
        <v>242</v>
      </c>
      <c r="AB4620" t="s">
        <v>356</v>
      </c>
      <c r="AC4620" s="21">
        <v>94607.05</v>
      </c>
      <c r="AD4620" s="21" t="s">
        <v>368</v>
      </c>
      <c r="AE4620" t="str">
        <f>VLOOKUP(Table_Query_from_Actuarial___Production3[[#This Row],[Kor1]],$AI$3:$AK$105,3,FALSE)</f>
        <v>Operating Service Fees</v>
      </c>
      <c r="AF4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1" spans="18:32" x14ac:dyDescent="0.2">
      <c r="R4621" t="s">
        <v>38</v>
      </c>
      <c r="S4621" t="s">
        <v>226</v>
      </c>
      <c r="T4621" t="s">
        <v>433</v>
      </c>
      <c r="U4621" s="21">
        <v>600.02</v>
      </c>
      <c r="V4621" s="21" t="s">
        <v>368</v>
      </c>
      <c r="W4621" t="str">
        <f>VLOOKUP(Table_Query_from_Actuarial___Production[[#This Row],[Kor1]],$AI$3:$AK$105,3,FALSE)</f>
        <v>Misc. Income</v>
      </c>
      <c r="X4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621"/>
      <c r="Z4621" t="s">
        <v>33</v>
      </c>
      <c r="AA4621" t="s">
        <v>247</v>
      </c>
      <c r="AB4621" t="s">
        <v>6</v>
      </c>
      <c r="AC4621" s="21">
        <v>14280.51</v>
      </c>
      <c r="AD4621" s="21" t="s">
        <v>368</v>
      </c>
      <c r="AE4621" t="str">
        <f>VLOOKUP(Table_Query_from_Actuarial___Production3[[#This Row],[Kor1]],$AI$3:$AK$105,3,FALSE)</f>
        <v>Misc. Expense</v>
      </c>
      <c r="AF4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2" spans="18:32" x14ac:dyDescent="0.2">
      <c r="R4622" t="s">
        <v>47</v>
      </c>
      <c r="S4622" t="s">
        <v>254</v>
      </c>
      <c r="T4622" t="s">
        <v>442</v>
      </c>
      <c r="U4622" s="21">
        <v>19930.53</v>
      </c>
      <c r="V4622" s="21" t="s">
        <v>368</v>
      </c>
      <c r="W4622" t="str">
        <f>VLOOKUP(Table_Query_from_Actuarial___Production[[#This Row],[Kor1]],$AI$3:$AK$105,3,FALSE)</f>
        <v>Investment Income</v>
      </c>
      <c r="X4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2"/>
      <c r="Z4622" t="s">
        <v>11</v>
      </c>
      <c r="AA4622" t="s">
        <v>229</v>
      </c>
      <c r="AB4622" t="s">
        <v>427</v>
      </c>
      <c r="AC4622" s="21">
        <v>767362.2</v>
      </c>
      <c r="AD4622" s="21" t="s">
        <v>368</v>
      </c>
      <c r="AE4622" t="str">
        <f>VLOOKUP(Table_Query_from_Actuarial___Production3[[#This Row],[Kor1]],$AI$3:$AK$105,3,FALSE)</f>
        <v>Losses Paid</v>
      </c>
      <c r="AF4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3" spans="18:32" x14ac:dyDescent="0.2">
      <c r="R4623" t="s">
        <v>13</v>
      </c>
      <c r="S4623" t="s">
        <v>260</v>
      </c>
      <c r="T4623" t="s">
        <v>9</v>
      </c>
      <c r="U4623" s="21">
        <v>894.41</v>
      </c>
      <c r="V4623" s="21" t="s">
        <v>368</v>
      </c>
      <c r="W4623" t="str">
        <f>VLOOKUP(Table_Query_from_Actuarial___Production[[#This Row],[Kor1]],$AI$3:$AK$105,3,FALSE)</f>
        <v>Operating Service Fees</v>
      </c>
      <c r="X4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3"/>
      <c r="Z4623" t="s">
        <v>12</v>
      </c>
      <c r="AA4623" t="s">
        <v>247</v>
      </c>
      <c r="AB4623" t="s">
        <v>7</v>
      </c>
      <c r="AC4623" s="21">
        <v>146.08000000000001</v>
      </c>
      <c r="AD4623" s="21" t="s">
        <v>368</v>
      </c>
      <c r="AE4623" t="str">
        <f>VLOOKUP(Table_Query_from_Actuarial___Production3[[#This Row],[Kor1]],$AI$3:$AK$105,3,FALSE)</f>
        <v>Premium Tax</v>
      </c>
      <c r="AF4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4" spans="18:32" x14ac:dyDescent="0.2">
      <c r="R4624" t="s">
        <v>40</v>
      </c>
      <c r="S4624" t="s">
        <v>264</v>
      </c>
      <c r="T4624" t="s">
        <v>7</v>
      </c>
      <c r="U4624" s="21">
        <v>255.97</v>
      </c>
      <c r="V4624" s="21" t="s">
        <v>368</v>
      </c>
      <c r="W4624" t="str">
        <f>VLOOKUP(Table_Query_from_Actuarial___Production[[#This Row],[Kor1]],$AI$3:$AK$105,3,FALSE)</f>
        <v>Misc. Income</v>
      </c>
      <c r="X4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4"/>
      <c r="Z4624" t="s">
        <v>34</v>
      </c>
      <c r="AA4624" t="s">
        <v>228</v>
      </c>
      <c r="AB4624" t="s">
        <v>8</v>
      </c>
      <c r="AC4624" s="21">
        <v>0.67</v>
      </c>
      <c r="AD4624" s="21" t="s">
        <v>368</v>
      </c>
      <c r="AE4624" t="str">
        <f>VLOOKUP(Table_Query_from_Actuarial___Production3[[#This Row],[Kor1]],$AI$3:$AK$105,3,FALSE)</f>
        <v>Misc. Expense</v>
      </c>
      <c r="AF4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5" spans="18:32" x14ac:dyDescent="0.2">
      <c r="R4625" t="s">
        <v>10</v>
      </c>
      <c r="S4625" t="s">
        <v>226</v>
      </c>
      <c r="T4625" t="s">
        <v>9</v>
      </c>
      <c r="U4625" s="21">
        <v>378134.3</v>
      </c>
      <c r="V4625" s="21" t="s">
        <v>368</v>
      </c>
      <c r="W4625" t="str">
        <f>VLOOKUP(Table_Query_from_Actuarial___Production[[#This Row],[Kor1]],$AI$3:$AK$105,3,FALSE)</f>
        <v>Commissions</v>
      </c>
      <c r="X4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625"/>
      <c r="Z4625" t="s">
        <v>17</v>
      </c>
      <c r="AA4625" t="s">
        <v>235</v>
      </c>
      <c r="AB4625" t="s">
        <v>441</v>
      </c>
      <c r="AC4625" s="21">
        <v>47246.9</v>
      </c>
      <c r="AD4625" s="21" t="s">
        <v>368</v>
      </c>
      <c r="AE4625" t="str">
        <f>VLOOKUP(Table_Query_from_Actuarial___Production3[[#This Row],[Kor1]],$AI$3:$AK$105,3,FALSE)</f>
        <v>IBNR</v>
      </c>
      <c r="AF4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6" spans="18:32" x14ac:dyDescent="0.2">
      <c r="R4626" t="s">
        <v>14</v>
      </c>
      <c r="S4626" t="s">
        <v>236</v>
      </c>
      <c r="T4626" t="s">
        <v>356</v>
      </c>
      <c r="U4626" s="21">
        <v>2160.5</v>
      </c>
      <c r="V4626" s="21" t="s">
        <v>368</v>
      </c>
      <c r="W4626" t="str">
        <f>VLOOKUP(Table_Query_from_Actuarial___Production[[#This Row],[Kor1]],$AI$3:$AK$105,3,FALSE)</f>
        <v>Claims Expense</v>
      </c>
      <c r="X4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6"/>
      <c r="Z4626" t="s">
        <v>3</v>
      </c>
      <c r="AA4626" t="s">
        <v>262</v>
      </c>
      <c r="AB4626" t="s">
        <v>6</v>
      </c>
      <c r="AC4626" s="21">
        <v>301680</v>
      </c>
      <c r="AD4626" s="21" t="s">
        <v>368</v>
      </c>
      <c r="AE4626" t="str">
        <f>VLOOKUP(Table_Query_from_Actuarial___Production3[[#This Row],[Kor1]],$AI$3:$AK$105,3,FALSE)</f>
        <v>Premiums Written</v>
      </c>
      <c r="AF4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7" spans="18:32" x14ac:dyDescent="0.2">
      <c r="R4627" t="s">
        <v>12</v>
      </c>
      <c r="S4627" t="s">
        <v>246</v>
      </c>
      <c r="T4627" t="s">
        <v>445</v>
      </c>
      <c r="U4627" s="21">
        <v>4524.96</v>
      </c>
      <c r="V4627" s="21" t="s">
        <v>368</v>
      </c>
      <c r="W4627" t="str">
        <f>VLOOKUP(Table_Query_from_Actuarial___Production[[#This Row],[Kor1]],$AI$3:$AK$105,3,FALSE)</f>
        <v>Premium Tax</v>
      </c>
      <c r="X4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7"/>
      <c r="Z4627" t="s">
        <v>13</v>
      </c>
      <c r="AA4627" t="s">
        <v>236</v>
      </c>
      <c r="AB4627" t="s">
        <v>443</v>
      </c>
      <c r="AC4627" s="21">
        <v>1527.84</v>
      </c>
      <c r="AD4627" s="21" t="s">
        <v>368</v>
      </c>
      <c r="AE4627" t="str">
        <f>VLOOKUP(Table_Query_from_Actuarial___Production3[[#This Row],[Kor1]],$AI$3:$AK$105,3,FALSE)</f>
        <v>Operating Service Fees</v>
      </c>
      <c r="AF4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8" spans="18:32" x14ac:dyDescent="0.2">
      <c r="R4628" t="s">
        <v>33</v>
      </c>
      <c r="S4628" t="s">
        <v>243</v>
      </c>
      <c r="T4628" t="s">
        <v>442</v>
      </c>
      <c r="U4628" s="21">
        <v>17207.16</v>
      </c>
      <c r="V4628" s="21" t="s">
        <v>368</v>
      </c>
      <c r="W4628" t="str">
        <f>VLOOKUP(Table_Query_from_Actuarial___Production[[#This Row],[Kor1]],$AI$3:$AK$105,3,FALSE)</f>
        <v>Misc. Expense</v>
      </c>
      <c r="X4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8"/>
      <c r="Z4628" t="s">
        <v>10</v>
      </c>
      <c r="AA4628" t="s">
        <v>268</v>
      </c>
      <c r="AB4628" t="s">
        <v>351</v>
      </c>
      <c r="AC4628" s="21">
        <v>947.5</v>
      </c>
      <c r="AD4628" s="21" t="s">
        <v>368</v>
      </c>
      <c r="AE4628" t="str">
        <f>VLOOKUP(Table_Query_from_Actuarial___Production3[[#This Row],[Kor1]],$AI$3:$AK$105,3,FALSE)</f>
        <v>Commissions</v>
      </c>
      <c r="AF4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29" spans="18:32" x14ac:dyDescent="0.2">
      <c r="R4629" t="s">
        <v>37</v>
      </c>
      <c r="S4629" t="s">
        <v>4</v>
      </c>
      <c r="T4629" t="s">
        <v>443</v>
      </c>
      <c r="U4629" s="21">
        <v>39181.279999999999</v>
      </c>
      <c r="V4629" s="21" t="s">
        <v>368</v>
      </c>
      <c r="W4629" t="str">
        <f>VLOOKUP(Table_Query_from_Actuarial___Production[[#This Row],[Kor1]],$AI$3:$AK$105,3,FALSE)</f>
        <v>Misc. Expense</v>
      </c>
      <c r="X4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29"/>
      <c r="Z4629" t="s">
        <v>21</v>
      </c>
      <c r="AA4629" t="s">
        <v>241</v>
      </c>
      <c r="AB4629" t="s">
        <v>5</v>
      </c>
      <c r="AC4629" s="21">
        <v>3033.35</v>
      </c>
      <c r="AD4629" s="21" t="s">
        <v>368</v>
      </c>
      <c r="AE4629" t="str">
        <f>VLOOKUP(Table_Query_from_Actuarial___Production3[[#This Row],[Kor1]],$AI$3:$AK$105,3,FALSE)</f>
        <v>Misc. Expense</v>
      </c>
      <c r="AF4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0" spans="18:32" x14ac:dyDescent="0.2">
      <c r="R4630" t="s">
        <v>42</v>
      </c>
      <c r="S4630" t="s">
        <v>4</v>
      </c>
      <c r="T4630" t="s">
        <v>351</v>
      </c>
      <c r="U4630" s="21">
        <v>1001.33</v>
      </c>
      <c r="V4630" s="21" t="s">
        <v>368</v>
      </c>
      <c r="W4630" t="str">
        <f>VLOOKUP(Table_Query_from_Actuarial___Production[[#This Row],[Kor1]],$AI$3:$AK$105,3,FALSE)</f>
        <v>Misc. Income</v>
      </c>
      <c r="X4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0"/>
      <c r="Z4630" t="s">
        <v>10</v>
      </c>
      <c r="AA4630" t="s">
        <v>244</v>
      </c>
      <c r="AB4630" t="s">
        <v>442</v>
      </c>
      <c r="AC4630" s="21">
        <v>221807.15</v>
      </c>
      <c r="AD4630" s="21" t="s">
        <v>368</v>
      </c>
      <c r="AE4630" t="str">
        <f>VLOOKUP(Table_Query_from_Actuarial___Production3[[#This Row],[Kor1]],$AI$3:$AK$105,3,FALSE)</f>
        <v>Commissions</v>
      </c>
      <c r="AF4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1" spans="18:32" x14ac:dyDescent="0.2">
      <c r="R4631" t="s">
        <v>48</v>
      </c>
      <c r="S4631" t="s">
        <v>239</v>
      </c>
      <c r="T4631" t="s">
        <v>442</v>
      </c>
      <c r="U4631" s="21">
        <v>43381.46</v>
      </c>
      <c r="V4631" s="21" t="s">
        <v>368</v>
      </c>
      <c r="W4631" t="str">
        <f>VLOOKUP(Table_Query_from_Actuarial___Production[[#This Row],[Kor1]],$AI$3:$AK$105,3,FALSE)</f>
        <v>Anticipated Salvage</v>
      </c>
      <c r="X4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1"/>
      <c r="Z4631" t="s">
        <v>77</v>
      </c>
      <c r="AA4631" t="s">
        <v>224</v>
      </c>
      <c r="AB4631" t="s">
        <v>442</v>
      </c>
      <c r="AC4631" s="21">
        <v>42893</v>
      </c>
      <c r="AD4631" s="21" t="s">
        <v>370</v>
      </c>
      <c r="AE4631" t="str">
        <f>VLOOKUP(Table_Query_from_Actuarial___Production3[[#This Row],[Kor1]],$AI$3:$AK$105,3,FALSE)</f>
        <v>PDR</v>
      </c>
      <c r="AF4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632" spans="18:32" x14ac:dyDescent="0.2">
      <c r="R4632" t="s">
        <v>12</v>
      </c>
      <c r="S4632" t="s">
        <v>267</v>
      </c>
      <c r="T4632" t="s">
        <v>351</v>
      </c>
      <c r="U4632" s="21">
        <v>5298.27</v>
      </c>
      <c r="V4632" s="21" t="s">
        <v>368</v>
      </c>
      <c r="W4632" t="str">
        <f>VLOOKUP(Table_Query_from_Actuarial___Production[[#This Row],[Kor1]],$AI$3:$AK$105,3,FALSE)</f>
        <v>Premium Tax</v>
      </c>
      <c r="X4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2"/>
      <c r="Z4632" t="s">
        <v>10</v>
      </c>
      <c r="AA4632" t="s">
        <v>266</v>
      </c>
      <c r="AB4632" t="s">
        <v>443</v>
      </c>
      <c r="AC4632" s="21">
        <v>69067</v>
      </c>
      <c r="AD4632" s="21" t="s">
        <v>368</v>
      </c>
      <c r="AE4632" t="str">
        <f>VLOOKUP(Table_Query_from_Actuarial___Production3[[#This Row],[Kor1]],$AI$3:$AK$105,3,FALSE)</f>
        <v>Commissions</v>
      </c>
      <c r="AF4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3" spans="18:32" x14ac:dyDescent="0.2">
      <c r="R4633" t="s">
        <v>19</v>
      </c>
      <c r="S4633" t="s">
        <v>234</v>
      </c>
      <c r="T4633" t="s">
        <v>427</v>
      </c>
      <c r="U4633" s="21">
        <v>4094</v>
      </c>
      <c r="V4633" s="21" t="s">
        <v>368</v>
      </c>
      <c r="W4633" t="str">
        <f>VLOOKUP(Table_Query_from_Actuarial___Production[[#This Row],[Kor1]],$AI$3:$AK$105,3,FALSE)</f>
        <v>Misc. Expense for Insolvent Companies</v>
      </c>
      <c r="X4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3"/>
      <c r="Z4633" t="s">
        <v>25</v>
      </c>
      <c r="AA4633" t="s">
        <v>259</v>
      </c>
      <c r="AB4633" t="s">
        <v>5</v>
      </c>
      <c r="AC4633" s="21">
        <v>119.92</v>
      </c>
      <c r="AD4633" s="21" t="s">
        <v>368</v>
      </c>
      <c r="AE4633" t="str">
        <f>VLOOKUP(Table_Query_from_Actuarial___Production3[[#This Row],[Kor1]],$AI$3:$AK$105,3,FALSE)</f>
        <v>Misc. Expense</v>
      </c>
      <c r="AF4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4" spans="18:32" x14ac:dyDescent="0.2">
      <c r="R4634" t="s">
        <v>47</v>
      </c>
      <c r="S4634" t="s">
        <v>232</v>
      </c>
      <c r="T4634" t="s">
        <v>351</v>
      </c>
      <c r="U4634" s="21">
        <v>1780.98</v>
      </c>
      <c r="V4634" s="21" t="s">
        <v>368</v>
      </c>
      <c r="W4634" t="str">
        <f>VLOOKUP(Table_Query_from_Actuarial___Production[[#This Row],[Kor1]],$AI$3:$AK$105,3,FALSE)</f>
        <v>Investment Income</v>
      </c>
      <c r="X4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4"/>
      <c r="Z4634" t="s">
        <v>10</v>
      </c>
      <c r="AA4634" t="s">
        <v>249</v>
      </c>
      <c r="AB4634" t="s">
        <v>433</v>
      </c>
      <c r="AC4634" s="21">
        <v>32885.4</v>
      </c>
      <c r="AD4634" s="21" t="s">
        <v>368</v>
      </c>
      <c r="AE4634" t="str">
        <f>VLOOKUP(Table_Query_from_Actuarial___Production3[[#This Row],[Kor1]],$AI$3:$AK$105,3,FALSE)</f>
        <v>Commissions</v>
      </c>
      <c r="AF4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5" spans="18:32" x14ac:dyDescent="0.2">
      <c r="R4635" t="s">
        <v>44</v>
      </c>
      <c r="S4635" t="s">
        <v>263</v>
      </c>
      <c r="T4635" t="s">
        <v>443</v>
      </c>
      <c r="U4635" s="21">
        <v>549</v>
      </c>
      <c r="V4635" s="21" t="s">
        <v>368</v>
      </c>
      <c r="W4635" t="str">
        <f>VLOOKUP(Table_Query_from_Actuarial___Production[[#This Row],[Kor1]],$AI$3:$AK$105,3,FALSE)</f>
        <v>Charge-offs</v>
      </c>
      <c r="X4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5"/>
      <c r="Z4635" t="s">
        <v>47</v>
      </c>
      <c r="AA4635" t="s">
        <v>248</v>
      </c>
      <c r="AB4635" t="s">
        <v>351</v>
      </c>
      <c r="AC4635" s="21">
        <v>244.96</v>
      </c>
      <c r="AD4635" s="21" t="s">
        <v>368</v>
      </c>
      <c r="AE4635" t="str">
        <f>VLOOKUP(Table_Query_from_Actuarial___Production3[[#This Row],[Kor1]],$AI$3:$AK$105,3,FALSE)</f>
        <v>Investment Income</v>
      </c>
      <c r="AF4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6" spans="18:32" x14ac:dyDescent="0.2">
      <c r="R4636" t="s">
        <v>38</v>
      </c>
      <c r="S4636" t="s">
        <v>224</v>
      </c>
      <c r="T4636" t="s">
        <v>445</v>
      </c>
      <c r="U4636" s="21">
        <v>121910.66</v>
      </c>
      <c r="V4636" s="21" t="s">
        <v>370</v>
      </c>
      <c r="W4636" t="str">
        <f>VLOOKUP(Table_Query_from_Actuarial___Production[[#This Row],[Kor1]],$AI$3:$AK$105,3,FALSE)</f>
        <v>Misc. Income</v>
      </c>
      <c r="X4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636"/>
      <c r="Z4636" t="s">
        <v>11</v>
      </c>
      <c r="AA4636" t="s">
        <v>238</v>
      </c>
      <c r="AB4636" t="s">
        <v>441</v>
      </c>
      <c r="AC4636" s="21">
        <v>462026.93</v>
      </c>
      <c r="AD4636" s="21" t="s">
        <v>368</v>
      </c>
      <c r="AE4636" t="str">
        <f>VLOOKUP(Table_Query_from_Actuarial___Production3[[#This Row],[Kor1]],$AI$3:$AK$105,3,FALSE)</f>
        <v>Losses Paid</v>
      </c>
      <c r="AF4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7" spans="18:32" x14ac:dyDescent="0.2">
      <c r="R4637" t="s">
        <v>33</v>
      </c>
      <c r="S4637" t="s">
        <v>252</v>
      </c>
      <c r="T4637" t="s">
        <v>445</v>
      </c>
      <c r="U4637" s="21">
        <v>17794.830000000002</v>
      </c>
      <c r="V4637" s="21" t="s">
        <v>368</v>
      </c>
      <c r="W4637" t="str">
        <f>VLOOKUP(Table_Query_from_Actuarial___Production[[#This Row],[Kor1]],$AI$3:$AK$105,3,FALSE)</f>
        <v>Misc. Expense</v>
      </c>
      <c r="X4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7"/>
      <c r="Z4637" t="s">
        <v>16</v>
      </c>
      <c r="AA4637" t="s">
        <v>266</v>
      </c>
      <c r="AB4637" t="s">
        <v>443</v>
      </c>
      <c r="AC4637" s="21">
        <v>39752.44</v>
      </c>
      <c r="AD4637" s="21" t="s">
        <v>368</v>
      </c>
      <c r="AE4637" t="str">
        <f>VLOOKUP(Table_Query_from_Actuarial___Production3[[#This Row],[Kor1]],$AI$3:$AK$105,3,FALSE)</f>
        <v>Losses Outstanding</v>
      </c>
      <c r="AF4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8" spans="18:32" x14ac:dyDescent="0.2">
      <c r="R4638" t="s">
        <v>22</v>
      </c>
      <c r="S4638" t="s">
        <v>259</v>
      </c>
      <c r="T4638" t="s">
        <v>441</v>
      </c>
      <c r="U4638" s="21">
        <v>30455.46</v>
      </c>
      <c r="V4638" s="21" t="s">
        <v>368</v>
      </c>
      <c r="W4638" t="str">
        <f>VLOOKUP(Table_Query_from_Actuarial___Production[[#This Row],[Kor1]],$AI$3:$AK$105,3,FALSE)</f>
        <v>Misc. Expense</v>
      </c>
      <c r="X4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38"/>
      <c r="Z4638" t="s">
        <v>11</v>
      </c>
      <c r="AA4638" t="s">
        <v>246</v>
      </c>
      <c r="AB4638" t="s">
        <v>351</v>
      </c>
      <c r="AC4638" s="21">
        <v>215849.44</v>
      </c>
      <c r="AD4638" s="21" t="s">
        <v>368</v>
      </c>
      <c r="AE4638" t="str">
        <f>VLOOKUP(Table_Query_from_Actuarial___Production3[[#This Row],[Kor1]],$AI$3:$AK$105,3,FALSE)</f>
        <v>Losses Paid</v>
      </c>
      <c r="AF4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39" spans="18:32" x14ac:dyDescent="0.2">
      <c r="R4639" t="s">
        <v>15</v>
      </c>
      <c r="S4639" t="s">
        <v>224</v>
      </c>
      <c r="T4639" t="s">
        <v>445</v>
      </c>
      <c r="U4639" s="21">
        <v>387899.07</v>
      </c>
      <c r="V4639" s="21" t="s">
        <v>368</v>
      </c>
      <c r="W4639" t="str">
        <f>VLOOKUP(Table_Query_from_Actuarial___Production[[#This Row],[Kor1]],$AI$3:$AK$105,3,FALSE)</f>
        <v>Unearned Premiums</v>
      </c>
      <c r="X4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639"/>
      <c r="Z4639" t="s">
        <v>31</v>
      </c>
      <c r="AA4639" t="s">
        <v>232</v>
      </c>
      <c r="AB4639" t="s">
        <v>427</v>
      </c>
      <c r="AC4639" s="21">
        <v>477.14</v>
      </c>
      <c r="AD4639" s="21" t="s">
        <v>368</v>
      </c>
      <c r="AE4639" t="str">
        <f>VLOOKUP(Table_Query_from_Actuarial___Production3[[#This Row],[Kor1]],$AI$3:$AK$105,3,FALSE)</f>
        <v>Misc. Expense</v>
      </c>
      <c r="AF4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0" spans="18:32" x14ac:dyDescent="0.2">
      <c r="R4640" t="s">
        <v>14</v>
      </c>
      <c r="S4640" t="s">
        <v>235</v>
      </c>
      <c r="T4640" t="s">
        <v>9</v>
      </c>
      <c r="U4640" s="21">
        <v>36650.120000000003</v>
      </c>
      <c r="V4640" s="21" t="s">
        <v>368</v>
      </c>
      <c r="W4640" t="str">
        <f>VLOOKUP(Table_Query_from_Actuarial___Production[[#This Row],[Kor1]],$AI$3:$AK$105,3,FALSE)</f>
        <v>Claims Expense</v>
      </c>
      <c r="X4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0"/>
      <c r="Z4640" t="s">
        <v>13</v>
      </c>
      <c r="AA4640" t="s">
        <v>250</v>
      </c>
      <c r="AB4640" t="s">
        <v>7</v>
      </c>
      <c r="AC4640" s="21">
        <v>178686.32</v>
      </c>
      <c r="AD4640" s="21" t="s">
        <v>368</v>
      </c>
      <c r="AE4640" t="str">
        <f>VLOOKUP(Table_Query_from_Actuarial___Production3[[#This Row],[Kor1]],$AI$3:$AK$105,3,FALSE)</f>
        <v>Operating Service Fees</v>
      </c>
      <c r="AF4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1" spans="18:32" x14ac:dyDescent="0.2">
      <c r="R4641" t="s">
        <v>21</v>
      </c>
      <c r="S4641" t="s">
        <v>4</v>
      </c>
      <c r="T4641" t="s">
        <v>351</v>
      </c>
      <c r="U4641" s="21">
        <v>155.6</v>
      </c>
      <c r="V4641" s="21" t="s">
        <v>368</v>
      </c>
      <c r="W4641" t="str">
        <f>VLOOKUP(Table_Query_from_Actuarial___Production[[#This Row],[Kor1]],$AI$3:$AK$105,3,FALSE)</f>
        <v>Misc. Expense</v>
      </c>
      <c r="X4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1"/>
      <c r="Z4641" t="s">
        <v>13</v>
      </c>
      <c r="AA4641" t="s">
        <v>267</v>
      </c>
      <c r="AB4641" t="s">
        <v>433</v>
      </c>
      <c r="AC4641" s="21">
        <v>56938.080000000002</v>
      </c>
      <c r="AD4641" s="21" t="s">
        <v>368</v>
      </c>
      <c r="AE4641" t="str">
        <f>VLOOKUP(Table_Query_from_Actuarial___Production3[[#This Row],[Kor1]],$AI$3:$AK$105,3,FALSE)</f>
        <v>Operating Service Fees</v>
      </c>
      <c r="AF4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2" spans="18:32" x14ac:dyDescent="0.2">
      <c r="R4642" t="s">
        <v>50</v>
      </c>
      <c r="S4642" t="s">
        <v>249</v>
      </c>
      <c r="T4642" t="s">
        <v>441</v>
      </c>
      <c r="U4642" s="21">
        <v>108430.56</v>
      </c>
      <c r="V4642" s="21" t="s">
        <v>368</v>
      </c>
      <c r="W4642" t="str">
        <f>VLOOKUP(Table_Query_from_Actuarial___Production[[#This Row],[Kor1]],$AI$3:$AK$105,3,FALSE)</f>
        <v>ALAE Reserve</v>
      </c>
      <c r="X4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2"/>
      <c r="Z4642" t="s">
        <v>38</v>
      </c>
      <c r="AA4642" t="s">
        <v>226</v>
      </c>
      <c r="AB4642" t="s">
        <v>433</v>
      </c>
      <c r="AC4642" s="21">
        <v>600.02</v>
      </c>
      <c r="AD4642" s="21" t="s">
        <v>368</v>
      </c>
      <c r="AE4642" t="str">
        <f>VLOOKUP(Table_Query_from_Actuarial___Production3[[#This Row],[Kor1]],$AI$3:$AK$105,3,FALSE)</f>
        <v>Misc. Income</v>
      </c>
      <c r="AF4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643" spans="18:32" x14ac:dyDescent="0.2">
      <c r="R4643" t="s">
        <v>17</v>
      </c>
      <c r="S4643" t="s">
        <v>260</v>
      </c>
      <c r="T4643" t="s">
        <v>442</v>
      </c>
      <c r="U4643" s="21">
        <v>5131.54</v>
      </c>
      <c r="V4643" s="21" t="s">
        <v>368</v>
      </c>
      <c r="W4643" t="str">
        <f>VLOOKUP(Table_Query_from_Actuarial___Production[[#This Row],[Kor1]],$AI$3:$AK$105,3,FALSE)</f>
        <v>IBNR</v>
      </c>
      <c r="X4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3"/>
      <c r="Z4643" t="s">
        <v>47</v>
      </c>
      <c r="AA4643" t="s">
        <v>254</v>
      </c>
      <c r="AB4643" t="s">
        <v>442</v>
      </c>
      <c r="AC4643" s="21">
        <v>19930.53</v>
      </c>
      <c r="AD4643" s="21" t="s">
        <v>368</v>
      </c>
      <c r="AE4643" t="str">
        <f>VLOOKUP(Table_Query_from_Actuarial___Production3[[#This Row],[Kor1]],$AI$3:$AK$105,3,FALSE)</f>
        <v>Investment Income</v>
      </c>
      <c r="AF4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4" spans="18:32" x14ac:dyDescent="0.2">
      <c r="R4644" t="s">
        <v>48</v>
      </c>
      <c r="S4644" t="s">
        <v>244</v>
      </c>
      <c r="T4644" t="s">
        <v>443</v>
      </c>
      <c r="U4644" s="21">
        <v>7430.91</v>
      </c>
      <c r="V4644" s="21" t="s">
        <v>368</v>
      </c>
      <c r="W4644" t="str">
        <f>VLOOKUP(Table_Query_from_Actuarial___Production[[#This Row],[Kor1]],$AI$3:$AK$105,3,FALSE)</f>
        <v>Anticipated Salvage</v>
      </c>
      <c r="X4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4"/>
      <c r="Z4644" t="s">
        <v>13</v>
      </c>
      <c r="AA4644" t="s">
        <v>260</v>
      </c>
      <c r="AB4644" t="s">
        <v>9</v>
      </c>
      <c r="AC4644" s="21">
        <v>894.41</v>
      </c>
      <c r="AD4644" s="21" t="s">
        <v>368</v>
      </c>
      <c r="AE4644" t="str">
        <f>VLOOKUP(Table_Query_from_Actuarial___Production3[[#This Row],[Kor1]],$AI$3:$AK$105,3,FALSE)</f>
        <v>Operating Service Fees</v>
      </c>
      <c r="AF4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5" spans="18:32" x14ac:dyDescent="0.2">
      <c r="R4645" t="s">
        <v>14</v>
      </c>
      <c r="S4645" t="s">
        <v>259</v>
      </c>
      <c r="T4645" t="s">
        <v>8</v>
      </c>
      <c r="U4645" s="21">
        <v>58897.63</v>
      </c>
      <c r="V4645" s="21" t="s">
        <v>368</v>
      </c>
      <c r="W4645" t="str">
        <f>VLOOKUP(Table_Query_from_Actuarial___Production[[#This Row],[Kor1]],$AI$3:$AK$105,3,FALSE)</f>
        <v>Claims Expense</v>
      </c>
      <c r="X4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5"/>
      <c r="Z4645" t="s">
        <v>40</v>
      </c>
      <c r="AA4645" t="s">
        <v>264</v>
      </c>
      <c r="AB4645" t="s">
        <v>7</v>
      </c>
      <c r="AC4645" s="21">
        <v>255.97</v>
      </c>
      <c r="AD4645" s="21" t="s">
        <v>368</v>
      </c>
      <c r="AE4645" t="str">
        <f>VLOOKUP(Table_Query_from_Actuarial___Production3[[#This Row],[Kor1]],$AI$3:$AK$105,3,FALSE)</f>
        <v>Misc. Income</v>
      </c>
      <c r="AF4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6" spans="18:32" x14ac:dyDescent="0.2">
      <c r="R4646" t="s">
        <v>17</v>
      </c>
      <c r="S4646" t="s">
        <v>230</v>
      </c>
      <c r="T4646" t="s">
        <v>445</v>
      </c>
      <c r="U4646" s="21">
        <v>798945.81</v>
      </c>
      <c r="V4646" s="21" t="s">
        <v>368</v>
      </c>
      <c r="W4646" t="str">
        <f>VLOOKUP(Table_Query_from_Actuarial___Production[[#This Row],[Kor1]],$AI$3:$AK$105,3,FALSE)</f>
        <v>IBNR</v>
      </c>
      <c r="X4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6"/>
      <c r="Z4646" t="s">
        <v>10</v>
      </c>
      <c r="AA4646" t="s">
        <v>226</v>
      </c>
      <c r="AB4646" t="s">
        <v>9</v>
      </c>
      <c r="AC4646" s="21">
        <v>378134.3</v>
      </c>
      <c r="AD4646" s="21" t="s">
        <v>368</v>
      </c>
      <c r="AE4646" t="str">
        <f>VLOOKUP(Table_Query_from_Actuarial___Production3[[#This Row],[Kor1]],$AI$3:$AK$105,3,FALSE)</f>
        <v>Commissions</v>
      </c>
      <c r="AF4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647" spans="18:32" x14ac:dyDescent="0.2">
      <c r="R4647" t="s">
        <v>39</v>
      </c>
      <c r="S4647" t="s">
        <v>262</v>
      </c>
      <c r="T4647" t="s">
        <v>427</v>
      </c>
      <c r="U4647" s="21">
        <v>372.66</v>
      </c>
      <c r="V4647" s="21" t="s">
        <v>368</v>
      </c>
      <c r="W4647" t="str">
        <f>VLOOKUP(Table_Query_from_Actuarial___Production[[#This Row],[Kor1]],$AI$3:$AK$105,3,FALSE)</f>
        <v>Misc. Income for Insolvent Companies</v>
      </c>
      <c r="X4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7"/>
      <c r="Z4647" t="s">
        <v>14</v>
      </c>
      <c r="AA4647" t="s">
        <v>236</v>
      </c>
      <c r="AB4647" t="s">
        <v>356</v>
      </c>
      <c r="AC4647" s="21">
        <v>2160.5</v>
      </c>
      <c r="AD4647" s="21" t="s">
        <v>368</v>
      </c>
      <c r="AE4647" t="str">
        <f>VLOOKUP(Table_Query_from_Actuarial___Production3[[#This Row],[Kor1]],$AI$3:$AK$105,3,FALSE)</f>
        <v>Claims Expense</v>
      </c>
      <c r="AF4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48" spans="18:32" x14ac:dyDescent="0.2">
      <c r="R4648" t="s">
        <v>43</v>
      </c>
      <c r="S4648" t="s">
        <v>266</v>
      </c>
      <c r="T4648" t="s">
        <v>8</v>
      </c>
      <c r="U4648" s="21">
        <v>7025.57</v>
      </c>
      <c r="V4648" s="21" t="s">
        <v>368</v>
      </c>
      <c r="W4648" t="str">
        <f>VLOOKUP(Table_Query_from_Actuarial___Production[[#This Row],[Kor1]],$AI$3:$AK$105,3,FALSE)</f>
        <v>Charge-offs</v>
      </c>
      <c r="X4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8"/>
      <c r="Z4648" t="s">
        <v>46</v>
      </c>
      <c r="AA4648" t="s">
        <v>226</v>
      </c>
      <c r="AB4648" t="s">
        <v>5</v>
      </c>
      <c r="AC4648" s="21">
        <v>163.74</v>
      </c>
      <c r="AD4648" s="21" t="s">
        <v>368</v>
      </c>
      <c r="AE4648" t="str">
        <f>VLOOKUP(Table_Query_from_Actuarial___Production3[[#This Row],[Kor1]],$AI$3:$AK$105,3,FALSE)</f>
        <v>Investment Income</v>
      </c>
      <c r="AF4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649" spans="18:32" x14ac:dyDescent="0.2">
      <c r="R4649" t="s">
        <v>3</v>
      </c>
      <c r="S4649" t="s">
        <v>251</v>
      </c>
      <c r="T4649" t="s">
        <v>8</v>
      </c>
      <c r="U4649" s="21">
        <v>38973</v>
      </c>
      <c r="V4649" s="21" t="s">
        <v>368</v>
      </c>
      <c r="W4649" t="str">
        <f>VLOOKUP(Table_Query_from_Actuarial___Production[[#This Row],[Kor1]],$AI$3:$AK$105,3,FALSE)</f>
        <v>Premiums Written</v>
      </c>
      <c r="X4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49"/>
      <c r="Z4649" t="s">
        <v>33</v>
      </c>
      <c r="AA4649" t="s">
        <v>243</v>
      </c>
      <c r="AB4649" t="s">
        <v>442</v>
      </c>
      <c r="AC4649" s="21">
        <v>17207.16</v>
      </c>
      <c r="AD4649" s="21" t="s">
        <v>368</v>
      </c>
      <c r="AE4649" t="str">
        <f>VLOOKUP(Table_Query_from_Actuarial___Production3[[#This Row],[Kor1]],$AI$3:$AK$105,3,FALSE)</f>
        <v>Misc. Expense</v>
      </c>
      <c r="AF4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0" spans="18:32" x14ac:dyDescent="0.2">
      <c r="R4650" t="s">
        <v>19</v>
      </c>
      <c r="S4650" t="s">
        <v>246</v>
      </c>
      <c r="T4650" t="s">
        <v>433</v>
      </c>
      <c r="U4650" s="21">
        <v>11241.94</v>
      </c>
      <c r="V4650" s="21" t="s">
        <v>368</v>
      </c>
      <c r="W4650" t="str">
        <f>VLOOKUP(Table_Query_from_Actuarial___Production[[#This Row],[Kor1]],$AI$3:$AK$105,3,FALSE)</f>
        <v>Misc. Expense for Insolvent Companies</v>
      </c>
      <c r="X4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0"/>
      <c r="Z4650" t="s">
        <v>37</v>
      </c>
      <c r="AA4650" t="s">
        <v>4</v>
      </c>
      <c r="AB4650" t="s">
        <v>443</v>
      </c>
      <c r="AC4650" s="21">
        <v>14124.1</v>
      </c>
      <c r="AD4650" s="21" t="s">
        <v>368</v>
      </c>
      <c r="AE4650" t="str">
        <f>VLOOKUP(Table_Query_from_Actuarial___Production3[[#This Row],[Kor1]],$AI$3:$AK$105,3,FALSE)</f>
        <v>Misc. Expense</v>
      </c>
      <c r="AF4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1" spans="18:32" x14ac:dyDescent="0.2">
      <c r="R4651" t="s">
        <v>13</v>
      </c>
      <c r="S4651" t="s">
        <v>239</v>
      </c>
      <c r="T4651" t="s">
        <v>442</v>
      </c>
      <c r="U4651" s="21">
        <v>1599805.93</v>
      </c>
      <c r="V4651" s="21" t="s">
        <v>368</v>
      </c>
      <c r="W4651" t="str">
        <f>VLOOKUP(Table_Query_from_Actuarial___Production[[#This Row],[Kor1]],$AI$3:$AK$105,3,FALSE)</f>
        <v>Operating Service Fees</v>
      </c>
      <c r="X4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1"/>
      <c r="Z4651" t="s">
        <v>42</v>
      </c>
      <c r="AA4651" t="s">
        <v>4</v>
      </c>
      <c r="AB4651" t="s">
        <v>351</v>
      </c>
      <c r="AC4651" s="21">
        <v>1001.33</v>
      </c>
      <c r="AD4651" s="21" t="s">
        <v>368</v>
      </c>
      <c r="AE4651" t="str">
        <f>VLOOKUP(Table_Query_from_Actuarial___Production3[[#This Row],[Kor1]],$AI$3:$AK$105,3,FALSE)</f>
        <v>Misc. Income</v>
      </c>
      <c r="AF4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2" spans="18:32" x14ac:dyDescent="0.2">
      <c r="R4652" t="s">
        <v>31</v>
      </c>
      <c r="S4652" t="s">
        <v>258</v>
      </c>
      <c r="T4652" t="s">
        <v>427</v>
      </c>
      <c r="U4652" s="21">
        <v>-624.33000000000004</v>
      </c>
      <c r="V4652" s="21" t="s">
        <v>368</v>
      </c>
      <c r="W4652" t="str">
        <f>VLOOKUP(Table_Query_from_Actuarial___Production[[#This Row],[Kor1]],$AI$3:$AK$105,3,FALSE)</f>
        <v>Misc. Expense</v>
      </c>
      <c r="X4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2"/>
      <c r="Z4652" t="s">
        <v>48</v>
      </c>
      <c r="AA4652" t="s">
        <v>239</v>
      </c>
      <c r="AB4652" t="s">
        <v>442</v>
      </c>
      <c r="AC4652" s="21">
        <v>42041.79</v>
      </c>
      <c r="AD4652" s="21" t="s">
        <v>368</v>
      </c>
      <c r="AE4652" t="str">
        <f>VLOOKUP(Table_Query_from_Actuarial___Production3[[#This Row],[Kor1]],$AI$3:$AK$105,3,FALSE)</f>
        <v>Anticipated Salvage</v>
      </c>
      <c r="AF4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3" spans="18:32" x14ac:dyDescent="0.2">
      <c r="R4653" t="s">
        <v>11</v>
      </c>
      <c r="S4653" t="s">
        <v>246</v>
      </c>
      <c r="T4653" t="s">
        <v>441</v>
      </c>
      <c r="U4653" s="21">
        <v>2730250.43</v>
      </c>
      <c r="V4653" s="21" t="s">
        <v>368</v>
      </c>
      <c r="W4653" t="str">
        <f>VLOOKUP(Table_Query_from_Actuarial___Production[[#This Row],[Kor1]],$AI$3:$AK$105,3,FALSE)</f>
        <v>Losses Paid</v>
      </c>
      <c r="X4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3"/>
      <c r="Z4653" t="s">
        <v>12</v>
      </c>
      <c r="AA4653" t="s">
        <v>267</v>
      </c>
      <c r="AB4653" t="s">
        <v>351</v>
      </c>
      <c r="AC4653" s="21">
        <v>5298.27</v>
      </c>
      <c r="AD4653" s="21" t="s">
        <v>368</v>
      </c>
      <c r="AE4653" t="str">
        <f>VLOOKUP(Table_Query_from_Actuarial___Production3[[#This Row],[Kor1]],$AI$3:$AK$105,3,FALSE)</f>
        <v>Premium Tax</v>
      </c>
      <c r="AF4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4" spans="18:32" x14ac:dyDescent="0.2">
      <c r="R4654" t="s">
        <v>31</v>
      </c>
      <c r="S4654" t="s">
        <v>232</v>
      </c>
      <c r="T4654" t="s">
        <v>443</v>
      </c>
      <c r="U4654" s="21">
        <v>1203.83</v>
      </c>
      <c r="V4654" s="21" t="s">
        <v>368</v>
      </c>
      <c r="W4654" t="str">
        <f>VLOOKUP(Table_Query_from_Actuarial___Production[[#This Row],[Kor1]],$AI$3:$AK$105,3,FALSE)</f>
        <v>Misc. Expense</v>
      </c>
      <c r="X4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4"/>
      <c r="Z4654" t="s">
        <v>19</v>
      </c>
      <c r="AA4654" t="s">
        <v>234</v>
      </c>
      <c r="AB4654" t="s">
        <v>427</v>
      </c>
      <c r="AC4654" s="21">
        <v>4094</v>
      </c>
      <c r="AD4654" s="21" t="s">
        <v>368</v>
      </c>
      <c r="AE4654" t="str">
        <f>VLOOKUP(Table_Query_from_Actuarial___Production3[[#This Row],[Kor1]],$AI$3:$AK$105,3,FALSE)</f>
        <v>Misc. Expense for Insolvent Companies</v>
      </c>
      <c r="AF4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5" spans="18:32" x14ac:dyDescent="0.2">
      <c r="R4655" t="s">
        <v>50</v>
      </c>
      <c r="S4655" t="s">
        <v>237</v>
      </c>
      <c r="T4655" t="s">
        <v>442</v>
      </c>
      <c r="U4655" s="21">
        <v>1902038.81</v>
      </c>
      <c r="V4655" s="21" t="s">
        <v>368</v>
      </c>
      <c r="W4655" t="str">
        <f>VLOOKUP(Table_Query_from_Actuarial___Production[[#This Row],[Kor1]],$AI$3:$AK$105,3,FALSE)</f>
        <v>ALAE Reserve</v>
      </c>
      <c r="X4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5"/>
      <c r="Z4655" t="s">
        <v>47</v>
      </c>
      <c r="AA4655" t="s">
        <v>232</v>
      </c>
      <c r="AB4655" t="s">
        <v>351</v>
      </c>
      <c r="AC4655" s="21">
        <v>1780.98</v>
      </c>
      <c r="AD4655" s="21" t="s">
        <v>368</v>
      </c>
      <c r="AE4655" t="str">
        <f>VLOOKUP(Table_Query_from_Actuarial___Production3[[#This Row],[Kor1]],$AI$3:$AK$105,3,FALSE)</f>
        <v>Investment Income</v>
      </c>
      <c r="AF4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6" spans="18:32" x14ac:dyDescent="0.2">
      <c r="R4656" t="s">
        <v>439</v>
      </c>
      <c r="S4656" t="s">
        <v>263</v>
      </c>
      <c r="T4656" t="s">
        <v>443</v>
      </c>
      <c r="U4656" s="21">
        <v>-8974.15</v>
      </c>
      <c r="V4656" s="21" t="s">
        <v>368</v>
      </c>
      <c r="W4656" t="str">
        <f>VLOOKUP(Table_Query_from_Actuarial___Production[[#This Row],[Kor1]],$AI$3:$AK$105,3,FALSE)</f>
        <v>Operating Service Fees</v>
      </c>
      <c r="X4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6"/>
      <c r="Z4656" t="s">
        <v>20</v>
      </c>
      <c r="AA4656" t="s">
        <v>254</v>
      </c>
      <c r="AB4656" t="s">
        <v>5</v>
      </c>
      <c r="AC4656" s="21">
        <v>3.92</v>
      </c>
      <c r="AD4656" s="21" t="s">
        <v>368</v>
      </c>
      <c r="AE4656" t="str">
        <f>VLOOKUP(Table_Query_from_Actuarial___Production3[[#This Row],[Kor1]],$AI$3:$AK$105,3,FALSE)</f>
        <v>Misc. Expense</v>
      </c>
      <c r="AF4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7" spans="18:32" x14ac:dyDescent="0.2">
      <c r="R4657" t="s">
        <v>10</v>
      </c>
      <c r="S4657" t="s">
        <v>251</v>
      </c>
      <c r="T4657" t="s">
        <v>8</v>
      </c>
      <c r="U4657" s="21">
        <v>2122.15</v>
      </c>
      <c r="V4657" s="21" t="s">
        <v>368</v>
      </c>
      <c r="W4657" t="str">
        <f>VLOOKUP(Table_Query_from_Actuarial___Production[[#This Row],[Kor1]],$AI$3:$AK$105,3,FALSE)</f>
        <v>Commissions</v>
      </c>
      <c r="X4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7"/>
      <c r="Z4657" t="s">
        <v>22</v>
      </c>
      <c r="AA4657" t="s">
        <v>259</v>
      </c>
      <c r="AB4657" t="s">
        <v>441</v>
      </c>
      <c r="AC4657" s="21">
        <v>30455.46</v>
      </c>
      <c r="AD4657" s="21" t="s">
        <v>368</v>
      </c>
      <c r="AE4657" t="str">
        <f>VLOOKUP(Table_Query_from_Actuarial___Production3[[#This Row],[Kor1]],$AI$3:$AK$105,3,FALSE)</f>
        <v>Misc. Expense</v>
      </c>
      <c r="AF4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8" spans="18:32" x14ac:dyDescent="0.2">
      <c r="R4658" t="s">
        <v>20</v>
      </c>
      <c r="S4658" t="s">
        <v>242</v>
      </c>
      <c r="T4658" t="s">
        <v>442</v>
      </c>
      <c r="U4658" s="21">
        <v>106.44</v>
      </c>
      <c r="V4658" s="21" t="s">
        <v>368</v>
      </c>
      <c r="W4658" t="str">
        <f>VLOOKUP(Table_Query_from_Actuarial___Production[[#This Row],[Kor1]],$AI$3:$AK$105,3,FALSE)</f>
        <v>Misc. Expense</v>
      </c>
      <c r="X4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58"/>
      <c r="Z4658" t="s">
        <v>14</v>
      </c>
      <c r="AA4658" t="s">
        <v>235</v>
      </c>
      <c r="AB4658" t="s">
        <v>9</v>
      </c>
      <c r="AC4658" s="21">
        <v>36650.120000000003</v>
      </c>
      <c r="AD4658" s="21" t="s">
        <v>368</v>
      </c>
      <c r="AE4658" t="str">
        <f>VLOOKUP(Table_Query_from_Actuarial___Production3[[#This Row],[Kor1]],$AI$3:$AK$105,3,FALSE)</f>
        <v>Claims Expense</v>
      </c>
      <c r="AF4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59" spans="18:32" x14ac:dyDescent="0.2">
      <c r="R4659" t="s">
        <v>46</v>
      </c>
      <c r="S4659" t="s">
        <v>225</v>
      </c>
      <c r="T4659" t="s">
        <v>351</v>
      </c>
      <c r="U4659" s="21">
        <v>18335.810000000001</v>
      </c>
      <c r="V4659" s="21" t="s">
        <v>368</v>
      </c>
      <c r="W4659" t="str">
        <f>VLOOKUP(Table_Query_from_Actuarial___Production[[#This Row],[Kor1]],$AI$3:$AK$105,3,FALSE)</f>
        <v>Investment Income</v>
      </c>
      <c r="X4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659"/>
      <c r="Z4659" t="s">
        <v>21</v>
      </c>
      <c r="AA4659" t="s">
        <v>4</v>
      </c>
      <c r="AB4659" t="s">
        <v>351</v>
      </c>
      <c r="AC4659" s="21">
        <v>155.6</v>
      </c>
      <c r="AD4659" s="21" t="s">
        <v>368</v>
      </c>
      <c r="AE4659" t="str">
        <f>VLOOKUP(Table_Query_from_Actuarial___Production3[[#This Row],[Kor1]],$AI$3:$AK$105,3,FALSE)</f>
        <v>Misc. Expense</v>
      </c>
      <c r="AF4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0" spans="18:32" x14ac:dyDescent="0.2">
      <c r="R4660" t="s">
        <v>16</v>
      </c>
      <c r="S4660" t="s">
        <v>252</v>
      </c>
      <c r="T4660" t="s">
        <v>445</v>
      </c>
      <c r="U4660" s="21">
        <v>106141.9</v>
      </c>
      <c r="V4660" s="21" t="s">
        <v>368</v>
      </c>
      <c r="W4660" t="str">
        <f>VLOOKUP(Table_Query_from_Actuarial___Production[[#This Row],[Kor1]],$AI$3:$AK$105,3,FALSE)</f>
        <v>Losses Outstanding</v>
      </c>
      <c r="X4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0"/>
      <c r="Z4660" t="s">
        <v>50</v>
      </c>
      <c r="AA4660" t="s">
        <v>249</v>
      </c>
      <c r="AB4660" t="s">
        <v>441</v>
      </c>
      <c r="AC4660" s="21">
        <v>94797.51</v>
      </c>
      <c r="AD4660" s="21" t="s">
        <v>368</v>
      </c>
      <c r="AE4660" t="str">
        <f>VLOOKUP(Table_Query_from_Actuarial___Production3[[#This Row],[Kor1]],$AI$3:$AK$105,3,FALSE)</f>
        <v>ALAE Reserve</v>
      </c>
      <c r="AF4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1" spans="18:32" x14ac:dyDescent="0.2">
      <c r="R4661" t="s">
        <v>12</v>
      </c>
      <c r="S4661" t="s">
        <v>247</v>
      </c>
      <c r="T4661" t="s">
        <v>443</v>
      </c>
      <c r="U4661" s="21">
        <v>184.03</v>
      </c>
      <c r="V4661" s="21" t="s">
        <v>368</v>
      </c>
      <c r="W4661" t="str">
        <f>VLOOKUP(Table_Query_from_Actuarial___Production[[#This Row],[Kor1]],$AI$3:$AK$105,3,FALSE)</f>
        <v>Premium Tax</v>
      </c>
      <c r="X4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1"/>
      <c r="Z4661" t="s">
        <v>17</v>
      </c>
      <c r="AA4661" t="s">
        <v>260</v>
      </c>
      <c r="AB4661" t="s">
        <v>442</v>
      </c>
      <c r="AC4661" s="21">
        <v>9991.4699999999993</v>
      </c>
      <c r="AD4661" s="21" t="s">
        <v>368</v>
      </c>
      <c r="AE4661" t="str">
        <f>VLOOKUP(Table_Query_from_Actuarial___Production3[[#This Row],[Kor1]],$AI$3:$AK$105,3,FALSE)</f>
        <v>IBNR</v>
      </c>
      <c r="AF4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2" spans="18:32" x14ac:dyDescent="0.2">
      <c r="R4662" t="s">
        <v>32</v>
      </c>
      <c r="S4662" t="s">
        <v>235</v>
      </c>
      <c r="T4662" t="s">
        <v>356</v>
      </c>
      <c r="U4662" s="21">
        <v>-35061.300000000003</v>
      </c>
      <c r="V4662" s="21" t="s">
        <v>368</v>
      </c>
      <c r="W4662" t="str">
        <f>VLOOKUP(Table_Query_from_Actuarial___Production[[#This Row],[Kor1]],$AI$3:$AK$105,3,FALSE)</f>
        <v>Misc. Expense</v>
      </c>
      <c r="X4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2"/>
      <c r="Z4662" t="s">
        <v>48</v>
      </c>
      <c r="AA4662" t="s">
        <v>244</v>
      </c>
      <c r="AB4662" t="s">
        <v>443</v>
      </c>
      <c r="AC4662" s="21">
        <v>1049.49</v>
      </c>
      <c r="AD4662" s="21" t="s">
        <v>368</v>
      </c>
      <c r="AE4662" t="str">
        <f>VLOOKUP(Table_Query_from_Actuarial___Production3[[#This Row],[Kor1]],$AI$3:$AK$105,3,FALSE)</f>
        <v>Anticipated Salvage</v>
      </c>
      <c r="AF4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3" spans="18:32" x14ac:dyDescent="0.2">
      <c r="R4663" t="s">
        <v>21</v>
      </c>
      <c r="S4663" t="s">
        <v>265</v>
      </c>
      <c r="T4663" t="s">
        <v>351</v>
      </c>
      <c r="U4663" s="21">
        <v>3342</v>
      </c>
      <c r="V4663" s="21" t="s">
        <v>368</v>
      </c>
      <c r="W4663" t="str">
        <f>VLOOKUP(Table_Query_from_Actuarial___Production[[#This Row],[Kor1]],$AI$3:$AK$105,3,FALSE)</f>
        <v>Misc. Expense</v>
      </c>
      <c r="X4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3"/>
      <c r="Z4663" t="s">
        <v>14</v>
      </c>
      <c r="AA4663" t="s">
        <v>259</v>
      </c>
      <c r="AB4663" t="s">
        <v>8</v>
      </c>
      <c r="AC4663" s="21">
        <v>58897.63</v>
      </c>
      <c r="AD4663" s="21" t="s">
        <v>368</v>
      </c>
      <c r="AE4663" t="str">
        <f>VLOOKUP(Table_Query_from_Actuarial___Production3[[#This Row],[Kor1]],$AI$3:$AK$105,3,FALSE)</f>
        <v>Claims Expense</v>
      </c>
      <c r="AF4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4" spans="18:32" x14ac:dyDescent="0.2">
      <c r="R4664" t="s">
        <v>37</v>
      </c>
      <c r="S4664" t="s">
        <v>244</v>
      </c>
      <c r="T4664" t="s">
        <v>443</v>
      </c>
      <c r="U4664" s="21">
        <v>-3480.99</v>
      </c>
      <c r="V4664" s="21" t="s">
        <v>368</v>
      </c>
      <c r="W4664" t="str">
        <f>VLOOKUP(Table_Query_from_Actuarial___Production[[#This Row],[Kor1]],$AI$3:$AK$105,3,FALSE)</f>
        <v>Misc. Expense</v>
      </c>
      <c r="X4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4"/>
      <c r="Z4664" t="s">
        <v>13</v>
      </c>
      <c r="AA4664" t="s">
        <v>229</v>
      </c>
      <c r="AB4664" t="s">
        <v>5</v>
      </c>
      <c r="AC4664" s="21">
        <v>7121.63</v>
      </c>
      <c r="AD4664" s="21" t="s">
        <v>368</v>
      </c>
      <c r="AE4664" t="str">
        <f>VLOOKUP(Table_Query_from_Actuarial___Production3[[#This Row],[Kor1]],$AI$3:$AK$105,3,FALSE)</f>
        <v>Operating Service Fees</v>
      </c>
      <c r="AF4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5" spans="18:32" x14ac:dyDescent="0.2">
      <c r="R4665" t="s">
        <v>3</v>
      </c>
      <c r="S4665" t="s">
        <v>253</v>
      </c>
      <c r="T4665" t="s">
        <v>351</v>
      </c>
      <c r="U4665" s="21">
        <v>2932</v>
      </c>
      <c r="V4665" s="21" t="s">
        <v>368</v>
      </c>
      <c r="W4665" t="str">
        <f>VLOOKUP(Table_Query_from_Actuarial___Production[[#This Row],[Kor1]],$AI$3:$AK$105,3,FALSE)</f>
        <v>Premiums Written</v>
      </c>
      <c r="X4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5"/>
      <c r="Z4665" t="s">
        <v>39</v>
      </c>
      <c r="AA4665" t="s">
        <v>262</v>
      </c>
      <c r="AB4665" t="s">
        <v>427</v>
      </c>
      <c r="AC4665" s="21">
        <v>372.66</v>
      </c>
      <c r="AD4665" s="21" t="s">
        <v>368</v>
      </c>
      <c r="AE4665" t="str">
        <f>VLOOKUP(Table_Query_from_Actuarial___Production3[[#This Row],[Kor1]],$AI$3:$AK$105,3,FALSE)</f>
        <v>Misc. Income for Insolvent Companies</v>
      </c>
      <c r="AF4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6" spans="18:32" x14ac:dyDescent="0.2">
      <c r="R4666" t="s">
        <v>40</v>
      </c>
      <c r="S4666" t="s">
        <v>248</v>
      </c>
      <c r="T4666" t="s">
        <v>9</v>
      </c>
      <c r="U4666" s="21">
        <v>-42</v>
      </c>
      <c r="V4666" s="21" t="s">
        <v>368</v>
      </c>
      <c r="W4666" t="str">
        <f>VLOOKUP(Table_Query_from_Actuarial___Production[[#This Row],[Kor1]],$AI$3:$AK$105,3,FALSE)</f>
        <v>Misc. Income</v>
      </c>
      <c r="X4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6"/>
      <c r="Z4666" t="s">
        <v>43</v>
      </c>
      <c r="AA4666" t="s">
        <v>266</v>
      </c>
      <c r="AB4666" t="s">
        <v>8</v>
      </c>
      <c r="AC4666" s="21">
        <v>7025.57</v>
      </c>
      <c r="AD4666" s="21" t="s">
        <v>368</v>
      </c>
      <c r="AE4666" t="str">
        <f>VLOOKUP(Table_Query_from_Actuarial___Production3[[#This Row],[Kor1]],$AI$3:$AK$105,3,FALSE)</f>
        <v>Charge-offs</v>
      </c>
      <c r="AF4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7" spans="18:32" x14ac:dyDescent="0.2">
      <c r="R4667" t="s">
        <v>12</v>
      </c>
      <c r="S4667" t="s">
        <v>267</v>
      </c>
      <c r="T4667" t="s">
        <v>441</v>
      </c>
      <c r="U4667" s="21">
        <v>36168.65</v>
      </c>
      <c r="V4667" s="21" t="s">
        <v>368</v>
      </c>
      <c r="W4667" t="str">
        <f>VLOOKUP(Table_Query_from_Actuarial___Production[[#This Row],[Kor1]],$AI$3:$AK$105,3,FALSE)</f>
        <v>Premium Tax</v>
      </c>
      <c r="X4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7"/>
      <c r="Z4667" t="s">
        <v>3</v>
      </c>
      <c r="AA4667" t="s">
        <v>251</v>
      </c>
      <c r="AB4667" t="s">
        <v>8</v>
      </c>
      <c r="AC4667" s="21">
        <v>38973</v>
      </c>
      <c r="AD4667" s="21" t="s">
        <v>368</v>
      </c>
      <c r="AE4667" t="str">
        <f>VLOOKUP(Table_Query_from_Actuarial___Production3[[#This Row],[Kor1]],$AI$3:$AK$105,3,FALSE)</f>
        <v>Premiums Written</v>
      </c>
      <c r="AF4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8" spans="18:32" x14ac:dyDescent="0.2">
      <c r="R4668" t="s">
        <v>49</v>
      </c>
      <c r="S4668" t="s">
        <v>258</v>
      </c>
      <c r="T4668" t="s">
        <v>6</v>
      </c>
      <c r="U4668" s="21">
        <v>26887.25</v>
      </c>
      <c r="V4668" s="21" t="s">
        <v>368</v>
      </c>
      <c r="W4668" t="str">
        <f>VLOOKUP(Table_Query_from_Actuarial___Production[[#This Row],[Kor1]],$AI$3:$AK$105,3,FALSE)</f>
        <v>ALAE Paid</v>
      </c>
      <c r="X4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8"/>
      <c r="Z4668" t="s">
        <v>19</v>
      </c>
      <c r="AA4668" t="s">
        <v>246</v>
      </c>
      <c r="AB4668" t="s">
        <v>433</v>
      </c>
      <c r="AC4668" s="21">
        <v>7987.94</v>
      </c>
      <c r="AD4668" s="21" t="s">
        <v>368</v>
      </c>
      <c r="AE4668" t="str">
        <f>VLOOKUP(Table_Query_from_Actuarial___Production3[[#This Row],[Kor1]],$AI$3:$AK$105,3,FALSE)</f>
        <v>Misc. Expense for Insolvent Companies</v>
      </c>
      <c r="AF4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69" spans="18:32" x14ac:dyDescent="0.2">
      <c r="R4669" t="s">
        <v>439</v>
      </c>
      <c r="S4669" t="s">
        <v>259</v>
      </c>
      <c r="T4669" t="s">
        <v>433</v>
      </c>
      <c r="U4669" s="21">
        <v>1674</v>
      </c>
      <c r="V4669" s="21" t="s">
        <v>368</v>
      </c>
      <c r="W4669" t="str">
        <f>VLOOKUP(Table_Query_from_Actuarial___Production[[#This Row],[Kor1]],$AI$3:$AK$105,3,FALSE)</f>
        <v>Operating Service Fees</v>
      </c>
      <c r="X4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69"/>
      <c r="Z4669" t="s">
        <v>13</v>
      </c>
      <c r="AA4669" t="s">
        <v>239</v>
      </c>
      <c r="AB4669" t="s">
        <v>442</v>
      </c>
      <c r="AC4669" s="21">
        <v>1743806.47</v>
      </c>
      <c r="AD4669" s="21" t="s">
        <v>368</v>
      </c>
      <c r="AE4669" t="str">
        <f>VLOOKUP(Table_Query_from_Actuarial___Production3[[#This Row],[Kor1]],$AI$3:$AK$105,3,FALSE)</f>
        <v>Operating Service Fees</v>
      </c>
      <c r="AF4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0" spans="18:32" x14ac:dyDescent="0.2">
      <c r="R4670" t="s">
        <v>11</v>
      </c>
      <c r="S4670" t="s">
        <v>230</v>
      </c>
      <c r="T4670" t="s">
        <v>441</v>
      </c>
      <c r="U4670" s="21">
        <v>20646951.870000001</v>
      </c>
      <c r="V4670" s="21" t="s">
        <v>368</v>
      </c>
      <c r="W4670" t="str">
        <f>VLOOKUP(Table_Query_from_Actuarial___Production[[#This Row],[Kor1]],$AI$3:$AK$105,3,FALSE)</f>
        <v>Losses Paid</v>
      </c>
      <c r="X4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0"/>
      <c r="Z4670" t="s">
        <v>31</v>
      </c>
      <c r="AA4670" t="s">
        <v>258</v>
      </c>
      <c r="AB4670" t="s">
        <v>427</v>
      </c>
      <c r="AC4670" s="21">
        <v>-624.33000000000004</v>
      </c>
      <c r="AD4670" s="21" t="s">
        <v>368</v>
      </c>
      <c r="AE4670" t="str">
        <f>VLOOKUP(Table_Query_from_Actuarial___Production3[[#This Row],[Kor1]],$AI$3:$AK$105,3,FALSE)</f>
        <v>Misc. Expense</v>
      </c>
      <c r="AF4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1" spans="18:32" x14ac:dyDescent="0.2">
      <c r="R4671" t="s">
        <v>11</v>
      </c>
      <c r="S4671" t="s">
        <v>242</v>
      </c>
      <c r="T4671" t="s">
        <v>7</v>
      </c>
      <c r="U4671" s="21">
        <v>1917646.01</v>
      </c>
      <c r="V4671" s="21" t="s">
        <v>368</v>
      </c>
      <c r="W4671" t="str">
        <f>VLOOKUP(Table_Query_from_Actuarial___Production[[#This Row],[Kor1]],$AI$3:$AK$105,3,FALSE)</f>
        <v>Losses Paid</v>
      </c>
      <c r="X4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1"/>
      <c r="Z4671" t="s">
        <v>41</v>
      </c>
      <c r="AA4671" t="s">
        <v>230</v>
      </c>
      <c r="AB4671" t="s">
        <v>5</v>
      </c>
      <c r="AC4671" s="21">
        <v>1389.22</v>
      </c>
      <c r="AD4671" s="21" t="s">
        <v>368</v>
      </c>
      <c r="AE4671" t="str">
        <f>VLOOKUP(Table_Query_from_Actuarial___Production3[[#This Row],[Kor1]],$AI$3:$AK$105,3,FALSE)</f>
        <v>Misc. Income</v>
      </c>
      <c r="AF4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2" spans="18:32" x14ac:dyDescent="0.2">
      <c r="R4672" t="s">
        <v>31</v>
      </c>
      <c r="S4672" t="s">
        <v>249</v>
      </c>
      <c r="T4672" t="s">
        <v>445</v>
      </c>
      <c r="U4672" s="21">
        <v>267.64</v>
      </c>
      <c r="V4672" s="21" t="s">
        <v>368</v>
      </c>
      <c r="W4672" t="str">
        <f>VLOOKUP(Table_Query_from_Actuarial___Production[[#This Row],[Kor1]],$AI$3:$AK$105,3,FALSE)</f>
        <v>Misc. Expense</v>
      </c>
      <c r="X4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2"/>
      <c r="Z4672" t="s">
        <v>11</v>
      </c>
      <c r="AA4672" t="s">
        <v>246</v>
      </c>
      <c r="AB4672" t="s">
        <v>441</v>
      </c>
      <c r="AC4672" s="21">
        <v>1289497.72</v>
      </c>
      <c r="AD4672" s="21" t="s">
        <v>368</v>
      </c>
      <c r="AE4672" t="str">
        <f>VLOOKUP(Table_Query_from_Actuarial___Production3[[#This Row],[Kor1]],$AI$3:$AK$105,3,FALSE)</f>
        <v>Losses Paid</v>
      </c>
      <c r="AF4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3" spans="18:32" x14ac:dyDescent="0.2">
      <c r="R4673" t="s">
        <v>40</v>
      </c>
      <c r="S4673" t="s">
        <v>244</v>
      </c>
      <c r="T4673" t="s">
        <v>8</v>
      </c>
      <c r="U4673" s="21">
        <v>64.989999999999995</v>
      </c>
      <c r="V4673" s="21" t="s">
        <v>368</v>
      </c>
      <c r="W4673" t="str">
        <f>VLOOKUP(Table_Query_from_Actuarial___Production[[#This Row],[Kor1]],$AI$3:$AK$105,3,FALSE)</f>
        <v>Misc. Income</v>
      </c>
      <c r="X4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3"/>
      <c r="Z4673" t="s">
        <v>31</v>
      </c>
      <c r="AA4673" t="s">
        <v>232</v>
      </c>
      <c r="AB4673" t="s">
        <v>443</v>
      </c>
      <c r="AC4673" s="21">
        <v>1156.33</v>
      </c>
      <c r="AD4673" s="21" t="s">
        <v>368</v>
      </c>
      <c r="AE4673" t="str">
        <f>VLOOKUP(Table_Query_from_Actuarial___Production3[[#This Row],[Kor1]],$AI$3:$AK$105,3,FALSE)</f>
        <v>Misc. Expense</v>
      </c>
      <c r="AF4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4" spans="18:32" x14ac:dyDescent="0.2">
      <c r="R4674" t="s">
        <v>21</v>
      </c>
      <c r="S4674" t="s">
        <v>248</v>
      </c>
      <c r="T4674" t="s">
        <v>8</v>
      </c>
      <c r="U4674" s="21">
        <v>423.5</v>
      </c>
      <c r="V4674" s="21" t="s">
        <v>368</v>
      </c>
      <c r="W4674" t="str">
        <f>VLOOKUP(Table_Query_from_Actuarial___Production[[#This Row],[Kor1]],$AI$3:$AK$105,3,FALSE)</f>
        <v>Misc. Expense</v>
      </c>
      <c r="X4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4"/>
      <c r="Z4674" t="s">
        <v>49</v>
      </c>
      <c r="AA4674" t="s">
        <v>226</v>
      </c>
      <c r="AB4674" t="s">
        <v>5</v>
      </c>
      <c r="AC4674" s="21">
        <v>921833.62</v>
      </c>
      <c r="AD4674" s="21" t="s">
        <v>368</v>
      </c>
      <c r="AE4674" t="str">
        <f>VLOOKUP(Table_Query_from_Actuarial___Production3[[#This Row],[Kor1]],$AI$3:$AK$105,3,FALSE)</f>
        <v>ALAE Paid</v>
      </c>
      <c r="AF4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675" spans="18:32" x14ac:dyDescent="0.2">
      <c r="R4675" t="s">
        <v>28</v>
      </c>
      <c r="S4675" t="s">
        <v>259</v>
      </c>
      <c r="T4675" t="s">
        <v>445</v>
      </c>
      <c r="U4675" s="21">
        <v>10.81</v>
      </c>
      <c r="V4675" s="21" t="s">
        <v>368</v>
      </c>
      <c r="W4675" t="str">
        <f>VLOOKUP(Table_Query_from_Actuarial___Production[[#This Row],[Kor1]],$AI$3:$AK$105,3,FALSE)</f>
        <v>Misc. Expense</v>
      </c>
      <c r="X4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5"/>
      <c r="Z4675" t="s">
        <v>50</v>
      </c>
      <c r="AA4675" t="s">
        <v>237</v>
      </c>
      <c r="AB4675" t="s">
        <v>442</v>
      </c>
      <c r="AC4675" s="21">
        <v>1728182.16</v>
      </c>
      <c r="AD4675" s="21" t="s">
        <v>368</v>
      </c>
      <c r="AE4675" t="str">
        <f>VLOOKUP(Table_Query_from_Actuarial___Production3[[#This Row],[Kor1]],$AI$3:$AK$105,3,FALSE)</f>
        <v>ALAE Reserve</v>
      </c>
      <c r="AF4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6" spans="18:32" x14ac:dyDescent="0.2">
      <c r="R4676" t="s">
        <v>33</v>
      </c>
      <c r="S4676" t="s">
        <v>240</v>
      </c>
      <c r="T4676" t="s">
        <v>9</v>
      </c>
      <c r="U4676" s="21">
        <v>15647.75</v>
      </c>
      <c r="V4676" s="21" t="s">
        <v>368</v>
      </c>
      <c r="W4676" t="str">
        <f>VLOOKUP(Table_Query_from_Actuarial___Production[[#This Row],[Kor1]],$AI$3:$AK$105,3,FALSE)</f>
        <v>Misc. Expense</v>
      </c>
      <c r="X4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6"/>
      <c r="Z4676" t="s">
        <v>439</v>
      </c>
      <c r="AA4676" t="s">
        <v>263</v>
      </c>
      <c r="AB4676" t="s">
        <v>443</v>
      </c>
      <c r="AC4676" s="21">
        <v>-8974.15</v>
      </c>
      <c r="AD4676" s="21" t="s">
        <v>368</v>
      </c>
      <c r="AE4676" t="str">
        <f>VLOOKUP(Table_Query_from_Actuarial___Production3[[#This Row],[Kor1]],$AI$3:$AK$105,3,FALSE)</f>
        <v>Operating Service Fees</v>
      </c>
      <c r="AF4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7" spans="18:32" x14ac:dyDescent="0.2">
      <c r="R4677" t="s">
        <v>3</v>
      </c>
      <c r="S4677" t="s">
        <v>252</v>
      </c>
      <c r="T4677" t="s">
        <v>6</v>
      </c>
      <c r="U4677" s="21">
        <v>9687418</v>
      </c>
      <c r="V4677" s="21" t="s">
        <v>368</v>
      </c>
      <c r="W4677" t="str">
        <f>VLOOKUP(Table_Query_from_Actuarial___Production[[#This Row],[Kor1]],$AI$3:$AK$105,3,FALSE)</f>
        <v>Premiums Written</v>
      </c>
      <c r="X4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7"/>
      <c r="Z4677" t="s">
        <v>10</v>
      </c>
      <c r="AA4677" t="s">
        <v>251</v>
      </c>
      <c r="AB4677" t="s">
        <v>8</v>
      </c>
      <c r="AC4677" s="21">
        <v>2122.15</v>
      </c>
      <c r="AD4677" s="21" t="s">
        <v>368</v>
      </c>
      <c r="AE4677" t="str">
        <f>VLOOKUP(Table_Query_from_Actuarial___Production3[[#This Row],[Kor1]],$AI$3:$AK$105,3,FALSE)</f>
        <v>Commissions</v>
      </c>
      <c r="AF4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8" spans="18:32" x14ac:dyDescent="0.2">
      <c r="R4678" t="s">
        <v>13</v>
      </c>
      <c r="S4678" t="s">
        <v>267</v>
      </c>
      <c r="T4678" t="s">
        <v>351</v>
      </c>
      <c r="U4678" s="21">
        <v>38533.120000000003</v>
      </c>
      <c r="V4678" s="21" t="s">
        <v>368</v>
      </c>
      <c r="W4678" t="str">
        <f>VLOOKUP(Table_Query_from_Actuarial___Production[[#This Row],[Kor1]],$AI$3:$AK$105,3,FALSE)</f>
        <v>Operating Service Fees</v>
      </c>
      <c r="X4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8"/>
      <c r="Z4678" t="s">
        <v>20</v>
      </c>
      <c r="AA4678" t="s">
        <v>242</v>
      </c>
      <c r="AB4678" t="s">
        <v>442</v>
      </c>
      <c r="AC4678" s="21">
        <v>106.44</v>
      </c>
      <c r="AD4678" s="21" t="s">
        <v>368</v>
      </c>
      <c r="AE4678" t="str">
        <f>VLOOKUP(Table_Query_from_Actuarial___Production3[[#This Row],[Kor1]],$AI$3:$AK$105,3,FALSE)</f>
        <v>Misc. Expense</v>
      </c>
      <c r="AF4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79" spans="18:32" x14ac:dyDescent="0.2">
      <c r="R4679" t="s">
        <v>13</v>
      </c>
      <c r="S4679" t="s">
        <v>259</v>
      </c>
      <c r="T4679" t="s">
        <v>356</v>
      </c>
      <c r="U4679" s="21">
        <v>112001.21</v>
      </c>
      <c r="V4679" s="21" t="s">
        <v>368</v>
      </c>
      <c r="W4679" t="str">
        <f>VLOOKUP(Table_Query_from_Actuarial___Production[[#This Row],[Kor1]],$AI$3:$AK$105,3,FALSE)</f>
        <v>Operating Service Fees</v>
      </c>
      <c r="X4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79"/>
      <c r="Z4679" t="s">
        <v>75</v>
      </c>
      <c r="AA4679" t="s">
        <v>266</v>
      </c>
      <c r="AB4679" t="s">
        <v>441</v>
      </c>
      <c r="AC4679" s="21">
        <v>424</v>
      </c>
      <c r="AD4679" s="21" t="s">
        <v>368</v>
      </c>
      <c r="AE4679" t="str">
        <f>VLOOKUP(Table_Query_from_Actuarial___Production3[[#This Row],[Kor1]],$AI$3:$AK$105,3,FALSE)</f>
        <v>EBUB</v>
      </c>
      <c r="AF4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0" spans="18:32" x14ac:dyDescent="0.2">
      <c r="R4680" t="s">
        <v>33</v>
      </c>
      <c r="S4680" t="s">
        <v>228</v>
      </c>
      <c r="T4680" t="s">
        <v>427</v>
      </c>
      <c r="U4680" s="21">
        <v>17758.05</v>
      </c>
      <c r="V4680" s="21" t="s">
        <v>368</v>
      </c>
      <c r="W4680" t="str">
        <f>VLOOKUP(Table_Query_from_Actuarial___Production[[#This Row],[Kor1]],$AI$3:$AK$105,3,FALSE)</f>
        <v>Misc. Expense</v>
      </c>
      <c r="X4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0"/>
      <c r="Z4680" t="s">
        <v>46</v>
      </c>
      <c r="AA4680" t="s">
        <v>225</v>
      </c>
      <c r="AB4680" t="s">
        <v>351</v>
      </c>
      <c r="AC4680" s="21">
        <v>18335.810000000001</v>
      </c>
      <c r="AD4680" s="21" t="s">
        <v>368</v>
      </c>
      <c r="AE4680" t="str">
        <f>VLOOKUP(Table_Query_from_Actuarial___Production3[[#This Row],[Kor1]],$AI$3:$AK$105,3,FALSE)</f>
        <v>Investment Income</v>
      </c>
      <c r="AF4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681" spans="18:32" x14ac:dyDescent="0.2">
      <c r="R4681" t="s">
        <v>40</v>
      </c>
      <c r="S4681" t="s">
        <v>256</v>
      </c>
      <c r="T4681" t="s">
        <v>351</v>
      </c>
      <c r="U4681" s="21">
        <v>4</v>
      </c>
      <c r="V4681" s="21" t="s">
        <v>368</v>
      </c>
      <c r="W4681" t="str">
        <f>VLOOKUP(Table_Query_from_Actuarial___Production[[#This Row],[Kor1]],$AI$3:$AK$105,3,FALSE)</f>
        <v>Misc. Income</v>
      </c>
      <c r="X4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1"/>
      <c r="Z4681" t="s">
        <v>32</v>
      </c>
      <c r="AA4681" t="s">
        <v>235</v>
      </c>
      <c r="AB4681" t="s">
        <v>356</v>
      </c>
      <c r="AC4681" s="21">
        <v>-35061.300000000003</v>
      </c>
      <c r="AD4681" s="21" t="s">
        <v>368</v>
      </c>
      <c r="AE4681" t="str">
        <f>VLOOKUP(Table_Query_from_Actuarial___Production3[[#This Row],[Kor1]],$AI$3:$AK$105,3,FALSE)</f>
        <v>Misc. Expense</v>
      </c>
      <c r="AF4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2" spans="18:32" x14ac:dyDescent="0.2">
      <c r="R4682" t="s">
        <v>49</v>
      </c>
      <c r="S4682" t="s">
        <v>266</v>
      </c>
      <c r="T4682" t="s">
        <v>8</v>
      </c>
      <c r="U4682" s="21">
        <v>33086.78</v>
      </c>
      <c r="V4682" s="21" t="s">
        <v>368</v>
      </c>
      <c r="W4682" t="str">
        <f>VLOOKUP(Table_Query_from_Actuarial___Production[[#This Row],[Kor1]],$AI$3:$AK$105,3,FALSE)</f>
        <v>ALAE Paid</v>
      </c>
      <c r="X4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2"/>
      <c r="Z4682" t="s">
        <v>21</v>
      </c>
      <c r="AA4682" t="s">
        <v>265</v>
      </c>
      <c r="AB4682" t="s">
        <v>351</v>
      </c>
      <c r="AC4682" s="21">
        <v>3342</v>
      </c>
      <c r="AD4682" s="21" t="s">
        <v>368</v>
      </c>
      <c r="AE4682" t="str">
        <f>VLOOKUP(Table_Query_from_Actuarial___Production3[[#This Row],[Kor1]],$AI$3:$AK$105,3,FALSE)</f>
        <v>Misc. Expense</v>
      </c>
      <c r="AF4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3" spans="18:32" x14ac:dyDescent="0.2">
      <c r="R4683" t="s">
        <v>33</v>
      </c>
      <c r="S4683" t="s">
        <v>258</v>
      </c>
      <c r="T4683" t="s">
        <v>356</v>
      </c>
      <c r="U4683" s="21">
        <v>15819.92</v>
      </c>
      <c r="V4683" s="21" t="s">
        <v>368</v>
      </c>
      <c r="W4683" t="str">
        <f>VLOOKUP(Table_Query_from_Actuarial___Production[[#This Row],[Kor1]],$AI$3:$AK$105,3,FALSE)</f>
        <v>Misc. Expense</v>
      </c>
      <c r="X4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3"/>
      <c r="Z4683" t="s">
        <v>24</v>
      </c>
      <c r="AA4683" t="s">
        <v>259</v>
      </c>
      <c r="AB4683" t="s">
        <v>5</v>
      </c>
      <c r="AC4683" s="21">
        <v>312.35000000000002</v>
      </c>
      <c r="AD4683" s="21" t="s">
        <v>368</v>
      </c>
      <c r="AE4683" t="str">
        <f>VLOOKUP(Table_Query_from_Actuarial___Production3[[#This Row],[Kor1]],$AI$3:$AK$105,3,FALSE)</f>
        <v>Misc. Expense</v>
      </c>
      <c r="AF4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4" spans="18:32" x14ac:dyDescent="0.2">
      <c r="R4684" t="s">
        <v>12</v>
      </c>
      <c r="S4684" t="s">
        <v>250</v>
      </c>
      <c r="T4684" t="s">
        <v>7</v>
      </c>
      <c r="U4684" s="21">
        <v>16817.36</v>
      </c>
      <c r="V4684" s="21" t="s">
        <v>368</v>
      </c>
      <c r="W4684" t="str">
        <f>VLOOKUP(Table_Query_from_Actuarial___Production[[#This Row],[Kor1]],$AI$3:$AK$105,3,FALSE)</f>
        <v>Premium Tax</v>
      </c>
      <c r="X4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4"/>
      <c r="Z4684" t="s">
        <v>37</v>
      </c>
      <c r="AA4684" t="s">
        <v>244</v>
      </c>
      <c r="AB4684" t="s">
        <v>443</v>
      </c>
      <c r="AC4684" s="21">
        <v>1158.24</v>
      </c>
      <c r="AD4684" s="21" t="s">
        <v>368</v>
      </c>
      <c r="AE4684" t="str">
        <f>VLOOKUP(Table_Query_from_Actuarial___Production3[[#This Row],[Kor1]],$AI$3:$AK$105,3,FALSE)</f>
        <v>Misc. Expense</v>
      </c>
      <c r="AF4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5" spans="18:32" x14ac:dyDescent="0.2">
      <c r="R4685" t="s">
        <v>13</v>
      </c>
      <c r="S4685" t="s">
        <v>250</v>
      </c>
      <c r="T4685" t="s">
        <v>443</v>
      </c>
      <c r="U4685" s="21">
        <v>153360.29999999999</v>
      </c>
      <c r="V4685" s="21" t="s">
        <v>368</v>
      </c>
      <c r="W4685" t="str">
        <f>VLOOKUP(Table_Query_from_Actuarial___Production[[#This Row],[Kor1]],$AI$3:$AK$105,3,FALSE)</f>
        <v>Operating Service Fees</v>
      </c>
      <c r="X4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5"/>
      <c r="Z4685" t="s">
        <v>3</v>
      </c>
      <c r="AA4685" t="s">
        <v>253</v>
      </c>
      <c r="AB4685" t="s">
        <v>351</v>
      </c>
      <c r="AC4685" s="21">
        <v>2932</v>
      </c>
      <c r="AD4685" s="21" t="s">
        <v>368</v>
      </c>
      <c r="AE4685" t="str">
        <f>VLOOKUP(Table_Query_from_Actuarial___Production3[[#This Row],[Kor1]],$AI$3:$AK$105,3,FALSE)</f>
        <v>Premiums Written</v>
      </c>
      <c r="AF4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6" spans="18:32" x14ac:dyDescent="0.2">
      <c r="R4686" t="s">
        <v>13</v>
      </c>
      <c r="S4686" t="s">
        <v>262</v>
      </c>
      <c r="T4686" t="s">
        <v>7</v>
      </c>
      <c r="U4686" s="21">
        <v>64248.77</v>
      </c>
      <c r="V4686" s="21" t="s">
        <v>368</v>
      </c>
      <c r="W4686" t="str">
        <f>VLOOKUP(Table_Query_from_Actuarial___Production[[#This Row],[Kor1]],$AI$3:$AK$105,3,FALSE)</f>
        <v>Operating Service Fees</v>
      </c>
      <c r="X4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6"/>
      <c r="Z4686" t="s">
        <v>40</v>
      </c>
      <c r="AA4686" t="s">
        <v>248</v>
      </c>
      <c r="AB4686" t="s">
        <v>9</v>
      </c>
      <c r="AC4686" s="21">
        <v>-42</v>
      </c>
      <c r="AD4686" s="21" t="s">
        <v>368</v>
      </c>
      <c r="AE4686" t="str">
        <f>VLOOKUP(Table_Query_from_Actuarial___Production3[[#This Row],[Kor1]],$AI$3:$AK$105,3,FALSE)</f>
        <v>Misc. Income</v>
      </c>
      <c r="AF4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7" spans="18:32" x14ac:dyDescent="0.2">
      <c r="R4687" t="s">
        <v>31</v>
      </c>
      <c r="S4687" t="s">
        <v>241</v>
      </c>
      <c r="T4687" t="s">
        <v>351</v>
      </c>
      <c r="U4687" s="21">
        <v>-78.58</v>
      </c>
      <c r="V4687" s="21" t="s">
        <v>368</v>
      </c>
      <c r="W4687" t="str">
        <f>VLOOKUP(Table_Query_from_Actuarial___Production[[#This Row],[Kor1]],$AI$3:$AK$105,3,FALSE)</f>
        <v>Misc. Expense</v>
      </c>
      <c r="X4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7"/>
      <c r="Z4687" t="s">
        <v>12</v>
      </c>
      <c r="AA4687" t="s">
        <v>267</v>
      </c>
      <c r="AB4687" t="s">
        <v>441</v>
      </c>
      <c r="AC4687" s="21">
        <v>36168.65</v>
      </c>
      <c r="AD4687" s="21" t="s">
        <v>368</v>
      </c>
      <c r="AE4687" t="str">
        <f>VLOOKUP(Table_Query_from_Actuarial___Production3[[#This Row],[Kor1]],$AI$3:$AK$105,3,FALSE)</f>
        <v>Premium Tax</v>
      </c>
      <c r="AF4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8" spans="18:32" x14ac:dyDescent="0.2">
      <c r="R4688" t="s">
        <v>3</v>
      </c>
      <c r="S4688" t="s">
        <v>258</v>
      </c>
      <c r="T4688" t="s">
        <v>356</v>
      </c>
      <c r="U4688" s="21">
        <v>2578050</v>
      </c>
      <c r="V4688" s="21" t="s">
        <v>368</v>
      </c>
      <c r="W4688" t="str">
        <f>VLOOKUP(Table_Query_from_Actuarial___Production[[#This Row],[Kor1]],$AI$3:$AK$105,3,FALSE)</f>
        <v>Premiums Written</v>
      </c>
      <c r="X4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8"/>
      <c r="Z4688" t="s">
        <v>49</v>
      </c>
      <c r="AA4688" t="s">
        <v>258</v>
      </c>
      <c r="AB4688" t="s">
        <v>6</v>
      </c>
      <c r="AC4688" s="21">
        <v>26887.25</v>
      </c>
      <c r="AD4688" s="21" t="s">
        <v>368</v>
      </c>
      <c r="AE4688" t="str">
        <f>VLOOKUP(Table_Query_from_Actuarial___Production3[[#This Row],[Kor1]],$AI$3:$AK$105,3,FALSE)</f>
        <v>ALAE Paid</v>
      </c>
      <c r="AF4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89" spans="18:32" x14ac:dyDescent="0.2">
      <c r="R4689" t="s">
        <v>11</v>
      </c>
      <c r="S4689" t="s">
        <v>4</v>
      </c>
      <c r="T4689" t="s">
        <v>356</v>
      </c>
      <c r="U4689" s="21">
        <v>38430332.460000001</v>
      </c>
      <c r="V4689" s="21" t="s">
        <v>368</v>
      </c>
      <c r="W4689" t="str">
        <f>VLOOKUP(Table_Query_from_Actuarial___Production[[#This Row],[Kor1]],$AI$3:$AK$105,3,FALSE)</f>
        <v>Losses Paid</v>
      </c>
      <c r="X4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89"/>
      <c r="Z4689" t="s">
        <v>439</v>
      </c>
      <c r="AA4689" t="s">
        <v>259</v>
      </c>
      <c r="AB4689" t="s">
        <v>433</v>
      </c>
      <c r="AC4689" s="21">
        <v>1674</v>
      </c>
      <c r="AD4689" s="21" t="s">
        <v>368</v>
      </c>
      <c r="AE4689" t="str">
        <f>VLOOKUP(Table_Query_from_Actuarial___Production3[[#This Row],[Kor1]],$AI$3:$AK$105,3,FALSE)</f>
        <v>Operating Service Fees</v>
      </c>
      <c r="AF4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0" spans="18:32" x14ac:dyDescent="0.2">
      <c r="R4690" t="s">
        <v>11</v>
      </c>
      <c r="S4690" t="s">
        <v>254</v>
      </c>
      <c r="T4690" t="s">
        <v>8</v>
      </c>
      <c r="U4690" s="21">
        <v>1111738.6599999999</v>
      </c>
      <c r="V4690" s="21" t="s">
        <v>368</v>
      </c>
      <c r="W4690" t="str">
        <f>VLOOKUP(Table_Query_from_Actuarial___Production[[#This Row],[Kor1]],$AI$3:$AK$105,3,FALSE)</f>
        <v>Losses Paid</v>
      </c>
      <c r="X4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0"/>
      <c r="Z4690" t="s">
        <v>11</v>
      </c>
      <c r="AA4690" t="s">
        <v>230</v>
      </c>
      <c r="AB4690" t="s">
        <v>441</v>
      </c>
      <c r="AC4690" s="21">
        <v>8277602.7800000003</v>
      </c>
      <c r="AD4690" s="21" t="s">
        <v>368</v>
      </c>
      <c r="AE4690" t="str">
        <f>VLOOKUP(Table_Query_from_Actuarial___Production3[[#This Row],[Kor1]],$AI$3:$AK$105,3,FALSE)</f>
        <v>Losses Paid</v>
      </c>
      <c r="AF4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1" spans="18:32" x14ac:dyDescent="0.2">
      <c r="R4691" t="s">
        <v>31</v>
      </c>
      <c r="S4691" t="s">
        <v>233</v>
      </c>
      <c r="T4691" t="s">
        <v>9</v>
      </c>
      <c r="U4691" s="21">
        <v>525.53</v>
      </c>
      <c r="V4691" s="21" t="s">
        <v>368</v>
      </c>
      <c r="W4691" t="str">
        <f>VLOOKUP(Table_Query_from_Actuarial___Production[[#This Row],[Kor1]],$AI$3:$AK$105,3,FALSE)</f>
        <v>Misc. Expense</v>
      </c>
      <c r="X4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1"/>
      <c r="Z4691" t="s">
        <v>11</v>
      </c>
      <c r="AA4691" t="s">
        <v>242</v>
      </c>
      <c r="AB4691" t="s">
        <v>7</v>
      </c>
      <c r="AC4691" s="21">
        <v>967646.01</v>
      </c>
      <c r="AD4691" s="21" t="s">
        <v>368</v>
      </c>
      <c r="AE4691" t="str">
        <f>VLOOKUP(Table_Query_from_Actuarial___Production3[[#This Row],[Kor1]],$AI$3:$AK$105,3,FALSE)</f>
        <v>Losses Paid</v>
      </c>
      <c r="AF4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2" spans="18:32" x14ac:dyDescent="0.2">
      <c r="R4692" t="s">
        <v>48</v>
      </c>
      <c r="S4692" t="s">
        <v>354</v>
      </c>
      <c r="T4692" t="s">
        <v>443</v>
      </c>
      <c r="U4692" s="21">
        <v>7779540.3200000003</v>
      </c>
      <c r="V4692" s="21" t="s">
        <v>369</v>
      </c>
      <c r="W4692" t="str">
        <f>VLOOKUP(Table_Query_from_Actuarial___Production[[#This Row],[Kor1]],$AI$3:$AK$105,3,FALSE)</f>
        <v>Anticipated Salvage</v>
      </c>
      <c r="X4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692"/>
      <c r="Z4692" t="s">
        <v>40</v>
      </c>
      <c r="AA4692" t="s">
        <v>244</v>
      </c>
      <c r="AB4692" t="s">
        <v>8</v>
      </c>
      <c r="AC4692" s="21">
        <v>64.989999999999995</v>
      </c>
      <c r="AD4692" s="21" t="s">
        <v>368</v>
      </c>
      <c r="AE4692" t="str">
        <f>VLOOKUP(Table_Query_from_Actuarial___Production3[[#This Row],[Kor1]],$AI$3:$AK$105,3,FALSE)</f>
        <v>Misc. Income</v>
      </c>
      <c r="AF4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3" spans="18:32" x14ac:dyDescent="0.2">
      <c r="R4693" t="s">
        <v>3</v>
      </c>
      <c r="S4693" t="s">
        <v>247</v>
      </c>
      <c r="T4693" t="s">
        <v>427</v>
      </c>
      <c r="U4693" s="21">
        <v>12186</v>
      </c>
      <c r="V4693" s="21" t="s">
        <v>368</v>
      </c>
      <c r="W4693" t="str">
        <f>VLOOKUP(Table_Query_from_Actuarial___Production[[#This Row],[Kor1]],$AI$3:$AK$105,3,FALSE)</f>
        <v>Premiums Written</v>
      </c>
      <c r="X4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3"/>
      <c r="Z4693" t="s">
        <v>21</v>
      </c>
      <c r="AA4693" t="s">
        <v>248</v>
      </c>
      <c r="AB4693" t="s">
        <v>8</v>
      </c>
      <c r="AC4693" s="21">
        <v>423.5</v>
      </c>
      <c r="AD4693" s="21" t="s">
        <v>368</v>
      </c>
      <c r="AE4693" t="str">
        <f>VLOOKUP(Table_Query_from_Actuarial___Production3[[#This Row],[Kor1]],$AI$3:$AK$105,3,FALSE)</f>
        <v>Misc. Expense</v>
      </c>
      <c r="AF4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4" spans="18:32" x14ac:dyDescent="0.2">
      <c r="R4694" t="s">
        <v>39</v>
      </c>
      <c r="S4694" t="s">
        <v>250</v>
      </c>
      <c r="T4694" t="s">
        <v>427</v>
      </c>
      <c r="U4694" s="21">
        <v>30032.5</v>
      </c>
      <c r="V4694" s="21" t="s">
        <v>368</v>
      </c>
      <c r="W4694" t="str">
        <f>VLOOKUP(Table_Query_from_Actuarial___Production[[#This Row],[Kor1]],$AI$3:$AK$105,3,FALSE)</f>
        <v>Misc. Income for Insolvent Companies</v>
      </c>
      <c r="X4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4"/>
      <c r="Z4694" t="s">
        <v>33</v>
      </c>
      <c r="AA4694" t="s">
        <v>240</v>
      </c>
      <c r="AB4694" t="s">
        <v>9</v>
      </c>
      <c r="AC4694" s="21">
        <v>15647.75</v>
      </c>
      <c r="AD4694" s="21" t="s">
        <v>368</v>
      </c>
      <c r="AE4694" t="str">
        <f>VLOOKUP(Table_Query_from_Actuarial___Production3[[#This Row],[Kor1]],$AI$3:$AK$105,3,FALSE)</f>
        <v>Misc. Expense</v>
      </c>
      <c r="AF4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5" spans="18:32" x14ac:dyDescent="0.2">
      <c r="R4695" t="s">
        <v>48</v>
      </c>
      <c r="S4695" t="s">
        <v>256</v>
      </c>
      <c r="T4695" t="s">
        <v>445</v>
      </c>
      <c r="U4695" s="21">
        <v>22.76</v>
      </c>
      <c r="V4695" s="21" t="s">
        <v>368</v>
      </c>
      <c r="W4695" t="str">
        <f>VLOOKUP(Table_Query_from_Actuarial___Production[[#This Row],[Kor1]],$AI$3:$AK$105,3,FALSE)</f>
        <v>Anticipated Salvage</v>
      </c>
      <c r="X4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5"/>
      <c r="Z4695" t="s">
        <v>3</v>
      </c>
      <c r="AA4695" t="s">
        <v>252</v>
      </c>
      <c r="AB4695" t="s">
        <v>6</v>
      </c>
      <c r="AC4695" s="21">
        <v>9687418</v>
      </c>
      <c r="AD4695" s="21" t="s">
        <v>368</v>
      </c>
      <c r="AE4695" t="str">
        <f>VLOOKUP(Table_Query_from_Actuarial___Production3[[#This Row],[Kor1]],$AI$3:$AK$105,3,FALSE)</f>
        <v>Premiums Written</v>
      </c>
      <c r="AF4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6" spans="18:32" x14ac:dyDescent="0.2">
      <c r="R4696" t="s">
        <v>11</v>
      </c>
      <c r="S4696" t="s">
        <v>234</v>
      </c>
      <c r="T4696" t="s">
        <v>351</v>
      </c>
      <c r="U4696" s="21">
        <v>181174.19</v>
      </c>
      <c r="V4696" s="21" t="s">
        <v>368</v>
      </c>
      <c r="W4696" t="str">
        <f>VLOOKUP(Table_Query_from_Actuarial___Production[[#This Row],[Kor1]],$AI$3:$AK$105,3,FALSE)</f>
        <v>Losses Paid</v>
      </c>
      <c r="X4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6"/>
      <c r="Z4696" t="s">
        <v>13</v>
      </c>
      <c r="AA4696" t="s">
        <v>267</v>
      </c>
      <c r="AB4696" t="s">
        <v>351</v>
      </c>
      <c r="AC4696" s="21">
        <v>38533.120000000003</v>
      </c>
      <c r="AD4696" s="21" t="s">
        <v>368</v>
      </c>
      <c r="AE4696" t="str">
        <f>VLOOKUP(Table_Query_from_Actuarial___Production3[[#This Row],[Kor1]],$AI$3:$AK$105,3,FALSE)</f>
        <v>Operating Service Fees</v>
      </c>
      <c r="AF4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7" spans="18:32" x14ac:dyDescent="0.2">
      <c r="R4697" t="s">
        <v>13</v>
      </c>
      <c r="S4697" t="s">
        <v>246</v>
      </c>
      <c r="T4697" t="s">
        <v>427</v>
      </c>
      <c r="U4697" s="21">
        <v>465340.33</v>
      </c>
      <c r="V4697" s="21" t="s">
        <v>368</v>
      </c>
      <c r="W4697" t="str">
        <f>VLOOKUP(Table_Query_from_Actuarial___Production[[#This Row],[Kor1]],$AI$3:$AK$105,3,FALSE)</f>
        <v>Operating Service Fees</v>
      </c>
      <c r="X4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7"/>
      <c r="Z4697" t="s">
        <v>13</v>
      </c>
      <c r="AA4697" t="s">
        <v>259</v>
      </c>
      <c r="AB4697" t="s">
        <v>356</v>
      </c>
      <c r="AC4697" s="21">
        <v>112001.21</v>
      </c>
      <c r="AD4697" s="21" t="s">
        <v>368</v>
      </c>
      <c r="AE4697" t="str">
        <f>VLOOKUP(Table_Query_from_Actuarial___Production3[[#This Row],[Kor1]],$AI$3:$AK$105,3,FALSE)</f>
        <v>Operating Service Fees</v>
      </c>
      <c r="AF4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8" spans="18:32" x14ac:dyDescent="0.2">
      <c r="R4698" t="s">
        <v>14</v>
      </c>
      <c r="S4698" t="s">
        <v>239</v>
      </c>
      <c r="T4698" t="s">
        <v>441</v>
      </c>
      <c r="U4698" s="21">
        <v>979184.57</v>
      </c>
      <c r="V4698" s="21" t="s">
        <v>368</v>
      </c>
      <c r="W4698" t="str">
        <f>VLOOKUP(Table_Query_from_Actuarial___Production[[#This Row],[Kor1]],$AI$3:$AK$105,3,FALSE)</f>
        <v>Claims Expense</v>
      </c>
      <c r="X4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8"/>
      <c r="Z4698" t="s">
        <v>33</v>
      </c>
      <c r="AA4698" t="s">
        <v>228</v>
      </c>
      <c r="AB4698" t="s">
        <v>427</v>
      </c>
      <c r="AC4698" s="21">
        <v>17758.05</v>
      </c>
      <c r="AD4698" s="21" t="s">
        <v>368</v>
      </c>
      <c r="AE4698" t="str">
        <f>VLOOKUP(Table_Query_from_Actuarial___Production3[[#This Row],[Kor1]],$AI$3:$AK$105,3,FALSE)</f>
        <v>Misc. Expense</v>
      </c>
      <c r="AF4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699" spans="18:32" x14ac:dyDescent="0.2">
      <c r="R4699" t="s">
        <v>48</v>
      </c>
      <c r="S4699" t="s">
        <v>248</v>
      </c>
      <c r="T4699" t="s">
        <v>441</v>
      </c>
      <c r="U4699" s="21">
        <v>7417.62</v>
      </c>
      <c r="V4699" s="21" t="s">
        <v>368</v>
      </c>
      <c r="W4699" t="str">
        <f>VLOOKUP(Table_Query_from_Actuarial___Production[[#This Row],[Kor1]],$AI$3:$AK$105,3,FALSE)</f>
        <v>Anticipated Salvage</v>
      </c>
      <c r="X4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699"/>
      <c r="Z4699" t="s">
        <v>40</v>
      </c>
      <c r="AA4699" t="s">
        <v>256</v>
      </c>
      <c r="AB4699" t="s">
        <v>351</v>
      </c>
      <c r="AC4699" s="21">
        <v>4</v>
      </c>
      <c r="AD4699" s="21" t="s">
        <v>368</v>
      </c>
      <c r="AE4699" t="str">
        <f>VLOOKUP(Table_Query_from_Actuarial___Production3[[#This Row],[Kor1]],$AI$3:$AK$105,3,FALSE)</f>
        <v>Misc. Income</v>
      </c>
      <c r="AF4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0" spans="18:32" x14ac:dyDescent="0.2">
      <c r="R4700" t="s">
        <v>3</v>
      </c>
      <c r="S4700" t="s">
        <v>226</v>
      </c>
      <c r="T4700" t="s">
        <v>6</v>
      </c>
      <c r="U4700" s="21">
        <v>5469162</v>
      </c>
      <c r="V4700" s="21" t="s">
        <v>368</v>
      </c>
      <c r="W4700" t="str">
        <f>VLOOKUP(Table_Query_from_Actuarial___Production[[#This Row],[Kor1]],$AI$3:$AK$105,3,FALSE)</f>
        <v>Premiums Written</v>
      </c>
      <c r="X4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700"/>
      <c r="Z4700" t="s">
        <v>49</v>
      </c>
      <c r="AA4700" t="s">
        <v>266</v>
      </c>
      <c r="AB4700" t="s">
        <v>8</v>
      </c>
      <c r="AC4700" s="21">
        <v>33086.78</v>
      </c>
      <c r="AD4700" s="21" t="s">
        <v>368</v>
      </c>
      <c r="AE4700" t="str">
        <f>VLOOKUP(Table_Query_from_Actuarial___Production3[[#This Row],[Kor1]],$AI$3:$AK$105,3,FALSE)</f>
        <v>ALAE Paid</v>
      </c>
      <c r="AF4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1" spans="18:32" x14ac:dyDescent="0.2">
      <c r="R4701" t="s">
        <v>3</v>
      </c>
      <c r="S4701" t="s">
        <v>250</v>
      </c>
      <c r="T4701" t="s">
        <v>7</v>
      </c>
      <c r="U4701" s="21">
        <v>840868</v>
      </c>
      <c r="V4701" s="21" t="s">
        <v>368</v>
      </c>
      <c r="W4701" t="str">
        <f>VLOOKUP(Table_Query_from_Actuarial___Production[[#This Row],[Kor1]],$AI$3:$AK$105,3,FALSE)</f>
        <v>Premiums Written</v>
      </c>
      <c r="X4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1"/>
      <c r="Z4701" t="s">
        <v>33</v>
      </c>
      <c r="AA4701" t="s">
        <v>258</v>
      </c>
      <c r="AB4701" t="s">
        <v>356</v>
      </c>
      <c r="AC4701" s="21">
        <v>15819.92</v>
      </c>
      <c r="AD4701" s="21" t="s">
        <v>368</v>
      </c>
      <c r="AE4701" t="str">
        <f>VLOOKUP(Table_Query_from_Actuarial___Production3[[#This Row],[Kor1]],$AI$3:$AK$105,3,FALSE)</f>
        <v>Misc. Expense</v>
      </c>
      <c r="AF4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2" spans="18:32" x14ac:dyDescent="0.2">
      <c r="R4702" t="s">
        <v>10</v>
      </c>
      <c r="S4702" t="s">
        <v>266</v>
      </c>
      <c r="T4702" t="s">
        <v>7</v>
      </c>
      <c r="U4702" s="21">
        <v>52108.05</v>
      </c>
      <c r="V4702" s="21" t="s">
        <v>368</v>
      </c>
      <c r="W4702" t="str">
        <f>VLOOKUP(Table_Query_from_Actuarial___Production[[#This Row],[Kor1]],$AI$3:$AK$105,3,FALSE)</f>
        <v>Commissions</v>
      </c>
      <c r="X4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2"/>
      <c r="Z4702" t="s">
        <v>12</v>
      </c>
      <c r="AA4702" t="s">
        <v>250</v>
      </c>
      <c r="AB4702" t="s">
        <v>7</v>
      </c>
      <c r="AC4702" s="21">
        <v>16817.36</v>
      </c>
      <c r="AD4702" s="21" t="s">
        <v>368</v>
      </c>
      <c r="AE4702" t="str">
        <f>VLOOKUP(Table_Query_from_Actuarial___Production3[[#This Row],[Kor1]],$AI$3:$AK$105,3,FALSE)</f>
        <v>Premium Tax</v>
      </c>
      <c r="AF4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3" spans="18:32" x14ac:dyDescent="0.2">
      <c r="R4703" t="s">
        <v>32</v>
      </c>
      <c r="S4703" t="s">
        <v>252</v>
      </c>
      <c r="T4703" t="s">
        <v>356</v>
      </c>
      <c r="U4703" s="21">
        <v>-82805.16</v>
      </c>
      <c r="V4703" s="21" t="s">
        <v>368</v>
      </c>
      <c r="W4703" t="str">
        <f>VLOOKUP(Table_Query_from_Actuarial___Production[[#This Row],[Kor1]],$AI$3:$AK$105,3,FALSE)</f>
        <v>Misc. Expense</v>
      </c>
      <c r="X4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3"/>
      <c r="Z4703" t="s">
        <v>13</v>
      </c>
      <c r="AA4703" t="s">
        <v>250</v>
      </c>
      <c r="AB4703" t="s">
        <v>443</v>
      </c>
      <c r="AC4703" s="21">
        <v>51366.53</v>
      </c>
      <c r="AD4703" s="21" t="s">
        <v>368</v>
      </c>
      <c r="AE4703" t="str">
        <f>VLOOKUP(Table_Query_from_Actuarial___Production3[[#This Row],[Kor1]],$AI$3:$AK$105,3,FALSE)</f>
        <v>Operating Service Fees</v>
      </c>
      <c r="AF4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4" spans="18:32" x14ac:dyDescent="0.2">
      <c r="R4704" t="s">
        <v>15</v>
      </c>
      <c r="S4704" t="s">
        <v>354</v>
      </c>
      <c r="T4704" t="s">
        <v>445</v>
      </c>
      <c r="U4704" s="21">
        <v>59509586.710000001</v>
      </c>
      <c r="V4704" s="21" t="s">
        <v>368</v>
      </c>
      <c r="W4704" t="str">
        <f>VLOOKUP(Table_Query_from_Actuarial___Production[[#This Row],[Kor1]],$AI$3:$AK$105,3,FALSE)</f>
        <v>Unearned Premiums</v>
      </c>
      <c r="X4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704"/>
      <c r="Z4704" t="s">
        <v>46</v>
      </c>
      <c r="AA4704" t="s">
        <v>224</v>
      </c>
      <c r="AB4704" t="s">
        <v>5</v>
      </c>
      <c r="AC4704" s="21">
        <v>72.72</v>
      </c>
      <c r="AD4704" s="21" t="s">
        <v>425</v>
      </c>
      <c r="AE4704" t="str">
        <f>VLOOKUP(Table_Query_from_Actuarial___Production3[[#This Row],[Kor1]],$AI$3:$AK$105,3,FALSE)</f>
        <v>Investment Income</v>
      </c>
      <c r="AF4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705" spans="18:32" x14ac:dyDescent="0.2">
      <c r="R4705" t="s">
        <v>19</v>
      </c>
      <c r="S4705" t="s">
        <v>256</v>
      </c>
      <c r="T4705" t="s">
        <v>7</v>
      </c>
      <c r="U4705" s="21">
        <v>60</v>
      </c>
      <c r="V4705" s="21" t="s">
        <v>368</v>
      </c>
      <c r="W4705" t="str">
        <f>VLOOKUP(Table_Query_from_Actuarial___Production[[#This Row],[Kor1]],$AI$3:$AK$105,3,FALSE)</f>
        <v>Misc. Expense for Insolvent Companies</v>
      </c>
      <c r="X4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5"/>
      <c r="Z4705" t="s">
        <v>13</v>
      </c>
      <c r="AA4705" t="s">
        <v>262</v>
      </c>
      <c r="AB4705" t="s">
        <v>7</v>
      </c>
      <c r="AC4705" s="21">
        <v>64248.77</v>
      </c>
      <c r="AD4705" s="21" t="s">
        <v>368</v>
      </c>
      <c r="AE4705" t="str">
        <f>VLOOKUP(Table_Query_from_Actuarial___Production3[[#This Row],[Kor1]],$AI$3:$AK$105,3,FALSE)</f>
        <v>Operating Service Fees</v>
      </c>
      <c r="AF4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6" spans="18:32" x14ac:dyDescent="0.2">
      <c r="R4706" t="s">
        <v>29</v>
      </c>
      <c r="S4706" t="s">
        <v>4</v>
      </c>
      <c r="T4706" t="s">
        <v>442</v>
      </c>
      <c r="U4706" s="21">
        <v>10294.61</v>
      </c>
      <c r="V4706" s="21" t="s">
        <v>368</v>
      </c>
      <c r="W4706" t="str">
        <f>VLOOKUP(Table_Query_from_Actuarial___Production[[#This Row],[Kor1]],$AI$3:$AK$105,3,FALSE)</f>
        <v>Misc. Expense</v>
      </c>
      <c r="X4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6"/>
      <c r="Z4706" t="s">
        <v>31</v>
      </c>
      <c r="AA4706" t="s">
        <v>241</v>
      </c>
      <c r="AB4706" t="s">
        <v>351</v>
      </c>
      <c r="AC4706" s="21">
        <v>-78.58</v>
      </c>
      <c r="AD4706" s="21" t="s">
        <v>368</v>
      </c>
      <c r="AE4706" t="str">
        <f>VLOOKUP(Table_Query_from_Actuarial___Production3[[#This Row],[Kor1]],$AI$3:$AK$105,3,FALSE)</f>
        <v>Misc. Expense</v>
      </c>
      <c r="AF4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7" spans="18:32" x14ac:dyDescent="0.2">
      <c r="R4707" t="s">
        <v>43</v>
      </c>
      <c r="S4707" t="s">
        <v>228</v>
      </c>
      <c r="T4707" t="s">
        <v>442</v>
      </c>
      <c r="U4707" s="21">
        <v>8.1</v>
      </c>
      <c r="V4707" s="21" t="s">
        <v>368</v>
      </c>
      <c r="W4707" t="str">
        <f>VLOOKUP(Table_Query_from_Actuarial___Production[[#This Row],[Kor1]],$AI$3:$AK$105,3,FALSE)</f>
        <v>Charge-offs</v>
      </c>
      <c r="X4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7"/>
      <c r="Z4707" t="s">
        <v>3</v>
      </c>
      <c r="AA4707" t="s">
        <v>258</v>
      </c>
      <c r="AB4707" t="s">
        <v>356</v>
      </c>
      <c r="AC4707" s="21">
        <v>2578050</v>
      </c>
      <c r="AD4707" s="21" t="s">
        <v>368</v>
      </c>
      <c r="AE4707" t="str">
        <f>VLOOKUP(Table_Query_from_Actuarial___Production3[[#This Row],[Kor1]],$AI$3:$AK$105,3,FALSE)</f>
        <v>Premiums Written</v>
      </c>
      <c r="AF4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8" spans="18:32" x14ac:dyDescent="0.2">
      <c r="R4708" t="s">
        <v>77</v>
      </c>
      <c r="S4708" t="s">
        <v>4</v>
      </c>
      <c r="T4708" t="s">
        <v>443</v>
      </c>
      <c r="U4708" s="21">
        <v>1130834</v>
      </c>
      <c r="V4708" s="21" t="s">
        <v>368</v>
      </c>
      <c r="W4708" t="str">
        <f>VLOOKUP(Table_Query_from_Actuarial___Production[[#This Row],[Kor1]],$AI$3:$AK$105,3,FALSE)</f>
        <v>PDR</v>
      </c>
      <c r="X4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8"/>
      <c r="Z4708" t="s">
        <v>11</v>
      </c>
      <c r="AA4708" t="s">
        <v>4</v>
      </c>
      <c r="AB4708" t="s">
        <v>356</v>
      </c>
      <c r="AC4708" s="21">
        <v>33711385.280000001</v>
      </c>
      <c r="AD4708" s="21" t="s">
        <v>368</v>
      </c>
      <c r="AE4708" t="str">
        <f>VLOOKUP(Table_Query_from_Actuarial___Production3[[#This Row],[Kor1]],$AI$3:$AK$105,3,FALSE)</f>
        <v>Losses Paid</v>
      </c>
      <c r="AF4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09" spans="18:32" x14ac:dyDescent="0.2">
      <c r="R4709" t="s">
        <v>14</v>
      </c>
      <c r="S4709" t="s">
        <v>266</v>
      </c>
      <c r="T4709" t="s">
        <v>7</v>
      </c>
      <c r="U4709" s="21">
        <v>32341.27</v>
      </c>
      <c r="V4709" s="21" t="s">
        <v>368</v>
      </c>
      <c r="W4709" t="str">
        <f>VLOOKUP(Table_Query_from_Actuarial___Production[[#This Row],[Kor1]],$AI$3:$AK$105,3,FALSE)</f>
        <v>Claims Expense</v>
      </c>
      <c r="X4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09"/>
      <c r="Z4709" t="s">
        <v>11</v>
      </c>
      <c r="AA4709" t="s">
        <v>254</v>
      </c>
      <c r="AB4709" t="s">
        <v>8</v>
      </c>
      <c r="AC4709" s="21">
        <v>1111738.6599999999</v>
      </c>
      <c r="AD4709" s="21" t="s">
        <v>368</v>
      </c>
      <c r="AE4709" t="str">
        <f>VLOOKUP(Table_Query_from_Actuarial___Production3[[#This Row],[Kor1]],$AI$3:$AK$105,3,FALSE)</f>
        <v>Losses Paid</v>
      </c>
      <c r="AF4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0" spans="18:32" x14ac:dyDescent="0.2">
      <c r="R4710" t="s">
        <v>10</v>
      </c>
      <c r="S4710" t="s">
        <v>268</v>
      </c>
      <c r="T4710" t="s">
        <v>443</v>
      </c>
      <c r="U4710" s="21">
        <v>887.1</v>
      </c>
      <c r="V4710" s="21" t="s">
        <v>368</v>
      </c>
      <c r="W4710" t="str">
        <f>VLOOKUP(Table_Query_from_Actuarial___Production[[#This Row],[Kor1]],$AI$3:$AK$105,3,FALSE)</f>
        <v>Commissions</v>
      </c>
      <c r="X4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0"/>
      <c r="Z4710" t="s">
        <v>31</v>
      </c>
      <c r="AA4710" t="s">
        <v>233</v>
      </c>
      <c r="AB4710" t="s">
        <v>9</v>
      </c>
      <c r="AC4710" s="21">
        <v>525.53</v>
      </c>
      <c r="AD4710" s="21" t="s">
        <v>368</v>
      </c>
      <c r="AE4710" t="str">
        <f>VLOOKUP(Table_Query_from_Actuarial___Production3[[#This Row],[Kor1]],$AI$3:$AK$105,3,FALSE)</f>
        <v>Misc. Expense</v>
      </c>
      <c r="AF4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1" spans="18:32" x14ac:dyDescent="0.2">
      <c r="R4711" t="s">
        <v>14</v>
      </c>
      <c r="S4711" t="s">
        <v>228</v>
      </c>
      <c r="T4711" t="s">
        <v>9</v>
      </c>
      <c r="U4711" s="21">
        <v>2465.4</v>
      </c>
      <c r="V4711" s="21" t="s">
        <v>368</v>
      </c>
      <c r="W4711" t="str">
        <f>VLOOKUP(Table_Query_from_Actuarial___Production[[#This Row],[Kor1]],$AI$3:$AK$105,3,FALSE)</f>
        <v>Claims Expense</v>
      </c>
      <c r="X4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1"/>
      <c r="Z4711" t="s">
        <v>48</v>
      </c>
      <c r="AA4711" t="s">
        <v>354</v>
      </c>
      <c r="AB4711" t="s">
        <v>443</v>
      </c>
      <c r="AC4711" s="21">
        <v>5478398.5099999998</v>
      </c>
      <c r="AD4711" s="21" t="s">
        <v>369</v>
      </c>
      <c r="AE4711" t="str">
        <f>VLOOKUP(Table_Query_from_Actuarial___Production3[[#This Row],[Kor1]],$AI$3:$AK$105,3,FALSE)</f>
        <v>Anticipated Salvage</v>
      </c>
      <c r="AF4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712" spans="18:32" x14ac:dyDescent="0.2">
      <c r="R4712" t="s">
        <v>3</v>
      </c>
      <c r="S4712" t="s">
        <v>253</v>
      </c>
      <c r="T4712" t="s">
        <v>441</v>
      </c>
      <c r="U4712" s="21">
        <v>44320</v>
      </c>
      <c r="V4712" s="21" t="s">
        <v>368</v>
      </c>
      <c r="W4712" t="str">
        <f>VLOOKUP(Table_Query_from_Actuarial___Production[[#This Row],[Kor1]],$AI$3:$AK$105,3,FALSE)</f>
        <v>Premiums Written</v>
      </c>
      <c r="X4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2"/>
      <c r="Z4712" t="s">
        <v>3</v>
      </c>
      <c r="AA4712" t="s">
        <v>247</v>
      </c>
      <c r="AB4712" t="s">
        <v>427</v>
      </c>
      <c r="AC4712" s="21">
        <v>12186</v>
      </c>
      <c r="AD4712" s="21" t="s">
        <v>368</v>
      </c>
      <c r="AE4712" t="str">
        <f>VLOOKUP(Table_Query_from_Actuarial___Production3[[#This Row],[Kor1]],$AI$3:$AK$105,3,FALSE)</f>
        <v>Premiums Written</v>
      </c>
      <c r="AF4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3" spans="18:32" x14ac:dyDescent="0.2">
      <c r="R4713" t="s">
        <v>13</v>
      </c>
      <c r="S4713" t="s">
        <v>249</v>
      </c>
      <c r="T4713" t="s">
        <v>442</v>
      </c>
      <c r="U4713" s="21">
        <v>150637.95000000001</v>
      </c>
      <c r="V4713" s="21" t="s">
        <v>368</v>
      </c>
      <c r="W4713" t="str">
        <f>VLOOKUP(Table_Query_from_Actuarial___Production[[#This Row],[Kor1]],$AI$3:$AK$105,3,FALSE)</f>
        <v>Operating Service Fees</v>
      </c>
      <c r="X4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3"/>
      <c r="Z4713" t="s">
        <v>39</v>
      </c>
      <c r="AA4713" t="s">
        <v>250</v>
      </c>
      <c r="AB4713" t="s">
        <v>427</v>
      </c>
      <c r="AC4713" s="21">
        <v>30032.5</v>
      </c>
      <c r="AD4713" s="21" t="s">
        <v>368</v>
      </c>
      <c r="AE4713" t="str">
        <f>VLOOKUP(Table_Query_from_Actuarial___Production3[[#This Row],[Kor1]],$AI$3:$AK$105,3,FALSE)</f>
        <v>Misc. Income for Insolvent Companies</v>
      </c>
      <c r="AF4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4" spans="18:32" x14ac:dyDescent="0.2">
      <c r="R4714" t="s">
        <v>21</v>
      </c>
      <c r="S4714" t="s">
        <v>231</v>
      </c>
      <c r="T4714" t="s">
        <v>442</v>
      </c>
      <c r="U4714" s="21">
        <v>1580.54</v>
      </c>
      <c r="V4714" s="21" t="s">
        <v>368</v>
      </c>
      <c r="W4714" t="str">
        <f>VLOOKUP(Table_Query_from_Actuarial___Production[[#This Row],[Kor1]],$AI$3:$AK$105,3,FALSE)</f>
        <v>Misc. Expense</v>
      </c>
      <c r="X4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4"/>
      <c r="Z4714" t="s">
        <v>11</v>
      </c>
      <c r="AA4714" t="s">
        <v>234</v>
      </c>
      <c r="AB4714" t="s">
        <v>351</v>
      </c>
      <c r="AC4714" s="21">
        <v>181174.19</v>
      </c>
      <c r="AD4714" s="21" t="s">
        <v>368</v>
      </c>
      <c r="AE4714" t="str">
        <f>VLOOKUP(Table_Query_from_Actuarial___Production3[[#This Row],[Kor1]],$AI$3:$AK$105,3,FALSE)</f>
        <v>Losses Paid</v>
      </c>
      <c r="AF4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5" spans="18:32" x14ac:dyDescent="0.2">
      <c r="R4715" t="s">
        <v>33</v>
      </c>
      <c r="S4715" t="s">
        <v>241</v>
      </c>
      <c r="T4715" t="s">
        <v>442</v>
      </c>
      <c r="U4715" s="21">
        <v>16602.91</v>
      </c>
      <c r="V4715" s="21" t="s">
        <v>368</v>
      </c>
      <c r="W4715" t="str">
        <f>VLOOKUP(Table_Query_from_Actuarial___Production[[#This Row],[Kor1]],$AI$3:$AK$105,3,FALSE)</f>
        <v>Misc. Expense</v>
      </c>
      <c r="X4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5"/>
      <c r="Z4715" t="s">
        <v>13</v>
      </c>
      <c r="AA4715" t="s">
        <v>246</v>
      </c>
      <c r="AB4715" t="s">
        <v>427</v>
      </c>
      <c r="AC4715" s="21">
        <v>465340.33</v>
      </c>
      <c r="AD4715" s="21" t="s">
        <v>368</v>
      </c>
      <c r="AE4715" t="str">
        <f>VLOOKUP(Table_Query_from_Actuarial___Production3[[#This Row],[Kor1]],$AI$3:$AK$105,3,FALSE)</f>
        <v>Operating Service Fees</v>
      </c>
      <c r="AF4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6" spans="18:32" x14ac:dyDescent="0.2">
      <c r="R4716" t="s">
        <v>39</v>
      </c>
      <c r="S4716" t="s">
        <v>261</v>
      </c>
      <c r="T4716" t="s">
        <v>445</v>
      </c>
      <c r="U4716" s="21">
        <v>99.3</v>
      </c>
      <c r="V4716" s="21" t="s">
        <v>368</v>
      </c>
      <c r="W4716" t="str">
        <f>VLOOKUP(Table_Query_from_Actuarial___Production[[#This Row],[Kor1]],$AI$3:$AK$105,3,FALSE)</f>
        <v>Misc. Income for Insolvent Companies</v>
      </c>
      <c r="X4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6"/>
      <c r="Z4716" t="s">
        <v>14</v>
      </c>
      <c r="AA4716" t="s">
        <v>239</v>
      </c>
      <c r="AB4716" t="s">
        <v>441</v>
      </c>
      <c r="AC4716" s="21">
        <v>989487.29</v>
      </c>
      <c r="AD4716" s="21" t="s">
        <v>368</v>
      </c>
      <c r="AE4716" t="str">
        <f>VLOOKUP(Table_Query_from_Actuarial___Production3[[#This Row],[Kor1]],$AI$3:$AK$105,3,FALSE)</f>
        <v>Claims Expense</v>
      </c>
      <c r="AF4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7" spans="18:32" x14ac:dyDescent="0.2">
      <c r="R4717" t="s">
        <v>44</v>
      </c>
      <c r="S4717" t="s">
        <v>241</v>
      </c>
      <c r="T4717" t="s">
        <v>7</v>
      </c>
      <c r="U4717" s="21">
        <v>8379.26</v>
      </c>
      <c r="V4717" s="21" t="s">
        <v>368</v>
      </c>
      <c r="W4717" t="str">
        <f>VLOOKUP(Table_Query_from_Actuarial___Production[[#This Row],[Kor1]],$AI$3:$AK$105,3,FALSE)</f>
        <v>Charge-offs</v>
      </c>
      <c r="X4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7"/>
      <c r="Z4717" t="s">
        <v>48</v>
      </c>
      <c r="AA4717" t="s">
        <v>248</v>
      </c>
      <c r="AB4717" t="s">
        <v>441</v>
      </c>
      <c r="AC4717" s="21">
        <v>10420.81</v>
      </c>
      <c r="AD4717" s="21" t="s">
        <v>368</v>
      </c>
      <c r="AE4717" t="str">
        <f>VLOOKUP(Table_Query_from_Actuarial___Production3[[#This Row],[Kor1]],$AI$3:$AK$105,3,FALSE)</f>
        <v>Anticipated Salvage</v>
      </c>
      <c r="AF4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18" spans="18:32" x14ac:dyDescent="0.2">
      <c r="R4718" t="s">
        <v>46</v>
      </c>
      <c r="S4718" t="s">
        <v>225</v>
      </c>
      <c r="T4718" t="s">
        <v>441</v>
      </c>
      <c r="U4718" s="21">
        <v>8943.9500000000007</v>
      </c>
      <c r="V4718" s="21" t="s">
        <v>368</v>
      </c>
      <c r="W4718" t="str">
        <f>VLOOKUP(Table_Query_from_Actuarial___Production[[#This Row],[Kor1]],$AI$3:$AK$105,3,FALSE)</f>
        <v>Investment Income</v>
      </c>
      <c r="X4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718"/>
      <c r="Z4718" t="s">
        <v>3</v>
      </c>
      <c r="AA4718" t="s">
        <v>226</v>
      </c>
      <c r="AB4718" t="s">
        <v>6</v>
      </c>
      <c r="AC4718" s="21">
        <v>5469162</v>
      </c>
      <c r="AD4718" s="21" t="s">
        <v>368</v>
      </c>
      <c r="AE4718" t="str">
        <f>VLOOKUP(Table_Query_from_Actuarial___Production3[[#This Row],[Kor1]],$AI$3:$AK$105,3,FALSE)</f>
        <v>Premiums Written</v>
      </c>
      <c r="AF4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719" spans="18:32" x14ac:dyDescent="0.2">
      <c r="R4719" t="s">
        <v>12</v>
      </c>
      <c r="S4719" t="s">
        <v>247</v>
      </c>
      <c r="T4719" t="s">
        <v>427</v>
      </c>
      <c r="U4719" s="21">
        <v>335.11</v>
      </c>
      <c r="V4719" s="21" t="s">
        <v>368</v>
      </c>
      <c r="W4719" t="str">
        <f>VLOOKUP(Table_Query_from_Actuarial___Production[[#This Row],[Kor1]],$AI$3:$AK$105,3,FALSE)</f>
        <v>Premium Tax</v>
      </c>
      <c r="X4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19"/>
      <c r="Z4719" t="s">
        <v>43</v>
      </c>
      <c r="AA4719" t="s">
        <v>226</v>
      </c>
      <c r="AB4719" t="s">
        <v>5</v>
      </c>
      <c r="AC4719" s="21">
        <v>-548.23</v>
      </c>
      <c r="AD4719" s="21" t="s">
        <v>368</v>
      </c>
      <c r="AE4719" t="str">
        <f>VLOOKUP(Table_Query_from_Actuarial___Production3[[#This Row],[Kor1]],$AI$3:$AK$105,3,FALSE)</f>
        <v>Charge-offs</v>
      </c>
      <c r="AF4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720" spans="18:32" x14ac:dyDescent="0.2">
      <c r="R4720" t="s">
        <v>48</v>
      </c>
      <c r="S4720" t="s">
        <v>225</v>
      </c>
      <c r="T4720" t="s">
        <v>442</v>
      </c>
      <c r="U4720" s="21">
        <v>1274.3900000000001</v>
      </c>
      <c r="V4720" s="21" t="s">
        <v>368</v>
      </c>
      <c r="W4720" t="str">
        <f>VLOOKUP(Table_Query_from_Actuarial___Production[[#This Row],[Kor1]],$AI$3:$AK$105,3,FALSE)</f>
        <v>Anticipated Salvage</v>
      </c>
      <c r="X4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720"/>
      <c r="Z4720" t="s">
        <v>3</v>
      </c>
      <c r="AA4720" t="s">
        <v>250</v>
      </c>
      <c r="AB4720" t="s">
        <v>7</v>
      </c>
      <c r="AC4720" s="21">
        <v>840868</v>
      </c>
      <c r="AD4720" s="21" t="s">
        <v>368</v>
      </c>
      <c r="AE4720" t="str">
        <f>VLOOKUP(Table_Query_from_Actuarial___Production3[[#This Row],[Kor1]],$AI$3:$AK$105,3,FALSE)</f>
        <v>Premiums Written</v>
      </c>
      <c r="AF4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1" spans="18:32" x14ac:dyDescent="0.2">
      <c r="R4721" t="s">
        <v>33</v>
      </c>
      <c r="S4721" t="s">
        <v>263</v>
      </c>
      <c r="T4721" t="s">
        <v>427</v>
      </c>
      <c r="U4721" s="21">
        <v>12951.38</v>
      </c>
      <c r="V4721" s="21" t="s">
        <v>368</v>
      </c>
      <c r="W4721" t="str">
        <f>VLOOKUP(Table_Query_from_Actuarial___Production[[#This Row],[Kor1]],$AI$3:$AK$105,3,FALSE)</f>
        <v>Misc. Expense</v>
      </c>
      <c r="X4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1"/>
      <c r="Z4721" t="s">
        <v>10</v>
      </c>
      <c r="AA4721" t="s">
        <v>266</v>
      </c>
      <c r="AB4721" t="s">
        <v>7</v>
      </c>
      <c r="AC4721" s="21">
        <v>52108.05</v>
      </c>
      <c r="AD4721" s="21" t="s">
        <v>368</v>
      </c>
      <c r="AE4721" t="str">
        <f>VLOOKUP(Table_Query_from_Actuarial___Production3[[#This Row],[Kor1]],$AI$3:$AK$105,3,FALSE)</f>
        <v>Commissions</v>
      </c>
      <c r="AF4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2" spans="18:32" x14ac:dyDescent="0.2">
      <c r="R4722" t="s">
        <v>47</v>
      </c>
      <c r="S4722" t="s">
        <v>252</v>
      </c>
      <c r="T4722" t="s">
        <v>6</v>
      </c>
      <c r="U4722" s="21">
        <v>0.45</v>
      </c>
      <c r="V4722" s="21" t="s">
        <v>368</v>
      </c>
      <c r="W4722" t="str">
        <f>VLOOKUP(Table_Query_from_Actuarial___Production[[#This Row],[Kor1]],$AI$3:$AK$105,3,FALSE)</f>
        <v>Investment Income</v>
      </c>
      <c r="X4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2"/>
      <c r="Z4722" t="s">
        <v>14</v>
      </c>
      <c r="AA4722" t="s">
        <v>229</v>
      </c>
      <c r="AB4722" t="s">
        <v>5</v>
      </c>
      <c r="AC4722" s="21">
        <v>2423.1999999999998</v>
      </c>
      <c r="AD4722" s="21" t="s">
        <v>368</v>
      </c>
      <c r="AE4722" t="str">
        <f>VLOOKUP(Table_Query_from_Actuarial___Production3[[#This Row],[Kor1]],$AI$3:$AK$105,3,FALSE)</f>
        <v>Claims Expense</v>
      </c>
      <c r="AF4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3" spans="18:32" x14ac:dyDescent="0.2">
      <c r="R4723" t="s">
        <v>12</v>
      </c>
      <c r="S4723" t="s">
        <v>252</v>
      </c>
      <c r="T4723" t="s">
        <v>427</v>
      </c>
      <c r="U4723" s="21">
        <v>625998.18999999994</v>
      </c>
      <c r="V4723" s="21" t="s">
        <v>368</v>
      </c>
      <c r="W4723" t="str">
        <f>VLOOKUP(Table_Query_from_Actuarial___Production[[#This Row],[Kor1]],$AI$3:$AK$105,3,FALSE)</f>
        <v>Premium Tax</v>
      </c>
      <c r="X4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3"/>
      <c r="Z4723" t="s">
        <v>32</v>
      </c>
      <c r="AA4723" t="s">
        <v>252</v>
      </c>
      <c r="AB4723" t="s">
        <v>356</v>
      </c>
      <c r="AC4723" s="21">
        <v>-82805.16</v>
      </c>
      <c r="AD4723" s="21" t="s">
        <v>368</v>
      </c>
      <c r="AE4723" t="str">
        <f>VLOOKUP(Table_Query_from_Actuarial___Production3[[#This Row],[Kor1]],$AI$3:$AK$105,3,FALSE)</f>
        <v>Misc. Expense</v>
      </c>
      <c r="AF4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4" spans="18:32" x14ac:dyDescent="0.2">
      <c r="R4724" t="s">
        <v>444</v>
      </c>
      <c r="S4724" t="s">
        <v>260</v>
      </c>
      <c r="T4724" t="s">
        <v>443</v>
      </c>
      <c r="U4724" s="21">
        <v>10167.81</v>
      </c>
      <c r="V4724" s="21" t="s">
        <v>368</v>
      </c>
      <c r="W4724" t="str">
        <f>VLOOKUP(Table_Query_from_Actuarial___Production[[#This Row],[Kor1]],$AI$3:$AK$105,3,FALSE)</f>
        <v>Misc. Expense</v>
      </c>
      <c r="X4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4"/>
      <c r="Z4724" t="s">
        <v>19</v>
      </c>
      <c r="AA4724" t="s">
        <v>256</v>
      </c>
      <c r="AB4724" t="s">
        <v>7</v>
      </c>
      <c r="AC4724" s="21">
        <v>60</v>
      </c>
      <c r="AD4724" s="21" t="s">
        <v>368</v>
      </c>
      <c r="AE4724" t="str">
        <f>VLOOKUP(Table_Query_from_Actuarial___Production3[[#This Row],[Kor1]],$AI$3:$AK$105,3,FALSE)</f>
        <v>Misc. Expense for Insolvent Companies</v>
      </c>
      <c r="AF4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5" spans="18:32" x14ac:dyDescent="0.2">
      <c r="R4725" t="s">
        <v>31</v>
      </c>
      <c r="S4725" t="s">
        <v>228</v>
      </c>
      <c r="T4725" t="s">
        <v>6</v>
      </c>
      <c r="U4725" s="21">
        <v>631.98</v>
      </c>
      <c r="V4725" s="21" t="s">
        <v>368</v>
      </c>
      <c r="W4725" t="str">
        <f>VLOOKUP(Table_Query_from_Actuarial___Production[[#This Row],[Kor1]],$AI$3:$AK$105,3,FALSE)</f>
        <v>Misc. Expense</v>
      </c>
      <c r="X4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5"/>
      <c r="Z4725" t="s">
        <v>29</v>
      </c>
      <c r="AA4725" t="s">
        <v>4</v>
      </c>
      <c r="AB4725" t="s">
        <v>442</v>
      </c>
      <c r="AC4725" s="21">
        <v>10294.61</v>
      </c>
      <c r="AD4725" s="21" t="s">
        <v>368</v>
      </c>
      <c r="AE4725" t="str">
        <f>VLOOKUP(Table_Query_from_Actuarial___Production3[[#This Row],[Kor1]],$AI$3:$AK$105,3,FALSE)</f>
        <v>Misc. Expense</v>
      </c>
      <c r="AF4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6" spans="18:32" x14ac:dyDescent="0.2">
      <c r="R4726" t="s">
        <v>47</v>
      </c>
      <c r="S4726" t="s">
        <v>260</v>
      </c>
      <c r="T4726" t="s">
        <v>441</v>
      </c>
      <c r="U4726" s="21">
        <v>26.59</v>
      </c>
      <c r="V4726" s="21" t="s">
        <v>368</v>
      </c>
      <c r="W4726" t="str">
        <f>VLOOKUP(Table_Query_from_Actuarial___Production[[#This Row],[Kor1]],$AI$3:$AK$105,3,FALSE)</f>
        <v>Investment Income</v>
      </c>
      <c r="X4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6"/>
      <c r="Z4726" t="s">
        <v>43</v>
      </c>
      <c r="AA4726" t="s">
        <v>228</v>
      </c>
      <c r="AB4726" t="s">
        <v>442</v>
      </c>
      <c r="AC4726" s="21">
        <v>8.1</v>
      </c>
      <c r="AD4726" s="21" t="s">
        <v>368</v>
      </c>
      <c r="AE4726" t="str">
        <f>VLOOKUP(Table_Query_from_Actuarial___Production3[[#This Row],[Kor1]],$AI$3:$AK$105,3,FALSE)</f>
        <v>Charge-offs</v>
      </c>
      <c r="AF4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7" spans="18:32" x14ac:dyDescent="0.2">
      <c r="R4727" t="s">
        <v>46</v>
      </c>
      <c r="S4727" t="s">
        <v>224</v>
      </c>
      <c r="T4727" t="s">
        <v>351</v>
      </c>
      <c r="U4727" s="21">
        <v>535.46</v>
      </c>
      <c r="V4727" s="21" t="s">
        <v>425</v>
      </c>
      <c r="W4727" t="str">
        <f>VLOOKUP(Table_Query_from_Actuarial___Production[[#This Row],[Kor1]],$AI$3:$AK$105,3,FALSE)</f>
        <v>Investment Income</v>
      </c>
      <c r="X4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727"/>
      <c r="Z4727" t="s">
        <v>77</v>
      </c>
      <c r="AA4727" t="s">
        <v>4</v>
      </c>
      <c r="AB4727" t="s">
        <v>443</v>
      </c>
      <c r="AC4727" s="21">
        <v>2978649</v>
      </c>
      <c r="AD4727" s="21" t="s">
        <v>368</v>
      </c>
      <c r="AE4727" t="str">
        <f>VLOOKUP(Table_Query_from_Actuarial___Production3[[#This Row],[Kor1]],$AI$3:$AK$105,3,FALSE)</f>
        <v>PDR</v>
      </c>
      <c r="AF4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8" spans="18:32" x14ac:dyDescent="0.2">
      <c r="R4728" t="s">
        <v>16</v>
      </c>
      <c r="S4728" t="s">
        <v>248</v>
      </c>
      <c r="T4728" t="s">
        <v>441</v>
      </c>
      <c r="U4728" s="21">
        <v>449159.6</v>
      </c>
      <c r="V4728" s="21" t="s">
        <v>368</v>
      </c>
      <c r="W4728" t="str">
        <f>VLOOKUP(Table_Query_from_Actuarial___Production[[#This Row],[Kor1]],$AI$3:$AK$105,3,FALSE)</f>
        <v>Losses Outstanding</v>
      </c>
      <c r="X4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28"/>
      <c r="Z4728" t="s">
        <v>14</v>
      </c>
      <c r="AA4728" t="s">
        <v>266</v>
      </c>
      <c r="AB4728" t="s">
        <v>7</v>
      </c>
      <c r="AC4728" s="21">
        <v>32341.27</v>
      </c>
      <c r="AD4728" s="21" t="s">
        <v>368</v>
      </c>
      <c r="AE4728" t="str">
        <f>VLOOKUP(Table_Query_from_Actuarial___Production3[[#This Row],[Kor1]],$AI$3:$AK$105,3,FALSE)</f>
        <v>Claims Expense</v>
      </c>
      <c r="AF4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29" spans="18:32" x14ac:dyDescent="0.2">
      <c r="R4729" t="s">
        <v>10</v>
      </c>
      <c r="S4729" t="s">
        <v>224</v>
      </c>
      <c r="T4729" t="s">
        <v>6</v>
      </c>
      <c r="U4729" s="21">
        <v>8173.98</v>
      </c>
      <c r="V4729" s="21" t="s">
        <v>425</v>
      </c>
      <c r="W4729" t="str">
        <f>VLOOKUP(Table_Query_from_Actuarial___Production[[#This Row],[Kor1]],$AI$3:$AK$105,3,FALSE)</f>
        <v>Commissions</v>
      </c>
      <c r="X4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729"/>
      <c r="Z4729" t="s">
        <v>44</v>
      </c>
      <c r="AA4729" t="s">
        <v>238</v>
      </c>
      <c r="AB4729" t="s">
        <v>5</v>
      </c>
      <c r="AC4729" s="21">
        <v>61</v>
      </c>
      <c r="AD4729" s="21" t="s">
        <v>368</v>
      </c>
      <c r="AE4729" t="str">
        <f>VLOOKUP(Table_Query_from_Actuarial___Production3[[#This Row],[Kor1]],$AI$3:$AK$105,3,FALSE)</f>
        <v>Charge-offs</v>
      </c>
      <c r="AF4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0" spans="18:32" x14ac:dyDescent="0.2">
      <c r="R4730" t="s">
        <v>49</v>
      </c>
      <c r="S4730" t="s">
        <v>244</v>
      </c>
      <c r="T4730" t="s">
        <v>7</v>
      </c>
      <c r="U4730" s="21">
        <v>-12980.1</v>
      </c>
      <c r="V4730" s="21" t="s">
        <v>368</v>
      </c>
      <c r="W4730" t="str">
        <f>VLOOKUP(Table_Query_from_Actuarial___Production[[#This Row],[Kor1]],$AI$3:$AK$105,3,FALSE)</f>
        <v>ALAE Paid</v>
      </c>
      <c r="X4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0"/>
      <c r="Z4730" t="s">
        <v>10</v>
      </c>
      <c r="AA4730" t="s">
        <v>268</v>
      </c>
      <c r="AB4730" t="s">
        <v>443</v>
      </c>
      <c r="AC4730" s="21">
        <v>13.4</v>
      </c>
      <c r="AD4730" s="21" t="s">
        <v>368</v>
      </c>
      <c r="AE4730" t="str">
        <f>VLOOKUP(Table_Query_from_Actuarial___Production3[[#This Row],[Kor1]],$AI$3:$AK$105,3,FALSE)</f>
        <v>Commissions</v>
      </c>
      <c r="AF4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1" spans="18:32" x14ac:dyDescent="0.2">
      <c r="R4731" t="s">
        <v>17</v>
      </c>
      <c r="S4731" t="s">
        <v>241</v>
      </c>
      <c r="T4731" t="s">
        <v>442</v>
      </c>
      <c r="U4731" s="21">
        <v>40133.019999999997</v>
      </c>
      <c r="V4731" s="21" t="s">
        <v>368</v>
      </c>
      <c r="W4731" t="str">
        <f>VLOOKUP(Table_Query_from_Actuarial___Production[[#This Row],[Kor1]],$AI$3:$AK$105,3,FALSE)</f>
        <v>IBNR</v>
      </c>
      <c r="X4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1"/>
      <c r="Z4731" t="s">
        <v>15</v>
      </c>
      <c r="AA4731" t="s">
        <v>225</v>
      </c>
      <c r="AB4731" t="s">
        <v>442</v>
      </c>
      <c r="AC4731" s="21">
        <v>38978.36</v>
      </c>
      <c r="AD4731" s="21" t="s">
        <v>369</v>
      </c>
      <c r="AE4731" t="str">
        <f>VLOOKUP(Table_Query_from_Actuarial___Production3[[#This Row],[Kor1]],$AI$3:$AK$105,3,FALSE)</f>
        <v>Unearned Premiums</v>
      </c>
      <c r="AF4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732" spans="18:32" x14ac:dyDescent="0.2">
      <c r="R4732" t="s">
        <v>47</v>
      </c>
      <c r="S4732" t="s">
        <v>246</v>
      </c>
      <c r="T4732" t="s">
        <v>9</v>
      </c>
      <c r="U4732" s="21">
        <v>232.49</v>
      </c>
      <c r="V4732" s="21" t="s">
        <v>368</v>
      </c>
      <c r="W4732" t="str">
        <f>VLOOKUP(Table_Query_from_Actuarial___Production[[#This Row],[Kor1]],$AI$3:$AK$105,3,FALSE)</f>
        <v>Investment Income</v>
      </c>
      <c r="X4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2"/>
      <c r="Z4732" t="s">
        <v>14</v>
      </c>
      <c r="AA4732" t="s">
        <v>228</v>
      </c>
      <c r="AB4732" t="s">
        <v>9</v>
      </c>
      <c r="AC4732" s="21">
        <v>2465.4</v>
      </c>
      <c r="AD4732" s="21" t="s">
        <v>368</v>
      </c>
      <c r="AE4732" t="str">
        <f>VLOOKUP(Table_Query_from_Actuarial___Production3[[#This Row],[Kor1]],$AI$3:$AK$105,3,FALSE)</f>
        <v>Claims Expense</v>
      </c>
      <c r="AF4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3" spans="18:32" x14ac:dyDescent="0.2">
      <c r="R4733" t="s">
        <v>49</v>
      </c>
      <c r="S4733" t="s">
        <v>246</v>
      </c>
      <c r="T4733" t="s">
        <v>9</v>
      </c>
      <c r="U4733" s="21">
        <v>92.47</v>
      </c>
      <c r="V4733" s="21" t="s">
        <v>368</v>
      </c>
      <c r="W4733" t="str">
        <f>VLOOKUP(Table_Query_from_Actuarial___Production[[#This Row],[Kor1]],$AI$3:$AK$105,3,FALSE)</f>
        <v>ALAE Paid</v>
      </c>
      <c r="X4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3"/>
      <c r="Z4733" t="s">
        <v>3</v>
      </c>
      <c r="AA4733" t="s">
        <v>253</v>
      </c>
      <c r="AB4733" t="s">
        <v>441</v>
      </c>
      <c r="AC4733" s="21">
        <v>44320</v>
      </c>
      <c r="AD4733" s="21" t="s">
        <v>368</v>
      </c>
      <c r="AE4733" t="str">
        <f>VLOOKUP(Table_Query_from_Actuarial___Production3[[#This Row],[Kor1]],$AI$3:$AK$105,3,FALSE)</f>
        <v>Premiums Written</v>
      </c>
      <c r="AF4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4" spans="18:32" x14ac:dyDescent="0.2">
      <c r="R4734" t="s">
        <v>50</v>
      </c>
      <c r="S4734" t="s">
        <v>226</v>
      </c>
      <c r="T4734" t="s">
        <v>9</v>
      </c>
      <c r="U4734" s="21">
        <v>10500</v>
      </c>
      <c r="V4734" s="21" t="s">
        <v>368</v>
      </c>
      <c r="W4734" t="str">
        <f>VLOOKUP(Table_Query_from_Actuarial___Production[[#This Row],[Kor1]],$AI$3:$AK$105,3,FALSE)</f>
        <v>ALAE Reserve</v>
      </c>
      <c r="X4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4734"/>
      <c r="Z4734" t="s">
        <v>13</v>
      </c>
      <c r="AA4734" t="s">
        <v>249</v>
      </c>
      <c r="AB4734" t="s">
        <v>442</v>
      </c>
      <c r="AC4734" s="21">
        <v>149136.39000000001</v>
      </c>
      <c r="AD4734" s="21" t="s">
        <v>368</v>
      </c>
      <c r="AE4734" t="str">
        <f>VLOOKUP(Table_Query_from_Actuarial___Production3[[#This Row],[Kor1]],$AI$3:$AK$105,3,FALSE)</f>
        <v>Operating Service Fees</v>
      </c>
      <c r="AF4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5" spans="18:32" x14ac:dyDescent="0.2">
      <c r="R4735" t="s">
        <v>11</v>
      </c>
      <c r="S4735" t="s">
        <v>251</v>
      </c>
      <c r="T4735" t="s">
        <v>443</v>
      </c>
      <c r="U4735" s="21">
        <v>136860.45000000001</v>
      </c>
      <c r="V4735" s="21" t="s">
        <v>368</v>
      </c>
      <c r="W4735" t="str">
        <f>VLOOKUP(Table_Query_from_Actuarial___Production[[#This Row],[Kor1]],$AI$3:$AK$105,3,FALSE)</f>
        <v>Losses Paid</v>
      </c>
      <c r="X4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5"/>
      <c r="Z4735" t="s">
        <v>21</v>
      </c>
      <c r="AA4735" t="s">
        <v>231</v>
      </c>
      <c r="AB4735" t="s">
        <v>442</v>
      </c>
      <c r="AC4735" s="21">
        <v>1580.54</v>
      </c>
      <c r="AD4735" s="21" t="s">
        <v>368</v>
      </c>
      <c r="AE4735" t="str">
        <f>VLOOKUP(Table_Query_from_Actuarial___Production3[[#This Row],[Kor1]],$AI$3:$AK$105,3,FALSE)</f>
        <v>Misc. Expense</v>
      </c>
      <c r="AF4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6" spans="18:32" x14ac:dyDescent="0.2">
      <c r="R4736" t="s">
        <v>13</v>
      </c>
      <c r="S4736" t="s">
        <v>257</v>
      </c>
      <c r="T4736" t="s">
        <v>445</v>
      </c>
      <c r="U4736" s="21">
        <v>167770.07999999999</v>
      </c>
      <c r="V4736" s="21" t="s">
        <v>368</v>
      </c>
      <c r="W4736" t="str">
        <f>VLOOKUP(Table_Query_from_Actuarial___Production[[#This Row],[Kor1]],$AI$3:$AK$105,3,FALSE)</f>
        <v>Operating Service Fees</v>
      </c>
      <c r="X4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6"/>
      <c r="Z4736" t="s">
        <v>33</v>
      </c>
      <c r="AA4736" t="s">
        <v>241</v>
      </c>
      <c r="AB4736" t="s">
        <v>442</v>
      </c>
      <c r="AC4736" s="21">
        <v>16602.91</v>
      </c>
      <c r="AD4736" s="21" t="s">
        <v>368</v>
      </c>
      <c r="AE4736" t="str">
        <f>VLOOKUP(Table_Query_from_Actuarial___Production3[[#This Row],[Kor1]],$AI$3:$AK$105,3,FALSE)</f>
        <v>Misc. Expense</v>
      </c>
      <c r="AF4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7" spans="18:32" x14ac:dyDescent="0.2">
      <c r="R4737" t="s">
        <v>17</v>
      </c>
      <c r="S4737" t="s">
        <v>229</v>
      </c>
      <c r="T4737" t="s">
        <v>445</v>
      </c>
      <c r="U4737" s="21">
        <v>6394.53</v>
      </c>
      <c r="V4737" s="21" t="s">
        <v>368</v>
      </c>
      <c r="W4737" t="str">
        <f>VLOOKUP(Table_Query_from_Actuarial___Production[[#This Row],[Kor1]],$AI$3:$AK$105,3,FALSE)</f>
        <v>IBNR</v>
      </c>
      <c r="X4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7"/>
      <c r="Z4737" t="s">
        <v>44</v>
      </c>
      <c r="AA4737" t="s">
        <v>241</v>
      </c>
      <c r="AB4737" t="s">
        <v>7</v>
      </c>
      <c r="AC4737" s="21">
        <v>8379.26</v>
      </c>
      <c r="AD4737" s="21" t="s">
        <v>368</v>
      </c>
      <c r="AE4737" t="str">
        <f>VLOOKUP(Table_Query_from_Actuarial___Production3[[#This Row],[Kor1]],$AI$3:$AK$105,3,FALSE)</f>
        <v>Charge-offs</v>
      </c>
      <c r="AF4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38" spans="18:32" x14ac:dyDescent="0.2">
      <c r="R4738" t="s">
        <v>43</v>
      </c>
      <c r="S4738" t="s">
        <v>265</v>
      </c>
      <c r="T4738" t="s">
        <v>356</v>
      </c>
      <c r="U4738" s="21">
        <v>1464.85</v>
      </c>
      <c r="V4738" s="21" t="s">
        <v>368</v>
      </c>
      <c r="W4738" t="str">
        <f>VLOOKUP(Table_Query_from_Actuarial___Production[[#This Row],[Kor1]],$AI$3:$AK$105,3,FALSE)</f>
        <v>Charge-offs</v>
      </c>
      <c r="X4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8"/>
      <c r="Z4738" t="s">
        <v>46</v>
      </c>
      <c r="AA4738" t="s">
        <v>225</v>
      </c>
      <c r="AB4738" t="s">
        <v>441</v>
      </c>
      <c r="AC4738" s="21">
        <v>8943.9500000000007</v>
      </c>
      <c r="AD4738" s="21" t="s">
        <v>368</v>
      </c>
      <c r="AE4738" t="str">
        <f>VLOOKUP(Table_Query_from_Actuarial___Production3[[#This Row],[Kor1]],$AI$3:$AK$105,3,FALSE)</f>
        <v>Investment Income</v>
      </c>
      <c r="AF4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739" spans="18:32" x14ac:dyDescent="0.2">
      <c r="R4739" t="s">
        <v>11</v>
      </c>
      <c r="S4739" t="s">
        <v>256</v>
      </c>
      <c r="T4739" t="s">
        <v>351</v>
      </c>
      <c r="U4739" s="21">
        <v>310519.94</v>
      </c>
      <c r="V4739" s="21" t="s">
        <v>368</v>
      </c>
      <c r="W4739" t="str">
        <f>VLOOKUP(Table_Query_from_Actuarial___Production[[#This Row],[Kor1]],$AI$3:$AK$105,3,FALSE)</f>
        <v>Losses Paid</v>
      </c>
      <c r="X4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39"/>
      <c r="Z4739" t="s">
        <v>77</v>
      </c>
      <c r="AA4739" t="s">
        <v>229</v>
      </c>
      <c r="AB4739" t="s">
        <v>442</v>
      </c>
      <c r="AC4739" s="21">
        <v>812</v>
      </c>
      <c r="AD4739" s="21" t="s">
        <v>368</v>
      </c>
      <c r="AE4739" t="str">
        <f>VLOOKUP(Table_Query_from_Actuarial___Production3[[#This Row],[Kor1]],$AI$3:$AK$105,3,FALSE)</f>
        <v>PDR</v>
      </c>
      <c r="AF4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0" spans="18:32" x14ac:dyDescent="0.2">
      <c r="R4740" t="s">
        <v>31</v>
      </c>
      <c r="S4740" t="s">
        <v>253</v>
      </c>
      <c r="T4740" t="s">
        <v>433</v>
      </c>
      <c r="U4740" s="21">
        <v>1306.71</v>
      </c>
      <c r="V4740" s="21" t="s">
        <v>368</v>
      </c>
      <c r="W4740" t="str">
        <f>VLOOKUP(Table_Query_from_Actuarial___Production[[#This Row],[Kor1]],$AI$3:$AK$105,3,FALSE)</f>
        <v>Misc. Expense</v>
      </c>
      <c r="X4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0"/>
      <c r="Z4740" t="s">
        <v>12</v>
      </c>
      <c r="AA4740" t="s">
        <v>247</v>
      </c>
      <c r="AB4740" t="s">
        <v>427</v>
      </c>
      <c r="AC4740" s="21">
        <v>335.11</v>
      </c>
      <c r="AD4740" s="21" t="s">
        <v>368</v>
      </c>
      <c r="AE4740" t="str">
        <f>VLOOKUP(Table_Query_from_Actuarial___Production3[[#This Row],[Kor1]],$AI$3:$AK$105,3,FALSE)</f>
        <v>Premium Tax</v>
      </c>
      <c r="AF4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1" spans="18:32" x14ac:dyDescent="0.2">
      <c r="R4741" t="s">
        <v>132</v>
      </c>
      <c r="S4741" t="s">
        <v>354</v>
      </c>
      <c r="T4741" t="s">
        <v>7</v>
      </c>
      <c r="U4741" s="21">
        <v>132414703.3</v>
      </c>
      <c r="V4741" s="21" t="s">
        <v>369</v>
      </c>
      <c r="W4741" t="str">
        <f>VLOOKUP(Table_Query_from_Actuarial___Production[[#This Row],[Kor1]],$AI$3:$AK$105,3,FALSE)</f>
        <v>Clean Risk Subsidy</v>
      </c>
      <c r="X4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741"/>
      <c r="Z4741" t="s">
        <v>48</v>
      </c>
      <c r="AA4741" t="s">
        <v>225</v>
      </c>
      <c r="AB4741" t="s">
        <v>442</v>
      </c>
      <c r="AC4741" s="21">
        <v>3096.88</v>
      </c>
      <c r="AD4741" s="21" t="s">
        <v>368</v>
      </c>
      <c r="AE4741" t="str">
        <f>VLOOKUP(Table_Query_from_Actuarial___Production3[[#This Row],[Kor1]],$AI$3:$AK$105,3,FALSE)</f>
        <v>Anticipated Salvage</v>
      </c>
      <c r="AF4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742" spans="18:32" x14ac:dyDescent="0.2">
      <c r="R4742" t="s">
        <v>17</v>
      </c>
      <c r="S4742" t="s">
        <v>235</v>
      </c>
      <c r="T4742" t="s">
        <v>433</v>
      </c>
      <c r="U4742" s="21">
        <v>3617.69</v>
      </c>
      <c r="V4742" s="21" t="s">
        <v>368</v>
      </c>
      <c r="W4742" t="str">
        <f>VLOOKUP(Table_Query_from_Actuarial___Production[[#This Row],[Kor1]],$AI$3:$AK$105,3,FALSE)</f>
        <v>IBNR</v>
      </c>
      <c r="X4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2"/>
      <c r="Z4742" t="s">
        <v>33</v>
      </c>
      <c r="AA4742" t="s">
        <v>263</v>
      </c>
      <c r="AB4742" t="s">
        <v>427</v>
      </c>
      <c r="AC4742" s="21">
        <v>12951.38</v>
      </c>
      <c r="AD4742" s="21" t="s">
        <v>368</v>
      </c>
      <c r="AE4742" t="str">
        <f>VLOOKUP(Table_Query_from_Actuarial___Production3[[#This Row],[Kor1]],$AI$3:$AK$105,3,FALSE)</f>
        <v>Misc. Expense</v>
      </c>
      <c r="AF4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3" spans="18:32" x14ac:dyDescent="0.2">
      <c r="R4743" t="s">
        <v>439</v>
      </c>
      <c r="S4743" t="s">
        <v>232</v>
      </c>
      <c r="T4743" t="s">
        <v>433</v>
      </c>
      <c r="U4743" s="21">
        <v>10070</v>
      </c>
      <c r="V4743" s="21" t="s">
        <v>368</v>
      </c>
      <c r="W4743" t="str">
        <f>VLOOKUP(Table_Query_from_Actuarial___Production[[#This Row],[Kor1]],$AI$3:$AK$105,3,FALSE)</f>
        <v>Operating Service Fees</v>
      </c>
      <c r="X4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3"/>
      <c r="Z4743" t="s">
        <v>47</v>
      </c>
      <c r="AA4743" t="s">
        <v>252</v>
      </c>
      <c r="AB4743" t="s">
        <v>6</v>
      </c>
      <c r="AC4743" s="21">
        <v>0.45</v>
      </c>
      <c r="AD4743" s="21" t="s">
        <v>368</v>
      </c>
      <c r="AE4743" t="str">
        <f>VLOOKUP(Table_Query_from_Actuarial___Production3[[#This Row],[Kor1]],$AI$3:$AK$105,3,FALSE)</f>
        <v>Investment Income</v>
      </c>
      <c r="AF4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4" spans="18:32" x14ac:dyDescent="0.2">
      <c r="R4744" t="s">
        <v>3</v>
      </c>
      <c r="S4744" t="s">
        <v>231</v>
      </c>
      <c r="T4744" t="s">
        <v>445</v>
      </c>
      <c r="U4744" s="21">
        <v>1281501</v>
      </c>
      <c r="V4744" s="21" t="s">
        <v>368</v>
      </c>
      <c r="W4744" t="str">
        <f>VLOOKUP(Table_Query_from_Actuarial___Production[[#This Row],[Kor1]],$AI$3:$AK$105,3,FALSE)</f>
        <v>Premiums Written</v>
      </c>
      <c r="X4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4"/>
      <c r="Z4744" t="s">
        <v>12</v>
      </c>
      <c r="AA4744" t="s">
        <v>252</v>
      </c>
      <c r="AB4744" t="s">
        <v>427</v>
      </c>
      <c r="AC4744" s="21">
        <v>625998.18999999994</v>
      </c>
      <c r="AD4744" s="21" t="s">
        <v>368</v>
      </c>
      <c r="AE4744" t="str">
        <f>VLOOKUP(Table_Query_from_Actuarial___Production3[[#This Row],[Kor1]],$AI$3:$AK$105,3,FALSE)</f>
        <v>Premium Tax</v>
      </c>
      <c r="AF4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5" spans="18:32" x14ac:dyDescent="0.2">
      <c r="R4745" t="s">
        <v>43</v>
      </c>
      <c r="S4745" t="s">
        <v>264</v>
      </c>
      <c r="T4745" t="s">
        <v>441</v>
      </c>
      <c r="U4745" s="21">
        <v>-291.12</v>
      </c>
      <c r="V4745" s="21" t="s">
        <v>368</v>
      </c>
      <c r="W4745" t="str">
        <f>VLOOKUP(Table_Query_from_Actuarial___Production[[#This Row],[Kor1]],$AI$3:$AK$105,3,FALSE)</f>
        <v>Charge-offs</v>
      </c>
      <c r="X4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5"/>
      <c r="Z4745" t="s">
        <v>31</v>
      </c>
      <c r="AA4745" t="s">
        <v>228</v>
      </c>
      <c r="AB4745" t="s">
        <v>6</v>
      </c>
      <c r="AC4745" s="21">
        <v>631.98</v>
      </c>
      <c r="AD4745" s="21" t="s">
        <v>368</v>
      </c>
      <c r="AE4745" t="str">
        <f>VLOOKUP(Table_Query_from_Actuarial___Production3[[#This Row],[Kor1]],$AI$3:$AK$105,3,FALSE)</f>
        <v>Misc. Expense</v>
      </c>
      <c r="AF4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6" spans="18:32" x14ac:dyDescent="0.2">
      <c r="R4746" t="s">
        <v>37</v>
      </c>
      <c r="S4746" t="s">
        <v>229</v>
      </c>
      <c r="T4746" t="s">
        <v>441</v>
      </c>
      <c r="U4746" s="21">
        <v>834.84</v>
      </c>
      <c r="V4746" s="21" t="s">
        <v>368</v>
      </c>
      <c r="W4746" t="str">
        <f>VLOOKUP(Table_Query_from_Actuarial___Production[[#This Row],[Kor1]],$AI$3:$AK$105,3,FALSE)</f>
        <v>Misc. Expense</v>
      </c>
      <c r="X4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6"/>
      <c r="Z4746" t="s">
        <v>47</v>
      </c>
      <c r="AA4746" t="s">
        <v>260</v>
      </c>
      <c r="AB4746" t="s">
        <v>441</v>
      </c>
      <c r="AC4746" s="21">
        <v>26.59</v>
      </c>
      <c r="AD4746" s="21" t="s">
        <v>368</v>
      </c>
      <c r="AE4746" t="str">
        <f>VLOOKUP(Table_Query_from_Actuarial___Production3[[#This Row],[Kor1]],$AI$3:$AK$105,3,FALSE)</f>
        <v>Investment Income</v>
      </c>
      <c r="AF4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7" spans="18:32" x14ac:dyDescent="0.2">
      <c r="R4747" t="s">
        <v>37</v>
      </c>
      <c r="S4747" t="s">
        <v>230</v>
      </c>
      <c r="T4747" t="s">
        <v>8</v>
      </c>
      <c r="U4747" s="21">
        <v>68954.94</v>
      </c>
      <c r="V4747" s="21" t="s">
        <v>368</v>
      </c>
      <c r="W4747" t="str">
        <f>VLOOKUP(Table_Query_from_Actuarial___Production[[#This Row],[Kor1]],$AI$3:$AK$105,3,FALSE)</f>
        <v>Misc. Expense</v>
      </c>
      <c r="X4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7"/>
      <c r="Z4747" t="s">
        <v>46</v>
      </c>
      <c r="AA4747" t="s">
        <v>224</v>
      </c>
      <c r="AB4747" t="s">
        <v>351</v>
      </c>
      <c r="AC4747" s="21">
        <v>535.46</v>
      </c>
      <c r="AD4747" s="21" t="s">
        <v>425</v>
      </c>
      <c r="AE4747" t="str">
        <f>VLOOKUP(Table_Query_from_Actuarial___Production3[[#This Row],[Kor1]],$AI$3:$AK$105,3,FALSE)</f>
        <v>Investment Income</v>
      </c>
      <c r="AF4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748" spans="18:32" x14ac:dyDescent="0.2">
      <c r="R4748" t="s">
        <v>47</v>
      </c>
      <c r="S4748" t="s">
        <v>262</v>
      </c>
      <c r="T4748" t="s">
        <v>8</v>
      </c>
      <c r="U4748" s="21">
        <v>0.14000000000000001</v>
      </c>
      <c r="V4748" s="21" t="s">
        <v>368</v>
      </c>
      <c r="W4748" t="str">
        <f>VLOOKUP(Table_Query_from_Actuarial___Production[[#This Row],[Kor1]],$AI$3:$AK$105,3,FALSE)</f>
        <v>Investment Income</v>
      </c>
      <c r="X4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8"/>
      <c r="Z4748" t="s">
        <v>16</v>
      </c>
      <c r="AA4748" t="s">
        <v>248</v>
      </c>
      <c r="AB4748" t="s">
        <v>441</v>
      </c>
      <c r="AC4748" s="21">
        <v>514967.65</v>
      </c>
      <c r="AD4748" s="21" t="s">
        <v>368</v>
      </c>
      <c r="AE4748" t="str">
        <f>VLOOKUP(Table_Query_from_Actuarial___Production3[[#This Row],[Kor1]],$AI$3:$AK$105,3,FALSE)</f>
        <v>Losses Outstanding</v>
      </c>
      <c r="AF4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49" spans="18:32" x14ac:dyDescent="0.2">
      <c r="R4749" t="s">
        <v>12</v>
      </c>
      <c r="S4749" t="s">
        <v>236</v>
      </c>
      <c r="T4749" t="s">
        <v>6</v>
      </c>
      <c r="U4749" s="21">
        <v>855.54</v>
      </c>
      <c r="V4749" s="21" t="s">
        <v>368</v>
      </c>
      <c r="W4749" t="str">
        <f>VLOOKUP(Table_Query_from_Actuarial___Production[[#This Row],[Kor1]],$AI$3:$AK$105,3,FALSE)</f>
        <v>Premium Tax</v>
      </c>
      <c r="X4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49"/>
      <c r="Z4749" t="s">
        <v>10</v>
      </c>
      <c r="AA4749" t="s">
        <v>224</v>
      </c>
      <c r="AB4749" t="s">
        <v>6</v>
      </c>
      <c r="AC4749" s="21">
        <v>8173.98</v>
      </c>
      <c r="AD4749" s="21" t="s">
        <v>425</v>
      </c>
      <c r="AE4749" t="str">
        <f>VLOOKUP(Table_Query_from_Actuarial___Production3[[#This Row],[Kor1]],$AI$3:$AK$105,3,FALSE)</f>
        <v>Commissions</v>
      </c>
      <c r="AF4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750" spans="18:32" x14ac:dyDescent="0.2">
      <c r="R4750" t="s">
        <v>21</v>
      </c>
      <c r="S4750" t="s">
        <v>262</v>
      </c>
      <c r="T4750" t="s">
        <v>8</v>
      </c>
      <c r="U4750" s="21">
        <v>436</v>
      </c>
      <c r="V4750" s="21" t="s">
        <v>368</v>
      </c>
      <c r="W4750" t="str">
        <f>VLOOKUP(Table_Query_from_Actuarial___Production[[#This Row],[Kor1]],$AI$3:$AK$105,3,FALSE)</f>
        <v>Misc. Expense</v>
      </c>
      <c r="X4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0"/>
      <c r="Z4750" t="s">
        <v>49</v>
      </c>
      <c r="AA4750" t="s">
        <v>244</v>
      </c>
      <c r="AB4750" t="s">
        <v>7</v>
      </c>
      <c r="AC4750" s="21">
        <v>-12980.1</v>
      </c>
      <c r="AD4750" s="21" t="s">
        <v>368</v>
      </c>
      <c r="AE4750" t="str">
        <f>VLOOKUP(Table_Query_from_Actuarial___Production3[[#This Row],[Kor1]],$AI$3:$AK$105,3,FALSE)</f>
        <v>ALAE Paid</v>
      </c>
      <c r="AF4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1" spans="18:32" x14ac:dyDescent="0.2">
      <c r="R4751" t="s">
        <v>41</v>
      </c>
      <c r="S4751" t="s">
        <v>264</v>
      </c>
      <c r="T4751" t="s">
        <v>9</v>
      </c>
      <c r="U4751" s="21">
        <v>250.02</v>
      </c>
      <c r="V4751" s="21" t="s">
        <v>368</v>
      </c>
      <c r="W4751" t="str">
        <f>VLOOKUP(Table_Query_from_Actuarial___Production[[#This Row],[Kor1]],$AI$3:$AK$105,3,FALSE)</f>
        <v>Misc. Income</v>
      </c>
      <c r="X4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1"/>
      <c r="Z4751" t="s">
        <v>17</v>
      </c>
      <c r="AA4751" t="s">
        <v>241</v>
      </c>
      <c r="AB4751" t="s">
        <v>442</v>
      </c>
      <c r="AC4751" s="21">
        <v>55035.43</v>
      </c>
      <c r="AD4751" s="21" t="s">
        <v>368</v>
      </c>
      <c r="AE4751" t="str">
        <f>VLOOKUP(Table_Query_from_Actuarial___Production3[[#This Row],[Kor1]],$AI$3:$AK$105,3,FALSE)</f>
        <v>IBNR</v>
      </c>
      <c r="AF4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2" spans="18:32" x14ac:dyDescent="0.2">
      <c r="R4752" t="s">
        <v>28</v>
      </c>
      <c r="S4752" t="s">
        <v>259</v>
      </c>
      <c r="T4752" t="s">
        <v>6</v>
      </c>
      <c r="U4752" s="21">
        <v>253.93</v>
      </c>
      <c r="V4752" s="21" t="s">
        <v>368</v>
      </c>
      <c r="W4752" t="str">
        <f>VLOOKUP(Table_Query_from_Actuarial___Production[[#This Row],[Kor1]],$AI$3:$AK$105,3,FALSE)</f>
        <v>Misc. Expense</v>
      </c>
      <c r="X4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2"/>
      <c r="Z4752" t="s">
        <v>47</v>
      </c>
      <c r="AA4752" t="s">
        <v>246</v>
      </c>
      <c r="AB4752" t="s">
        <v>9</v>
      </c>
      <c r="AC4752" s="21">
        <v>232.49</v>
      </c>
      <c r="AD4752" s="21" t="s">
        <v>368</v>
      </c>
      <c r="AE4752" t="str">
        <f>VLOOKUP(Table_Query_from_Actuarial___Production3[[#This Row],[Kor1]],$AI$3:$AK$105,3,FALSE)</f>
        <v>Investment Income</v>
      </c>
      <c r="AF4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3" spans="18:32" x14ac:dyDescent="0.2">
      <c r="R4753" t="s">
        <v>36</v>
      </c>
      <c r="S4753" t="s">
        <v>241</v>
      </c>
      <c r="T4753" t="s">
        <v>443</v>
      </c>
      <c r="U4753" s="21">
        <v>3327.32</v>
      </c>
      <c r="V4753" s="21" t="s">
        <v>368</v>
      </c>
      <c r="W4753" t="str">
        <f>VLOOKUP(Table_Query_from_Actuarial___Production[[#This Row],[Kor1]],$AI$3:$AK$105,3,FALSE)</f>
        <v>Misc. Expense</v>
      </c>
      <c r="X4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3"/>
      <c r="Z4753" t="s">
        <v>49</v>
      </c>
      <c r="AA4753" t="s">
        <v>246</v>
      </c>
      <c r="AB4753" t="s">
        <v>9</v>
      </c>
      <c r="AC4753" s="21">
        <v>92.47</v>
      </c>
      <c r="AD4753" s="21" t="s">
        <v>368</v>
      </c>
      <c r="AE4753" t="str">
        <f>VLOOKUP(Table_Query_from_Actuarial___Production3[[#This Row],[Kor1]],$AI$3:$AK$105,3,FALSE)</f>
        <v>ALAE Paid</v>
      </c>
      <c r="AF4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4" spans="18:32" x14ac:dyDescent="0.2">
      <c r="R4754" t="s">
        <v>439</v>
      </c>
      <c r="S4754" t="s">
        <v>229</v>
      </c>
      <c r="T4754" t="s">
        <v>443</v>
      </c>
      <c r="U4754" s="21">
        <v>-3707.88</v>
      </c>
      <c r="V4754" s="21" t="s">
        <v>368</v>
      </c>
      <c r="W4754" t="str">
        <f>VLOOKUP(Table_Query_from_Actuarial___Production[[#This Row],[Kor1]],$AI$3:$AK$105,3,FALSE)</f>
        <v>Operating Service Fees</v>
      </c>
      <c r="X4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4"/>
      <c r="Z4754" t="s">
        <v>50</v>
      </c>
      <c r="AA4754" t="s">
        <v>226</v>
      </c>
      <c r="AB4754" t="s">
        <v>9</v>
      </c>
      <c r="AC4754" s="21">
        <v>24510</v>
      </c>
      <c r="AD4754" s="21" t="s">
        <v>368</v>
      </c>
      <c r="AE4754" t="str">
        <f>VLOOKUP(Table_Query_from_Actuarial___Production3[[#This Row],[Kor1]],$AI$3:$AK$105,3,FALSE)</f>
        <v>ALAE Reserve</v>
      </c>
      <c r="AF4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4755" spans="18:32" x14ac:dyDescent="0.2">
      <c r="R4755" t="s">
        <v>11</v>
      </c>
      <c r="S4755" t="s">
        <v>263</v>
      </c>
      <c r="T4755" t="s">
        <v>441</v>
      </c>
      <c r="U4755" s="21">
        <v>581742.88</v>
      </c>
      <c r="V4755" s="21" t="s">
        <v>368</v>
      </c>
      <c r="W4755" t="str">
        <f>VLOOKUP(Table_Query_from_Actuarial___Production[[#This Row],[Kor1]],$AI$3:$AK$105,3,FALSE)</f>
        <v>Losses Paid</v>
      </c>
      <c r="X4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5"/>
      <c r="Z4755" t="s">
        <v>43</v>
      </c>
      <c r="AA4755" t="s">
        <v>265</v>
      </c>
      <c r="AB4755" t="s">
        <v>356</v>
      </c>
      <c r="AC4755" s="21">
        <v>1464.85</v>
      </c>
      <c r="AD4755" s="21" t="s">
        <v>368</v>
      </c>
      <c r="AE4755" t="str">
        <f>VLOOKUP(Table_Query_from_Actuarial___Production3[[#This Row],[Kor1]],$AI$3:$AK$105,3,FALSE)</f>
        <v>Charge-offs</v>
      </c>
      <c r="AF4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6" spans="18:32" x14ac:dyDescent="0.2">
      <c r="R4756" t="s">
        <v>47</v>
      </c>
      <c r="S4756" t="s">
        <v>259</v>
      </c>
      <c r="T4756" t="s">
        <v>443</v>
      </c>
      <c r="U4756" s="21">
        <v>3343.39</v>
      </c>
      <c r="V4756" s="21" t="s">
        <v>368</v>
      </c>
      <c r="W4756" t="str">
        <f>VLOOKUP(Table_Query_from_Actuarial___Production[[#This Row],[Kor1]],$AI$3:$AK$105,3,FALSE)</f>
        <v>Investment Income</v>
      </c>
      <c r="X4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6"/>
      <c r="Z4756" t="s">
        <v>11</v>
      </c>
      <c r="AA4756" t="s">
        <v>256</v>
      </c>
      <c r="AB4756" t="s">
        <v>351</v>
      </c>
      <c r="AC4756" s="21">
        <v>310519.94</v>
      </c>
      <c r="AD4756" s="21" t="s">
        <v>368</v>
      </c>
      <c r="AE4756" t="str">
        <f>VLOOKUP(Table_Query_from_Actuarial___Production3[[#This Row],[Kor1]],$AI$3:$AK$105,3,FALSE)</f>
        <v>Losses Paid</v>
      </c>
      <c r="AF4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7" spans="18:32" x14ac:dyDescent="0.2">
      <c r="R4757" t="s">
        <v>30</v>
      </c>
      <c r="S4757" t="s">
        <v>259</v>
      </c>
      <c r="T4757" t="s">
        <v>442</v>
      </c>
      <c r="U4757" s="21">
        <v>13.22</v>
      </c>
      <c r="V4757" s="21" t="s">
        <v>368</v>
      </c>
      <c r="W4757" t="str">
        <f>VLOOKUP(Table_Query_from_Actuarial___Production[[#This Row],[Kor1]],$AI$3:$AK$105,3,FALSE)</f>
        <v>Misc. Expense</v>
      </c>
      <c r="X4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7"/>
      <c r="Z4757" t="s">
        <v>31</v>
      </c>
      <c r="AA4757" t="s">
        <v>253</v>
      </c>
      <c r="AB4757" t="s">
        <v>433</v>
      </c>
      <c r="AC4757" s="21">
        <v>1306.71</v>
      </c>
      <c r="AD4757" s="21" t="s">
        <v>368</v>
      </c>
      <c r="AE4757" t="str">
        <f>VLOOKUP(Table_Query_from_Actuarial___Production3[[#This Row],[Kor1]],$AI$3:$AK$105,3,FALSE)</f>
        <v>Misc. Expense</v>
      </c>
      <c r="AF4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58" spans="18:32" x14ac:dyDescent="0.2">
      <c r="R4758" t="s">
        <v>3</v>
      </c>
      <c r="S4758" t="s">
        <v>266</v>
      </c>
      <c r="T4758" t="s">
        <v>441</v>
      </c>
      <c r="U4758" s="21">
        <v>1764972</v>
      </c>
      <c r="V4758" s="21" t="s">
        <v>368</v>
      </c>
      <c r="W4758" t="str">
        <f>VLOOKUP(Table_Query_from_Actuarial___Production[[#This Row],[Kor1]],$AI$3:$AK$105,3,FALSE)</f>
        <v>Premiums Written</v>
      </c>
      <c r="X4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8"/>
      <c r="Z4758" t="s">
        <v>132</v>
      </c>
      <c r="AA4758" t="s">
        <v>354</v>
      </c>
      <c r="AB4758" t="s">
        <v>7</v>
      </c>
      <c r="AC4758" s="21">
        <v>132414696.88</v>
      </c>
      <c r="AD4758" s="21" t="s">
        <v>369</v>
      </c>
      <c r="AE4758" t="str">
        <f>VLOOKUP(Table_Query_from_Actuarial___Production3[[#This Row],[Kor1]],$AI$3:$AK$105,3,FALSE)</f>
        <v>Clean Risk Subsidy</v>
      </c>
      <c r="AF4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759" spans="18:32" x14ac:dyDescent="0.2">
      <c r="R4759" t="s">
        <v>36</v>
      </c>
      <c r="S4759" t="s">
        <v>4</v>
      </c>
      <c r="T4759" t="s">
        <v>8</v>
      </c>
      <c r="U4759" s="21">
        <v>292015.17</v>
      </c>
      <c r="V4759" s="21" t="s">
        <v>368</v>
      </c>
      <c r="W4759" t="str">
        <f>VLOOKUP(Table_Query_from_Actuarial___Production[[#This Row],[Kor1]],$AI$3:$AK$105,3,FALSE)</f>
        <v>Misc. Expense</v>
      </c>
      <c r="X4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59"/>
      <c r="Z4759" t="s">
        <v>13</v>
      </c>
      <c r="AA4759" t="s">
        <v>265</v>
      </c>
      <c r="AB4759" t="s">
        <v>5</v>
      </c>
      <c r="AC4759" s="21">
        <v>29390.11</v>
      </c>
      <c r="AD4759" s="21" t="s">
        <v>368</v>
      </c>
      <c r="AE4759" t="str">
        <f>VLOOKUP(Table_Query_from_Actuarial___Production3[[#This Row],[Kor1]],$AI$3:$AK$105,3,FALSE)</f>
        <v>Operating Service Fees</v>
      </c>
      <c r="AF4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0" spans="18:32" x14ac:dyDescent="0.2">
      <c r="R4760" t="s">
        <v>18</v>
      </c>
      <c r="S4760" t="s">
        <v>352</v>
      </c>
      <c r="T4760" t="s">
        <v>442</v>
      </c>
      <c r="U4760" s="21">
        <v>111872.28</v>
      </c>
      <c r="V4760" s="21" t="s">
        <v>369</v>
      </c>
      <c r="W4760" t="str">
        <f>VLOOKUP(Table_Query_from_Actuarial___Production[[#This Row],[Kor1]],$AI$3:$AK$105,3,FALSE)</f>
        <v>Misc. Expense</v>
      </c>
      <c r="X4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760"/>
      <c r="Z4760" t="s">
        <v>17</v>
      </c>
      <c r="AA4760" t="s">
        <v>235</v>
      </c>
      <c r="AB4760" t="s">
        <v>433</v>
      </c>
      <c r="AC4760" s="21">
        <v>10255.11</v>
      </c>
      <c r="AD4760" s="21" t="s">
        <v>368</v>
      </c>
      <c r="AE4760" t="str">
        <f>VLOOKUP(Table_Query_from_Actuarial___Production3[[#This Row],[Kor1]],$AI$3:$AK$105,3,FALSE)</f>
        <v>IBNR</v>
      </c>
      <c r="AF4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1" spans="18:32" x14ac:dyDescent="0.2">
      <c r="R4761" t="s">
        <v>32</v>
      </c>
      <c r="S4761" t="s">
        <v>258</v>
      </c>
      <c r="T4761" t="s">
        <v>356</v>
      </c>
      <c r="U4761" s="21">
        <v>-11106.5</v>
      </c>
      <c r="V4761" s="21" t="s">
        <v>368</v>
      </c>
      <c r="W4761" t="str">
        <f>VLOOKUP(Table_Query_from_Actuarial___Production[[#This Row],[Kor1]],$AI$3:$AK$105,3,FALSE)</f>
        <v>Misc. Expense</v>
      </c>
      <c r="X4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1"/>
      <c r="Z4761" t="s">
        <v>439</v>
      </c>
      <c r="AA4761" t="s">
        <v>232</v>
      </c>
      <c r="AB4761" t="s">
        <v>433</v>
      </c>
      <c r="AC4761" s="21">
        <v>10070</v>
      </c>
      <c r="AD4761" s="21" t="s">
        <v>368</v>
      </c>
      <c r="AE4761" t="str">
        <f>VLOOKUP(Table_Query_from_Actuarial___Production3[[#This Row],[Kor1]],$AI$3:$AK$105,3,FALSE)</f>
        <v>Operating Service Fees</v>
      </c>
      <c r="AF4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2" spans="18:32" x14ac:dyDescent="0.2">
      <c r="R4762" t="s">
        <v>10</v>
      </c>
      <c r="S4762" t="s">
        <v>263</v>
      </c>
      <c r="T4762" t="s">
        <v>6</v>
      </c>
      <c r="U4762" s="21">
        <v>33640.14</v>
      </c>
      <c r="V4762" s="21" t="s">
        <v>368</v>
      </c>
      <c r="W4762" t="str">
        <f>VLOOKUP(Table_Query_from_Actuarial___Production[[#This Row],[Kor1]],$AI$3:$AK$105,3,FALSE)</f>
        <v>Commissions</v>
      </c>
      <c r="X4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2"/>
      <c r="Z4762" t="s">
        <v>43</v>
      </c>
      <c r="AA4762" t="s">
        <v>264</v>
      </c>
      <c r="AB4762" t="s">
        <v>441</v>
      </c>
      <c r="AC4762" s="21">
        <v>-291.12</v>
      </c>
      <c r="AD4762" s="21" t="s">
        <v>368</v>
      </c>
      <c r="AE4762" t="str">
        <f>VLOOKUP(Table_Query_from_Actuarial___Production3[[#This Row],[Kor1]],$AI$3:$AK$105,3,FALSE)</f>
        <v>Charge-offs</v>
      </c>
      <c r="AF4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3" spans="18:32" x14ac:dyDescent="0.2">
      <c r="R4763" t="s">
        <v>44</v>
      </c>
      <c r="S4763" t="s">
        <v>233</v>
      </c>
      <c r="T4763" t="s">
        <v>9</v>
      </c>
      <c r="U4763" s="21">
        <v>30606.37</v>
      </c>
      <c r="V4763" s="21" t="s">
        <v>368</v>
      </c>
      <c r="W4763" t="str">
        <f>VLOOKUP(Table_Query_from_Actuarial___Production[[#This Row],[Kor1]],$AI$3:$AK$105,3,FALSE)</f>
        <v>Charge-offs</v>
      </c>
      <c r="X4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3"/>
      <c r="Z4763" t="s">
        <v>3</v>
      </c>
      <c r="AA4763" t="s">
        <v>224</v>
      </c>
      <c r="AB4763" t="s">
        <v>5</v>
      </c>
      <c r="AC4763" s="21">
        <v>1930695.92</v>
      </c>
      <c r="AD4763" s="21" t="s">
        <v>368</v>
      </c>
      <c r="AE4763" t="str">
        <f>VLOOKUP(Table_Query_from_Actuarial___Production3[[#This Row],[Kor1]],$AI$3:$AK$105,3,FALSE)</f>
        <v>Premiums Written</v>
      </c>
      <c r="AF4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764" spans="18:32" x14ac:dyDescent="0.2">
      <c r="R4764" t="s">
        <v>14</v>
      </c>
      <c r="S4764" t="s">
        <v>224</v>
      </c>
      <c r="T4764" t="s">
        <v>356</v>
      </c>
      <c r="U4764" s="21">
        <v>311406.58</v>
      </c>
      <c r="V4764" s="21" t="s">
        <v>368</v>
      </c>
      <c r="W4764" t="str">
        <f>VLOOKUP(Table_Query_from_Actuarial___Production[[#This Row],[Kor1]],$AI$3:$AK$105,3,FALSE)</f>
        <v>Claims Expense</v>
      </c>
      <c r="X4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764"/>
      <c r="Z4764" t="s">
        <v>37</v>
      </c>
      <c r="AA4764" t="s">
        <v>229</v>
      </c>
      <c r="AB4764" t="s">
        <v>441</v>
      </c>
      <c r="AC4764" s="21">
        <v>834.84</v>
      </c>
      <c r="AD4764" s="21" t="s">
        <v>368</v>
      </c>
      <c r="AE4764" t="str">
        <f>VLOOKUP(Table_Query_from_Actuarial___Production3[[#This Row],[Kor1]],$AI$3:$AK$105,3,FALSE)</f>
        <v>Misc. Expense</v>
      </c>
      <c r="AF4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5" spans="18:32" x14ac:dyDescent="0.2">
      <c r="R4765" t="s">
        <v>11</v>
      </c>
      <c r="S4765" t="s">
        <v>238</v>
      </c>
      <c r="T4765" t="s">
        <v>433</v>
      </c>
      <c r="U4765" s="21">
        <v>538498.6</v>
      </c>
      <c r="V4765" s="21" t="s">
        <v>368</v>
      </c>
      <c r="W4765" t="str">
        <f>VLOOKUP(Table_Query_from_Actuarial___Production[[#This Row],[Kor1]],$AI$3:$AK$105,3,FALSE)</f>
        <v>Losses Paid</v>
      </c>
      <c r="X4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5"/>
      <c r="Z4765" t="s">
        <v>37</v>
      </c>
      <c r="AA4765" t="s">
        <v>230</v>
      </c>
      <c r="AB4765" t="s">
        <v>8</v>
      </c>
      <c r="AC4765" s="21">
        <v>68954.94</v>
      </c>
      <c r="AD4765" s="21" t="s">
        <v>368</v>
      </c>
      <c r="AE4765" t="str">
        <f>VLOOKUP(Table_Query_from_Actuarial___Production3[[#This Row],[Kor1]],$AI$3:$AK$105,3,FALSE)</f>
        <v>Misc. Expense</v>
      </c>
      <c r="AF4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6" spans="18:32" x14ac:dyDescent="0.2">
      <c r="R4766" t="s">
        <v>14</v>
      </c>
      <c r="S4766" t="s">
        <v>238</v>
      </c>
      <c r="T4766" t="s">
        <v>433</v>
      </c>
      <c r="U4766" s="21">
        <v>35524.29</v>
      </c>
      <c r="V4766" s="21" t="s">
        <v>368</v>
      </c>
      <c r="W4766" t="str">
        <f>VLOOKUP(Table_Query_from_Actuarial___Production[[#This Row],[Kor1]],$AI$3:$AK$105,3,FALSE)</f>
        <v>Claims Expense</v>
      </c>
      <c r="X4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6"/>
      <c r="Z4766" t="s">
        <v>47</v>
      </c>
      <c r="AA4766" t="s">
        <v>262</v>
      </c>
      <c r="AB4766" t="s">
        <v>8</v>
      </c>
      <c r="AC4766" s="21">
        <v>0.14000000000000001</v>
      </c>
      <c r="AD4766" s="21" t="s">
        <v>368</v>
      </c>
      <c r="AE4766" t="str">
        <f>VLOOKUP(Table_Query_from_Actuarial___Production3[[#This Row],[Kor1]],$AI$3:$AK$105,3,FALSE)</f>
        <v>Investment Income</v>
      </c>
      <c r="AF4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7" spans="18:32" x14ac:dyDescent="0.2">
      <c r="R4767" t="s">
        <v>39</v>
      </c>
      <c r="S4767" t="s">
        <v>240</v>
      </c>
      <c r="T4767" t="s">
        <v>8</v>
      </c>
      <c r="U4767" s="21">
        <v>1189</v>
      </c>
      <c r="V4767" s="21" t="s">
        <v>368</v>
      </c>
      <c r="W4767" t="str">
        <f>VLOOKUP(Table_Query_from_Actuarial___Production[[#This Row],[Kor1]],$AI$3:$AK$105,3,FALSE)</f>
        <v>Misc. Income for Insolvent Companies</v>
      </c>
      <c r="X4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7"/>
      <c r="Z4767" t="s">
        <v>12</v>
      </c>
      <c r="AA4767" t="s">
        <v>236</v>
      </c>
      <c r="AB4767" t="s">
        <v>6</v>
      </c>
      <c r="AC4767" s="21">
        <v>855.54</v>
      </c>
      <c r="AD4767" s="21" t="s">
        <v>368</v>
      </c>
      <c r="AE4767" t="str">
        <f>VLOOKUP(Table_Query_from_Actuarial___Production3[[#This Row],[Kor1]],$AI$3:$AK$105,3,FALSE)</f>
        <v>Premium Tax</v>
      </c>
      <c r="AF4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8" spans="18:32" x14ac:dyDescent="0.2">
      <c r="R4768" t="s">
        <v>49</v>
      </c>
      <c r="S4768" t="s">
        <v>237</v>
      </c>
      <c r="T4768" t="s">
        <v>427</v>
      </c>
      <c r="U4768" s="21">
        <v>2088790.7</v>
      </c>
      <c r="V4768" s="21" t="s">
        <v>368</v>
      </c>
      <c r="W4768" t="str">
        <f>VLOOKUP(Table_Query_from_Actuarial___Production[[#This Row],[Kor1]],$AI$3:$AK$105,3,FALSE)</f>
        <v>ALAE Paid</v>
      </c>
      <c r="X4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8"/>
      <c r="Z4768" t="s">
        <v>21</v>
      </c>
      <c r="AA4768" t="s">
        <v>262</v>
      </c>
      <c r="AB4768" t="s">
        <v>8</v>
      </c>
      <c r="AC4768" s="21">
        <v>436</v>
      </c>
      <c r="AD4768" s="21" t="s">
        <v>368</v>
      </c>
      <c r="AE4768" t="str">
        <f>VLOOKUP(Table_Query_from_Actuarial___Production3[[#This Row],[Kor1]],$AI$3:$AK$105,3,FALSE)</f>
        <v>Misc. Expense</v>
      </c>
      <c r="AF4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69" spans="18:32" x14ac:dyDescent="0.2">
      <c r="R4769" t="s">
        <v>17</v>
      </c>
      <c r="S4769" t="s">
        <v>245</v>
      </c>
      <c r="T4769" t="s">
        <v>442</v>
      </c>
      <c r="U4769" s="21">
        <v>2180.56</v>
      </c>
      <c r="V4769" s="21" t="s">
        <v>368</v>
      </c>
      <c r="W4769" t="str">
        <f>VLOOKUP(Table_Query_from_Actuarial___Production[[#This Row],[Kor1]],$AI$3:$AK$105,3,FALSE)</f>
        <v>IBNR</v>
      </c>
      <c r="X4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69"/>
      <c r="Z4769" t="s">
        <v>41</v>
      </c>
      <c r="AA4769" t="s">
        <v>264</v>
      </c>
      <c r="AB4769" t="s">
        <v>9</v>
      </c>
      <c r="AC4769" s="21">
        <v>250.02</v>
      </c>
      <c r="AD4769" s="21" t="s">
        <v>368</v>
      </c>
      <c r="AE4769" t="str">
        <f>VLOOKUP(Table_Query_from_Actuarial___Production3[[#This Row],[Kor1]],$AI$3:$AK$105,3,FALSE)</f>
        <v>Misc. Income</v>
      </c>
      <c r="AF4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0" spans="18:32" x14ac:dyDescent="0.2">
      <c r="R4770" t="s">
        <v>40</v>
      </c>
      <c r="S4770" t="s">
        <v>228</v>
      </c>
      <c r="T4770" t="s">
        <v>356</v>
      </c>
      <c r="U4770" s="21">
        <v>283</v>
      </c>
      <c r="V4770" s="21" t="s">
        <v>368</v>
      </c>
      <c r="W4770" t="str">
        <f>VLOOKUP(Table_Query_from_Actuarial___Production[[#This Row],[Kor1]],$AI$3:$AK$105,3,FALSE)</f>
        <v>Misc. Income</v>
      </c>
      <c r="X4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0"/>
      <c r="Z4770" t="s">
        <v>11</v>
      </c>
      <c r="AA4770" t="s">
        <v>224</v>
      </c>
      <c r="AB4770" t="s">
        <v>5</v>
      </c>
      <c r="AC4770" s="21">
        <v>222109.83</v>
      </c>
      <c r="AD4770" s="21" t="s">
        <v>425</v>
      </c>
      <c r="AE4770" t="str">
        <f>VLOOKUP(Table_Query_from_Actuarial___Production3[[#This Row],[Kor1]],$AI$3:$AK$105,3,FALSE)</f>
        <v>Losses Paid</v>
      </c>
      <c r="AF4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771" spans="18:32" x14ac:dyDescent="0.2">
      <c r="R4771" t="s">
        <v>11</v>
      </c>
      <c r="S4771" t="s">
        <v>251</v>
      </c>
      <c r="T4771" t="s">
        <v>427</v>
      </c>
      <c r="U4771" s="21">
        <v>77194.92</v>
      </c>
      <c r="V4771" s="21" t="s">
        <v>368</v>
      </c>
      <c r="W4771" t="str">
        <f>VLOOKUP(Table_Query_from_Actuarial___Production[[#This Row],[Kor1]],$AI$3:$AK$105,3,FALSE)</f>
        <v>Losses Paid</v>
      </c>
      <c r="X4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1"/>
      <c r="Z4771" t="s">
        <v>28</v>
      </c>
      <c r="AA4771" t="s">
        <v>259</v>
      </c>
      <c r="AB4771" t="s">
        <v>6</v>
      </c>
      <c r="AC4771" s="21">
        <v>253.93</v>
      </c>
      <c r="AD4771" s="21" t="s">
        <v>368</v>
      </c>
      <c r="AE4771" t="str">
        <f>VLOOKUP(Table_Query_from_Actuarial___Production3[[#This Row],[Kor1]],$AI$3:$AK$105,3,FALSE)</f>
        <v>Misc. Expense</v>
      </c>
      <c r="AF4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2" spans="18:32" x14ac:dyDescent="0.2">
      <c r="R4772" t="s">
        <v>16</v>
      </c>
      <c r="S4772" t="s">
        <v>231</v>
      </c>
      <c r="T4772" t="s">
        <v>443</v>
      </c>
      <c r="U4772" s="21">
        <v>570120.65</v>
      </c>
      <c r="V4772" s="21" t="s">
        <v>368</v>
      </c>
      <c r="W4772" t="str">
        <f>VLOOKUP(Table_Query_from_Actuarial___Production[[#This Row],[Kor1]],$AI$3:$AK$105,3,FALSE)</f>
        <v>Losses Outstanding</v>
      </c>
      <c r="X4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2"/>
      <c r="Z4772" t="s">
        <v>439</v>
      </c>
      <c r="AA4772" t="s">
        <v>229</v>
      </c>
      <c r="AB4772" t="s">
        <v>443</v>
      </c>
      <c r="AC4772" s="21">
        <v>-3707.88</v>
      </c>
      <c r="AD4772" s="21" t="s">
        <v>368</v>
      </c>
      <c r="AE4772" t="str">
        <f>VLOOKUP(Table_Query_from_Actuarial___Production3[[#This Row],[Kor1]],$AI$3:$AK$105,3,FALSE)</f>
        <v>Operating Service Fees</v>
      </c>
      <c r="AF4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3" spans="18:32" x14ac:dyDescent="0.2">
      <c r="R4773" t="s">
        <v>21</v>
      </c>
      <c r="S4773" t="s">
        <v>239</v>
      </c>
      <c r="T4773" t="s">
        <v>7</v>
      </c>
      <c r="U4773" s="21">
        <v>106</v>
      </c>
      <c r="V4773" s="21" t="s">
        <v>368</v>
      </c>
      <c r="W4773" t="str">
        <f>VLOOKUP(Table_Query_from_Actuarial___Production[[#This Row],[Kor1]],$AI$3:$AK$105,3,FALSE)</f>
        <v>Misc. Expense</v>
      </c>
      <c r="X4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3"/>
      <c r="Z4773" t="s">
        <v>47</v>
      </c>
      <c r="AA4773" t="s">
        <v>232</v>
      </c>
      <c r="AB4773" t="s">
        <v>5</v>
      </c>
      <c r="AC4773" s="21">
        <v>3.47</v>
      </c>
      <c r="AD4773" s="21" t="s">
        <v>368</v>
      </c>
      <c r="AE4773" t="str">
        <f>VLOOKUP(Table_Query_from_Actuarial___Production3[[#This Row],[Kor1]],$AI$3:$AK$105,3,FALSE)</f>
        <v>Investment Income</v>
      </c>
      <c r="AF4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4" spans="18:32" x14ac:dyDescent="0.2">
      <c r="R4774" t="s">
        <v>12</v>
      </c>
      <c r="S4774" t="s">
        <v>233</v>
      </c>
      <c r="T4774" t="s">
        <v>443</v>
      </c>
      <c r="U4774" s="21">
        <v>27426.560000000001</v>
      </c>
      <c r="V4774" s="21" t="s">
        <v>368</v>
      </c>
      <c r="W4774" t="str">
        <f>VLOOKUP(Table_Query_from_Actuarial___Production[[#This Row],[Kor1]],$AI$3:$AK$105,3,FALSE)</f>
        <v>Premium Tax</v>
      </c>
      <c r="X4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4"/>
      <c r="Z4774" t="s">
        <v>11</v>
      </c>
      <c r="AA4774" t="s">
        <v>263</v>
      </c>
      <c r="AB4774" t="s">
        <v>441</v>
      </c>
      <c r="AC4774" s="21">
        <v>86639.81</v>
      </c>
      <c r="AD4774" s="21" t="s">
        <v>368</v>
      </c>
      <c r="AE4774" t="str">
        <f>VLOOKUP(Table_Query_from_Actuarial___Production3[[#This Row],[Kor1]],$AI$3:$AK$105,3,FALSE)</f>
        <v>Losses Paid</v>
      </c>
      <c r="AF4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5" spans="18:32" x14ac:dyDescent="0.2">
      <c r="R4775" t="s">
        <v>37</v>
      </c>
      <c r="S4775" t="s">
        <v>252</v>
      </c>
      <c r="T4775" t="s">
        <v>351</v>
      </c>
      <c r="U4775" s="21">
        <v>21623.94</v>
      </c>
      <c r="V4775" s="21" t="s">
        <v>368</v>
      </c>
      <c r="W4775" t="str">
        <f>VLOOKUP(Table_Query_from_Actuarial___Production[[#This Row],[Kor1]],$AI$3:$AK$105,3,FALSE)</f>
        <v>Misc. Expense</v>
      </c>
      <c r="X4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5"/>
      <c r="Z4775" t="s">
        <v>44</v>
      </c>
      <c r="AA4775" t="s">
        <v>243</v>
      </c>
      <c r="AB4775" t="s">
        <v>5</v>
      </c>
      <c r="AC4775" s="21">
        <v>5443</v>
      </c>
      <c r="AD4775" s="21" t="s">
        <v>368</v>
      </c>
      <c r="AE4775" t="str">
        <f>VLOOKUP(Table_Query_from_Actuarial___Production3[[#This Row],[Kor1]],$AI$3:$AK$105,3,FALSE)</f>
        <v>Charge-offs</v>
      </c>
      <c r="AF4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6" spans="18:32" x14ac:dyDescent="0.2">
      <c r="R4776" t="s">
        <v>47</v>
      </c>
      <c r="S4776" t="s">
        <v>244</v>
      </c>
      <c r="T4776" t="s">
        <v>7</v>
      </c>
      <c r="U4776" s="21">
        <v>0.04</v>
      </c>
      <c r="V4776" s="21" t="s">
        <v>368</v>
      </c>
      <c r="W4776" t="str">
        <f>VLOOKUP(Table_Query_from_Actuarial___Production[[#This Row],[Kor1]],$AI$3:$AK$105,3,FALSE)</f>
        <v>Investment Income</v>
      </c>
      <c r="X4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6"/>
      <c r="Z4776" t="s">
        <v>47</v>
      </c>
      <c r="AA4776" t="s">
        <v>259</v>
      </c>
      <c r="AB4776" t="s">
        <v>443</v>
      </c>
      <c r="AC4776" s="21">
        <v>441.05</v>
      </c>
      <c r="AD4776" s="21" t="s">
        <v>368</v>
      </c>
      <c r="AE4776" t="str">
        <f>VLOOKUP(Table_Query_from_Actuarial___Production3[[#This Row],[Kor1]],$AI$3:$AK$105,3,FALSE)</f>
        <v>Investment Income</v>
      </c>
      <c r="AF4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7" spans="18:32" x14ac:dyDescent="0.2">
      <c r="R4777" t="s">
        <v>14</v>
      </c>
      <c r="S4777" t="s">
        <v>251</v>
      </c>
      <c r="T4777" t="s">
        <v>433</v>
      </c>
      <c r="U4777" s="21">
        <v>35561.519999999997</v>
      </c>
      <c r="V4777" s="21" t="s">
        <v>368</v>
      </c>
      <c r="W4777" t="str">
        <f>VLOOKUP(Table_Query_from_Actuarial___Production[[#This Row],[Kor1]],$AI$3:$AK$105,3,FALSE)</f>
        <v>Claims Expense</v>
      </c>
      <c r="X4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7"/>
      <c r="Z4777" t="s">
        <v>49</v>
      </c>
      <c r="AA4777" t="s">
        <v>267</v>
      </c>
      <c r="AB4777" t="s">
        <v>5</v>
      </c>
      <c r="AC4777" s="21">
        <v>42004.71</v>
      </c>
      <c r="AD4777" s="21" t="s">
        <v>368</v>
      </c>
      <c r="AE4777" t="str">
        <f>VLOOKUP(Table_Query_from_Actuarial___Production3[[#This Row],[Kor1]],$AI$3:$AK$105,3,FALSE)</f>
        <v>ALAE Paid</v>
      </c>
      <c r="AF4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8" spans="18:32" x14ac:dyDescent="0.2">
      <c r="R4778" t="s">
        <v>10</v>
      </c>
      <c r="S4778" t="s">
        <v>234</v>
      </c>
      <c r="T4778" t="s">
        <v>6</v>
      </c>
      <c r="U4778" s="21">
        <v>48068.45</v>
      </c>
      <c r="V4778" s="21" t="s">
        <v>368</v>
      </c>
      <c r="W4778" t="str">
        <f>VLOOKUP(Table_Query_from_Actuarial___Production[[#This Row],[Kor1]],$AI$3:$AK$105,3,FALSE)</f>
        <v>Commissions</v>
      </c>
      <c r="X4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8"/>
      <c r="Z4778" t="s">
        <v>30</v>
      </c>
      <c r="AA4778" t="s">
        <v>259</v>
      </c>
      <c r="AB4778" t="s">
        <v>442</v>
      </c>
      <c r="AC4778" s="21">
        <v>13.22</v>
      </c>
      <c r="AD4778" s="21" t="s">
        <v>368</v>
      </c>
      <c r="AE4778" t="str">
        <f>VLOOKUP(Table_Query_from_Actuarial___Production3[[#This Row],[Kor1]],$AI$3:$AK$105,3,FALSE)</f>
        <v>Misc. Expense</v>
      </c>
      <c r="AF4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79" spans="18:32" x14ac:dyDescent="0.2">
      <c r="R4779" t="s">
        <v>43</v>
      </c>
      <c r="S4779" t="s">
        <v>264</v>
      </c>
      <c r="T4779" t="s">
        <v>351</v>
      </c>
      <c r="U4779" s="21">
        <v>771.69</v>
      </c>
      <c r="V4779" s="21" t="s">
        <v>368</v>
      </c>
      <c r="W4779" t="str">
        <f>VLOOKUP(Table_Query_from_Actuarial___Production[[#This Row],[Kor1]],$AI$3:$AK$105,3,FALSE)</f>
        <v>Charge-offs</v>
      </c>
      <c r="X4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79"/>
      <c r="Z4779" t="s">
        <v>3</v>
      </c>
      <c r="AA4779" t="s">
        <v>266</v>
      </c>
      <c r="AB4779" t="s">
        <v>441</v>
      </c>
      <c r="AC4779" s="21">
        <v>1764972</v>
      </c>
      <c r="AD4779" s="21" t="s">
        <v>368</v>
      </c>
      <c r="AE4779" t="str">
        <f>VLOOKUP(Table_Query_from_Actuarial___Production3[[#This Row],[Kor1]],$AI$3:$AK$105,3,FALSE)</f>
        <v>Premiums Written</v>
      </c>
      <c r="AF4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0" spans="18:32" x14ac:dyDescent="0.2">
      <c r="R4780" t="s">
        <v>12</v>
      </c>
      <c r="S4780" t="s">
        <v>258</v>
      </c>
      <c r="T4780" t="s">
        <v>427</v>
      </c>
      <c r="U4780" s="21">
        <v>72456.63</v>
      </c>
      <c r="V4780" s="21" t="s">
        <v>368</v>
      </c>
      <c r="W4780" t="str">
        <f>VLOOKUP(Table_Query_from_Actuarial___Production[[#This Row],[Kor1]],$AI$3:$AK$105,3,FALSE)</f>
        <v>Premium Tax</v>
      </c>
      <c r="X4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0"/>
      <c r="Z4780" t="s">
        <v>36</v>
      </c>
      <c r="AA4780" t="s">
        <v>4</v>
      </c>
      <c r="AB4780" t="s">
        <v>8</v>
      </c>
      <c r="AC4780" s="21">
        <v>292015.17</v>
      </c>
      <c r="AD4780" s="21" t="s">
        <v>368</v>
      </c>
      <c r="AE4780" t="str">
        <f>VLOOKUP(Table_Query_from_Actuarial___Production3[[#This Row],[Kor1]],$AI$3:$AK$105,3,FALSE)</f>
        <v>Misc. Expense</v>
      </c>
      <c r="AF4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1" spans="18:32" x14ac:dyDescent="0.2">
      <c r="R4781" t="s">
        <v>41</v>
      </c>
      <c r="S4781" t="s">
        <v>253</v>
      </c>
      <c r="T4781" t="s">
        <v>445</v>
      </c>
      <c r="U4781" s="21">
        <v>99.99</v>
      </c>
      <c r="V4781" s="21" t="s">
        <v>368</v>
      </c>
      <c r="W4781" t="str">
        <f>VLOOKUP(Table_Query_from_Actuarial___Production[[#This Row],[Kor1]],$AI$3:$AK$105,3,FALSE)</f>
        <v>Misc. Income</v>
      </c>
      <c r="X4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1"/>
      <c r="Z4781" t="s">
        <v>18</v>
      </c>
      <c r="AA4781" t="s">
        <v>352</v>
      </c>
      <c r="AB4781" t="s">
        <v>442</v>
      </c>
      <c r="AC4781" s="21">
        <v>111872.28</v>
      </c>
      <c r="AD4781" s="21" t="s">
        <v>369</v>
      </c>
      <c r="AE4781" t="str">
        <f>VLOOKUP(Table_Query_from_Actuarial___Production3[[#This Row],[Kor1]],$AI$3:$AK$105,3,FALSE)</f>
        <v>Misc. Expense</v>
      </c>
      <c r="AF4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782" spans="18:32" x14ac:dyDescent="0.2">
      <c r="R4782" t="s">
        <v>49</v>
      </c>
      <c r="S4782" t="s">
        <v>227</v>
      </c>
      <c r="T4782" t="s">
        <v>9</v>
      </c>
      <c r="U4782" s="21">
        <v>31.08</v>
      </c>
      <c r="V4782" s="21" t="s">
        <v>368</v>
      </c>
      <c r="W4782" t="str">
        <f>VLOOKUP(Table_Query_from_Actuarial___Production[[#This Row],[Kor1]],$AI$3:$AK$105,3,FALSE)</f>
        <v>ALAE Paid</v>
      </c>
      <c r="X4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2"/>
      <c r="Z4782" t="s">
        <v>32</v>
      </c>
      <c r="AA4782" t="s">
        <v>258</v>
      </c>
      <c r="AB4782" t="s">
        <v>356</v>
      </c>
      <c r="AC4782" s="21">
        <v>-11106.5</v>
      </c>
      <c r="AD4782" s="21" t="s">
        <v>368</v>
      </c>
      <c r="AE4782" t="str">
        <f>VLOOKUP(Table_Query_from_Actuarial___Production3[[#This Row],[Kor1]],$AI$3:$AK$105,3,FALSE)</f>
        <v>Misc. Expense</v>
      </c>
      <c r="AF4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3" spans="18:32" x14ac:dyDescent="0.2">
      <c r="R4783" t="s">
        <v>19</v>
      </c>
      <c r="S4783" t="s">
        <v>265</v>
      </c>
      <c r="T4783" t="s">
        <v>9</v>
      </c>
      <c r="U4783" s="21">
        <v>704</v>
      </c>
      <c r="V4783" s="21" t="s">
        <v>368</v>
      </c>
      <c r="W4783" t="str">
        <f>VLOOKUP(Table_Query_from_Actuarial___Production[[#This Row],[Kor1]],$AI$3:$AK$105,3,FALSE)</f>
        <v>Misc. Expense for Insolvent Companies</v>
      </c>
      <c r="X4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3"/>
      <c r="Z4783" t="s">
        <v>10</v>
      </c>
      <c r="AA4783" t="s">
        <v>263</v>
      </c>
      <c r="AB4783" t="s">
        <v>6</v>
      </c>
      <c r="AC4783" s="21">
        <v>33640.14</v>
      </c>
      <c r="AD4783" s="21" t="s">
        <v>368</v>
      </c>
      <c r="AE4783" t="str">
        <f>VLOOKUP(Table_Query_from_Actuarial___Production3[[#This Row],[Kor1]],$AI$3:$AK$105,3,FALSE)</f>
        <v>Commissions</v>
      </c>
      <c r="AF4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4" spans="18:32" x14ac:dyDescent="0.2">
      <c r="R4784" t="s">
        <v>49</v>
      </c>
      <c r="S4784" t="s">
        <v>259</v>
      </c>
      <c r="T4784" t="s">
        <v>442</v>
      </c>
      <c r="U4784" s="21">
        <v>290.5</v>
      </c>
      <c r="V4784" s="21" t="s">
        <v>368</v>
      </c>
      <c r="W4784" t="str">
        <f>VLOOKUP(Table_Query_from_Actuarial___Production[[#This Row],[Kor1]],$AI$3:$AK$105,3,FALSE)</f>
        <v>ALAE Paid</v>
      </c>
      <c r="X4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4"/>
      <c r="Z4784" t="s">
        <v>44</v>
      </c>
      <c r="AA4784" t="s">
        <v>233</v>
      </c>
      <c r="AB4784" t="s">
        <v>9</v>
      </c>
      <c r="AC4784" s="21">
        <v>30606.37</v>
      </c>
      <c r="AD4784" s="21" t="s">
        <v>368</v>
      </c>
      <c r="AE4784" t="str">
        <f>VLOOKUP(Table_Query_from_Actuarial___Production3[[#This Row],[Kor1]],$AI$3:$AK$105,3,FALSE)</f>
        <v>Charge-offs</v>
      </c>
      <c r="AF4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5" spans="18:32" x14ac:dyDescent="0.2">
      <c r="R4785" t="s">
        <v>36</v>
      </c>
      <c r="S4785" t="s">
        <v>250</v>
      </c>
      <c r="T4785" t="s">
        <v>356</v>
      </c>
      <c r="U4785" s="21">
        <v>2697</v>
      </c>
      <c r="V4785" s="21" t="s">
        <v>368</v>
      </c>
      <c r="W4785" t="str">
        <f>VLOOKUP(Table_Query_from_Actuarial___Production[[#This Row],[Kor1]],$AI$3:$AK$105,3,FALSE)</f>
        <v>Misc. Expense</v>
      </c>
      <c r="X4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5"/>
      <c r="Z4785" t="s">
        <v>14</v>
      </c>
      <c r="AA4785" t="s">
        <v>224</v>
      </c>
      <c r="AB4785" t="s">
        <v>356</v>
      </c>
      <c r="AC4785" s="21">
        <v>311406.58</v>
      </c>
      <c r="AD4785" s="21" t="s">
        <v>368</v>
      </c>
      <c r="AE4785" t="str">
        <f>VLOOKUP(Table_Query_from_Actuarial___Production3[[#This Row],[Kor1]],$AI$3:$AK$105,3,FALSE)</f>
        <v>Claims Expense</v>
      </c>
      <c r="AF4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786" spans="18:32" x14ac:dyDescent="0.2">
      <c r="R4786" t="s">
        <v>46</v>
      </c>
      <c r="S4786" t="s">
        <v>224</v>
      </c>
      <c r="T4786" t="s">
        <v>441</v>
      </c>
      <c r="U4786" s="21">
        <v>4.05</v>
      </c>
      <c r="V4786" s="21" t="s">
        <v>425</v>
      </c>
      <c r="W4786" t="str">
        <f>VLOOKUP(Table_Query_from_Actuarial___Production[[#This Row],[Kor1]],$AI$3:$AK$105,3,FALSE)</f>
        <v>Investment Income</v>
      </c>
      <c r="X4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786"/>
      <c r="Z4786" t="s">
        <v>11</v>
      </c>
      <c r="AA4786" t="s">
        <v>238</v>
      </c>
      <c r="AB4786" t="s">
        <v>433</v>
      </c>
      <c r="AC4786" s="21">
        <v>538498.6</v>
      </c>
      <c r="AD4786" s="21" t="s">
        <v>368</v>
      </c>
      <c r="AE4786" t="str">
        <f>VLOOKUP(Table_Query_from_Actuarial___Production3[[#This Row],[Kor1]],$AI$3:$AK$105,3,FALSE)</f>
        <v>Losses Paid</v>
      </c>
      <c r="AF4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7" spans="18:32" x14ac:dyDescent="0.2">
      <c r="R4787" t="s">
        <v>12</v>
      </c>
      <c r="S4787" t="s">
        <v>229</v>
      </c>
      <c r="T4787" t="s">
        <v>7</v>
      </c>
      <c r="U4787" s="21">
        <v>1001.73</v>
      </c>
      <c r="V4787" s="21" t="s">
        <v>368</v>
      </c>
      <c r="W4787" t="str">
        <f>VLOOKUP(Table_Query_from_Actuarial___Production[[#This Row],[Kor1]],$AI$3:$AK$105,3,FALSE)</f>
        <v>Premium Tax</v>
      </c>
      <c r="X4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7"/>
      <c r="Z4787" t="s">
        <v>14</v>
      </c>
      <c r="AA4787" t="s">
        <v>238</v>
      </c>
      <c r="AB4787" t="s">
        <v>433</v>
      </c>
      <c r="AC4787" s="21">
        <v>35524.29</v>
      </c>
      <c r="AD4787" s="21" t="s">
        <v>368</v>
      </c>
      <c r="AE4787" t="str">
        <f>VLOOKUP(Table_Query_from_Actuarial___Production3[[#This Row],[Kor1]],$AI$3:$AK$105,3,FALSE)</f>
        <v>Claims Expense</v>
      </c>
      <c r="AF4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8" spans="18:32" x14ac:dyDescent="0.2">
      <c r="R4788" t="s">
        <v>19</v>
      </c>
      <c r="S4788" t="s">
        <v>266</v>
      </c>
      <c r="T4788" t="s">
        <v>6</v>
      </c>
      <c r="U4788" s="21">
        <v>34.99</v>
      </c>
      <c r="V4788" s="21" t="s">
        <v>368</v>
      </c>
      <c r="W4788" t="str">
        <f>VLOOKUP(Table_Query_from_Actuarial___Production[[#This Row],[Kor1]],$AI$3:$AK$105,3,FALSE)</f>
        <v>Misc. Expense for Insolvent Companies</v>
      </c>
      <c r="X4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8"/>
      <c r="Z4788" t="s">
        <v>39</v>
      </c>
      <c r="AA4788" t="s">
        <v>240</v>
      </c>
      <c r="AB4788" t="s">
        <v>8</v>
      </c>
      <c r="AC4788" s="21">
        <v>1189</v>
      </c>
      <c r="AD4788" s="21" t="s">
        <v>368</v>
      </c>
      <c r="AE4788" t="str">
        <f>VLOOKUP(Table_Query_from_Actuarial___Production3[[#This Row],[Kor1]],$AI$3:$AK$105,3,FALSE)</f>
        <v>Misc. Income for Insolvent Companies</v>
      </c>
      <c r="AF4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89" spans="18:32" x14ac:dyDescent="0.2">
      <c r="R4789" t="s">
        <v>12</v>
      </c>
      <c r="S4789" t="s">
        <v>235</v>
      </c>
      <c r="T4789" t="s">
        <v>442</v>
      </c>
      <c r="U4789" s="21">
        <v>7169.79</v>
      </c>
      <c r="V4789" s="21" t="s">
        <v>368</v>
      </c>
      <c r="W4789" t="str">
        <f>VLOOKUP(Table_Query_from_Actuarial___Production[[#This Row],[Kor1]],$AI$3:$AK$105,3,FALSE)</f>
        <v>Premium Tax</v>
      </c>
      <c r="X4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89"/>
      <c r="Z4789" t="s">
        <v>49</v>
      </c>
      <c r="AA4789" t="s">
        <v>237</v>
      </c>
      <c r="AB4789" t="s">
        <v>427</v>
      </c>
      <c r="AC4789" s="21">
        <v>1334339.3</v>
      </c>
      <c r="AD4789" s="21" t="s">
        <v>368</v>
      </c>
      <c r="AE4789" t="str">
        <f>VLOOKUP(Table_Query_from_Actuarial___Production3[[#This Row],[Kor1]],$AI$3:$AK$105,3,FALSE)</f>
        <v>ALAE Paid</v>
      </c>
      <c r="AF4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0" spans="18:32" x14ac:dyDescent="0.2">
      <c r="R4790" t="s">
        <v>11</v>
      </c>
      <c r="S4790" t="s">
        <v>224</v>
      </c>
      <c r="T4790" t="s">
        <v>351</v>
      </c>
      <c r="U4790" s="21">
        <v>12148.21</v>
      </c>
      <c r="V4790" s="21" t="s">
        <v>425</v>
      </c>
      <c r="W4790" t="str">
        <f>VLOOKUP(Table_Query_from_Actuarial___Production[[#This Row],[Kor1]],$AI$3:$AK$105,3,FALSE)</f>
        <v>Losses Paid</v>
      </c>
      <c r="X4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790"/>
      <c r="Z4790" t="s">
        <v>17</v>
      </c>
      <c r="AA4790" t="s">
        <v>245</v>
      </c>
      <c r="AB4790" t="s">
        <v>442</v>
      </c>
      <c r="AC4790" s="21">
        <v>4164.82</v>
      </c>
      <c r="AD4790" s="21" t="s">
        <v>368</v>
      </c>
      <c r="AE4790" t="str">
        <f>VLOOKUP(Table_Query_from_Actuarial___Production3[[#This Row],[Kor1]],$AI$3:$AK$105,3,FALSE)</f>
        <v>IBNR</v>
      </c>
      <c r="AF4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1" spans="18:32" x14ac:dyDescent="0.2">
      <c r="R4791" t="s">
        <v>33</v>
      </c>
      <c r="S4791" t="s">
        <v>228</v>
      </c>
      <c r="T4791" t="s">
        <v>7</v>
      </c>
      <c r="U4791" s="21">
        <v>13096.75</v>
      </c>
      <c r="V4791" s="21" t="s">
        <v>368</v>
      </c>
      <c r="W4791" t="str">
        <f>VLOOKUP(Table_Query_from_Actuarial___Production[[#This Row],[Kor1]],$AI$3:$AK$105,3,FALSE)</f>
        <v>Misc. Expense</v>
      </c>
      <c r="X4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1"/>
      <c r="Z4791" t="s">
        <v>40</v>
      </c>
      <c r="AA4791" t="s">
        <v>228</v>
      </c>
      <c r="AB4791" t="s">
        <v>356</v>
      </c>
      <c r="AC4791" s="21">
        <v>283</v>
      </c>
      <c r="AD4791" s="21" t="s">
        <v>368</v>
      </c>
      <c r="AE4791" t="str">
        <f>VLOOKUP(Table_Query_from_Actuarial___Production3[[#This Row],[Kor1]],$AI$3:$AK$105,3,FALSE)</f>
        <v>Misc. Income</v>
      </c>
      <c r="AF4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2" spans="18:32" x14ac:dyDescent="0.2">
      <c r="R4792" t="s">
        <v>14</v>
      </c>
      <c r="S4792" t="s">
        <v>266</v>
      </c>
      <c r="T4792" t="s">
        <v>443</v>
      </c>
      <c r="U4792" s="21">
        <v>60571.38</v>
      </c>
      <c r="V4792" s="21" t="s">
        <v>368</v>
      </c>
      <c r="W4792" t="str">
        <f>VLOOKUP(Table_Query_from_Actuarial___Production[[#This Row],[Kor1]],$AI$3:$AK$105,3,FALSE)</f>
        <v>Claims Expense</v>
      </c>
      <c r="X4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2"/>
      <c r="Z4792" t="s">
        <v>11</v>
      </c>
      <c r="AA4792" t="s">
        <v>251</v>
      </c>
      <c r="AB4792" t="s">
        <v>427</v>
      </c>
      <c r="AC4792" s="21">
        <v>77194.92</v>
      </c>
      <c r="AD4792" s="21" t="s">
        <v>368</v>
      </c>
      <c r="AE4792" t="str">
        <f>VLOOKUP(Table_Query_from_Actuarial___Production3[[#This Row],[Kor1]],$AI$3:$AK$105,3,FALSE)</f>
        <v>Losses Paid</v>
      </c>
      <c r="AF4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3" spans="18:32" x14ac:dyDescent="0.2">
      <c r="R4793" t="s">
        <v>47</v>
      </c>
      <c r="S4793" t="s">
        <v>227</v>
      </c>
      <c r="T4793" t="s">
        <v>6</v>
      </c>
      <c r="U4793" s="21">
        <v>0.05</v>
      </c>
      <c r="V4793" s="21" t="s">
        <v>368</v>
      </c>
      <c r="W4793" t="str">
        <f>VLOOKUP(Table_Query_from_Actuarial___Production[[#This Row],[Kor1]],$AI$3:$AK$105,3,FALSE)</f>
        <v>Investment Income</v>
      </c>
      <c r="X4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3"/>
      <c r="Z4793" t="s">
        <v>16</v>
      </c>
      <c r="AA4793" t="s">
        <v>231</v>
      </c>
      <c r="AB4793" t="s">
        <v>443</v>
      </c>
      <c r="AC4793" s="21">
        <v>79481.8</v>
      </c>
      <c r="AD4793" s="21" t="s">
        <v>368</v>
      </c>
      <c r="AE4793" t="str">
        <f>VLOOKUP(Table_Query_from_Actuarial___Production3[[#This Row],[Kor1]],$AI$3:$AK$105,3,FALSE)</f>
        <v>Losses Outstanding</v>
      </c>
      <c r="AF4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4" spans="18:32" x14ac:dyDescent="0.2">
      <c r="R4794" t="s">
        <v>39</v>
      </c>
      <c r="S4794" t="s">
        <v>257</v>
      </c>
      <c r="T4794" t="s">
        <v>443</v>
      </c>
      <c r="U4794" s="21">
        <v>923.4</v>
      </c>
      <c r="V4794" s="21" t="s">
        <v>368</v>
      </c>
      <c r="W4794" t="str">
        <f>VLOOKUP(Table_Query_from_Actuarial___Production[[#This Row],[Kor1]],$AI$3:$AK$105,3,FALSE)</f>
        <v>Misc. Income for Insolvent Companies</v>
      </c>
      <c r="X4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4"/>
      <c r="Z4794" t="s">
        <v>21</v>
      </c>
      <c r="AA4794" t="s">
        <v>239</v>
      </c>
      <c r="AB4794" t="s">
        <v>7</v>
      </c>
      <c r="AC4794" s="21">
        <v>106</v>
      </c>
      <c r="AD4794" s="21" t="s">
        <v>368</v>
      </c>
      <c r="AE4794" t="str">
        <f>VLOOKUP(Table_Query_from_Actuarial___Production3[[#This Row],[Kor1]],$AI$3:$AK$105,3,FALSE)</f>
        <v>Misc. Expense</v>
      </c>
      <c r="AF4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5" spans="18:32" x14ac:dyDescent="0.2">
      <c r="R4795" t="s">
        <v>50</v>
      </c>
      <c r="S4795" t="s">
        <v>228</v>
      </c>
      <c r="T4795" t="s">
        <v>441</v>
      </c>
      <c r="U4795" s="21">
        <v>1984</v>
      </c>
      <c r="V4795" s="21" t="s">
        <v>368</v>
      </c>
      <c r="W4795" t="str">
        <f>VLOOKUP(Table_Query_from_Actuarial___Production[[#This Row],[Kor1]],$AI$3:$AK$105,3,FALSE)</f>
        <v>ALAE Reserve</v>
      </c>
      <c r="X4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5"/>
      <c r="Z4795" t="s">
        <v>12</v>
      </c>
      <c r="AA4795" t="s">
        <v>233</v>
      </c>
      <c r="AB4795" t="s">
        <v>443</v>
      </c>
      <c r="AC4795" s="21">
        <v>7952.68</v>
      </c>
      <c r="AD4795" s="21" t="s">
        <v>368</v>
      </c>
      <c r="AE4795" t="str">
        <f>VLOOKUP(Table_Query_from_Actuarial___Production3[[#This Row],[Kor1]],$AI$3:$AK$105,3,FALSE)</f>
        <v>Premium Tax</v>
      </c>
      <c r="AF4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6" spans="18:32" x14ac:dyDescent="0.2">
      <c r="R4796" t="s">
        <v>32</v>
      </c>
      <c r="S4796" t="s">
        <v>228</v>
      </c>
      <c r="T4796" t="s">
        <v>433</v>
      </c>
      <c r="U4796" s="21">
        <v>-6430.26</v>
      </c>
      <c r="V4796" s="21" t="s">
        <v>368</v>
      </c>
      <c r="W4796" t="str">
        <f>VLOOKUP(Table_Query_from_Actuarial___Production[[#This Row],[Kor1]],$AI$3:$AK$105,3,FALSE)</f>
        <v>Misc. Expense</v>
      </c>
      <c r="X4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6"/>
      <c r="Z4796" t="s">
        <v>37</v>
      </c>
      <c r="AA4796" t="s">
        <v>252</v>
      </c>
      <c r="AB4796" t="s">
        <v>351</v>
      </c>
      <c r="AC4796" s="21">
        <v>21623.94</v>
      </c>
      <c r="AD4796" s="21" t="s">
        <v>368</v>
      </c>
      <c r="AE4796" t="str">
        <f>VLOOKUP(Table_Query_from_Actuarial___Production3[[#This Row],[Kor1]],$AI$3:$AK$105,3,FALSE)</f>
        <v>Misc. Expense</v>
      </c>
      <c r="AF4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7" spans="18:32" x14ac:dyDescent="0.2">
      <c r="R4797" t="s">
        <v>44</v>
      </c>
      <c r="S4797" t="s">
        <v>4</v>
      </c>
      <c r="T4797" t="s">
        <v>442</v>
      </c>
      <c r="U4797" s="21">
        <v>3187803.67</v>
      </c>
      <c r="V4797" s="21" t="s">
        <v>368</v>
      </c>
      <c r="W4797" t="str">
        <f>VLOOKUP(Table_Query_from_Actuarial___Production[[#This Row],[Kor1]],$AI$3:$AK$105,3,FALSE)</f>
        <v>Charge-offs</v>
      </c>
      <c r="X4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7"/>
      <c r="Z4797" t="s">
        <v>47</v>
      </c>
      <c r="AA4797" t="s">
        <v>244</v>
      </c>
      <c r="AB4797" t="s">
        <v>7</v>
      </c>
      <c r="AC4797" s="21">
        <v>0.04</v>
      </c>
      <c r="AD4797" s="21" t="s">
        <v>368</v>
      </c>
      <c r="AE4797" t="str">
        <f>VLOOKUP(Table_Query_from_Actuarial___Production3[[#This Row],[Kor1]],$AI$3:$AK$105,3,FALSE)</f>
        <v>Investment Income</v>
      </c>
      <c r="AF4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8" spans="18:32" x14ac:dyDescent="0.2">
      <c r="R4798" t="s">
        <v>37</v>
      </c>
      <c r="S4798" t="s">
        <v>240</v>
      </c>
      <c r="T4798" t="s">
        <v>445</v>
      </c>
      <c r="U4798" s="21">
        <v>373.9</v>
      </c>
      <c r="V4798" s="21" t="s">
        <v>368</v>
      </c>
      <c r="W4798" t="str">
        <f>VLOOKUP(Table_Query_from_Actuarial___Production[[#This Row],[Kor1]],$AI$3:$AK$105,3,FALSE)</f>
        <v>Misc. Expense</v>
      </c>
      <c r="X4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8"/>
      <c r="Z4798" t="s">
        <v>14</v>
      </c>
      <c r="AA4798" t="s">
        <v>251</v>
      </c>
      <c r="AB4798" t="s">
        <v>433</v>
      </c>
      <c r="AC4798" s="21">
        <v>35561.519999999997</v>
      </c>
      <c r="AD4798" s="21" t="s">
        <v>368</v>
      </c>
      <c r="AE4798" t="str">
        <f>VLOOKUP(Table_Query_from_Actuarial___Production3[[#This Row],[Kor1]],$AI$3:$AK$105,3,FALSE)</f>
        <v>Claims Expense</v>
      </c>
      <c r="AF4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799" spans="18:32" x14ac:dyDescent="0.2">
      <c r="R4799" t="s">
        <v>47</v>
      </c>
      <c r="S4799" t="s">
        <v>245</v>
      </c>
      <c r="T4799" t="s">
        <v>356</v>
      </c>
      <c r="U4799" s="21">
        <v>661.26</v>
      </c>
      <c r="V4799" s="21" t="s">
        <v>368</v>
      </c>
      <c r="W4799" t="str">
        <f>VLOOKUP(Table_Query_from_Actuarial___Production[[#This Row],[Kor1]],$AI$3:$AK$105,3,FALSE)</f>
        <v>Investment Income</v>
      </c>
      <c r="X4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799"/>
      <c r="Z4799" t="s">
        <v>10</v>
      </c>
      <c r="AA4799" t="s">
        <v>234</v>
      </c>
      <c r="AB4799" t="s">
        <v>6</v>
      </c>
      <c r="AC4799" s="21">
        <v>48068.45</v>
      </c>
      <c r="AD4799" s="21" t="s">
        <v>368</v>
      </c>
      <c r="AE4799" t="str">
        <f>VLOOKUP(Table_Query_from_Actuarial___Production3[[#This Row],[Kor1]],$AI$3:$AK$105,3,FALSE)</f>
        <v>Commissions</v>
      </c>
      <c r="AF4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0" spans="18:32" x14ac:dyDescent="0.2">
      <c r="R4800" t="s">
        <v>13</v>
      </c>
      <c r="S4800" t="s">
        <v>264</v>
      </c>
      <c r="T4800" t="s">
        <v>442</v>
      </c>
      <c r="U4800" s="21">
        <v>694799.52</v>
      </c>
      <c r="V4800" s="21" t="s">
        <v>368</v>
      </c>
      <c r="W4800" t="str">
        <f>VLOOKUP(Table_Query_from_Actuarial___Production[[#This Row],[Kor1]],$AI$3:$AK$105,3,FALSE)</f>
        <v>Operating Service Fees</v>
      </c>
      <c r="X4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0"/>
      <c r="Z4800" t="s">
        <v>43</v>
      </c>
      <c r="AA4800" t="s">
        <v>264</v>
      </c>
      <c r="AB4800" t="s">
        <v>351</v>
      </c>
      <c r="AC4800" s="21">
        <v>771.69</v>
      </c>
      <c r="AD4800" s="21" t="s">
        <v>368</v>
      </c>
      <c r="AE4800" t="str">
        <f>VLOOKUP(Table_Query_from_Actuarial___Production3[[#This Row],[Kor1]],$AI$3:$AK$105,3,FALSE)</f>
        <v>Charge-offs</v>
      </c>
      <c r="AF4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1" spans="18:32" x14ac:dyDescent="0.2">
      <c r="R4801" t="s">
        <v>39</v>
      </c>
      <c r="S4801" t="s">
        <v>258</v>
      </c>
      <c r="T4801" t="s">
        <v>427</v>
      </c>
      <c r="U4801" s="21">
        <v>536.36</v>
      </c>
      <c r="V4801" s="21" t="s">
        <v>368</v>
      </c>
      <c r="W4801" t="str">
        <f>VLOOKUP(Table_Query_from_Actuarial___Production[[#This Row],[Kor1]],$AI$3:$AK$105,3,FALSE)</f>
        <v>Misc. Income for Insolvent Companies</v>
      </c>
      <c r="X4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1"/>
      <c r="Z4801" t="s">
        <v>12</v>
      </c>
      <c r="AA4801" t="s">
        <v>258</v>
      </c>
      <c r="AB4801" t="s">
        <v>427</v>
      </c>
      <c r="AC4801" s="21">
        <v>72456.63</v>
      </c>
      <c r="AD4801" s="21" t="s">
        <v>368</v>
      </c>
      <c r="AE4801" t="str">
        <f>VLOOKUP(Table_Query_from_Actuarial___Production3[[#This Row],[Kor1]],$AI$3:$AK$105,3,FALSE)</f>
        <v>Premium Tax</v>
      </c>
      <c r="AF4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2" spans="18:32" x14ac:dyDescent="0.2">
      <c r="R4802" t="s">
        <v>47</v>
      </c>
      <c r="S4802" t="s">
        <v>252</v>
      </c>
      <c r="T4802" t="s">
        <v>445</v>
      </c>
      <c r="U4802" s="21">
        <v>178248.37</v>
      </c>
      <c r="V4802" s="21" t="s">
        <v>368</v>
      </c>
      <c r="W4802" t="str">
        <f>VLOOKUP(Table_Query_from_Actuarial___Production[[#This Row],[Kor1]],$AI$3:$AK$105,3,FALSE)</f>
        <v>Investment Income</v>
      </c>
      <c r="X4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2"/>
      <c r="Z4802" t="s">
        <v>49</v>
      </c>
      <c r="AA4802" t="s">
        <v>227</v>
      </c>
      <c r="AB4802" t="s">
        <v>9</v>
      </c>
      <c r="AC4802" s="21">
        <v>31.08</v>
      </c>
      <c r="AD4802" s="21" t="s">
        <v>368</v>
      </c>
      <c r="AE4802" t="str">
        <f>VLOOKUP(Table_Query_from_Actuarial___Production3[[#This Row],[Kor1]],$AI$3:$AK$105,3,FALSE)</f>
        <v>ALAE Paid</v>
      </c>
      <c r="AF4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3" spans="18:32" x14ac:dyDescent="0.2">
      <c r="R4803" t="s">
        <v>11</v>
      </c>
      <c r="S4803" t="s">
        <v>246</v>
      </c>
      <c r="T4803" t="s">
        <v>433</v>
      </c>
      <c r="U4803" s="21">
        <v>1702571.73</v>
      </c>
      <c r="V4803" s="21" t="s">
        <v>368</v>
      </c>
      <c r="W4803" t="str">
        <f>VLOOKUP(Table_Query_from_Actuarial___Production[[#This Row],[Kor1]],$AI$3:$AK$105,3,FALSE)</f>
        <v>Losses Paid</v>
      </c>
      <c r="X4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3"/>
      <c r="Z4803" t="s">
        <v>19</v>
      </c>
      <c r="AA4803" t="s">
        <v>265</v>
      </c>
      <c r="AB4803" t="s">
        <v>9</v>
      </c>
      <c r="AC4803" s="21">
        <v>704</v>
      </c>
      <c r="AD4803" s="21" t="s">
        <v>368</v>
      </c>
      <c r="AE4803" t="str">
        <f>VLOOKUP(Table_Query_from_Actuarial___Production3[[#This Row],[Kor1]],$AI$3:$AK$105,3,FALSE)</f>
        <v>Misc. Expense for Insolvent Companies</v>
      </c>
      <c r="AF4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4" spans="18:32" x14ac:dyDescent="0.2">
      <c r="R4804" t="s">
        <v>10</v>
      </c>
      <c r="S4804" t="s">
        <v>250</v>
      </c>
      <c r="T4804" t="s">
        <v>445</v>
      </c>
      <c r="U4804" s="21">
        <v>46537.85</v>
      </c>
      <c r="V4804" s="21" t="s">
        <v>368</v>
      </c>
      <c r="W4804" t="str">
        <f>VLOOKUP(Table_Query_from_Actuarial___Production[[#This Row],[Kor1]],$AI$3:$AK$105,3,FALSE)</f>
        <v>Commissions</v>
      </c>
      <c r="X4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4"/>
      <c r="Z4804" t="s">
        <v>49</v>
      </c>
      <c r="AA4804" t="s">
        <v>259</v>
      </c>
      <c r="AB4804" t="s">
        <v>442</v>
      </c>
      <c r="AC4804" s="21">
        <v>175.5</v>
      </c>
      <c r="AD4804" s="21" t="s">
        <v>368</v>
      </c>
      <c r="AE4804" t="str">
        <f>VLOOKUP(Table_Query_from_Actuarial___Production3[[#This Row],[Kor1]],$AI$3:$AK$105,3,FALSE)</f>
        <v>ALAE Paid</v>
      </c>
      <c r="AF4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5" spans="18:32" x14ac:dyDescent="0.2">
      <c r="R4805" t="s">
        <v>50</v>
      </c>
      <c r="S4805" t="s">
        <v>256</v>
      </c>
      <c r="T4805" t="s">
        <v>433</v>
      </c>
      <c r="U4805" s="21">
        <v>759.25</v>
      </c>
      <c r="V4805" s="21" t="s">
        <v>368</v>
      </c>
      <c r="W4805" t="str">
        <f>VLOOKUP(Table_Query_from_Actuarial___Production[[#This Row],[Kor1]],$AI$3:$AK$105,3,FALSE)</f>
        <v>ALAE Reserve</v>
      </c>
      <c r="X4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5"/>
      <c r="Z4805" t="s">
        <v>36</v>
      </c>
      <c r="AA4805" t="s">
        <v>250</v>
      </c>
      <c r="AB4805" t="s">
        <v>356</v>
      </c>
      <c r="AC4805" s="21">
        <v>2697</v>
      </c>
      <c r="AD4805" s="21" t="s">
        <v>368</v>
      </c>
      <c r="AE4805" t="str">
        <f>VLOOKUP(Table_Query_from_Actuarial___Production3[[#This Row],[Kor1]],$AI$3:$AK$105,3,FALSE)</f>
        <v>Misc. Expense</v>
      </c>
      <c r="AF4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6" spans="18:32" x14ac:dyDescent="0.2">
      <c r="R4806" t="s">
        <v>10</v>
      </c>
      <c r="S4806" t="s">
        <v>224</v>
      </c>
      <c r="T4806" t="s">
        <v>445</v>
      </c>
      <c r="U4806" s="21">
        <v>635.91</v>
      </c>
      <c r="V4806" s="21" t="s">
        <v>425</v>
      </c>
      <c r="W4806" t="str">
        <f>VLOOKUP(Table_Query_from_Actuarial___Production[[#This Row],[Kor1]],$AI$3:$AK$105,3,FALSE)</f>
        <v>Commissions</v>
      </c>
      <c r="X4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806"/>
      <c r="Z4806" t="s">
        <v>46</v>
      </c>
      <c r="AA4806" t="s">
        <v>224</v>
      </c>
      <c r="AB4806" t="s">
        <v>441</v>
      </c>
      <c r="AC4806" s="21">
        <v>4.05</v>
      </c>
      <c r="AD4806" s="21" t="s">
        <v>425</v>
      </c>
      <c r="AE4806" t="str">
        <f>VLOOKUP(Table_Query_from_Actuarial___Production3[[#This Row],[Kor1]],$AI$3:$AK$105,3,FALSE)</f>
        <v>Investment Income</v>
      </c>
      <c r="AF4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807" spans="18:32" x14ac:dyDescent="0.2">
      <c r="R4807" t="s">
        <v>11</v>
      </c>
      <c r="S4807" t="s">
        <v>263</v>
      </c>
      <c r="T4807" t="s">
        <v>351</v>
      </c>
      <c r="U4807" s="21">
        <v>20622.669999999998</v>
      </c>
      <c r="V4807" s="21" t="s">
        <v>368</v>
      </c>
      <c r="W4807" t="str">
        <f>VLOOKUP(Table_Query_from_Actuarial___Production[[#This Row],[Kor1]],$AI$3:$AK$105,3,FALSE)</f>
        <v>Losses Paid</v>
      </c>
      <c r="X4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7"/>
      <c r="Z4807" t="s">
        <v>12</v>
      </c>
      <c r="AA4807" t="s">
        <v>229</v>
      </c>
      <c r="AB4807" t="s">
        <v>7</v>
      </c>
      <c r="AC4807" s="21">
        <v>1001.73</v>
      </c>
      <c r="AD4807" s="21" t="s">
        <v>368</v>
      </c>
      <c r="AE4807" t="str">
        <f>VLOOKUP(Table_Query_from_Actuarial___Production3[[#This Row],[Kor1]],$AI$3:$AK$105,3,FALSE)</f>
        <v>Premium Tax</v>
      </c>
      <c r="AF4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8" spans="18:32" x14ac:dyDescent="0.2">
      <c r="R4808" t="s">
        <v>13</v>
      </c>
      <c r="S4808" t="s">
        <v>264</v>
      </c>
      <c r="T4808" t="s">
        <v>7</v>
      </c>
      <c r="U4808" s="21">
        <v>470435.72</v>
      </c>
      <c r="V4808" s="21" t="s">
        <v>368</v>
      </c>
      <c r="W4808" t="str">
        <f>VLOOKUP(Table_Query_from_Actuarial___Production[[#This Row],[Kor1]],$AI$3:$AK$105,3,FALSE)</f>
        <v>Operating Service Fees</v>
      </c>
      <c r="X4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08"/>
      <c r="Z4808" t="s">
        <v>19</v>
      </c>
      <c r="AA4808" t="s">
        <v>266</v>
      </c>
      <c r="AB4808" t="s">
        <v>6</v>
      </c>
      <c r="AC4808" s="21">
        <v>34.99</v>
      </c>
      <c r="AD4808" s="21" t="s">
        <v>368</v>
      </c>
      <c r="AE4808" t="str">
        <f>VLOOKUP(Table_Query_from_Actuarial___Production3[[#This Row],[Kor1]],$AI$3:$AK$105,3,FALSE)</f>
        <v>Misc. Expense for Insolvent Companies</v>
      </c>
      <c r="AF4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09" spans="18:32" x14ac:dyDescent="0.2">
      <c r="R4809" t="s">
        <v>11</v>
      </c>
      <c r="S4809" t="s">
        <v>352</v>
      </c>
      <c r="T4809" t="s">
        <v>8</v>
      </c>
      <c r="U4809" s="21">
        <v>93523.77</v>
      </c>
      <c r="V4809" s="21" t="s">
        <v>369</v>
      </c>
      <c r="W4809" t="str">
        <f>VLOOKUP(Table_Query_from_Actuarial___Production[[#This Row],[Kor1]],$AI$3:$AK$105,3,FALSE)</f>
        <v>Losses Paid</v>
      </c>
      <c r="X4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809"/>
      <c r="Z4809" t="s">
        <v>12</v>
      </c>
      <c r="AA4809" t="s">
        <v>235</v>
      </c>
      <c r="AB4809" t="s">
        <v>442</v>
      </c>
      <c r="AC4809" s="21">
        <v>7459.6</v>
      </c>
      <c r="AD4809" s="21" t="s">
        <v>368</v>
      </c>
      <c r="AE4809" t="str">
        <f>VLOOKUP(Table_Query_from_Actuarial___Production3[[#This Row],[Kor1]],$AI$3:$AK$105,3,FALSE)</f>
        <v>Premium Tax</v>
      </c>
      <c r="AF4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0" spans="18:32" x14ac:dyDescent="0.2">
      <c r="R4810" t="s">
        <v>19</v>
      </c>
      <c r="S4810" t="s">
        <v>238</v>
      </c>
      <c r="T4810" t="s">
        <v>433</v>
      </c>
      <c r="U4810" s="21">
        <v>4.0199999999999996</v>
      </c>
      <c r="V4810" s="21" t="s">
        <v>368</v>
      </c>
      <c r="W4810" t="str">
        <f>VLOOKUP(Table_Query_from_Actuarial___Production[[#This Row],[Kor1]],$AI$3:$AK$105,3,FALSE)</f>
        <v>Misc. Expense for Insolvent Companies</v>
      </c>
      <c r="X4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0"/>
      <c r="Z4810" t="s">
        <v>11</v>
      </c>
      <c r="AA4810" t="s">
        <v>224</v>
      </c>
      <c r="AB4810" t="s">
        <v>351</v>
      </c>
      <c r="AC4810" s="21">
        <v>12148.21</v>
      </c>
      <c r="AD4810" s="21" t="s">
        <v>425</v>
      </c>
      <c r="AE4810" t="str">
        <f>VLOOKUP(Table_Query_from_Actuarial___Production3[[#This Row],[Kor1]],$AI$3:$AK$105,3,FALSE)</f>
        <v>Losses Paid</v>
      </c>
      <c r="AF4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811" spans="18:32" x14ac:dyDescent="0.2">
      <c r="R4811" t="s">
        <v>20</v>
      </c>
      <c r="S4811" t="s">
        <v>255</v>
      </c>
      <c r="T4811" t="s">
        <v>445</v>
      </c>
      <c r="U4811" s="21">
        <v>56.97</v>
      </c>
      <c r="V4811" s="21" t="s">
        <v>368</v>
      </c>
      <c r="W4811" t="str">
        <f>VLOOKUP(Table_Query_from_Actuarial___Production[[#This Row],[Kor1]],$AI$3:$AK$105,3,FALSE)</f>
        <v>Misc. Expense</v>
      </c>
      <c r="X4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1"/>
      <c r="Z4811" t="s">
        <v>33</v>
      </c>
      <c r="AA4811" t="s">
        <v>228</v>
      </c>
      <c r="AB4811" t="s">
        <v>7</v>
      </c>
      <c r="AC4811" s="21">
        <v>13096.75</v>
      </c>
      <c r="AD4811" s="21" t="s">
        <v>368</v>
      </c>
      <c r="AE4811" t="str">
        <f>VLOOKUP(Table_Query_from_Actuarial___Production3[[#This Row],[Kor1]],$AI$3:$AK$105,3,FALSE)</f>
        <v>Misc. Expense</v>
      </c>
      <c r="AF4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2" spans="18:32" x14ac:dyDescent="0.2">
      <c r="R4812" t="s">
        <v>33</v>
      </c>
      <c r="S4812" t="s">
        <v>231</v>
      </c>
      <c r="T4812" t="s">
        <v>445</v>
      </c>
      <c r="U4812" s="21">
        <v>8752.5</v>
      </c>
      <c r="V4812" s="21" t="s">
        <v>368</v>
      </c>
      <c r="W4812" t="str">
        <f>VLOOKUP(Table_Query_from_Actuarial___Production[[#This Row],[Kor1]],$AI$3:$AK$105,3,FALSE)</f>
        <v>Misc. Expense</v>
      </c>
      <c r="X4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2"/>
      <c r="Z4812" t="s">
        <v>46</v>
      </c>
      <c r="AA4812" t="s">
        <v>225</v>
      </c>
      <c r="AB4812" t="s">
        <v>5</v>
      </c>
      <c r="AC4812" s="21">
        <v>5832.16</v>
      </c>
      <c r="AD4812" s="21" t="s">
        <v>368</v>
      </c>
      <c r="AE4812" t="str">
        <f>VLOOKUP(Table_Query_from_Actuarial___Production3[[#This Row],[Kor1]],$AI$3:$AK$105,3,FALSE)</f>
        <v>Investment Income</v>
      </c>
      <c r="AF4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813" spans="18:32" x14ac:dyDescent="0.2">
      <c r="R4813" t="s">
        <v>3</v>
      </c>
      <c r="S4813" t="s">
        <v>224</v>
      </c>
      <c r="T4813" t="s">
        <v>441</v>
      </c>
      <c r="U4813" s="21">
        <v>2293378.5099999998</v>
      </c>
      <c r="V4813" s="21" t="s">
        <v>368</v>
      </c>
      <c r="W4813" t="str">
        <f>VLOOKUP(Table_Query_from_Actuarial___Production[[#This Row],[Kor1]],$AI$3:$AK$105,3,FALSE)</f>
        <v>Premiums Written</v>
      </c>
      <c r="X4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813"/>
      <c r="Z4813" t="s">
        <v>14</v>
      </c>
      <c r="AA4813" t="s">
        <v>266</v>
      </c>
      <c r="AB4813" t="s">
        <v>443</v>
      </c>
      <c r="AC4813" s="21">
        <v>11197.92</v>
      </c>
      <c r="AD4813" s="21" t="s">
        <v>368</v>
      </c>
      <c r="AE4813" t="str">
        <f>VLOOKUP(Table_Query_from_Actuarial___Production3[[#This Row],[Kor1]],$AI$3:$AK$105,3,FALSE)</f>
        <v>Claims Expense</v>
      </c>
      <c r="AF4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4" spans="18:32" x14ac:dyDescent="0.2">
      <c r="R4814" t="s">
        <v>41</v>
      </c>
      <c r="S4814" t="s">
        <v>242</v>
      </c>
      <c r="T4814" t="s">
        <v>356</v>
      </c>
      <c r="U4814" s="21">
        <v>275.14999999999998</v>
      </c>
      <c r="V4814" s="21" t="s">
        <v>368</v>
      </c>
      <c r="W4814" t="str">
        <f>VLOOKUP(Table_Query_from_Actuarial___Production[[#This Row],[Kor1]],$AI$3:$AK$105,3,FALSE)</f>
        <v>Misc. Income</v>
      </c>
      <c r="X4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4"/>
      <c r="Z4814" t="s">
        <v>47</v>
      </c>
      <c r="AA4814" t="s">
        <v>227</v>
      </c>
      <c r="AB4814" t="s">
        <v>6</v>
      </c>
      <c r="AC4814" s="21">
        <v>0.05</v>
      </c>
      <c r="AD4814" s="21" t="s">
        <v>368</v>
      </c>
      <c r="AE4814" t="str">
        <f>VLOOKUP(Table_Query_from_Actuarial___Production3[[#This Row],[Kor1]],$AI$3:$AK$105,3,FALSE)</f>
        <v>Investment Income</v>
      </c>
      <c r="AF4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5" spans="18:32" x14ac:dyDescent="0.2">
      <c r="R4815" t="s">
        <v>10</v>
      </c>
      <c r="S4815" t="s">
        <v>352</v>
      </c>
      <c r="T4815" t="s">
        <v>442</v>
      </c>
      <c r="U4815" s="21">
        <v>3906.17</v>
      </c>
      <c r="V4815" s="21" t="s">
        <v>369</v>
      </c>
      <c r="W4815" t="str">
        <f>VLOOKUP(Table_Query_from_Actuarial___Production[[#This Row],[Kor1]],$AI$3:$AK$105,3,FALSE)</f>
        <v>Commissions</v>
      </c>
      <c r="X4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815"/>
      <c r="Z4815" t="s">
        <v>39</v>
      </c>
      <c r="AA4815" t="s">
        <v>257</v>
      </c>
      <c r="AB4815" t="s">
        <v>443</v>
      </c>
      <c r="AC4815" s="21">
        <v>923.4</v>
      </c>
      <c r="AD4815" s="21" t="s">
        <v>368</v>
      </c>
      <c r="AE4815" t="str">
        <f>VLOOKUP(Table_Query_from_Actuarial___Production3[[#This Row],[Kor1]],$AI$3:$AK$105,3,FALSE)</f>
        <v>Misc. Income for Insolvent Companies</v>
      </c>
      <c r="AF4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6" spans="18:32" x14ac:dyDescent="0.2">
      <c r="R4816" t="s">
        <v>39</v>
      </c>
      <c r="S4816" t="s">
        <v>246</v>
      </c>
      <c r="T4816" t="s">
        <v>356</v>
      </c>
      <c r="U4816" s="21">
        <v>32384</v>
      </c>
      <c r="V4816" s="21" t="s">
        <v>368</v>
      </c>
      <c r="W4816" t="str">
        <f>VLOOKUP(Table_Query_from_Actuarial___Production[[#This Row],[Kor1]],$AI$3:$AK$105,3,FALSE)</f>
        <v>Misc. Income for Insolvent Companies</v>
      </c>
      <c r="X4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6"/>
      <c r="Z4816" t="s">
        <v>50</v>
      </c>
      <c r="AA4816" t="s">
        <v>228</v>
      </c>
      <c r="AB4816" t="s">
        <v>441</v>
      </c>
      <c r="AC4816" s="21">
        <v>2198.9699999999998</v>
      </c>
      <c r="AD4816" s="21" t="s">
        <v>368</v>
      </c>
      <c r="AE4816" t="str">
        <f>VLOOKUP(Table_Query_from_Actuarial___Production3[[#This Row],[Kor1]],$AI$3:$AK$105,3,FALSE)</f>
        <v>ALAE Reserve</v>
      </c>
      <c r="AF4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7" spans="18:32" x14ac:dyDescent="0.2">
      <c r="R4817" t="s">
        <v>13</v>
      </c>
      <c r="S4817" t="s">
        <v>224</v>
      </c>
      <c r="T4817" t="s">
        <v>445</v>
      </c>
      <c r="U4817" s="21">
        <v>1320.9</v>
      </c>
      <c r="V4817" s="21" t="s">
        <v>425</v>
      </c>
      <c r="W4817" t="str">
        <f>VLOOKUP(Table_Query_from_Actuarial___Production[[#This Row],[Kor1]],$AI$3:$AK$105,3,FALSE)</f>
        <v>Operating Service Fees</v>
      </c>
      <c r="X4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817"/>
      <c r="Z4817" t="s">
        <v>32</v>
      </c>
      <c r="AA4817" t="s">
        <v>228</v>
      </c>
      <c r="AB4817" t="s">
        <v>433</v>
      </c>
      <c r="AC4817" s="21">
        <v>-6430.26</v>
      </c>
      <c r="AD4817" s="21" t="s">
        <v>368</v>
      </c>
      <c r="AE4817" t="str">
        <f>VLOOKUP(Table_Query_from_Actuarial___Production3[[#This Row],[Kor1]],$AI$3:$AK$105,3,FALSE)</f>
        <v>Misc. Expense</v>
      </c>
      <c r="AF4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8" spans="18:32" x14ac:dyDescent="0.2">
      <c r="R4818" t="s">
        <v>20</v>
      </c>
      <c r="S4818" t="s">
        <v>233</v>
      </c>
      <c r="T4818" t="s">
        <v>9</v>
      </c>
      <c r="U4818" s="21">
        <v>283.88</v>
      </c>
      <c r="V4818" s="21" t="s">
        <v>368</v>
      </c>
      <c r="W4818" t="str">
        <f>VLOOKUP(Table_Query_from_Actuarial___Production[[#This Row],[Kor1]],$AI$3:$AK$105,3,FALSE)</f>
        <v>Misc. Expense</v>
      </c>
      <c r="X4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18"/>
      <c r="Z4818" t="s">
        <v>44</v>
      </c>
      <c r="AA4818" t="s">
        <v>4</v>
      </c>
      <c r="AB4818" t="s">
        <v>442</v>
      </c>
      <c r="AC4818" s="21">
        <v>707285.61</v>
      </c>
      <c r="AD4818" s="21" t="s">
        <v>368</v>
      </c>
      <c r="AE4818" t="str">
        <f>VLOOKUP(Table_Query_from_Actuarial___Production3[[#This Row],[Kor1]],$AI$3:$AK$105,3,FALSE)</f>
        <v>Charge-offs</v>
      </c>
      <c r="AF4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19" spans="18:32" x14ac:dyDescent="0.2">
      <c r="R4819" t="s">
        <v>18</v>
      </c>
      <c r="S4819" t="s">
        <v>225</v>
      </c>
      <c r="T4819" t="s">
        <v>9</v>
      </c>
      <c r="U4819" s="21">
        <v>611143.38</v>
      </c>
      <c r="V4819" s="21" t="s">
        <v>368</v>
      </c>
      <c r="W4819" t="str">
        <f>VLOOKUP(Table_Query_from_Actuarial___Production[[#This Row],[Kor1]],$AI$3:$AK$105,3,FALSE)</f>
        <v>Misc. Expense</v>
      </c>
      <c r="X4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819"/>
      <c r="Z4819" t="s">
        <v>31</v>
      </c>
      <c r="AA4819" t="s">
        <v>266</v>
      </c>
      <c r="AB4819" t="s">
        <v>5</v>
      </c>
      <c r="AC4819" s="21">
        <v>-2658</v>
      </c>
      <c r="AD4819" s="21" t="s">
        <v>368</v>
      </c>
      <c r="AE4819" t="str">
        <f>VLOOKUP(Table_Query_from_Actuarial___Production3[[#This Row],[Kor1]],$AI$3:$AK$105,3,FALSE)</f>
        <v>Misc. Expense</v>
      </c>
      <c r="AF4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0" spans="18:32" x14ac:dyDescent="0.2">
      <c r="R4820" t="s">
        <v>10</v>
      </c>
      <c r="S4820" t="s">
        <v>263</v>
      </c>
      <c r="T4820" t="s">
        <v>445</v>
      </c>
      <c r="U4820" s="21">
        <v>4455.3999999999996</v>
      </c>
      <c r="V4820" s="21" t="s">
        <v>368</v>
      </c>
      <c r="W4820" t="str">
        <f>VLOOKUP(Table_Query_from_Actuarial___Production[[#This Row],[Kor1]],$AI$3:$AK$105,3,FALSE)</f>
        <v>Commissions</v>
      </c>
      <c r="X4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0"/>
      <c r="Z4820" t="s">
        <v>47</v>
      </c>
      <c r="AA4820" t="s">
        <v>245</v>
      </c>
      <c r="AB4820" t="s">
        <v>356</v>
      </c>
      <c r="AC4820" s="21">
        <v>661.26</v>
      </c>
      <c r="AD4820" s="21" t="s">
        <v>368</v>
      </c>
      <c r="AE4820" t="str">
        <f>VLOOKUP(Table_Query_from_Actuarial___Production3[[#This Row],[Kor1]],$AI$3:$AK$105,3,FALSE)</f>
        <v>Investment Income</v>
      </c>
      <c r="AF4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1" spans="18:32" x14ac:dyDescent="0.2">
      <c r="R4821" t="s">
        <v>48</v>
      </c>
      <c r="S4821" t="s">
        <v>234</v>
      </c>
      <c r="T4821" t="s">
        <v>443</v>
      </c>
      <c r="U4821" s="21">
        <v>3402.38</v>
      </c>
      <c r="V4821" s="21" t="s">
        <v>368</v>
      </c>
      <c r="W4821" t="str">
        <f>VLOOKUP(Table_Query_from_Actuarial___Production[[#This Row],[Kor1]],$AI$3:$AK$105,3,FALSE)</f>
        <v>Anticipated Salvage</v>
      </c>
      <c r="X4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1"/>
      <c r="Z4821" t="s">
        <v>13</v>
      </c>
      <c r="AA4821" t="s">
        <v>264</v>
      </c>
      <c r="AB4821" t="s">
        <v>442</v>
      </c>
      <c r="AC4821" s="21">
        <v>706866.71</v>
      </c>
      <c r="AD4821" s="21" t="s">
        <v>368</v>
      </c>
      <c r="AE4821" t="str">
        <f>VLOOKUP(Table_Query_from_Actuarial___Production3[[#This Row],[Kor1]],$AI$3:$AK$105,3,FALSE)</f>
        <v>Operating Service Fees</v>
      </c>
      <c r="AF4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2" spans="18:32" x14ac:dyDescent="0.2">
      <c r="R4822" t="s">
        <v>3</v>
      </c>
      <c r="S4822" t="s">
        <v>231</v>
      </c>
      <c r="T4822" t="s">
        <v>6</v>
      </c>
      <c r="U4822" s="21">
        <v>99691</v>
      </c>
      <c r="V4822" s="21" t="s">
        <v>368</v>
      </c>
      <c r="W4822" t="str">
        <f>VLOOKUP(Table_Query_from_Actuarial___Production[[#This Row],[Kor1]],$AI$3:$AK$105,3,FALSE)</f>
        <v>Premiums Written</v>
      </c>
      <c r="X4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2"/>
      <c r="Z4822" t="s">
        <v>39</v>
      </c>
      <c r="AA4822" t="s">
        <v>258</v>
      </c>
      <c r="AB4822" t="s">
        <v>427</v>
      </c>
      <c r="AC4822" s="21">
        <v>536.36</v>
      </c>
      <c r="AD4822" s="21" t="s">
        <v>368</v>
      </c>
      <c r="AE4822" t="str">
        <f>VLOOKUP(Table_Query_from_Actuarial___Production3[[#This Row],[Kor1]],$AI$3:$AK$105,3,FALSE)</f>
        <v>Misc. Income for Insolvent Companies</v>
      </c>
      <c r="AF4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3" spans="18:32" x14ac:dyDescent="0.2">
      <c r="R4823" t="s">
        <v>31</v>
      </c>
      <c r="S4823" t="s">
        <v>228</v>
      </c>
      <c r="T4823" t="s">
        <v>445</v>
      </c>
      <c r="U4823" s="21">
        <v>1100.58</v>
      </c>
      <c r="V4823" s="21" t="s">
        <v>368</v>
      </c>
      <c r="W4823" t="str">
        <f>VLOOKUP(Table_Query_from_Actuarial___Production[[#This Row],[Kor1]],$AI$3:$AK$105,3,FALSE)</f>
        <v>Misc. Expense</v>
      </c>
      <c r="X4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3"/>
      <c r="Z4823" t="s">
        <v>11</v>
      </c>
      <c r="AA4823" t="s">
        <v>246</v>
      </c>
      <c r="AB4823" t="s">
        <v>433</v>
      </c>
      <c r="AC4823" s="21">
        <v>1670976.61</v>
      </c>
      <c r="AD4823" s="21" t="s">
        <v>368</v>
      </c>
      <c r="AE4823" t="str">
        <f>VLOOKUP(Table_Query_from_Actuarial___Production3[[#This Row],[Kor1]],$AI$3:$AK$105,3,FALSE)</f>
        <v>Losses Paid</v>
      </c>
      <c r="AF4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4" spans="18:32" x14ac:dyDescent="0.2">
      <c r="R4824" t="s">
        <v>49</v>
      </c>
      <c r="S4824" t="s">
        <v>236</v>
      </c>
      <c r="T4824" t="s">
        <v>9</v>
      </c>
      <c r="U4824" s="21">
        <v>1885.08</v>
      </c>
      <c r="V4824" s="21" t="s">
        <v>368</v>
      </c>
      <c r="W4824" t="str">
        <f>VLOOKUP(Table_Query_from_Actuarial___Production[[#This Row],[Kor1]],$AI$3:$AK$105,3,FALSE)</f>
        <v>ALAE Paid</v>
      </c>
      <c r="X4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4"/>
      <c r="Z4824" t="s">
        <v>50</v>
      </c>
      <c r="AA4824" t="s">
        <v>256</v>
      </c>
      <c r="AB4824" t="s">
        <v>433</v>
      </c>
      <c r="AC4824" s="21">
        <v>646.86</v>
      </c>
      <c r="AD4824" s="21" t="s">
        <v>368</v>
      </c>
      <c r="AE4824" t="str">
        <f>VLOOKUP(Table_Query_from_Actuarial___Production3[[#This Row],[Kor1]],$AI$3:$AK$105,3,FALSE)</f>
        <v>ALAE Reserve</v>
      </c>
      <c r="AF4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5" spans="18:32" x14ac:dyDescent="0.2">
      <c r="R4825" t="s">
        <v>37</v>
      </c>
      <c r="S4825" t="s">
        <v>268</v>
      </c>
      <c r="T4825" t="s">
        <v>351</v>
      </c>
      <c r="U4825" s="21">
        <v>1293.5999999999999</v>
      </c>
      <c r="V4825" s="21" t="s">
        <v>368</v>
      </c>
      <c r="W4825" t="str">
        <f>VLOOKUP(Table_Query_from_Actuarial___Production[[#This Row],[Kor1]],$AI$3:$AK$105,3,FALSE)</f>
        <v>Misc. Expense</v>
      </c>
      <c r="X4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5"/>
      <c r="Z4825" t="s">
        <v>11</v>
      </c>
      <c r="AA4825" t="s">
        <v>263</v>
      </c>
      <c r="AB4825" t="s">
        <v>351</v>
      </c>
      <c r="AC4825" s="21">
        <v>20622.669999999998</v>
      </c>
      <c r="AD4825" s="21" t="s">
        <v>368</v>
      </c>
      <c r="AE4825" t="str">
        <f>VLOOKUP(Table_Query_from_Actuarial___Production3[[#This Row],[Kor1]],$AI$3:$AK$105,3,FALSE)</f>
        <v>Losses Paid</v>
      </c>
      <c r="AF4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6" spans="18:32" x14ac:dyDescent="0.2">
      <c r="R4826" t="s">
        <v>10</v>
      </c>
      <c r="S4826" t="s">
        <v>238</v>
      </c>
      <c r="T4826" t="s">
        <v>9</v>
      </c>
      <c r="U4826" s="21">
        <v>9758.84</v>
      </c>
      <c r="V4826" s="21" t="s">
        <v>368</v>
      </c>
      <c r="W4826" t="str">
        <f>VLOOKUP(Table_Query_from_Actuarial___Production[[#This Row],[Kor1]],$AI$3:$AK$105,3,FALSE)</f>
        <v>Commissions</v>
      </c>
      <c r="X4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6"/>
      <c r="Z4826" t="s">
        <v>13</v>
      </c>
      <c r="AA4826" t="s">
        <v>264</v>
      </c>
      <c r="AB4826" t="s">
        <v>7</v>
      </c>
      <c r="AC4826" s="21">
        <v>470435.72</v>
      </c>
      <c r="AD4826" s="21" t="s">
        <v>368</v>
      </c>
      <c r="AE4826" t="str">
        <f>VLOOKUP(Table_Query_from_Actuarial___Production3[[#This Row],[Kor1]],$AI$3:$AK$105,3,FALSE)</f>
        <v>Operating Service Fees</v>
      </c>
      <c r="AF4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7" spans="18:32" x14ac:dyDescent="0.2">
      <c r="R4827" t="s">
        <v>17</v>
      </c>
      <c r="S4827" t="s">
        <v>243</v>
      </c>
      <c r="T4827" t="s">
        <v>445</v>
      </c>
      <c r="U4827" s="21">
        <v>24535.599999999999</v>
      </c>
      <c r="V4827" s="21" t="s">
        <v>368</v>
      </c>
      <c r="W4827" t="str">
        <f>VLOOKUP(Table_Query_from_Actuarial___Production[[#This Row],[Kor1]],$AI$3:$AK$105,3,FALSE)</f>
        <v>IBNR</v>
      </c>
      <c r="X4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7"/>
      <c r="Z4827" t="s">
        <v>47</v>
      </c>
      <c r="AA4827" t="s">
        <v>260</v>
      </c>
      <c r="AB4827" t="s">
        <v>5</v>
      </c>
      <c r="AC4827" s="21">
        <v>0.72</v>
      </c>
      <c r="AD4827" s="21" t="s">
        <v>368</v>
      </c>
      <c r="AE4827" t="str">
        <f>VLOOKUP(Table_Query_from_Actuarial___Production3[[#This Row],[Kor1]],$AI$3:$AK$105,3,FALSE)</f>
        <v>Investment Income</v>
      </c>
      <c r="AF4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28" spans="18:32" x14ac:dyDescent="0.2">
      <c r="R4828" t="s">
        <v>19</v>
      </c>
      <c r="S4828" t="s">
        <v>264</v>
      </c>
      <c r="T4828" t="s">
        <v>8</v>
      </c>
      <c r="U4828" s="21">
        <v>8292</v>
      </c>
      <c r="V4828" s="21" t="s">
        <v>368</v>
      </c>
      <c r="W4828" t="str">
        <f>VLOOKUP(Table_Query_from_Actuarial___Production[[#This Row],[Kor1]],$AI$3:$AK$105,3,FALSE)</f>
        <v>Misc. Expense for Insolvent Companies</v>
      </c>
      <c r="X4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8"/>
      <c r="Z4828" t="s">
        <v>11</v>
      </c>
      <c r="AA4828" t="s">
        <v>352</v>
      </c>
      <c r="AB4828" t="s">
        <v>8</v>
      </c>
      <c r="AC4828" s="21">
        <v>69456.88</v>
      </c>
      <c r="AD4828" s="21" t="s">
        <v>369</v>
      </c>
      <c r="AE4828" t="str">
        <f>VLOOKUP(Table_Query_from_Actuarial___Production3[[#This Row],[Kor1]],$AI$3:$AK$105,3,FALSE)</f>
        <v>Losses Paid</v>
      </c>
      <c r="AF4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829" spans="18:32" x14ac:dyDescent="0.2">
      <c r="R4829" t="s">
        <v>44</v>
      </c>
      <c r="S4829" t="s">
        <v>238</v>
      </c>
      <c r="T4829" t="s">
        <v>441</v>
      </c>
      <c r="U4829" s="21">
        <v>284028</v>
      </c>
      <c r="V4829" s="21" t="s">
        <v>368</v>
      </c>
      <c r="W4829" t="str">
        <f>VLOOKUP(Table_Query_from_Actuarial___Production[[#This Row],[Kor1]],$AI$3:$AK$105,3,FALSE)</f>
        <v>Charge-offs</v>
      </c>
      <c r="X4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29"/>
      <c r="Z4829" t="s">
        <v>19</v>
      </c>
      <c r="AA4829" t="s">
        <v>238</v>
      </c>
      <c r="AB4829" t="s">
        <v>433</v>
      </c>
      <c r="AC4829" s="21">
        <v>4.0199999999999996</v>
      </c>
      <c r="AD4829" s="21" t="s">
        <v>368</v>
      </c>
      <c r="AE4829" t="str">
        <f>VLOOKUP(Table_Query_from_Actuarial___Production3[[#This Row],[Kor1]],$AI$3:$AK$105,3,FALSE)</f>
        <v>Misc. Expense for Insolvent Companies</v>
      </c>
      <c r="AF4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0" spans="18:32" x14ac:dyDescent="0.2">
      <c r="R4830" t="s">
        <v>10</v>
      </c>
      <c r="S4830" t="s">
        <v>235</v>
      </c>
      <c r="T4830" t="s">
        <v>433</v>
      </c>
      <c r="U4830" s="21">
        <v>21693.55</v>
      </c>
      <c r="V4830" s="21" t="s">
        <v>368</v>
      </c>
      <c r="W4830" t="str">
        <f>VLOOKUP(Table_Query_from_Actuarial___Production[[#This Row],[Kor1]],$AI$3:$AK$105,3,FALSE)</f>
        <v>Commissions</v>
      </c>
      <c r="X4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0"/>
      <c r="Z4830" t="s">
        <v>3</v>
      </c>
      <c r="AA4830" t="s">
        <v>224</v>
      </c>
      <c r="AB4830" t="s">
        <v>441</v>
      </c>
      <c r="AC4830" s="21">
        <v>2293378.5099999998</v>
      </c>
      <c r="AD4830" s="21" t="s">
        <v>368</v>
      </c>
      <c r="AE4830" t="str">
        <f>VLOOKUP(Table_Query_from_Actuarial___Production3[[#This Row],[Kor1]],$AI$3:$AK$105,3,FALSE)</f>
        <v>Premiums Written</v>
      </c>
      <c r="AF4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831" spans="18:32" x14ac:dyDescent="0.2">
      <c r="R4831" t="s">
        <v>39</v>
      </c>
      <c r="S4831" t="s">
        <v>244</v>
      </c>
      <c r="T4831" t="s">
        <v>6</v>
      </c>
      <c r="U4831" s="21">
        <v>7062.43</v>
      </c>
      <c r="V4831" s="21" t="s">
        <v>368</v>
      </c>
      <c r="W4831" t="str">
        <f>VLOOKUP(Table_Query_from_Actuarial___Production[[#This Row],[Kor1]],$AI$3:$AK$105,3,FALSE)</f>
        <v>Misc. Income for Insolvent Companies</v>
      </c>
      <c r="X4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1"/>
      <c r="Z4831" t="s">
        <v>41</v>
      </c>
      <c r="AA4831" t="s">
        <v>242</v>
      </c>
      <c r="AB4831" t="s">
        <v>356</v>
      </c>
      <c r="AC4831" s="21">
        <v>275.14999999999998</v>
      </c>
      <c r="AD4831" s="21" t="s">
        <v>368</v>
      </c>
      <c r="AE4831" t="str">
        <f>VLOOKUP(Table_Query_from_Actuarial___Production3[[#This Row],[Kor1]],$AI$3:$AK$105,3,FALSE)</f>
        <v>Misc. Income</v>
      </c>
      <c r="AF4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2" spans="18:32" x14ac:dyDescent="0.2">
      <c r="R4832" t="s">
        <v>39</v>
      </c>
      <c r="S4832" t="s">
        <v>252</v>
      </c>
      <c r="T4832" t="s">
        <v>427</v>
      </c>
      <c r="U4832" s="21">
        <v>76456.259999999995</v>
      </c>
      <c r="V4832" s="21" t="s">
        <v>368</v>
      </c>
      <c r="W4832" t="str">
        <f>VLOOKUP(Table_Query_from_Actuarial___Production[[#This Row],[Kor1]],$AI$3:$AK$105,3,FALSE)</f>
        <v>Misc. Income for Insolvent Companies</v>
      </c>
      <c r="X4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2"/>
      <c r="Z4832" t="s">
        <v>10</v>
      </c>
      <c r="AA4832" t="s">
        <v>352</v>
      </c>
      <c r="AB4832" t="s">
        <v>442</v>
      </c>
      <c r="AC4832" s="21">
        <v>3906.17</v>
      </c>
      <c r="AD4832" s="21" t="s">
        <v>369</v>
      </c>
      <c r="AE4832" t="str">
        <f>VLOOKUP(Table_Query_from_Actuarial___Production3[[#This Row],[Kor1]],$AI$3:$AK$105,3,FALSE)</f>
        <v>Commissions</v>
      </c>
      <c r="AF4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833" spans="18:32" x14ac:dyDescent="0.2">
      <c r="R4833" t="s">
        <v>3</v>
      </c>
      <c r="S4833" t="s">
        <v>248</v>
      </c>
      <c r="T4833" t="s">
        <v>6</v>
      </c>
      <c r="U4833" s="21">
        <v>28734</v>
      </c>
      <c r="V4833" s="21" t="s">
        <v>368</v>
      </c>
      <c r="W4833" t="str">
        <f>VLOOKUP(Table_Query_from_Actuarial___Production[[#This Row],[Kor1]],$AI$3:$AK$105,3,FALSE)</f>
        <v>Premiums Written</v>
      </c>
      <c r="X4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3"/>
      <c r="Z4833" t="s">
        <v>17</v>
      </c>
      <c r="AA4833" t="s">
        <v>4</v>
      </c>
      <c r="AB4833" t="s">
        <v>9</v>
      </c>
      <c r="AC4833" s="21">
        <v>41079</v>
      </c>
      <c r="AD4833" s="21" t="s">
        <v>368</v>
      </c>
      <c r="AE4833" t="str">
        <f>VLOOKUP(Table_Query_from_Actuarial___Production3[[#This Row],[Kor1]],$AI$3:$AK$105,3,FALSE)</f>
        <v>IBNR</v>
      </c>
      <c r="AF4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4" spans="18:32" x14ac:dyDescent="0.2">
      <c r="R4834" t="s">
        <v>29</v>
      </c>
      <c r="S4834" t="s">
        <v>237</v>
      </c>
      <c r="T4834" t="s">
        <v>433</v>
      </c>
      <c r="U4834" s="21">
        <v>20957.64</v>
      </c>
      <c r="V4834" s="21" t="s">
        <v>368</v>
      </c>
      <c r="W4834" t="str">
        <f>VLOOKUP(Table_Query_from_Actuarial___Production[[#This Row],[Kor1]],$AI$3:$AK$105,3,FALSE)</f>
        <v>Misc. Expense</v>
      </c>
      <c r="X4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4"/>
      <c r="Z4834" t="s">
        <v>39</v>
      </c>
      <c r="AA4834" t="s">
        <v>246</v>
      </c>
      <c r="AB4834" t="s">
        <v>356</v>
      </c>
      <c r="AC4834" s="21">
        <v>10005</v>
      </c>
      <c r="AD4834" s="21" t="s">
        <v>368</v>
      </c>
      <c r="AE4834" t="str">
        <f>VLOOKUP(Table_Query_from_Actuarial___Production3[[#This Row],[Kor1]],$AI$3:$AK$105,3,FALSE)</f>
        <v>Misc. Income for Insolvent Companies</v>
      </c>
      <c r="AF4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5" spans="18:32" x14ac:dyDescent="0.2">
      <c r="R4835" t="s">
        <v>39</v>
      </c>
      <c r="S4835" t="s">
        <v>229</v>
      </c>
      <c r="T4835" t="s">
        <v>6</v>
      </c>
      <c r="U4835" s="21">
        <v>762</v>
      </c>
      <c r="V4835" s="21" t="s">
        <v>368</v>
      </c>
      <c r="W4835" t="str">
        <f>VLOOKUP(Table_Query_from_Actuarial___Production[[#This Row],[Kor1]],$AI$3:$AK$105,3,FALSE)</f>
        <v>Misc. Income for Insolvent Companies</v>
      </c>
      <c r="X4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5"/>
      <c r="Z4835" t="s">
        <v>20</v>
      </c>
      <c r="AA4835" t="s">
        <v>233</v>
      </c>
      <c r="AB4835" t="s">
        <v>9</v>
      </c>
      <c r="AC4835" s="21">
        <v>283.88</v>
      </c>
      <c r="AD4835" s="21" t="s">
        <v>368</v>
      </c>
      <c r="AE4835" t="str">
        <f>VLOOKUP(Table_Query_from_Actuarial___Production3[[#This Row],[Kor1]],$AI$3:$AK$105,3,FALSE)</f>
        <v>Misc. Expense</v>
      </c>
      <c r="AF4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6" spans="18:32" x14ac:dyDescent="0.2">
      <c r="R4836" t="s">
        <v>3</v>
      </c>
      <c r="S4836" t="s">
        <v>265</v>
      </c>
      <c r="T4836" t="s">
        <v>433</v>
      </c>
      <c r="U4836" s="21">
        <v>1325889</v>
      </c>
      <c r="V4836" s="21" t="s">
        <v>368</v>
      </c>
      <c r="W4836" t="str">
        <f>VLOOKUP(Table_Query_from_Actuarial___Production[[#This Row],[Kor1]],$AI$3:$AK$105,3,FALSE)</f>
        <v>Premiums Written</v>
      </c>
      <c r="X4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6"/>
      <c r="Z4836" t="s">
        <v>18</v>
      </c>
      <c r="AA4836" t="s">
        <v>225</v>
      </c>
      <c r="AB4836" t="s">
        <v>9</v>
      </c>
      <c r="AC4836" s="21">
        <v>611143.38</v>
      </c>
      <c r="AD4836" s="21" t="s">
        <v>368</v>
      </c>
      <c r="AE4836" t="str">
        <f>VLOOKUP(Table_Query_from_Actuarial___Production3[[#This Row],[Kor1]],$AI$3:$AK$105,3,FALSE)</f>
        <v>Misc. Expense</v>
      </c>
      <c r="AF4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837" spans="18:32" x14ac:dyDescent="0.2">
      <c r="R4837" t="s">
        <v>11</v>
      </c>
      <c r="S4837" t="s">
        <v>249</v>
      </c>
      <c r="T4837" t="s">
        <v>427</v>
      </c>
      <c r="U4837" s="21">
        <v>71657.240000000005</v>
      </c>
      <c r="V4837" s="21" t="s">
        <v>368</v>
      </c>
      <c r="W4837" t="str">
        <f>VLOOKUP(Table_Query_from_Actuarial___Production[[#This Row],[Kor1]],$AI$3:$AK$105,3,FALSE)</f>
        <v>Losses Paid</v>
      </c>
      <c r="X4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37"/>
      <c r="Z4837" t="s">
        <v>48</v>
      </c>
      <c r="AA4837" t="s">
        <v>234</v>
      </c>
      <c r="AB4837" t="s">
        <v>443</v>
      </c>
      <c r="AC4837" s="21">
        <v>1047.23</v>
      </c>
      <c r="AD4837" s="21" t="s">
        <v>368</v>
      </c>
      <c r="AE4837" t="str">
        <f>VLOOKUP(Table_Query_from_Actuarial___Production3[[#This Row],[Kor1]],$AI$3:$AK$105,3,FALSE)</f>
        <v>Anticipated Salvage</v>
      </c>
      <c r="AF4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8" spans="18:32" x14ac:dyDescent="0.2">
      <c r="R4838" t="s">
        <v>132</v>
      </c>
      <c r="S4838" t="s">
        <v>354</v>
      </c>
      <c r="T4838" t="s">
        <v>443</v>
      </c>
      <c r="U4838" s="21">
        <v>406410680.69999999</v>
      </c>
      <c r="V4838" s="21" t="s">
        <v>369</v>
      </c>
      <c r="W4838" t="str">
        <f>VLOOKUP(Table_Query_from_Actuarial___Production[[#This Row],[Kor1]],$AI$3:$AK$105,3,FALSE)</f>
        <v>Clean Risk Subsidy</v>
      </c>
      <c r="X4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4838"/>
      <c r="Z4838" t="s">
        <v>3</v>
      </c>
      <c r="AA4838" t="s">
        <v>231</v>
      </c>
      <c r="AB4838" t="s">
        <v>6</v>
      </c>
      <c r="AC4838" s="21">
        <v>99691</v>
      </c>
      <c r="AD4838" s="21" t="s">
        <v>368</v>
      </c>
      <c r="AE4838" t="str">
        <f>VLOOKUP(Table_Query_from_Actuarial___Production3[[#This Row],[Kor1]],$AI$3:$AK$105,3,FALSE)</f>
        <v>Premiums Written</v>
      </c>
      <c r="AF4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39" spans="18:32" x14ac:dyDescent="0.2">
      <c r="R4839" t="s">
        <v>11</v>
      </c>
      <c r="S4839" t="s">
        <v>224</v>
      </c>
      <c r="T4839" t="s">
        <v>441</v>
      </c>
      <c r="U4839" s="21">
        <v>66748.88</v>
      </c>
      <c r="V4839" s="21" t="s">
        <v>425</v>
      </c>
      <c r="W4839" t="str">
        <f>VLOOKUP(Table_Query_from_Actuarial___Production[[#This Row],[Kor1]],$AI$3:$AK$105,3,FALSE)</f>
        <v>Losses Paid</v>
      </c>
      <c r="X4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839"/>
      <c r="Z4839" t="s">
        <v>49</v>
      </c>
      <c r="AA4839" t="s">
        <v>236</v>
      </c>
      <c r="AB4839" t="s">
        <v>9</v>
      </c>
      <c r="AC4839" s="21">
        <v>1885.08</v>
      </c>
      <c r="AD4839" s="21" t="s">
        <v>368</v>
      </c>
      <c r="AE4839" t="str">
        <f>VLOOKUP(Table_Query_from_Actuarial___Production3[[#This Row],[Kor1]],$AI$3:$AK$105,3,FALSE)</f>
        <v>ALAE Paid</v>
      </c>
      <c r="AF4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0" spans="18:32" x14ac:dyDescent="0.2">
      <c r="R4840" t="s">
        <v>20</v>
      </c>
      <c r="S4840" t="s">
        <v>238</v>
      </c>
      <c r="T4840" t="s">
        <v>351</v>
      </c>
      <c r="U4840" s="21">
        <v>31.29</v>
      </c>
      <c r="V4840" s="21" t="s">
        <v>368</v>
      </c>
      <c r="W4840" t="str">
        <f>VLOOKUP(Table_Query_from_Actuarial___Production[[#This Row],[Kor1]],$AI$3:$AK$105,3,FALSE)</f>
        <v>Misc. Expense</v>
      </c>
      <c r="X4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0"/>
      <c r="Z4840" t="s">
        <v>37</v>
      </c>
      <c r="AA4840" t="s">
        <v>268</v>
      </c>
      <c r="AB4840" t="s">
        <v>351</v>
      </c>
      <c r="AC4840" s="21">
        <v>1293.5999999999999</v>
      </c>
      <c r="AD4840" s="21" t="s">
        <v>368</v>
      </c>
      <c r="AE4840" t="str">
        <f>VLOOKUP(Table_Query_from_Actuarial___Production3[[#This Row],[Kor1]],$AI$3:$AK$105,3,FALSE)</f>
        <v>Misc. Expense</v>
      </c>
      <c r="AF4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1" spans="18:32" x14ac:dyDescent="0.2">
      <c r="R4841" t="s">
        <v>34</v>
      </c>
      <c r="S4841" t="s">
        <v>257</v>
      </c>
      <c r="T4841" t="s">
        <v>443</v>
      </c>
      <c r="U4841" s="21">
        <v>106284.92</v>
      </c>
      <c r="V4841" s="21" t="s">
        <v>368</v>
      </c>
      <c r="W4841" t="str">
        <f>VLOOKUP(Table_Query_from_Actuarial___Production[[#This Row],[Kor1]],$AI$3:$AK$105,3,FALSE)</f>
        <v>Misc. Expense</v>
      </c>
      <c r="X4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1"/>
      <c r="Z4841" t="s">
        <v>10</v>
      </c>
      <c r="AA4841" t="s">
        <v>238</v>
      </c>
      <c r="AB4841" t="s">
        <v>9</v>
      </c>
      <c r="AC4841" s="21">
        <v>9758.84</v>
      </c>
      <c r="AD4841" s="21" t="s">
        <v>368</v>
      </c>
      <c r="AE4841" t="str">
        <f>VLOOKUP(Table_Query_from_Actuarial___Production3[[#This Row],[Kor1]],$AI$3:$AK$105,3,FALSE)</f>
        <v>Commissions</v>
      </c>
      <c r="AF4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2" spans="18:32" x14ac:dyDescent="0.2">
      <c r="R4842" t="s">
        <v>14</v>
      </c>
      <c r="S4842" t="s">
        <v>266</v>
      </c>
      <c r="T4842" t="s">
        <v>427</v>
      </c>
      <c r="U4842" s="21">
        <v>36266.629999999997</v>
      </c>
      <c r="V4842" s="21" t="s">
        <v>368</v>
      </c>
      <c r="W4842" t="str">
        <f>VLOOKUP(Table_Query_from_Actuarial___Production[[#This Row],[Kor1]],$AI$3:$AK$105,3,FALSE)</f>
        <v>Claims Expense</v>
      </c>
      <c r="X4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2"/>
      <c r="Z4842" t="s">
        <v>19</v>
      </c>
      <c r="AA4842" t="s">
        <v>264</v>
      </c>
      <c r="AB4842" t="s">
        <v>8</v>
      </c>
      <c r="AC4842" s="21">
        <v>8292</v>
      </c>
      <c r="AD4842" s="21" t="s">
        <v>368</v>
      </c>
      <c r="AE4842" t="str">
        <f>VLOOKUP(Table_Query_from_Actuarial___Production3[[#This Row],[Kor1]],$AI$3:$AK$105,3,FALSE)</f>
        <v>Misc. Expense for Insolvent Companies</v>
      </c>
      <c r="AF4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3" spans="18:32" x14ac:dyDescent="0.2">
      <c r="R4843" t="s">
        <v>41</v>
      </c>
      <c r="S4843" t="s">
        <v>256</v>
      </c>
      <c r="T4843" t="s">
        <v>7</v>
      </c>
      <c r="U4843" s="21">
        <v>350</v>
      </c>
      <c r="V4843" s="21" t="s">
        <v>368</v>
      </c>
      <c r="W4843" t="str">
        <f>VLOOKUP(Table_Query_from_Actuarial___Production[[#This Row],[Kor1]],$AI$3:$AK$105,3,FALSE)</f>
        <v>Misc. Income</v>
      </c>
      <c r="X4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3"/>
      <c r="Z4843" t="s">
        <v>44</v>
      </c>
      <c r="AA4843" t="s">
        <v>238</v>
      </c>
      <c r="AB4843" t="s">
        <v>441</v>
      </c>
      <c r="AC4843" s="21">
        <v>284028</v>
      </c>
      <c r="AD4843" s="21" t="s">
        <v>368</v>
      </c>
      <c r="AE4843" t="str">
        <f>VLOOKUP(Table_Query_from_Actuarial___Production3[[#This Row],[Kor1]],$AI$3:$AK$105,3,FALSE)</f>
        <v>Charge-offs</v>
      </c>
      <c r="AF4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4" spans="18:32" x14ac:dyDescent="0.2">
      <c r="R4844" t="s">
        <v>43</v>
      </c>
      <c r="S4844" t="s">
        <v>240</v>
      </c>
      <c r="T4844" t="s">
        <v>6</v>
      </c>
      <c r="U4844" s="21">
        <v>-3.47</v>
      </c>
      <c r="V4844" s="21" t="s">
        <v>368</v>
      </c>
      <c r="W4844" t="str">
        <f>VLOOKUP(Table_Query_from_Actuarial___Production[[#This Row],[Kor1]],$AI$3:$AK$105,3,FALSE)</f>
        <v>Charge-offs</v>
      </c>
      <c r="X4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4"/>
      <c r="Z4844" t="s">
        <v>10</v>
      </c>
      <c r="AA4844" t="s">
        <v>235</v>
      </c>
      <c r="AB4844" t="s">
        <v>433</v>
      </c>
      <c r="AC4844" s="21">
        <v>21693.55</v>
      </c>
      <c r="AD4844" s="21" t="s">
        <v>368</v>
      </c>
      <c r="AE4844" t="str">
        <f>VLOOKUP(Table_Query_from_Actuarial___Production3[[#This Row],[Kor1]],$AI$3:$AK$105,3,FALSE)</f>
        <v>Commissions</v>
      </c>
      <c r="AF4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5" spans="18:32" x14ac:dyDescent="0.2">
      <c r="R4845" t="s">
        <v>48</v>
      </c>
      <c r="S4845" t="s">
        <v>250</v>
      </c>
      <c r="T4845" t="s">
        <v>445</v>
      </c>
      <c r="U4845" s="21">
        <v>746.27</v>
      </c>
      <c r="V4845" s="21" t="s">
        <v>368</v>
      </c>
      <c r="W4845" t="str">
        <f>VLOOKUP(Table_Query_from_Actuarial___Production[[#This Row],[Kor1]],$AI$3:$AK$105,3,FALSE)</f>
        <v>Anticipated Salvage</v>
      </c>
      <c r="X4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5"/>
      <c r="Z4845" t="s">
        <v>39</v>
      </c>
      <c r="AA4845" t="s">
        <v>244</v>
      </c>
      <c r="AB4845" t="s">
        <v>6</v>
      </c>
      <c r="AC4845" s="21">
        <v>7062.43</v>
      </c>
      <c r="AD4845" s="21" t="s">
        <v>368</v>
      </c>
      <c r="AE4845" t="str">
        <f>VLOOKUP(Table_Query_from_Actuarial___Production3[[#This Row],[Kor1]],$AI$3:$AK$105,3,FALSE)</f>
        <v>Misc. Income for Insolvent Companies</v>
      </c>
      <c r="AF4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6" spans="18:32" x14ac:dyDescent="0.2">
      <c r="R4846" t="s">
        <v>11</v>
      </c>
      <c r="S4846" t="s">
        <v>261</v>
      </c>
      <c r="T4846" t="s">
        <v>433</v>
      </c>
      <c r="U4846" s="21">
        <v>46020.94</v>
      </c>
      <c r="V4846" s="21" t="s">
        <v>368</v>
      </c>
      <c r="W4846" t="str">
        <f>VLOOKUP(Table_Query_from_Actuarial___Production[[#This Row],[Kor1]],$AI$3:$AK$105,3,FALSE)</f>
        <v>Losses Paid</v>
      </c>
      <c r="X4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6"/>
      <c r="Z4846" t="s">
        <v>39</v>
      </c>
      <c r="AA4846" t="s">
        <v>252</v>
      </c>
      <c r="AB4846" t="s">
        <v>427</v>
      </c>
      <c r="AC4846" s="21">
        <v>76450.259999999995</v>
      </c>
      <c r="AD4846" s="21" t="s">
        <v>368</v>
      </c>
      <c r="AE4846" t="str">
        <f>VLOOKUP(Table_Query_from_Actuarial___Production3[[#This Row],[Kor1]],$AI$3:$AK$105,3,FALSE)</f>
        <v>Misc. Income for Insolvent Companies</v>
      </c>
      <c r="AF4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7" spans="18:32" x14ac:dyDescent="0.2">
      <c r="R4847" t="s">
        <v>12</v>
      </c>
      <c r="S4847" t="s">
        <v>232</v>
      </c>
      <c r="T4847" t="s">
        <v>7</v>
      </c>
      <c r="U4847" s="21">
        <v>24120.37</v>
      </c>
      <c r="V4847" s="21" t="s">
        <v>368</v>
      </c>
      <c r="W4847" t="str">
        <f>VLOOKUP(Table_Query_from_Actuarial___Production[[#This Row],[Kor1]],$AI$3:$AK$105,3,FALSE)</f>
        <v>Premium Tax</v>
      </c>
      <c r="X4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7"/>
      <c r="Z4847" t="s">
        <v>3</v>
      </c>
      <c r="AA4847" t="s">
        <v>248</v>
      </c>
      <c r="AB4847" t="s">
        <v>6</v>
      </c>
      <c r="AC4847" s="21">
        <v>28734</v>
      </c>
      <c r="AD4847" s="21" t="s">
        <v>368</v>
      </c>
      <c r="AE4847" t="str">
        <f>VLOOKUP(Table_Query_from_Actuarial___Production3[[#This Row],[Kor1]],$AI$3:$AK$105,3,FALSE)</f>
        <v>Premiums Written</v>
      </c>
      <c r="AF4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8" spans="18:32" x14ac:dyDescent="0.2">
      <c r="R4848" t="s">
        <v>12</v>
      </c>
      <c r="S4848" t="s">
        <v>244</v>
      </c>
      <c r="T4848" t="s">
        <v>442</v>
      </c>
      <c r="U4848" s="21">
        <v>32291.599999999999</v>
      </c>
      <c r="V4848" s="21" t="s">
        <v>368</v>
      </c>
      <c r="W4848" t="str">
        <f>VLOOKUP(Table_Query_from_Actuarial___Production[[#This Row],[Kor1]],$AI$3:$AK$105,3,FALSE)</f>
        <v>Premium Tax</v>
      </c>
      <c r="X4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8"/>
      <c r="Z4848" t="s">
        <v>29</v>
      </c>
      <c r="AA4848" t="s">
        <v>237</v>
      </c>
      <c r="AB4848" t="s">
        <v>433</v>
      </c>
      <c r="AC4848" s="21">
        <v>20957.64</v>
      </c>
      <c r="AD4848" s="21" t="s">
        <v>368</v>
      </c>
      <c r="AE4848" t="str">
        <f>VLOOKUP(Table_Query_from_Actuarial___Production3[[#This Row],[Kor1]],$AI$3:$AK$105,3,FALSE)</f>
        <v>Misc. Expense</v>
      </c>
      <c r="AF4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49" spans="18:32" x14ac:dyDescent="0.2">
      <c r="R4849" t="s">
        <v>13</v>
      </c>
      <c r="S4849" t="s">
        <v>250</v>
      </c>
      <c r="T4849" t="s">
        <v>351</v>
      </c>
      <c r="U4849" s="21">
        <v>229362.11</v>
      </c>
      <c r="V4849" s="21" t="s">
        <v>368</v>
      </c>
      <c r="W4849" t="str">
        <f>VLOOKUP(Table_Query_from_Actuarial___Production[[#This Row],[Kor1]],$AI$3:$AK$105,3,FALSE)</f>
        <v>Operating Service Fees</v>
      </c>
      <c r="X4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49"/>
      <c r="Z4849" t="s">
        <v>39</v>
      </c>
      <c r="AA4849" t="s">
        <v>229</v>
      </c>
      <c r="AB4849" t="s">
        <v>6</v>
      </c>
      <c r="AC4849" s="21">
        <v>754</v>
      </c>
      <c r="AD4849" s="21" t="s">
        <v>368</v>
      </c>
      <c r="AE4849" t="str">
        <f>VLOOKUP(Table_Query_from_Actuarial___Production3[[#This Row],[Kor1]],$AI$3:$AK$105,3,FALSE)</f>
        <v>Misc. Income for Insolvent Companies</v>
      </c>
      <c r="AF4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0" spans="18:32" x14ac:dyDescent="0.2">
      <c r="R4850" t="s">
        <v>31</v>
      </c>
      <c r="S4850" t="s">
        <v>235</v>
      </c>
      <c r="T4850" t="s">
        <v>443</v>
      </c>
      <c r="U4850" s="21">
        <v>905.45</v>
      </c>
      <c r="V4850" s="21" t="s">
        <v>368</v>
      </c>
      <c r="W4850" t="str">
        <f>VLOOKUP(Table_Query_from_Actuarial___Production[[#This Row],[Kor1]],$AI$3:$AK$105,3,FALSE)</f>
        <v>Misc. Expense</v>
      </c>
      <c r="X4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0"/>
      <c r="Z4850" t="s">
        <v>3</v>
      </c>
      <c r="AA4850" t="s">
        <v>265</v>
      </c>
      <c r="AB4850" t="s">
        <v>433</v>
      </c>
      <c r="AC4850" s="21">
        <v>1325889</v>
      </c>
      <c r="AD4850" s="21" t="s">
        <v>368</v>
      </c>
      <c r="AE4850" t="str">
        <f>VLOOKUP(Table_Query_from_Actuarial___Production3[[#This Row],[Kor1]],$AI$3:$AK$105,3,FALSE)</f>
        <v>Premiums Written</v>
      </c>
      <c r="AF4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1" spans="18:32" x14ac:dyDescent="0.2">
      <c r="R4851" t="s">
        <v>41</v>
      </c>
      <c r="S4851" t="s">
        <v>231</v>
      </c>
      <c r="T4851" t="s">
        <v>356</v>
      </c>
      <c r="U4851" s="21">
        <v>500</v>
      </c>
      <c r="V4851" s="21" t="s">
        <v>368</v>
      </c>
      <c r="W4851" t="str">
        <f>VLOOKUP(Table_Query_from_Actuarial___Production[[#This Row],[Kor1]],$AI$3:$AK$105,3,FALSE)</f>
        <v>Misc. Income</v>
      </c>
      <c r="X4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1"/>
      <c r="Z4851" t="s">
        <v>11</v>
      </c>
      <c r="AA4851" t="s">
        <v>249</v>
      </c>
      <c r="AB4851" t="s">
        <v>427</v>
      </c>
      <c r="AC4851" s="21">
        <v>71657.240000000005</v>
      </c>
      <c r="AD4851" s="21" t="s">
        <v>368</v>
      </c>
      <c r="AE4851" t="str">
        <f>VLOOKUP(Table_Query_from_Actuarial___Production3[[#This Row],[Kor1]],$AI$3:$AK$105,3,FALSE)</f>
        <v>Losses Paid</v>
      </c>
      <c r="AF4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2" spans="18:32" x14ac:dyDescent="0.2">
      <c r="R4852" t="s">
        <v>13</v>
      </c>
      <c r="S4852" t="s">
        <v>230</v>
      </c>
      <c r="T4852" t="s">
        <v>433</v>
      </c>
      <c r="U4852" s="21">
        <v>4011670.05</v>
      </c>
      <c r="V4852" s="21" t="s">
        <v>368</v>
      </c>
      <c r="W4852" t="str">
        <f>VLOOKUP(Table_Query_from_Actuarial___Production[[#This Row],[Kor1]],$AI$3:$AK$105,3,FALSE)</f>
        <v>Operating Service Fees</v>
      </c>
      <c r="X4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2"/>
      <c r="Z4852" t="s">
        <v>132</v>
      </c>
      <c r="AA4852" t="s">
        <v>354</v>
      </c>
      <c r="AB4852" t="s">
        <v>443</v>
      </c>
      <c r="AC4852" s="21">
        <v>191145292.13</v>
      </c>
      <c r="AD4852" s="21" t="s">
        <v>369</v>
      </c>
      <c r="AE4852" t="str">
        <f>VLOOKUP(Table_Query_from_Actuarial___Production3[[#This Row],[Kor1]],$AI$3:$AK$105,3,FALSE)</f>
        <v>Clean Risk Subsidy</v>
      </c>
      <c r="AF4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4853" spans="18:32" x14ac:dyDescent="0.2">
      <c r="R4853" t="s">
        <v>40</v>
      </c>
      <c r="S4853" t="s">
        <v>267</v>
      </c>
      <c r="T4853" t="s">
        <v>7</v>
      </c>
      <c r="U4853" s="21">
        <v>71</v>
      </c>
      <c r="V4853" s="21" t="s">
        <v>368</v>
      </c>
      <c r="W4853" t="str">
        <f>VLOOKUP(Table_Query_from_Actuarial___Production[[#This Row],[Kor1]],$AI$3:$AK$105,3,FALSE)</f>
        <v>Misc. Income</v>
      </c>
      <c r="X4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3"/>
      <c r="Z4853" t="s">
        <v>40</v>
      </c>
      <c r="AA4853" t="s">
        <v>262</v>
      </c>
      <c r="AB4853" t="s">
        <v>5</v>
      </c>
      <c r="AC4853" s="21">
        <v>26</v>
      </c>
      <c r="AD4853" s="21" t="s">
        <v>368</v>
      </c>
      <c r="AE4853" t="str">
        <f>VLOOKUP(Table_Query_from_Actuarial___Production3[[#This Row],[Kor1]],$AI$3:$AK$105,3,FALSE)</f>
        <v>Misc. Income</v>
      </c>
      <c r="AF4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4" spans="18:32" x14ac:dyDescent="0.2">
      <c r="R4854" t="s">
        <v>12</v>
      </c>
      <c r="S4854" t="s">
        <v>229</v>
      </c>
      <c r="T4854" t="s">
        <v>351</v>
      </c>
      <c r="U4854" s="21">
        <v>1540.35</v>
      </c>
      <c r="V4854" s="21" t="s">
        <v>368</v>
      </c>
      <c r="W4854" t="str">
        <f>VLOOKUP(Table_Query_from_Actuarial___Production[[#This Row],[Kor1]],$AI$3:$AK$105,3,FALSE)</f>
        <v>Premium Tax</v>
      </c>
      <c r="X4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4"/>
      <c r="Z4854" t="s">
        <v>11</v>
      </c>
      <c r="AA4854" t="s">
        <v>224</v>
      </c>
      <c r="AB4854" t="s">
        <v>441</v>
      </c>
      <c r="AC4854" s="21">
        <v>66748.88</v>
      </c>
      <c r="AD4854" s="21" t="s">
        <v>425</v>
      </c>
      <c r="AE4854" t="str">
        <f>VLOOKUP(Table_Query_from_Actuarial___Production3[[#This Row],[Kor1]],$AI$3:$AK$105,3,FALSE)</f>
        <v>Losses Paid</v>
      </c>
      <c r="AF4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855" spans="18:32" x14ac:dyDescent="0.2">
      <c r="R4855" t="s">
        <v>16</v>
      </c>
      <c r="S4855" t="s">
        <v>234</v>
      </c>
      <c r="T4855" t="s">
        <v>443</v>
      </c>
      <c r="U4855" s="21">
        <v>375110.55</v>
      </c>
      <c r="V4855" s="21" t="s">
        <v>368</v>
      </c>
      <c r="W4855" t="str">
        <f>VLOOKUP(Table_Query_from_Actuarial___Production[[#This Row],[Kor1]],$AI$3:$AK$105,3,FALSE)</f>
        <v>Losses Outstanding</v>
      </c>
      <c r="X4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5"/>
      <c r="Z4855" t="s">
        <v>20</v>
      </c>
      <c r="AA4855" t="s">
        <v>238</v>
      </c>
      <c r="AB4855" t="s">
        <v>351</v>
      </c>
      <c r="AC4855" s="21">
        <v>31.29</v>
      </c>
      <c r="AD4855" s="21" t="s">
        <v>368</v>
      </c>
      <c r="AE4855" t="str">
        <f>VLOOKUP(Table_Query_from_Actuarial___Production3[[#This Row],[Kor1]],$AI$3:$AK$105,3,FALSE)</f>
        <v>Misc. Expense</v>
      </c>
      <c r="AF4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6" spans="18:32" x14ac:dyDescent="0.2">
      <c r="R4856" t="s">
        <v>38</v>
      </c>
      <c r="S4856" t="s">
        <v>352</v>
      </c>
      <c r="T4856" t="s">
        <v>8</v>
      </c>
      <c r="U4856" s="21">
        <v>18664.400000000001</v>
      </c>
      <c r="V4856" s="21" t="s">
        <v>369</v>
      </c>
      <c r="W4856" t="str">
        <f>VLOOKUP(Table_Query_from_Actuarial___Production[[#This Row],[Kor1]],$AI$3:$AK$105,3,FALSE)</f>
        <v>Misc. Income</v>
      </c>
      <c r="X4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4856"/>
      <c r="Z4856" t="s">
        <v>34</v>
      </c>
      <c r="AA4856" t="s">
        <v>257</v>
      </c>
      <c r="AB4856" t="s">
        <v>443</v>
      </c>
      <c r="AC4856" s="21">
        <v>3697.55</v>
      </c>
      <c r="AD4856" s="21" t="s">
        <v>368</v>
      </c>
      <c r="AE4856" t="str">
        <f>VLOOKUP(Table_Query_from_Actuarial___Production3[[#This Row],[Kor1]],$AI$3:$AK$105,3,FALSE)</f>
        <v>Misc. Expense</v>
      </c>
      <c r="AF4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7" spans="18:32" x14ac:dyDescent="0.2">
      <c r="R4857" t="s">
        <v>44</v>
      </c>
      <c r="S4857" t="s">
        <v>241</v>
      </c>
      <c r="T4857" t="s">
        <v>427</v>
      </c>
      <c r="U4857" s="21">
        <v>1034.47</v>
      </c>
      <c r="V4857" s="21" t="s">
        <v>368</v>
      </c>
      <c r="W4857" t="str">
        <f>VLOOKUP(Table_Query_from_Actuarial___Production[[#This Row],[Kor1]],$AI$3:$AK$105,3,FALSE)</f>
        <v>Charge-offs</v>
      </c>
      <c r="X4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7"/>
      <c r="Z4857" t="s">
        <v>14</v>
      </c>
      <c r="AA4857" t="s">
        <v>266</v>
      </c>
      <c r="AB4857" t="s">
        <v>427</v>
      </c>
      <c r="AC4857" s="21">
        <v>36266.629999999997</v>
      </c>
      <c r="AD4857" s="21" t="s">
        <v>368</v>
      </c>
      <c r="AE4857" t="str">
        <f>VLOOKUP(Table_Query_from_Actuarial___Production3[[#This Row],[Kor1]],$AI$3:$AK$105,3,FALSE)</f>
        <v>Claims Expense</v>
      </c>
      <c r="AF4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8" spans="18:32" x14ac:dyDescent="0.2">
      <c r="R4858" t="s">
        <v>47</v>
      </c>
      <c r="S4858" t="s">
        <v>259</v>
      </c>
      <c r="T4858" t="s">
        <v>7</v>
      </c>
      <c r="U4858" s="21">
        <v>0.13</v>
      </c>
      <c r="V4858" s="21" t="s">
        <v>368</v>
      </c>
      <c r="W4858" t="str">
        <f>VLOOKUP(Table_Query_from_Actuarial___Production[[#This Row],[Kor1]],$AI$3:$AK$105,3,FALSE)</f>
        <v>Investment Income</v>
      </c>
      <c r="X4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8"/>
      <c r="Z4858" t="s">
        <v>41</v>
      </c>
      <c r="AA4858" t="s">
        <v>256</v>
      </c>
      <c r="AB4858" t="s">
        <v>7</v>
      </c>
      <c r="AC4858" s="21">
        <v>350</v>
      </c>
      <c r="AD4858" s="21" t="s">
        <v>368</v>
      </c>
      <c r="AE4858" t="str">
        <f>VLOOKUP(Table_Query_from_Actuarial___Production3[[#This Row],[Kor1]],$AI$3:$AK$105,3,FALSE)</f>
        <v>Misc. Income</v>
      </c>
      <c r="AF4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59" spans="18:32" x14ac:dyDescent="0.2">
      <c r="R4859" t="s">
        <v>41</v>
      </c>
      <c r="S4859" t="s">
        <v>264</v>
      </c>
      <c r="T4859" t="s">
        <v>427</v>
      </c>
      <c r="U4859" s="21">
        <v>50</v>
      </c>
      <c r="V4859" s="21" t="s">
        <v>368</v>
      </c>
      <c r="W4859" t="str">
        <f>VLOOKUP(Table_Query_from_Actuarial___Production[[#This Row],[Kor1]],$AI$3:$AK$105,3,FALSE)</f>
        <v>Misc. Income</v>
      </c>
      <c r="X4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59"/>
      <c r="Z4859" t="s">
        <v>43</v>
      </c>
      <c r="AA4859" t="s">
        <v>240</v>
      </c>
      <c r="AB4859" t="s">
        <v>6</v>
      </c>
      <c r="AC4859" s="21">
        <v>-3.47</v>
      </c>
      <c r="AD4859" s="21" t="s">
        <v>368</v>
      </c>
      <c r="AE4859" t="str">
        <f>VLOOKUP(Table_Query_from_Actuarial___Production3[[#This Row],[Kor1]],$AI$3:$AK$105,3,FALSE)</f>
        <v>Charge-offs</v>
      </c>
      <c r="AF4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0" spans="18:32" x14ac:dyDescent="0.2">
      <c r="R4860" t="s">
        <v>11</v>
      </c>
      <c r="S4860" t="s">
        <v>250</v>
      </c>
      <c r="T4860" t="s">
        <v>351</v>
      </c>
      <c r="U4860" s="21">
        <v>1277746.78</v>
      </c>
      <c r="V4860" s="21" t="s">
        <v>368</v>
      </c>
      <c r="W4860" t="str">
        <f>VLOOKUP(Table_Query_from_Actuarial___Production[[#This Row],[Kor1]],$AI$3:$AK$105,3,FALSE)</f>
        <v>Losses Paid</v>
      </c>
      <c r="X4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0"/>
      <c r="Z4860" t="s">
        <v>11</v>
      </c>
      <c r="AA4860" t="s">
        <v>261</v>
      </c>
      <c r="AB4860" t="s">
        <v>433</v>
      </c>
      <c r="AC4860" s="21">
        <v>46020.94</v>
      </c>
      <c r="AD4860" s="21" t="s">
        <v>368</v>
      </c>
      <c r="AE4860" t="str">
        <f>VLOOKUP(Table_Query_from_Actuarial___Production3[[#This Row],[Kor1]],$AI$3:$AK$105,3,FALSE)</f>
        <v>Losses Paid</v>
      </c>
      <c r="AF4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1" spans="18:32" x14ac:dyDescent="0.2">
      <c r="R4861" t="s">
        <v>3</v>
      </c>
      <c r="S4861" t="s">
        <v>266</v>
      </c>
      <c r="T4861" t="s">
        <v>351</v>
      </c>
      <c r="U4861" s="21">
        <v>297085</v>
      </c>
      <c r="V4861" s="21" t="s">
        <v>368</v>
      </c>
      <c r="W4861" t="str">
        <f>VLOOKUP(Table_Query_from_Actuarial___Production[[#This Row],[Kor1]],$AI$3:$AK$105,3,FALSE)</f>
        <v>Premiums Written</v>
      </c>
      <c r="X4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1"/>
      <c r="Z4861" t="s">
        <v>12</v>
      </c>
      <c r="AA4861" t="s">
        <v>232</v>
      </c>
      <c r="AB4861" t="s">
        <v>7</v>
      </c>
      <c r="AC4861" s="21">
        <v>24120.37</v>
      </c>
      <c r="AD4861" s="21" t="s">
        <v>368</v>
      </c>
      <c r="AE4861" t="str">
        <f>VLOOKUP(Table_Query_from_Actuarial___Production3[[#This Row],[Kor1]],$AI$3:$AK$105,3,FALSE)</f>
        <v>Premium Tax</v>
      </c>
      <c r="AF4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2" spans="18:32" x14ac:dyDescent="0.2">
      <c r="R4862" t="s">
        <v>41</v>
      </c>
      <c r="S4862" t="s">
        <v>253</v>
      </c>
      <c r="T4862" t="s">
        <v>6</v>
      </c>
      <c r="U4862" s="21">
        <v>300</v>
      </c>
      <c r="V4862" s="21" t="s">
        <v>368</v>
      </c>
      <c r="W4862" t="str">
        <f>VLOOKUP(Table_Query_from_Actuarial___Production[[#This Row],[Kor1]],$AI$3:$AK$105,3,FALSE)</f>
        <v>Misc. Income</v>
      </c>
      <c r="X4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2"/>
      <c r="Z4862" t="s">
        <v>12</v>
      </c>
      <c r="AA4862" t="s">
        <v>244</v>
      </c>
      <c r="AB4862" t="s">
        <v>442</v>
      </c>
      <c r="AC4862" s="21">
        <v>66016.25</v>
      </c>
      <c r="AD4862" s="21" t="s">
        <v>368</v>
      </c>
      <c r="AE4862" t="str">
        <f>VLOOKUP(Table_Query_from_Actuarial___Production3[[#This Row],[Kor1]],$AI$3:$AK$105,3,FALSE)</f>
        <v>Premium Tax</v>
      </c>
      <c r="AF4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3" spans="18:32" x14ac:dyDescent="0.2">
      <c r="R4863" t="s">
        <v>12</v>
      </c>
      <c r="S4863" t="s">
        <v>252</v>
      </c>
      <c r="T4863" t="s">
        <v>7</v>
      </c>
      <c r="U4863" s="21">
        <v>289434.40999999997</v>
      </c>
      <c r="V4863" s="21" t="s">
        <v>368</v>
      </c>
      <c r="W4863" t="str">
        <f>VLOOKUP(Table_Query_from_Actuarial___Production[[#This Row],[Kor1]],$AI$3:$AK$105,3,FALSE)</f>
        <v>Premium Tax</v>
      </c>
      <c r="X4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3"/>
      <c r="Z4863" t="s">
        <v>13</v>
      </c>
      <c r="AA4863" t="s">
        <v>250</v>
      </c>
      <c r="AB4863" t="s">
        <v>351</v>
      </c>
      <c r="AC4863" s="21">
        <v>229362.11</v>
      </c>
      <c r="AD4863" s="21" t="s">
        <v>368</v>
      </c>
      <c r="AE4863" t="str">
        <f>VLOOKUP(Table_Query_from_Actuarial___Production3[[#This Row],[Kor1]],$AI$3:$AK$105,3,FALSE)</f>
        <v>Operating Service Fees</v>
      </c>
      <c r="AF4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4" spans="18:32" x14ac:dyDescent="0.2">
      <c r="R4864" t="s">
        <v>14</v>
      </c>
      <c r="S4864" t="s">
        <v>239</v>
      </c>
      <c r="T4864" t="s">
        <v>433</v>
      </c>
      <c r="U4864" s="21">
        <v>709205.24</v>
      </c>
      <c r="V4864" s="21" t="s">
        <v>368</v>
      </c>
      <c r="W4864" t="str">
        <f>VLOOKUP(Table_Query_from_Actuarial___Production[[#This Row],[Kor1]],$AI$3:$AK$105,3,FALSE)</f>
        <v>Claims Expense</v>
      </c>
      <c r="X4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4"/>
      <c r="Z4864" t="s">
        <v>31</v>
      </c>
      <c r="AA4864" t="s">
        <v>235</v>
      </c>
      <c r="AB4864" t="s">
        <v>443</v>
      </c>
      <c r="AC4864" s="21">
        <v>1004.74</v>
      </c>
      <c r="AD4864" s="21" t="s">
        <v>368</v>
      </c>
      <c r="AE4864" t="str">
        <f>VLOOKUP(Table_Query_from_Actuarial___Production3[[#This Row],[Kor1]],$AI$3:$AK$105,3,FALSE)</f>
        <v>Misc. Expense</v>
      </c>
      <c r="AF4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5" spans="18:32" x14ac:dyDescent="0.2">
      <c r="R4865" t="s">
        <v>20</v>
      </c>
      <c r="S4865" t="s">
        <v>258</v>
      </c>
      <c r="T4865" t="s">
        <v>356</v>
      </c>
      <c r="U4865" s="21">
        <v>1296.44</v>
      </c>
      <c r="V4865" s="21" t="s">
        <v>368</v>
      </c>
      <c r="W4865" t="str">
        <f>VLOOKUP(Table_Query_from_Actuarial___Production[[#This Row],[Kor1]],$AI$3:$AK$105,3,FALSE)</f>
        <v>Misc. Expense</v>
      </c>
      <c r="X4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5"/>
      <c r="Z4865" t="s">
        <v>41</v>
      </c>
      <c r="AA4865" t="s">
        <v>231</v>
      </c>
      <c r="AB4865" t="s">
        <v>356</v>
      </c>
      <c r="AC4865" s="21">
        <v>500</v>
      </c>
      <c r="AD4865" s="21" t="s">
        <v>368</v>
      </c>
      <c r="AE4865" t="str">
        <f>VLOOKUP(Table_Query_from_Actuarial___Production3[[#This Row],[Kor1]],$AI$3:$AK$105,3,FALSE)</f>
        <v>Misc. Income</v>
      </c>
      <c r="AF4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6" spans="18:32" x14ac:dyDescent="0.2">
      <c r="R4866" t="s">
        <v>48</v>
      </c>
      <c r="S4866" t="s">
        <v>248</v>
      </c>
      <c r="T4866" t="s">
        <v>433</v>
      </c>
      <c r="U4866" s="21">
        <v>402.54</v>
      </c>
      <c r="V4866" s="21" t="s">
        <v>368</v>
      </c>
      <c r="W4866" t="str">
        <f>VLOOKUP(Table_Query_from_Actuarial___Production[[#This Row],[Kor1]],$AI$3:$AK$105,3,FALSE)</f>
        <v>Anticipated Salvage</v>
      </c>
      <c r="X4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6"/>
      <c r="Z4866" t="s">
        <v>13</v>
      </c>
      <c r="AA4866" t="s">
        <v>230</v>
      </c>
      <c r="AB4866" t="s">
        <v>433</v>
      </c>
      <c r="AC4866" s="21">
        <v>4011670.05</v>
      </c>
      <c r="AD4866" s="21" t="s">
        <v>368</v>
      </c>
      <c r="AE4866" t="str">
        <f>VLOOKUP(Table_Query_from_Actuarial___Production3[[#This Row],[Kor1]],$AI$3:$AK$105,3,FALSE)</f>
        <v>Operating Service Fees</v>
      </c>
      <c r="AF4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7" spans="18:32" x14ac:dyDescent="0.2">
      <c r="R4867" t="s">
        <v>49</v>
      </c>
      <c r="S4867" t="s">
        <v>252</v>
      </c>
      <c r="T4867" t="s">
        <v>7</v>
      </c>
      <c r="U4867" s="21">
        <v>1281433.3799999999</v>
      </c>
      <c r="V4867" s="21" t="s">
        <v>368</v>
      </c>
      <c r="W4867" t="str">
        <f>VLOOKUP(Table_Query_from_Actuarial___Production[[#This Row],[Kor1]],$AI$3:$AK$105,3,FALSE)</f>
        <v>ALAE Paid</v>
      </c>
      <c r="X4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7"/>
      <c r="Z4867" t="s">
        <v>40</v>
      </c>
      <c r="AA4867" t="s">
        <v>267</v>
      </c>
      <c r="AB4867" t="s">
        <v>7</v>
      </c>
      <c r="AC4867" s="21">
        <v>71</v>
      </c>
      <c r="AD4867" s="21" t="s">
        <v>368</v>
      </c>
      <c r="AE4867" t="str">
        <f>VLOOKUP(Table_Query_from_Actuarial___Production3[[#This Row],[Kor1]],$AI$3:$AK$105,3,FALSE)</f>
        <v>Misc. Income</v>
      </c>
      <c r="AF4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8" spans="18:32" x14ac:dyDescent="0.2">
      <c r="R4868" t="s">
        <v>3</v>
      </c>
      <c r="S4868" t="s">
        <v>225</v>
      </c>
      <c r="T4868" t="s">
        <v>9</v>
      </c>
      <c r="U4868" s="21">
        <v>848658.02</v>
      </c>
      <c r="V4868" s="21" t="s">
        <v>368</v>
      </c>
      <c r="W4868" t="str">
        <f>VLOOKUP(Table_Query_from_Actuarial___Production[[#This Row],[Kor1]],$AI$3:$AK$105,3,FALSE)</f>
        <v>Premiums Written</v>
      </c>
      <c r="X4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868"/>
      <c r="Z4868" t="s">
        <v>12</v>
      </c>
      <c r="AA4868" t="s">
        <v>229</v>
      </c>
      <c r="AB4868" t="s">
        <v>351</v>
      </c>
      <c r="AC4868" s="21">
        <v>1540.35</v>
      </c>
      <c r="AD4868" s="21" t="s">
        <v>368</v>
      </c>
      <c r="AE4868" t="str">
        <f>VLOOKUP(Table_Query_from_Actuarial___Production3[[#This Row],[Kor1]],$AI$3:$AK$105,3,FALSE)</f>
        <v>Premium Tax</v>
      </c>
      <c r="AF4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69" spans="18:32" x14ac:dyDescent="0.2">
      <c r="R4869" t="s">
        <v>44</v>
      </c>
      <c r="S4869" t="s">
        <v>235</v>
      </c>
      <c r="T4869" t="s">
        <v>427</v>
      </c>
      <c r="U4869" s="21">
        <v>1469</v>
      </c>
      <c r="V4869" s="21" t="s">
        <v>368</v>
      </c>
      <c r="W4869" t="str">
        <f>VLOOKUP(Table_Query_from_Actuarial___Production[[#This Row],[Kor1]],$AI$3:$AK$105,3,FALSE)</f>
        <v>Charge-offs</v>
      </c>
      <c r="X4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69"/>
      <c r="Z4869" t="s">
        <v>3</v>
      </c>
      <c r="AA4869" t="s">
        <v>254</v>
      </c>
      <c r="AB4869" t="s">
        <v>5</v>
      </c>
      <c r="AC4869" s="21">
        <v>94079</v>
      </c>
      <c r="AD4869" s="21" t="s">
        <v>368</v>
      </c>
      <c r="AE4869" t="str">
        <f>VLOOKUP(Table_Query_from_Actuarial___Production3[[#This Row],[Kor1]],$AI$3:$AK$105,3,FALSE)</f>
        <v>Premiums Written</v>
      </c>
      <c r="AF4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0" spans="18:32" x14ac:dyDescent="0.2">
      <c r="R4870" t="s">
        <v>13</v>
      </c>
      <c r="S4870" t="s">
        <v>4</v>
      </c>
      <c r="T4870" t="s">
        <v>8</v>
      </c>
      <c r="U4870" s="21">
        <v>3648938.58</v>
      </c>
      <c r="V4870" s="21" t="s">
        <v>368</v>
      </c>
      <c r="W4870" t="str">
        <f>VLOOKUP(Table_Query_from_Actuarial___Production[[#This Row],[Kor1]],$AI$3:$AK$105,3,FALSE)</f>
        <v>Operating Service Fees</v>
      </c>
      <c r="X4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0"/>
      <c r="Z4870" t="s">
        <v>16</v>
      </c>
      <c r="AA4870" t="s">
        <v>234</v>
      </c>
      <c r="AB4870" t="s">
        <v>443</v>
      </c>
      <c r="AC4870" s="21">
        <v>119242.57</v>
      </c>
      <c r="AD4870" s="21" t="s">
        <v>368</v>
      </c>
      <c r="AE4870" t="str">
        <f>VLOOKUP(Table_Query_from_Actuarial___Production3[[#This Row],[Kor1]],$AI$3:$AK$105,3,FALSE)</f>
        <v>Losses Outstanding</v>
      </c>
      <c r="AF4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1" spans="18:32" x14ac:dyDescent="0.2">
      <c r="R4871" t="s">
        <v>37</v>
      </c>
      <c r="S4871" t="s">
        <v>240</v>
      </c>
      <c r="T4871" t="s">
        <v>6</v>
      </c>
      <c r="U4871" s="21">
        <v>2235.84</v>
      </c>
      <c r="V4871" s="21" t="s">
        <v>368</v>
      </c>
      <c r="W4871" t="str">
        <f>VLOOKUP(Table_Query_from_Actuarial___Production[[#This Row],[Kor1]],$AI$3:$AK$105,3,FALSE)</f>
        <v>Misc. Expense</v>
      </c>
      <c r="X4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1"/>
      <c r="Z4871" t="s">
        <v>38</v>
      </c>
      <c r="AA4871" t="s">
        <v>352</v>
      </c>
      <c r="AB4871" t="s">
        <v>8</v>
      </c>
      <c r="AC4871" s="21">
        <v>18664.400000000001</v>
      </c>
      <c r="AD4871" s="21" t="s">
        <v>369</v>
      </c>
      <c r="AE4871" t="str">
        <f>VLOOKUP(Table_Query_from_Actuarial___Production3[[#This Row],[Kor1]],$AI$3:$AK$105,3,FALSE)</f>
        <v>Misc. Income</v>
      </c>
      <c r="AF4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4872" spans="18:32" x14ac:dyDescent="0.2">
      <c r="R4872" t="s">
        <v>44</v>
      </c>
      <c r="S4872" t="s">
        <v>257</v>
      </c>
      <c r="T4872" t="s">
        <v>6</v>
      </c>
      <c r="U4872" s="21">
        <v>7735.66</v>
      </c>
      <c r="V4872" s="21" t="s">
        <v>368</v>
      </c>
      <c r="W4872" t="str">
        <f>VLOOKUP(Table_Query_from_Actuarial___Production[[#This Row],[Kor1]],$AI$3:$AK$105,3,FALSE)</f>
        <v>Charge-offs</v>
      </c>
      <c r="X4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2"/>
      <c r="Z4872" t="s">
        <v>44</v>
      </c>
      <c r="AA4872" t="s">
        <v>241</v>
      </c>
      <c r="AB4872" t="s">
        <v>427</v>
      </c>
      <c r="AC4872" s="21">
        <v>1034.47</v>
      </c>
      <c r="AD4872" s="21" t="s">
        <v>368</v>
      </c>
      <c r="AE4872" t="str">
        <f>VLOOKUP(Table_Query_from_Actuarial___Production3[[#This Row],[Kor1]],$AI$3:$AK$105,3,FALSE)</f>
        <v>Charge-offs</v>
      </c>
      <c r="AF4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3" spans="18:32" x14ac:dyDescent="0.2">
      <c r="R4873" t="s">
        <v>47</v>
      </c>
      <c r="S4873" t="s">
        <v>244</v>
      </c>
      <c r="T4873" t="s">
        <v>443</v>
      </c>
      <c r="U4873" s="21">
        <v>11557.6</v>
      </c>
      <c r="V4873" s="21" t="s">
        <v>368</v>
      </c>
      <c r="W4873" t="str">
        <f>VLOOKUP(Table_Query_from_Actuarial___Production[[#This Row],[Kor1]],$AI$3:$AK$105,3,FALSE)</f>
        <v>Investment Income</v>
      </c>
      <c r="X4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3"/>
      <c r="Z4873" t="s">
        <v>47</v>
      </c>
      <c r="AA4873" t="s">
        <v>259</v>
      </c>
      <c r="AB4873" t="s">
        <v>7</v>
      </c>
      <c r="AC4873" s="21">
        <v>0.13</v>
      </c>
      <c r="AD4873" s="21" t="s">
        <v>368</v>
      </c>
      <c r="AE4873" t="str">
        <f>VLOOKUP(Table_Query_from_Actuarial___Production3[[#This Row],[Kor1]],$AI$3:$AK$105,3,FALSE)</f>
        <v>Investment Income</v>
      </c>
      <c r="AF4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4" spans="18:32" x14ac:dyDescent="0.2">
      <c r="R4874" t="s">
        <v>44</v>
      </c>
      <c r="S4874" t="s">
        <v>233</v>
      </c>
      <c r="T4874" t="s">
        <v>427</v>
      </c>
      <c r="U4874" s="21">
        <v>46140.21</v>
      </c>
      <c r="V4874" s="21" t="s">
        <v>368</v>
      </c>
      <c r="W4874" t="str">
        <f>VLOOKUP(Table_Query_from_Actuarial___Production[[#This Row],[Kor1]],$AI$3:$AK$105,3,FALSE)</f>
        <v>Charge-offs</v>
      </c>
      <c r="X4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4"/>
      <c r="Z4874" t="s">
        <v>20</v>
      </c>
      <c r="AA4874" t="s">
        <v>261</v>
      </c>
      <c r="AB4874" t="s">
        <v>5</v>
      </c>
      <c r="AC4874" s="21">
        <v>445.21</v>
      </c>
      <c r="AD4874" s="21" t="s">
        <v>368</v>
      </c>
      <c r="AE4874" t="str">
        <f>VLOOKUP(Table_Query_from_Actuarial___Production3[[#This Row],[Kor1]],$AI$3:$AK$105,3,FALSE)</f>
        <v>Misc. Expense</v>
      </c>
      <c r="AF4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5" spans="18:32" x14ac:dyDescent="0.2">
      <c r="R4875" t="s">
        <v>43</v>
      </c>
      <c r="S4875" t="s">
        <v>224</v>
      </c>
      <c r="T4875" t="s">
        <v>433</v>
      </c>
      <c r="U4875" s="21">
        <v>3.1</v>
      </c>
      <c r="V4875" s="21" t="s">
        <v>425</v>
      </c>
      <c r="W4875" t="str">
        <f>VLOOKUP(Table_Query_from_Actuarial___Production[[#This Row],[Kor1]],$AI$3:$AK$105,3,FALSE)</f>
        <v>Charge-offs</v>
      </c>
      <c r="X4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875"/>
      <c r="Z4875" t="s">
        <v>41</v>
      </c>
      <c r="AA4875" t="s">
        <v>264</v>
      </c>
      <c r="AB4875" t="s">
        <v>427</v>
      </c>
      <c r="AC4875" s="21">
        <v>50</v>
      </c>
      <c r="AD4875" s="21" t="s">
        <v>368</v>
      </c>
      <c r="AE4875" t="str">
        <f>VLOOKUP(Table_Query_from_Actuarial___Production3[[#This Row],[Kor1]],$AI$3:$AK$105,3,FALSE)</f>
        <v>Misc. Income</v>
      </c>
      <c r="AF4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6" spans="18:32" x14ac:dyDescent="0.2">
      <c r="R4876" t="s">
        <v>19</v>
      </c>
      <c r="S4876" t="s">
        <v>250</v>
      </c>
      <c r="T4876" t="s">
        <v>443</v>
      </c>
      <c r="U4876" s="21">
        <v>36</v>
      </c>
      <c r="V4876" s="21" t="s">
        <v>368</v>
      </c>
      <c r="W4876" t="str">
        <f>VLOOKUP(Table_Query_from_Actuarial___Production[[#This Row],[Kor1]],$AI$3:$AK$105,3,FALSE)</f>
        <v>Misc. Expense for Insolvent Companies</v>
      </c>
      <c r="X4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6"/>
      <c r="Z4876" t="s">
        <v>15</v>
      </c>
      <c r="AA4876" t="s">
        <v>247</v>
      </c>
      <c r="AB4876" t="s">
        <v>442</v>
      </c>
      <c r="AC4876" s="21">
        <v>2575.21</v>
      </c>
      <c r="AD4876" s="21" t="s">
        <v>368</v>
      </c>
      <c r="AE4876" t="str">
        <f>VLOOKUP(Table_Query_from_Actuarial___Production3[[#This Row],[Kor1]],$AI$3:$AK$105,3,FALSE)</f>
        <v>Unearned Premiums</v>
      </c>
      <c r="AF4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7" spans="18:32" x14ac:dyDescent="0.2">
      <c r="R4877" t="s">
        <v>20</v>
      </c>
      <c r="S4877" t="s">
        <v>250</v>
      </c>
      <c r="T4877" t="s">
        <v>7</v>
      </c>
      <c r="U4877" s="21">
        <v>778.81</v>
      </c>
      <c r="V4877" s="21" t="s">
        <v>368</v>
      </c>
      <c r="W4877" t="str">
        <f>VLOOKUP(Table_Query_from_Actuarial___Production[[#This Row],[Kor1]],$AI$3:$AK$105,3,FALSE)</f>
        <v>Misc. Expense</v>
      </c>
      <c r="X4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7"/>
      <c r="Z4877" t="s">
        <v>11</v>
      </c>
      <c r="AA4877" t="s">
        <v>250</v>
      </c>
      <c r="AB4877" t="s">
        <v>351</v>
      </c>
      <c r="AC4877" s="21">
        <v>1277746.78</v>
      </c>
      <c r="AD4877" s="21" t="s">
        <v>368</v>
      </c>
      <c r="AE4877" t="str">
        <f>VLOOKUP(Table_Query_from_Actuarial___Production3[[#This Row],[Kor1]],$AI$3:$AK$105,3,FALSE)</f>
        <v>Losses Paid</v>
      </c>
      <c r="AF4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8" spans="18:32" x14ac:dyDescent="0.2">
      <c r="R4878" t="s">
        <v>21</v>
      </c>
      <c r="S4878" t="s">
        <v>250</v>
      </c>
      <c r="T4878" t="s">
        <v>433</v>
      </c>
      <c r="U4878" s="21">
        <v>1054.51</v>
      </c>
      <c r="V4878" s="21" t="s">
        <v>368</v>
      </c>
      <c r="W4878" t="str">
        <f>VLOOKUP(Table_Query_from_Actuarial___Production[[#This Row],[Kor1]],$AI$3:$AK$105,3,FALSE)</f>
        <v>Misc. Expense</v>
      </c>
      <c r="X4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8"/>
      <c r="Z4878" t="s">
        <v>43</v>
      </c>
      <c r="AA4878" t="s">
        <v>239</v>
      </c>
      <c r="AB4878" t="s">
        <v>5</v>
      </c>
      <c r="AC4878" s="21">
        <v>2.4300000000000002</v>
      </c>
      <c r="AD4878" s="21" t="s">
        <v>368</v>
      </c>
      <c r="AE4878" t="str">
        <f>VLOOKUP(Table_Query_from_Actuarial___Production3[[#This Row],[Kor1]],$AI$3:$AK$105,3,FALSE)</f>
        <v>Charge-offs</v>
      </c>
      <c r="AF4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79" spans="18:32" x14ac:dyDescent="0.2">
      <c r="R4879" t="s">
        <v>39</v>
      </c>
      <c r="S4879" t="s">
        <v>255</v>
      </c>
      <c r="T4879" t="s">
        <v>351</v>
      </c>
      <c r="U4879" s="21">
        <v>243</v>
      </c>
      <c r="V4879" s="21" t="s">
        <v>368</v>
      </c>
      <c r="W4879" t="str">
        <f>VLOOKUP(Table_Query_from_Actuarial___Production[[#This Row],[Kor1]],$AI$3:$AK$105,3,FALSE)</f>
        <v>Misc. Income for Insolvent Companies</v>
      </c>
      <c r="X4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79"/>
      <c r="Z4879" t="s">
        <v>3</v>
      </c>
      <c r="AA4879" t="s">
        <v>266</v>
      </c>
      <c r="AB4879" t="s">
        <v>351</v>
      </c>
      <c r="AC4879" s="21">
        <v>297085</v>
      </c>
      <c r="AD4879" s="21" t="s">
        <v>368</v>
      </c>
      <c r="AE4879" t="str">
        <f>VLOOKUP(Table_Query_from_Actuarial___Production3[[#This Row],[Kor1]],$AI$3:$AK$105,3,FALSE)</f>
        <v>Premiums Written</v>
      </c>
      <c r="AF4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0" spans="18:32" x14ac:dyDescent="0.2">
      <c r="R4880" t="s">
        <v>40</v>
      </c>
      <c r="S4880" t="s">
        <v>237</v>
      </c>
      <c r="T4880" t="s">
        <v>351</v>
      </c>
      <c r="U4880" s="21">
        <v>1761.26</v>
      </c>
      <c r="V4880" s="21" t="s">
        <v>368</v>
      </c>
      <c r="W4880" t="str">
        <f>VLOOKUP(Table_Query_from_Actuarial___Production[[#This Row],[Kor1]],$AI$3:$AK$105,3,FALSE)</f>
        <v>Misc. Income</v>
      </c>
      <c r="X4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0"/>
      <c r="Z4880" t="s">
        <v>41</v>
      </c>
      <c r="AA4880" t="s">
        <v>253</v>
      </c>
      <c r="AB4880" t="s">
        <v>6</v>
      </c>
      <c r="AC4880" s="21">
        <v>300</v>
      </c>
      <c r="AD4880" s="21" t="s">
        <v>368</v>
      </c>
      <c r="AE4880" t="str">
        <f>VLOOKUP(Table_Query_from_Actuarial___Production3[[#This Row],[Kor1]],$AI$3:$AK$105,3,FALSE)</f>
        <v>Misc. Income</v>
      </c>
      <c r="AF4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1" spans="18:32" x14ac:dyDescent="0.2">
      <c r="R4881" t="s">
        <v>49</v>
      </c>
      <c r="S4881" t="s">
        <v>252</v>
      </c>
      <c r="T4881" t="s">
        <v>443</v>
      </c>
      <c r="U4881" s="21">
        <v>41012.46</v>
      </c>
      <c r="V4881" s="21" t="s">
        <v>368</v>
      </c>
      <c r="W4881" t="str">
        <f>VLOOKUP(Table_Query_from_Actuarial___Production[[#This Row],[Kor1]],$AI$3:$AK$105,3,FALSE)</f>
        <v>ALAE Paid</v>
      </c>
      <c r="X4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1"/>
      <c r="Z4881" t="s">
        <v>12</v>
      </c>
      <c r="AA4881" t="s">
        <v>252</v>
      </c>
      <c r="AB4881" t="s">
        <v>7</v>
      </c>
      <c r="AC4881" s="21">
        <v>289434.40999999997</v>
      </c>
      <c r="AD4881" s="21" t="s">
        <v>368</v>
      </c>
      <c r="AE4881" t="str">
        <f>VLOOKUP(Table_Query_from_Actuarial___Production3[[#This Row],[Kor1]],$AI$3:$AK$105,3,FALSE)</f>
        <v>Premium Tax</v>
      </c>
      <c r="AF4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2" spans="18:32" x14ac:dyDescent="0.2">
      <c r="R4882" t="s">
        <v>11</v>
      </c>
      <c r="S4882" t="s">
        <v>234</v>
      </c>
      <c r="T4882" t="s">
        <v>443</v>
      </c>
      <c r="U4882" s="21">
        <v>110420.38</v>
      </c>
      <c r="V4882" s="21" t="s">
        <v>368</v>
      </c>
      <c r="W4882" t="str">
        <f>VLOOKUP(Table_Query_from_Actuarial___Production[[#This Row],[Kor1]],$AI$3:$AK$105,3,FALSE)</f>
        <v>Losses Paid</v>
      </c>
      <c r="X4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2"/>
      <c r="Z4882" t="s">
        <v>14</v>
      </c>
      <c r="AA4882" t="s">
        <v>239</v>
      </c>
      <c r="AB4882" t="s">
        <v>433</v>
      </c>
      <c r="AC4882" s="21">
        <v>709205.24</v>
      </c>
      <c r="AD4882" s="21" t="s">
        <v>368</v>
      </c>
      <c r="AE4882" t="str">
        <f>VLOOKUP(Table_Query_from_Actuarial___Production3[[#This Row],[Kor1]],$AI$3:$AK$105,3,FALSE)</f>
        <v>Claims Expense</v>
      </c>
      <c r="AF4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3" spans="18:32" x14ac:dyDescent="0.2">
      <c r="R4883" t="s">
        <v>34</v>
      </c>
      <c r="S4883" t="s">
        <v>4</v>
      </c>
      <c r="T4883" t="s">
        <v>442</v>
      </c>
      <c r="U4883" s="21">
        <v>16329.65</v>
      </c>
      <c r="V4883" s="21" t="s">
        <v>368</v>
      </c>
      <c r="W4883" t="str">
        <f>VLOOKUP(Table_Query_from_Actuarial___Production[[#This Row],[Kor1]],$AI$3:$AK$105,3,FALSE)</f>
        <v>Misc. Expense</v>
      </c>
      <c r="X4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3"/>
      <c r="Z4883" t="s">
        <v>20</v>
      </c>
      <c r="AA4883" t="s">
        <v>258</v>
      </c>
      <c r="AB4883" t="s">
        <v>356</v>
      </c>
      <c r="AC4883" s="21">
        <v>1296.44</v>
      </c>
      <c r="AD4883" s="21" t="s">
        <v>368</v>
      </c>
      <c r="AE4883" t="str">
        <f>VLOOKUP(Table_Query_from_Actuarial___Production3[[#This Row],[Kor1]],$AI$3:$AK$105,3,FALSE)</f>
        <v>Misc. Expense</v>
      </c>
      <c r="AF4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4" spans="18:32" x14ac:dyDescent="0.2">
      <c r="R4884" t="s">
        <v>16</v>
      </c>
      <c r="S4884" t="s">
        <v>225</v>
      </c>
      <c r="T4884" t="s">
        <v>427</v>
      </c>
      <c r="U4884" s="21">
        <v>147905.81</v>
      </c>
      <c r="V4884" s="21" t="s">
        <v>368</v>
      </c>
      <c r="W4884" t="str">
        <f>VLOOKUP(Table_Query_from_Actuarial___Production[[#This Row],[Kor1]],$AI$3:$AK$105,3,FALSE)</f>
        <v>Losses Outstanding</v>
      </c>
      <c r="X4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884"/>
      <c r="Z4884" t="s">
        <v>48</v>
      </c>
      <c r="AA4884" t="s">
        <v>248</v>
      </c>
      <c r="AB4884" t="s">
        <v>433</v>
      </c>
      <c r="AC4884" s="21">
        <v>563.44000000000005</v>
      </c>
      <c r="AD4884" s="21" t="s">
        <v>368</v>
      </c>
      <c r="AE4884" t="str">
        <f>VLOOKUP(Table_Query_from_Actuarial___Production3[[#This Row],[Kor1]],$AI$3:$AK$105,3,FALSE)</f>
        <v>Anticipated Salvage</v>
      </c>
      <c r="AF4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5" spans="18:32" x14ac:dyDescent="0.2">
      <c r="R4885" t="s">
        <v>44</v>
      </c>
      <c r="S4885" t="s">
        <v>234</v>
      </c>
      <c r="T4885" t="s">
        <v>351</v>
      </c>
      <c r="U4885" s="21">
        <v>1759.38</v>
      </c>
      <c r="V4885" s="21" t="s">
        <v>368</v>
      </c>
      <c r="W4885" t="str">
        <f>VLOOKUP(Table_Query_from_Actuarial___Production[[#This Row],[Kor1]],$AI$3:$AK$105,3,FALSE)</f>
        <v>Charge-offs</v>
      </c>
      <c r="X4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5"/>
      <c r="Z4885" t="s">
        <v>49</v>
      </c>
      <c r="AA4885" t="s">
        <v>252</v>
      </c>
      <c r="AB4885" t="s">
        <v>7</v>
      </c>
      <c r="AC4885" s="21">
        <v>1258643.98</v>
      </c>
      <c r="AD4885" s="21" t="s">
        <v>368</v>
      </c>
      <c r="AE4885" t="str">
        <f>VLOOKUP(Table_Query_from_Actuarial___Production3[[#This Row],[Kor1]],$AI$3:$AK$105,3,FALSE)</f>
        <v>ALAE Paid</v>
      </c>
      <c r="AF4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6" spans="18:32" x14ac:dyDescent="0.2">
      <c r="R4886" t="s">
        <v>13</v>
      </c>
      <c r="S4886" t="s">
        <v>229</v>
      </c>
      <c r="T4886" t="s">
        <v>433</v>
      </c>
      <c r="U4886" s="21">
        <v>27792.22</v>
      </c>
      <c r="V4886" s="21" t="s">
        <v>368</v>
      </c>
      <c r="W4886" t="str">
        <f>VLOOKUP(Table_Query_from_Actuarial___Production[[#This Row],[Kor1]],$AI$3:$AK$105,3,FALSE)</f>
        <v>Operating Service Fees</v>
      </c>
      <c r="X4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6"/>
      <c r="Z4886" t="s">
        <v>3</v>
      </c>
      <c r="AA4886" t="s">
        <v>225</v>
      </c>
      <c r="AB4886" t="s">
        <v>9</v>
      </c>
      <c r="AC4886" s="21">
        <v>848658.02</v>
      </c>
      <c r="AD4886" s="21" t="s">
        <v>368</v>
      </c>
      <c r="AE4886" t="str">
        <f>VLOOKUP(Table_Query_from_Actuarial___Production3[[#This Row],[Kor1]],$AI$3:$AK$105,3,FALSE)</f>
        <v>Premiums Written</v>
      </c>
      <c r="AF4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887" spans="18:32" x14ac:dyDescent="0.2">
      <c r="R4887" t="s">
        <v>40</v>
      </c>
      <c r="S4887" t="s">
        <v>262</v>
      </c>
      <c r="T4887" t="s">
        <v>351</v>
      </c>
      <c r="U4887" s="21">
        <v>18.02</v>
      </c>
      <c r="V4887" s="21" t="s">
        <v>368</v>
      </c>
      <c r="W4887" t="str">
        <f>VLOOKUP(Table_Query_from_Actuarial___Production[[#This Row],[Kor1]],$AI$3:$AK$105,3,FALSE)</f>
        <v>Misc. Income</v>
      </c>
      <c r="X4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7"/>
      <c r="Z4887" t="s">
        <v>44</v>
      </c>
      <c r="AA4887" t="s">
        <v>235</v>
      </c>
      <c r="AB4887" t="s">
        <v>427</v>
      </c>
      <c r="AC4887" s="21">
        <v>1469</v>
      </c>
      <c r="AD4887" s="21" t="s">
        <v>368</v>
      </c>
      <c r="AE4887" t="str">
        <f>VLOOKUP(Table_Query_from_Actuarial___Production3[[#This Row],[Kor1]],$AI$3:$AK$105,3,FALSE)</f>
        <v>Charge-offs</v>
      </c>
      <c r="AF4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8" spans="18:32" x14ac:dyDescent="0.2">
      <c r="R4888" t="s">
        <v>31</v>
      </c>
      <c r="S4888" t="s">
        <v>256</v>
      </c>
      <c r="T4888" t="s">
        <v>9</v>
      </c>
      <c r="U4888" s="21">
        <v>576.94000000000005</v>
      </c>
      <c r="V4888" s="21" t="s">
        <v>368</v>
      </c>
      <c r="W4888" t="str">
        <f>VLOOKUP(Table_Query_from_Actuarial___Production[[#This Row],[Kor1]],$AI$3:$AK$105,3,FALSE)</f>
        <v>Misc. Expense</v>
      </c>
      <c r="X4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8"/>
      <c r="Z4888" t="s">
        <v>13</v>
      </c>
      <c r="AA4888" t="s">
        <v>4</v>
      </c>
      <c r="AB4888" t="s">
        <v>8</v>
      </c>
      <c r="AC4888" s="21">
        <v>3648938.58</v>
      </c>
      <c r="AD4888" s="21" t="s">
        <v>368</v>
      </c>
      <c r="AE4888" t="str">
        <f>VLOOKUP(Table_Query_from_Actuarial___Production3[[#This Row],[Kor1]],$AI$3:$AK$105,3,FALSE)</f>
        <v>Operating Service Fees</v>
      </c>
      <c r="AF4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89" spans="18:32" x14ac:dyDescent="0.2">
      <c r="R4889" t="s">
        <v>10</v>
      </c>
      <c r="S4889" t="s">
        <v>257</v>
      </c>
      <c r="T4889" t="s">
        <v>356</v>
      </c>
      <c r="U4889" s="21">
        <v>57950.64</v>
      </c>
      <c r="V4889" s="21" t="s">
        <v>368</v>
      </c>
      <c r="W4889" t="str">
        <f>VLOOKUP(Table_Query_from_Actuarial___Production[[#This Row],[Kor1]],$AI$3:$AK$105,3,FALSE)</f>
        <v>Commissions</v>
      </c>
      <c r="X4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89"/>
      <c r="Z4889" t="s">
        <v>37</v>
      </c>
      <c r="AA4889" t="s">
        <v>240</v>
      </c>
      <c r="AB4889" t="s">
        <v>6</v>
      </c>
      <c r="AC4889" s="21">
        <v>2235.84</v>
      </c>
      <c r="AD4889" s="21" t="s">
        <v>368</v>
      </c>
      <c r="AE4889" t="str">
        <f>VLOOKUP(Table_Query_from_Actuarial___Production3[[#This Row],[Kor1]],$AI$3:$AK$105,3,FALSE)</f>
        <v>Misc. Expense</v>
      </c>
      <c r="AF4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0" spans="18:32" x14ac:dyDescent="0.2">
      <c r="R4890" t="s">
        <v>16</v>
      </c>
      <c r="S4890" t="s">
        <v>229</v>
      </c>
      <c r="T4890" t="s">
        <v>433</v>
      </c>
      <c r="U4890" s="21">
        <v>27694.83</v>
      </c>
      <c r="V4890" s="21" t="s">
        <v>368</v>
      </c>
      <c r="W4890" t="str">
        <f>VLOOKUP(Table_Query_from_Actuarial___Production[[#This Row],[Kor1]],$AI$3:$AK$105,3,FALSE)</f>
        <v>Losses Outstanding</v>
      </c>
      <c r="X4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0"/>
      <c r="Z4890" t="s">
        <v>44</v>
      </c>
      <c r="AA4890" t="s">
        <v>257</v>
      </c>
      <c r="AB4890" t="s">
        <v>6</v>
      </c>
      <c r="AC4890" s="21">
        <v>7735.66</v>
      </c>
      <c r="AD4890" s="21" t="s">
        <v>368</v>
      </c>
      <c r="AE4890" t="str">
        <f>VLOOKUP(Table_Query_from_Actuarial___Production3[[#This Row],[Kor1]],$AI$3:$AK$105,3,FALSE)</f>
        <v>Charge-offs</v>
      </c>
      <c r="AF4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1" spans="18:32" x14ac:dyDescent="0.2">
      <c r="R4891" t="s">
        <v>17</v>
      </c>
      <c r="S4891" t="s">
        <v>249</v>
      </c>
      <c r="T4891" t="s">
        <v>433</v>
      </c>
      <c r="U4891" s="21">
        <v>47210.39</v>
      </c>
      <c r="V4891" s="21" t="s">
        <v>368</v>
      </c>
      <c r="W4891" t="str">
        <f>VLOOKUP(Table_Query_from_Actuarial___Production[[#This Row],[Kor1]],$AI$3:$AK$105,3,FALSE)</f>
        <v>IBNR</v>
      </c>
      <c r="X4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1"/>
      <c r="Z4891" t="s">
        <v>47</v>
      </c>
      <c r="AA4891" t="s">
        <v>244</v>
      </c>
      <c r="AB4891" t="s">
        <v>443</v>
      </c>
      <c r="AC4891" s="21">
        <v>4507.3599999999997</v>
      </c>
      <c r="AD4891" s="21" t="s">
        <v>368</v>
      </c>
      <c r="AE4891" t="str">
        <f>VLOOKUP(Table_Query_from_Actuarial___Production3[[#This Row],[Kor1]],$AI$3:$AK$105,3,FALSE)</f>
        <v>Investment Income</v>
      </c>
      <c r="AF4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2" spans="18:32" x14ac:dyDescent="0.2">
      <c r="R4892" t="s">
        <v>44</v>
      </c>
      <c r="S4892" t="s">
        <v>229</v>
      </c>
      <c r="T4892" t="s">
        <v>6</v>
      </c>
      <c r="U4892" s="21">
        <v>-4</v>
      </c>
      <c r="V4892" s="21" t="s">
        <v>368</v>
      </c>
      <c r="W4892" t="str">
        <f>VLOOKUP(Table_Query_from_Actuarial___Production[[#This Row],[Kor1]],$AI$3:$AK$105,3,FALSE)</f>
        <v>Charge-offs</v>
      </c>
      <c r="X4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2"/>
      <c r="Z4892" t="s">
        <v>44</v>
      </c>
      <c r="AA4892" t="s">
        <v>233</v>
      </c>
      <c r="AB4892" t="s">
        <v>427</v>
      </c>
      <c r="AC4892" s="21">
        <v>46140.21</v>
      </c>
      <c r="AD4892" s="21" t="s">
        <v>368</v>
      </c>
      <c r="AE4892" t="str">
        <f>VLOOKUP(Table_Query_from_Actuarial___Production3[[#This Row],[Kor1]],$AI$3:$AK$105,3,FALSE)</f>
        <v>Charge-offs</v>
      </c>
      <c r="AF4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3" spans="18:32" x14ac:dyDescent="0.2">
      <c r="R4893" t="s">
        <v>50</v>
      </c>
      <c r="S4893" t="s">
        <v>266</v>
      </c>
      <c r="T4893" t="s">
        <v>443</v>
      </c>
      <c r="U4893" s="21">
        <v>12916.74</v>
      </c>
      <c r="V4893" s="21" t="s">
        <v>368</v>
      </c>
      <c r="W4893" t="str">
        <f>VLOOKUP(Table_Query_from_Actuarial___Production[[#This Row],[Kor1]],$AI$3:$AK$105,3,FALSE)</f>
        <v>ALAE Reserve</v>
      </c>
      <c r="X4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3"/>
      <c r="Z4893" t="s">
        <v>43</v>
      </c>
      <c r="AA4893" t="s">
        <v>224</v>
      </c>
      <c r="AB4893" t="s">
        <v>433</v>
      </c>
      <c r="AC4893" s="21">
        <v>3.1</v>
      </c>
      <c r="AD4893" s="21" t="s">
        <v>425</v>
      </c>
      <c r="AE4893" t="str">
        <f>VLOOKUP(Table_Query_from_Actuarial___Production3[[#This Row],[Kor1]],$AI$3:$AK$105,3,FALSE)</f>
        <v>Charge-offs</v>
      </c>
      <c r="AF4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894" spans="18:32" x14ac:dyDescent="0.2">
      <c r="R4894" t="s">
        <v>14</v>
      </c>
      <c r="S4894" t="s">
        <v>231</v>
      </c>
      <c r="T4894" t="s">
        <v>442</v>
      </c>
      <c r="U4894" s="21">
        <v>143788.59</v>
      </c>
      <c r="V4894" s="21" t="s">
        <v>368</v>
      </c>
      <c r="W4894" t="str">
        <f>VLOOKUP(Table_Query_from_Actuarial___Production[[#This Row],[Kor1]],$AI$3:$AK$105,3,FALSE)</f>
        <v>Claims Expense</v>
      </c>
      <c r="X4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4"/>
      <c r="Z4894" t="s">
        <v>19</v>
      </c>
      <c r="AA4894" t="s">
        <v>250</v>
      </c>
      <c r="AB4894" t="s">
        <v>443</v>
      </c>
      <c r="AC4894" s="21">
        <v>36</v>
      </c>
      <c r="AD4894" s="21" t="s">
        <v>368</v>
      </c>
      <c r="AE4894" t="str">
        <f>VLOOKUP(Table_Query_from_Actuarial___Production3[[#This Row],[Kor1]],$AI$3:$AK$105,3,FALSE)</f>
        <v>Misc. Expense for Insolvent Companies</v>
      </c>
      <c r="AF4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5" spans="18:32" x14ac:dyDescent="0.2">
      <c r="R4895" t="s">
        <v>43</v>
      </c>
      <c r="S4895" t="s">
        <v>231</v>
      </c>
      <c r="T4895" t="s">
        <v>443</v>
      </c>
      <c r="U4895" s="21">
        <v>5836.75</v>
      </c>
      <c r="V4895" s="21" t="s">
        <v>368</v>
      </c>
      <c r="W4895" t="str">
        <f>VLOOKUP(Table_Query_from_Actuarial___Production[[#This Row],[Kor1]],$AI$3:$AK$105,3,FALSE)</f>
        <v>Charge-offs</v>
      </c>
      <c r="X4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5"/>
      <c r="Z4895" t="s">
        <v>20</v>
      </c>
      <c r="AA4895" t="s">
        <v>250</v>
      </c>
      <c r="AB4895" t="s">
        <v>7</v>
      </c>
      <c r="AC4895" s="21">
        <v>778.81</v>
      </c>
      <c r="AD4895" s="21" t="s">
        <v>368</v>
      </c>
      <c r="AE4895" t="str">
        <f>VLOOKUP(Table_Query_from_Actuarial___Production3[[#This Row],[Kor1]],$AI$3:$AK$105,3,FALSE)</f>
        <v>Misc. Expense</v>
      </c>
      <c r="AF4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6" spans="18:32" x14ac:dyDescent="0.2">
      <c r="R4896" t="s">
        <v>33</v>
      </c>
      <c r="S4896" t="s">
        <v>256</v>
      </c>
      <c r="T4896" t="s">
        <v>8</v>
      </c>
      <c r="U4896" s="21">
        <v>16201.4</v>
      </c>
      <c r="V4896" s="21" t="s">
        <v>368</v>
      </c>
      <c r="W4896" t="str">
        <f>VLOOKUP(Table_Query_from_Actuarial___Production[[#This Row],[Kor1]],$AI$3:$AK$105,3,FALSE)</f>
        <v>Misc. Expense</v>
      </c>
      <c r="X4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6"/>
      <c r="Z4896" t="s">
        <v>21</v>
      </c>
      <c r="AA4896" t="s">
        <v>250</v>
      </c>
      <c r="AB4896" t="s">
        <v>433</v>
      </c>
      <c r="AC4896" s="21">
        <v>1054.51</v>
      </c>
      <c r="AD4896" s="21" t="s">
        <v>368</v>
      </c>
      <c r="AE4896" t="str">
        <f>VLOOKUP(Table_Query_from_Actuarial___Production3[[#This Row],[Kor1]],$AI$3:$AK$105,3,FALSE)</f>
        <v>Misc. Expense</v>
      </c>
      <c r="AF4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7" spans="18:32" x14ac:dyDescent="0.2">
      <c r="R4897" t="s">
        <v>37</v>
      </c>
      <c r="S4897" t="s">
        <v>258</v>
      </c>
      <c r="T4897" t="s">
        <v>445</v>
      </c>
      <c r="U4897" s="21">
        <v>648.54</v>
      </c>
      <c r="V4897" s="21" t="s">
        <v>368</v>
      </c>
      <c r="W4897" t="str">
        <f>VLOOKUP(Table_Query_from_Actuarial___Production[[#This Row],[Kor1]],$AI$3:$AK$105,3,FALSE)</f>
        <v>Misc. Expense</v>
      </c>
      <c r="X4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7"/>
      <c r="Z4897" t="s">
        <v>39</v>
      </c>
      <c r="AA4897" t="s">
        <v>255</v>
      </c>
      <c r="AB4897" t="s">
        <v>351</v>
      </c>
      <c r="AC4897" s="21">
        <v>243</v>
      </c>
      <c r="AD4897" s="21" t="s">
        <v>368</v>
      </c>
      <c r="AE4897" t="str">
        <f>VLOOKUP(Table_Query_from_Actuarial___Production3[[#This Row],[Kor1]],$AI$3:$AK$105,3,FALSE)</f>
        <v>Misc. Income for Insolvent Companies</v>
      </c>
      <c r="AF4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8" spans="18:32" x14ac:dyDescent="0.2">
      <c r="R4898" t="s">
        <v>12</v>
      </c>
      <c r="S4898" t="s">
        <v>230</v>
      </c>
      <c r="T4898" t="s">
        <v>351</v>
      </c>
      <c r="U4898" s="21">
        <v>567575.56999999995</v>
      </c>
      <c r="V4898" s="21" t="s">
        <v>368</v>
      </c>
      <c r="W4898" t="str">
        <f>VLOOKUP(Table_Query_from_Actuarial___Production[[#This Row],[Kor1]],$AI$3:$AK$105,3,FALSE)</f>
        <v>Premium Tax</v>
      </c>
      <c r="X4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8"/>
      <c r="Z4898" t="s">
        <v>40</v>
      </c>
      <c r="AA4898" t="s">
        <v>237</v>
      </c>
      <c r="AB4898" t="s">
        <v>351</v>
      </c>
      <c r="AC4898" s="21">
        <v>1761.26</v>
      </c>
      <c r="AD4898" s="21" t="s">
        <v>368</v>
      </c>
      <c r="AE4898" t="str">
        <f>VLOOKUP(Table_Query_from_Actuarial___Production3[[#This Row],[Kor1]],$AI$3:$AK$105,3,FALSE)</f>
        <v>Misc. Income</v>
      </c>
      <c r="AF4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899" spans="18:32" x14ac:dyDescent="0.2">
      <c r="R4899" t="s">
        <v>13</v>
      </c>
      <c r="S4899" t="s">
        <v>251</v>
      </c>
      <c r="T4899" t="s">
        <v>442</v>
      </c>
      <c r="U4899" s="21">
        <v>161778.89000000001</v>
      </c>
      <c r="V4899" s="21" t="s">
        <v>368</v>
      </c>
      <c r="W4899" t="str">
        <f>VLOOKUP(Table_Query_from_Actuarial___Production[[#This Row],[Kor1]],$AI$3:$AK$105,3,FALSE)</f>
        <v>Operating Service Fees</v>
      </c>
      <c r="X4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899"/>
      <c r="Z4899" t="s">
        <v>75</v>
      </c>
      <c r="AA4899" t="s">
        <v>232</v>
      </c>
      <c r="AB4899" t="s">
        <v>441</v>
      </c>
      <c r="AC4899" s="21">
        <v>1221</v>
      </c>
      <c r="AD4899" s="21" t="s">
        <v>368</v>
      </c>
      <c r="AE4899" t="str">
        <f>VLOOKUP(Table_Query_from_Actuarial___Production3[[#This Row],[Kor1]],$AI$3:$AK$105,3,FALSE)</f>
        <v>EBUB</v>
      </c>
      <c r="AF4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0" spans="18:32" x14ac:dyDescent="0.2">
      <c r="R4900" t="s">
        <v>11</v>
      </c>
      <c r="S4900" t="s">
        <v>249</v>
      </c>
      <c r="T4900" t="s">
        <v>443</v>
      </c>
      <c r="U4900" s="21">
        <v>28361.52</v>
      </c>
      <c r="V4900" s="21" t="s">
        <v>368</v>
      </c>
      <c r="W4900" t="str">
        <f>VLOOKUP(Table_Query_from_Actuarial___Production[[#This Row],[Kor1]],$AI$3:$AK$105,3,FALSE)</f>
        <v>Losses Paid</v>
      </c>
      <c r="X4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0"/>
      <c r="Z4900" t="s">
        <v>34</v>
      </c>
      <c r="AA4900" t="s">
        <v>4</v>
      </c>
      <c r="AB4900" t="s">
        <v>442</v>
      </c>
      <c r="AC4900" s="21">
        <v>16300.35</v>
      </c>
      <c r="AD4900" s="21" t="s">
        <v>368</v>
      </c>
      <c r="AE4900" t="str">
        <f>VLOOKUP(Table_Query_from_Actuarial___Production3[[#This Row],[Kor1]],$AI$3:$AK$105,3,FALSE)</f>
        <v>Misc. Expense</v>
      </c>
      <c r="AF4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1" spans="18:32" x14ac:dyDescent="0.2">
      <c r="R4901" t="s">
        <v>40</v>
      </c>
      <c r="S4901" t="s">
        <v>237</v>
      </c>
      <c r="T4901" t="s">
        <v>7</v>
      </c>
      <c r="U4901" s="21">
        <v>133.02000000000001</v>
      </c>
      <c r="V4901" s="21" t="s">
        <v>368</v>
      </c>
      <c r="W4901" t="str">
        <f>VLOOKUP(Table_Query_from_Actuarial___Production[[#This Row],[Kor1]],$AI$3:$AK$105,3,FALSE)</f>
        <v>Misc. Income</v>
      </c>
      <c r="X4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1"/>
      <c r="Z4901" t="s">
        <v>16</v>
      </c>
      <c r="AA4901" t="s">
        <v>225</v>
      </c>
      <c r="AB4901" t="s">
        <v>427</v>
      </c>
      <c r="AC4901" s="21">
        <v>700301</v>
      </c>
      <c r="AD4901" s="21" t="s">
        <v>368</v>
      </c>
      <c r="AE4901" t="str">
        <f>VLOOKUP(Table_Query_from_Actuarial___Production3[[#This Row],[Kor1]],$AI$3:$AK$105,3,FALSE)</f>
        <v>Losses Outstanding</v>
      </c>
      <c r="AF4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902" spans="18:32" x14ac:dyDescent="0.2">
      <c r="R4902" t="s">
        <v>43</v>
      </c>
      <c r="S4902" t="s">
        <v>237</v>
      </c>
      <c r="T4902" t="s">
        <v>427</v>
      </c>
      <c r="U4902" s="21">
        <v>1253.01</v>
      </c>
      <c r="V4902" s="21" t="s">
        <v>368</v>
      </c>
      <c r="W4902" t="str">
        <f>VLOOKUP(Table_Query_from_Actuarial___Production[[#This Row],[Kor1]],$AI$3:$AK$105,3,FALSE)</f>
        <v>Charge-offs</v>
      </c>
      <c r="X4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2"/>
      <c r="Z4902" t="s">
        <v>44</v>
      </c>
      <c r="AA4902" t="s">
        <v>234</v>
      </c>
      <c r="AB4902" t="s">
        <v>351</v>
      </c>
      <c r="AC4902" s="21">
        <v>1759.38</v>
      </c>
      <c r="AD4902" s="21" t="s">
        <v>368</v>
      </c>
      <c r="AE4902" t="str">
        <f>VLOOKUP(Table_Query_from_Actuarial___Production3[[#This Row],[Kor1]],$AI$3:$AK$105,3,FALSE)</f>
        <v>Charge-offs</v>
      </c>
      <c r="AF4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3" spans="18:32" x14ac:dyDescent="0.2">
      <c r="R4903" t="s">
        <v>31</v>
      </c>
      <c r="S4903" t="s">
        <v>239</v>
      </c>
      <c r="T4903" t="s">
        <v>9</v>
      </c>
      <c r="U4903" s="21">
        <v>526.87</v>
      </c>
      <c r="V4903" s="21" t="s">
        <v>368</v>
      </c>
      <c r="W4903" t="str">
        <f>VLOOKUP(Table_Query_from_Actuarial___Production[[#This Row],[Kor1]],$AI$3:$AK$105,3,FALSE)</f>
        <v>Misc. Expense</v>
      </c>
      <c r="X4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3"/>
      <c r="Z4903" t="s">
        <v>13</v>
      </c>
      <c r="AA4903" t="s">
        <v>229</v>
      </c>
      <c r="AB4903" t="s">
        <v>433</v>
      </c>
      <c r="AC4903" s="21">
        <v>27792.22</v>
      </c>
      <c r="AD4903" s="21" t="s">
        <v>368</v>
      </c>
      <c r="AE4903" t="str">
        <f>VLOOKUP(Table_Query_from_Actuarial___Production3[[#This Row],[Kor1]],$AI$3:$AK$105,3,FALSE)</f>
        <v>Operating Service Fees</v>
      </c>
      <c r="AF4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4" spans="18:32" x14ac:dyDescent="0.2">
      <c r="R4904" t="s">
        <v>31</v>
      </c>
      <c r="S4904" t="s">
        <v>266</v>
      </c>
      <c r="T4904" t="s">
        <v>433</v>
      </c>
      <c r="U4904" s="21">
        <v>917.41</v>
      </c>
      <c r="V4904" s="21" t="s">
        <v>368</v>
      </c>
      <c r="W4904" t="str">
        <f>VLOOKUP(Table_Query_from_Actuarial___Production[[#This Row],[Kor1]],$AI$3:$AK$105,3,FALSE)</f>
        <v>Misc. Expense</v>
      </c>
      <c r="X4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4"/>
      <c r="Z4904" t="s">
        <v>40</v>
      </c>
      <c r="AA4904" t="s">
        <v>262</v>
      </c>
      <c r="AB4904" t="s">
        <v>351</v>
      </c>
      <c r="AC4904" s="21">
        <v>18.02</v>
      </c>
      <c r="AD4904" s="21" t="s">
        <v>368</v>
      </c>
      <c r="AE4904" t="str">
        <f>VLOOKUP(Table_Query_from_Actuarial___Production3[[#This Row],[Kor1]],$AI$3:$AK$105,3,FALSE)</f>
        <v>Misc. Income</v>
      </c>
      <c r="AF4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5" spans="18:32" x14ac:dyDescent="0.2">
      <c r="R4905" t="s">
        <v>12</v>
      </c>
      <c r="S4905" t="s">
        <v>257</v>
      </c>
      <c r="T4905" t="s">
        <v>6</v>
      </c>
      <c r="U4905" s="21">
        <v>30577.96</v>
      </c>
      <c r="V4905" s="21" t="s">
        <v>368</v>
      </c>
      <c r="W4905" t="str">
        <f>VLOOKUP(Table_Query_from_Actuarial___Production[[#This Row],[Kor1]],$AI$3:$AK$105,3,FALSE)</f>
        <v>Premium Tax</v>
      </c>
      <c r="X4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5"/>
      <c r="Z4905" t="s">
        <v>31</v>
      </c>
      <c r="AA4905" t="s">
        <v>256</v>
      </c>
      <c r="AB4905" t="s">
        <v>9</v>
      </c>
      <c r="AC4905" s="21">
        <v>576.94000000000005</v>
      </c>
      <c r="AD4905" s="21" t="s">
        <v>368</v>
      </c>
      <c r="AE4905" t="str">
        <f>VLOOKUP(Table_Query_from_Actuarial___Production3[[#This Row],[Kor1]],$AI$3:$AK$105,3,FALSE)</f>
        <v>Misc. Expense</v>
      </c>
      <c r="AF4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6" spans="18:32" x14ac:dyDescent="0.2">
      <c r="R4906" t="s">
        <v>21</v>
      </c>
      <c r="S4906" t="s">
        <v>231</v>
      </c>
      <c r="T4906" t="s">
        <v>356</v>
      </c>
      <c r="U4906" s="21">
        <v>1695</v>
      </c>
      <c r="V4906" s="21" t="s">
        <v>368</v>
      </c>
      <c r="W4906" t="str">
        <f>VLOOKUP(Table_Query_from_Actuarial___Production[[#This Row],[Kor1]],$AI$3:$AK$105,3,FALSE)</f>
        <v>Misc. Expense</v>
      </c>
      <c r="X4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6"/>
      <c r="Z4906" t="s">
        <v>10</v>
      </c>
      <c r="AA4906" t="s">
        <v>257</v>
      </c>
      <c r="AB4906" t="s">
        <v>356</v>
      </c>
      <c r="AC4906" s="21">
        <v>57950.64</v>
      </c>
      <c r="AD4906" s="21" t="s">
        <v>368</v>
      </c>
      <c r="AE4906" t="str">
        <f>VLOOKUP(Table_Query_from_Actuarial___Production3[[#This Row],[Kor1]],$AI$3:$AK$105,3,FALSE)</f>
        <v>Commissions</v>
      </c>
      <c r="AF4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7" spans="18:32" x14ac:dyDescent="0.2">
      <c r="R4907" t="s">
        <v>48</v>
      </c>
      <c r="S4907" t="s">
        <v>354</v>
      </c>
      <c r="T4907" t="s">
        <v>445</v>
      </c>
      <c r="U4907" s="21">
        <v>153667.76999999999</v>
      </c>
      <c r="V4907" s="21" t="s">
        <v>368</v>
      </c>
      <c r="W4907" t="str">
        <f>VLOOKUP(Table_Query_from_Actuarial___Production[[#This Row],[Kor1]],$AI$3:$AK$105,3,FALSE)</f>
        <v>Anticipated Salvage</v>
      </c>
      <c r="X4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4907"/>
      <c r="Z4907" t="s">
        <v>16</v>
      </c>
      <c r="AA4907" t="s">
        <v>229</v>
      </c>
      <c r="AB4907" t="s">
        <v>433</v>
      </c>
      <c r="AC4907" s="21">
        <v>26059.1</v>
      </c>
      <c r="AD4907" s="21" t="s">
        <v>368</v>
      </c>
      <c r="AE4907" t="str">
        <f>VLOOKUP(Table_Query_from_Actuarial___Production3[[#This Row],[Kor1]],$AI$3:$AK$105,3,FALSE)</f>
        <v>Losses Outstanding</v>
      </c>
      <c r="AF4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8" spans="18:32" x14ac:dyDescent="0.2">
      <c r="R4908" t="s">
        <v>444</v>
      </c>
      <c r="S4908" t="s">
        <v>252</v>
      </c>
      <c r="T4908" t="s">
        <v>443</v>
      </c>
      <c r="U4908" s="21">
        <v>66481.990000000005</v>
      </c>
      <c r="V4908" s="21" t="s">
        <v>368</v>
      </c>
      <c r="W4908" t="str">
        <f>VLOOKUP(Table_Query_from_Actuarial___Production[[#This Row],[Kor1]],$AI$3:$AK$105,3,FALSE)</f>
        <v>Misc. Expense</v>
      </c>
      <c r="X4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8"/>
      <c r="Z4908" t="s">
        <v>17</v>
      </c>
      <c r="AA4908" t="s">
        <v>249</v>
      </c>
      <c r="AB4908" t="s">
        <v>433</v>
      </c>
      <c r="AC4908" s="21">
        <v>54633.05</v>
      </c>
      <c r="AD4908" s="21" t="s">
        <v>368</v>
      </c>
      <c r="AE4908" t="str">
        <f>VLOOKUP(Table_Query_from_Actuarial___Production3[[#This Row],[Kor1]],$AI$3:$AK$105,3,FALSE)</f>
        <v>IBNR</v>
      </c>
      <c r="AF4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09" spans="18:32" x14ac:dyDescent="0.2">
      <c r="R4909" t="s">
        <v>14</v>
      </c>
      <c r="S4909" t="s">
        <v>234</v>
      </c>
      <c r="T4909" t="s">
        <v>8</v>
      </c>
      <c r="U4909" s="21">
        <v>42439.64</v>
      </c>
      <c r="V4909" s="21" t="s">
        <v>368</v>
      </c>
      <c r="W4909" t="str">
        <f>VLOOKUP(Table_Query_from_Actuarial___Production[[#This Row],[Kor1]],$AI$3:$AK$105,3,FALSE)</f>
        <v>Claims Expense</v>
      </c>
      <c r="X4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09"/>
      <c r="Z4909" t="s">
        <v>21</v>
      </c>
      <c r="AA4909" t="s">
        <v>227</v>
      </c>
      <c r="AB4909" t="s">
        <v>5</v>
      </c>
      <c r="AC4909" s="21">
        <v>1474.26</v>
      </c>
      <c r="AD4909" s="21" t="s">
        <v>368</v>
      </c>
      <c r="AE4909" t="str">
        <f>VLOOKUP(Table_Query_from_Actuarial___Production3[[#This Row],[Kor1]],$AI$3:$AK$105,3,FALSE)</f>
        <v>Misc. Expense</v>
      </c>
      <c r="AF4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0" spans="18:32" x14ac:dyDescent="0.2">
      <c r="R4910" t="s">
        <v>47</v>
      </c>
      <c r="S4910" t="s">
        <v>261</v>
      </c>
      <c r="T4910" t="s">
        <v>8</v>
      </c>
      <c r="U4910" s="21">
        <v>0.13</v>
      </c>
      <c r="V4910" s="21" t="s">
        <v>368</v>
      </c>
      <c r="W4910" t="str">
        <f>VLOOKUP(Table_Query_from_Actuarial___Production[[#This Row],[Kor1]],$AI$3:$AK$105,3,FALSE)</f>
        <v>Investment Income</v>
      </c>
      <c r="X4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0"/>
      <c r="Z4910" t="s">
        <v>44</v>
      </c>
      <c r="AA4910" t="s">
        <v>229</v>
      </c>
      <c r="AB4910" t="s">
        <v>6</v>
      </c>
      <c r="AC4910" s="21">
        <v>-4</v>
      </c>
      <c r="AD4910" s="21" t="s">
        <v>368</v>
      </c>
      <c r="AE4910" t="str">
        <f>VLOOKUP(Table_Query_from_Actuarial___Production3[[#This Row],[Kor1]],$AI$3:$AK$105,3,FALSE)</f>
        <v>Charge-offs</v>
      </c>
      <c r="AF4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1" spans="18:32" x14ac:dyDescent="0.2">
      <c r="R4911" t="s">
        <v>16</v>
      </c>
      <c r="S4911" t="s">
        <v>224</v>
      </c>
      <c r="T4911" t="s">
        <v>351</v>
      </c>
      <c r="U4911" s="21">
        <v>100000</v>
      </c>
      <c r="V4911" s="21" t="s">
        <v>368</v>
      </c>
      <c r="W4911" t="str">
        <f>VLOOKUP(Table_Query_from_Actuarial___Production[[#This Row],[Kor1]],$AI$3:$AK$105,3,FALSE)</f>
        <v>Losses Outstanding</v>
      </c>
      <c r="X4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911"/>
      <c r="Z4911" t="s">
        <v>14</v>
      </c>
      <c r="AA4911" t="s">
        <v>231</v>
      </c>
      <c r="AB4911" t="s">
        <v>442</v>
      </c>
      <c r="AC4911" s="21">
        <v>103463.71</v>
      </c>
      <c r="AD4911" s="21" t="s">
        <v>368</v>
      </c>
      <c r="AE4911" t="str">
        <f>VLOOKUP(Table_Query_from_Actuarial___Production3[[#This Row],[Kor1]],$AI$3:$AK$105,3,FALSE)</f>
        <v>Claims Expense</v>
      </c>
      <c r="AF4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2" spans="18:32" x14ac:dyDescent="0.2">
      <c r="R4912" t="s">
        <v>44</v>
      </c>
      <c r="S4912" t="s">
        <v>260</v>
      </c>
      <c r="T4912" t="s">
        <v>7</v>
      </c>
      <c r="U4912" s="21">
        <v>87</v>
      </c>
      <c r="V4912" s="21" t="s">
        <v>368</v>
      </c>
      <c r="W4912" t="str">
        <f>VLOOKUP(Table_Query_from_Actuarial___Production[[#This Row],[Kor1]],$AI$3:$AK$105,3,FALSE)</f>
        <v>Charge-offs</v>
      </c>
      <c r="X4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2"/>
      <c r="Z4912" t="s">
        <v>43</v>
      </c>
      <c r="AA4912" t="s">
        <v>231</v>
      </c>
      <c r="AB4912" t="s">
        <v>443</v>
      </c>
      <c r="AC4912" s="21">
        <v>104.36</v>
      </c>
      <c r="AD4912" s="21" t="s">
        <v>368</v>
      </c>
      <c r="AE4912" t="str">
        <f>VLOOKUP(Table_Query_from_Actuarial___Production3[[#This Row],[Kor1]],$AI$3:$AK$105,3,FALSE)</f>
        <v>Charge-offs</v>
      </c>
      <c r="AF4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3" spans="18:32" x14ac:dyDescent="0.2">
      <c r="R4913" t="s">
        <v>47</v>
      </c>
      <c r="S4913" t="s">
        <v>260</v>
      </c>
      <c r="T4913" t="s">
        <v>433</v>
      </c>
      <c r="U4913" s="21">
        <v>181.06</v>
      </c>
      <c r="V4913" s="21" t="s">
        <v>368</v>
      </c>
      <c r="W4913" t="str">
        <f>VLOOKUP(Table_Query_from_Actuarial___Production[[#This Row],[Kor1]],$AI$3:$AK$105,3,FALSE)</f>
        <v>Investment Income</v>
      </c>
      <c r="X4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3"/>
      <c r="Z4913" t="s">
        <v>33</v>
      </c>
      <c r="AA4913" t="s">
        <v>256</v>
      </c>
      <c r="AB4913" t="s">
        <v>8</v>
      </c>
      <c r="AC4913" s="21">
        <v>16201.4</v>
      </c>
      <c r="AD4913" s="21" t="s">
        <v>368</v>
      </c>
      <c r="AE4913" t="str">
        <f>VLOOKUP(Table_Query_from_Actuarial___Production3[[#This Row],[Kor1]],$AI$3:$AK$105,3,FALSE)</f>
        <v>Misc. Expense</v>
      </c>
      <c r="AF4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4" spans="18:32" x14ac:dyDescent="0.2">
      <c r="R4914" t="s">
        <v>17</v>
      </c>
      <c r="S4914" t="s">
        <v>252</v>
      </c>
      <c r="T4914" t="s">
        <v>433</v>
      </c>
      <c r="U4914" s="21">
        <v>4610214.1100000003</v>
      </c>
      <c r="V4914" s="21" t="s">
        <v>368</v>
      </c>
      <c r="W4914" t="str">
        <f>VLOOKUP(Table_Query_from_Actuarial___Production[[#This Row],[Kor1]],$AI$3:$AK$105,3,FALSE)</f>
        <v>IBNR</v>
      </c>
      <c r="X4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4"/>
      <c r="Z4914" t="s">
        <v>12</v>
      </c>
      <c r="AA4914" t="s">
        <v>230</v>
      </c>
      <c r="AB4914" t="s">
        <v>351</v>
      </c>
      <c r="AC4914" s="21">
        <v>567575.56999999995</v>
      </c>
      <c r="AD4914" s="21" t="s">
        <v>368</v>
      </c>
      <c r="AE4914" t="str">
        <f>VLOOKUP(Table_Query_from_Actuarial___Production3[[#This Row],[Kor1]],$AI$3:$AK$105,3,FALSE)</f>
        <v>Premium Tax</v>
      </c>
      <c r="AF4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5" spans="18:32" x14ac:dyDescent="0.2">
      <c r="R4915" t="s">
        <v>39</v>
      </c>
      <c r="S4915" t="s">
        <v>227</v>
      </c>
      <c r="T4915" t="s">
        <v>6</v>
      </c>
      <c r="U4915" s="21">
        <v>24914.37</v>
      </c>
      <c r="V4915" s="21" t="s">
        <v>368</v>
      </c>
      <c r="W4915" t="str">
        <f>VLOOKUP(Table_Query_from_Actuarial___Production[[#This Row],[Kor1]],$AI$3:$AK$105,3,FALSE)</f>
        <v>Misc. Income for Insolvent Companies</v>
      </c>
      <c r="X4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5"/>
      <c r="Z4915" t="s">
        <v>13</v>
      </c>
      <c r="AA4915" t="s">
        <v>251</v>
      </c>
      <c r="AB4915" t="s">
        <v>442</v>
      </c>
      <c r="AC4915" s="21">
        <v>158847.41</v>
      </c>
      <c r="AD4915" s="21" t="s">
        <v>368</v>
      </c>
      <c r="AE4915" t="str">
        <f>VLOOKUP(Table_Query_from_Actuarial___Production3[[#This Row],[Kor1]],$AI$3:$AK$105,3,FALSE)</f>
        <v>Operating Service Fees</v>
      </c>
      <c r="AF4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6" spans="18:32" x14ac:dyDescent="0.2">
      <c r="R4916" t="s">
        <v>11</v>
      </c>
      <c r="S4916" t="s">
        <v>235</v>
      </c>
      <c r="T4916" t="s">
        <v>427</v>
      </c>
      <c r="U4916" s="21">
        <v>321225.84999999998</v>
      </c>
      <c r="V4916" s="21" t="s">
        <v>368</v>
      </c>
      <c r="W4916" t="str">
        <f>VLOOKUP(Table_Query_from_Actuarial___Production[[#This Row],[Kor1]],$AI$3:$AK$105,3,FALSE)</f>
        <v>Losses Paid</v>
      </c>
      <c r="X4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6"/>
      <c r="Z4916" t="s">
        <v>40</v>
      </c>
      <c r="AA4916" t="s">
        <v>237</v>
      </c>
      <c r="AB4916" t="s">
        <v>7</v>
      </c>
      <c r="AC4916" s="21">
        <v>133.02000000000001</v>
      </c>
      <c r="AD4916" s="21" t="s">
        <v>368</v>
      </c>
      <c r="AE4916" t="str">
        <f>VLOOKUP(Table_Query_from_Actuarial___Production3[[#This Row],[Kor1]],$AI$3:$AK$105,3,FALSE)</f>
        <v>Misc. Income</v>
      </c>
      <c r="AF4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7" spans="18:32" x14ac:dyDescent="0.2">
      <c r="R4917" t="s">
        <v>39</v>
      </c>
      <c r="S4917" t="s">
        <v>257</v>
      </c>
      <c r="T4917" t="s">
        <v>427</v>
      </c>
      <c r="U4917" s="21">
        <v>46453.27</v>
      </c>
      <c r="V4917" s="21" t="s">
        <v>368</v>
      </c>
      <c r="W4917" t="str">
        <f>VLOOKUP(Table_Query_from_Actuarial___Production[[#This Row],[Kor1]],$AI$3:$AK$105,3,FALSE)</f>
        <v>Misc. Income for Insolvent Companies</v>
      </c>
      <c r="X4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7"/>
      <c r="Z4917" t="s">
        <v>43</v>
      </c>
      <c r="AA4917" t="s">
        <v>237</v>
      </c>
      <c r="AB4917" t="s">
        <v>427</v>
      </c>
      <c r="AC4917" s="21">
        <v>1253.01</v>
      </c>
      <c r="AD4917" s="21" t="s">
        <v>368</v>
      </c>
      <c r="AE4917" t="str">
        <f>VLOOKUP(Table_Query_from_Actuarial___Production3[[#This Row],[Kor1]],$AI$3:$AK$105,3,FALSE)</f>
        <v>Charge-offs</v>
      </c>
      <c r="AF4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8" spans="18:32" x14ac:dyDescent="0.2">
      <c r="R4918" t="s">
        <v>20</v>
      </c>
      <c r="S4918" t="s">
        <v>250</v>
      </c>
      <c r="T4918" t="s">
        <v>427</v>
      </c>
      <c r="U4918" s="21">
        <v>344.12</v>
      </c>
      <c r="V4918" s="21" t="s">
        <v>368</v>
      </c>
      <c r="W4918" t="str">
        <f>VLOOKUP(Table_Query_from_Actuarial___Production[[#This Row],[Kor1]],$AI$3:$AK$105,3,FALSE)</f>
        <v>Misc. Expense</v>
      </c>
      <c r="X4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8"/>
      <c r="Z4918" t="s">
        <v>31</v>
      </c>
      <c r="AA4918" t="s">
        <v>239</v>
      </c>
      <c r="AB4918" t="s">
        <v>9</v>
      </c>
      <c r="AC4918" s="21">
        <v>526.87</v>
      </c>
      <c r="AD4918" s="21" t="s">
        <v>368</v>
      </c>
      <c r="AE4918" t="str">
        <f>VLOOKUP(Table_Query_from_Actuarial___Production3[[#This Row],[Kor1]],$AI$3:$AK$105,3,FALSE)</f>
        <v>Misc. Expense</v>
      </c>
      <c r="AF4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19" spans="18:32" x14ac:dyDescent="0.2">
      <c r="R4919" t="s">
        <v>43</v>
      </c>
      <c r="S4919" t="s">
        <v>263</v>
      </c>
      <c r="T4919" t="s">
        <v>443</v>
      </c>
      <c r="U4919" s="21">
        <v>1.1299999999999999</v>
      </c>
      <c r="V4919" s="21" t="s">
        <v>368</v>
      </c>
      <c r="W4919" t="str">
        <f>VLOOKUP(Table_Query_from_Actuarial___Production[[#This Row],[Kor1]],$AI$3:$AK$105,3,FALSE)</f>
        <v>Charge-offs</v>
      </c>
      <c r="X4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19"/>
      <c r="Z4919" t="s">
        <v>31</v>
      </c>
      <c r="AA4919" t="s">
        <v>266</v>
      </c>
      <c r="AB4919" t="s">
        <v>433</v>
      </c>
      <c r="AC4919" s="21">
        <v>917.41</v>
      </c>
      <c r="AD4919" s="21" t="s">
        <v>368</v>
      </c>
      <c r="AE4919" t="str">
        <f>VLOOKUP(Table_Query_from_Actuarial___Production3[[#This Row],[Kor1]],$AI$3:$AK$105,3,FALSE)</f>
        <v>Misc. Expense</v>
      </c>
      <c r="AF4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0" spans="18:32" x14ac:dyDescent="0.2">
      <c r="R4920" t="s">
        <v>44</v>
      </c>
      <c r="S4920" t="s">
        <v>238</v>
      </c>
      <c r="T4920" t="s">
        <v>351</v>
      </c>
      <c r="U4920" s="21">
        <v>203699.3</v>
      </c>
      <c r="V4920" s="21" t="s">
        <v>368</v>
      </c>
      <c r="W4920" t="str">
        <f>VLOOKUP(Table_Query_from_Actuarial___Production[[#This Row],[Kor1]],$AI$3:$AK$105,3,FALSE)</f>
        <v>Charge-offs</v>
      </c>
      <c r="X4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0"/>
      <c r="Z4920" t="s">
        <v>12</v>
      </c>
      <c r="AA4920" t="s">
        <v>257</v>
      </c>
      <c r="AB4920" t="s">
        <v>6</v>
      </c>
      <c r="AC4920" s="21">
        <v>30577.96</v>
      </c>
      <c r="AD4920" s="21" t="s">
        <v>368</v>
      </c>
      <c r="AE4920" t="str">
        <f>VLOOKUP(Table_Query_from_Actuarial___Production3[[#This Row],[Kor1]],$AI$3:$AK$105,3,FALSE)</f>
        <v>Premium Tax</v>
      </c>
      <c r="AF4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1" spans="18:32" x14ac:dyDescent="0.2">
      <c r="R4921" t="s">
        <v>41</v>
      </c>
      <c r="S4921" t="s">
        <v>265</v>
      </c>
      <c r="T4921" t="s">
        <v>442</v>
      </c>
      <c r="U4921" s="21">
        <v>699.99</v>
      </c>
      <c r="V4921" s="21" t="s">
        <v>368</v>
      </c>
      <c r="W4921" t="str">
        <f>VLOOKUP(Table_Query_from_Actuarial___Production[[#This Row],[Kor1]],$AI$3:$AK$105,3,FALSE)</f>
        <v>Misc. Income</v>
      </c>
      <c r="X4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1"/>
      <c r="Z4921" t="s">
        <v>21</v>
      </c>
      <c r="AA4921" t="s">
        <v>231</v>
      </c>
      <c r="AB4921" t="s">
        <v>356</v>
      </c>
      <c r="AC4921" s="21">
        <v>1695</v>
      </c>
      <c r="AD4921" s="21" t="s">
        <v>368</v>
      </c>
      <c r="AE4921" t="str">
        <f>VLOOKUP(Table_Query_from_Actuarial___Production3[[#This Row],[Kor1]],$AI$3:$AK$105,3,FALSE)</f>
        <v>Misc. Expense</v>
      </c>
      <c r="AF4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2" spans="18:32" x14ac:dyDescent="0.2">
      <c r="R4922" t="s">
        <v>46</v>
      </c>
      <c r="S4922" t="s">
        <v>224</v>
      </c>
      <c r="T4922" t="s">
        <v>433</v>
      </c>
      <c r="U4922" s="21">
        <v>160.27000000000001</v>
      </c>
      <c r="V4922" s="21" t="s">
        <v>425</v>
      </c>
      <c r="W4922" t="str">
        <f>VLOOKUP(Table_Query_from_Actuarial___Production[[#This Row],[Kor1]],$AI$3:$AK$105,3,FALSE)</f>
        <v>Investment Income</v>
      </c>
      <c r="X4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4922"/>
      <c r="Z4922" t="s">
        <v>14</v>
      </c>
      <c r="AA4922" t="s">
        <v>234</v>
      </c>
      <c r="AB4922" t="s">
        <v>8</v>
      </c>
      <c r="AC4922" s="21">
        <v>42439.64</v>
      </c>
      <c r="AD4922" s="21" t="s">
        <v>368</v>
      </c>
      <c r="AE4922" t="str">
        <f>VLOOKUP(Table_Query_from_Actuarial___Production3[[#This Row],[Kor1]],$AI$3:$AK$105,3,FALSE)</f>
        <v>Claims Expense</v>
      </c>
      <c r="AF4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3" spans="18:32" x14ac:dyDescent="0.2">
      <c r="R4923" t="s">
        <v>44</v>
      </c>
      <c r="S4923" t="s">
        <v>230</v>
      </c>
      <c r="T4923" t="s">
        <v>442</v>
      </c>
      <c r="U4923" s="21">
        <v>608686.24</v>
      </c>
      <c r="V4923" s="21" t="s">
        <v>368</v>
      </c>
      <c r="W4923" t="str">
        <f>VLOOKUP(Table_Query_from_Actuarial___Production[[#This Row],[Kor1]],$AI$3:$AK$105,3,FALSE)</f>
        <v>Charge-offs</v>
      </c>
      <c r="X4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3"/>
      <c r="Z4923" t="s">
        <v>47</v>
      </c>
      <c r="AA4923" t="s">
        <v>261</v>
      </c>
      <c r="AB4923" t="s">
        <v>8</v>
      </c>
      <c r="AC4923" s="21">
        <v>0.13</v>
      </c>
      <c r="AD4923" s="21" t="s">
        <v>368</v>
      </c>
      <c r="AE4923" t="str">
        <f>VLOOKUP(Table_Query_from_Actuarial___Production3[[#This Row],[Kor1]],$AI$3:$AK$105,3,FALSE)</f>
        <v>Investment Income</v>
      </c>
      <c r="AF4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4" spans="18:32" x14ac:dyDescent="0.2">
      <c r="R4924" t="s">
        <v>77</v>
      </c>
      <c r="S4924" t="s">
        <v>230</v>
      </c>
      <c r="T4924" t="s">
        <v>443</v>
      </c>
      <c r="U4924" s="21">
        <v>964466</v>
      </c>
      <c r="V4924" s="21" t="s">
        <v>368</v>
      </c>
      <c r="W4924" t="str">
        <f>VLOOKUP(Table_Query_from_Actuarial___Production[[#This Row],[Kor1]],$AI$3:$AK$105,3,FALSE)</f>
        <v>PDR</v>
      </c>
      <c r="X4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4"/>
      <c r="Z4924" t="s">
        <v>16</v>
      </c>
      <c r="AA4924" t="s">
        <v>224</v>
      </c>
      <c r="AB4924" t="s">
        <v>351</v>
      </c>
      <c r="AC4924" s="21">
        <v>45000</v>
      </c>
      <c r="AD4924" s="21" t="s">
        <v>368</v>
      </c>
      <c r="AE4924" t="str">
        <f>VLOOKUP(Table_Query_from_Actuarial___Production3[[#This Row],[Kor1]],$AI$3:$AK$105,3,FALSE)</f>
        <v>Losses Outstanding</v>
      </c>
      <c r="AF4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925" spans="18:32" x14ac:dyDescent="0.2">
      <c r="R4925" t="s">
        <v>33</v>
      </c>
      <c r="S4925" t="s">
        <v>253</v>
      </c>
      <c r="T4925" t="s">
        <v>9</v>
      </c>
      <c r="U4925" s="21">
        <v>7599.64</v>
      </c>
      <c r="V4925" s="21" t="s">
        <v>368</v>
      </c>
      <c r="W4925" t="str">
        <f>VLOOKUP(Table_Query_from_Actuarial___Production[[#This Row],[Kor1]],$AI$3:$AK$105,3,FALSE)</f>
        <v>Misc. Expense</v>
      </c>
      <c r="X4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5"/>
      <c r="Z4925" t="s">
        <v>44</v>
      </c>
      <c r="AA4925" t="s">
        <v>260</v>
      </c>
      <c r="AB4925" t="s">
        <v>7</v>
      </c>
      <c r="AC4925" s="21">
        <v>87</v>
      </c>
      <c r="AD4925" s="21" t="s">
        <v>368</v>
      </c>
      <c r="AE4925" t="str">
        <f>VLOOKUP(Table_Query_from_Actuarial___Production3[[#This Row],[Kor1]],$AI$3:$AK$105,3,FALSE)</f>
        <v>Charge-offs</v>
      </c>
      <c r="AF4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6" spans="18:32" x14ac:dyDescent="0.2">
      <c r="R4926" t="s">
        <v>12</v>
      </c>
      <c r="S4926" t="s">
        <v>259</v>
      </c>
      <c r="T4926" t="s">
        <v>442</v>
      </c>
      <c r="U4926" s="21">
        <v>2200.6</v>
      </c>
      <c r="V4926" s="21" t="s">
        <v>368</v>
      </c>
      <c r="W4926" t="str">
        <f>VLOOKUP(Table_Query_from_Actuarial___Production[[#This Row],[Kor1]],$AI$3:$AK$105,3,FALSE)</f>
        <v>Premium Tax</v>
      </c>
      <c r="X4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6"/>
      <c r="Z4926" t="s">
        <v>47</v>
      </c>
      <c r="AA4926" t="s">
        <v>260</v>
      </c>
      <c r="AB4926" t="s">
        <v>433</v>
      </c>
      <c r="AC4926" s="21">
        <v>181.06</v>
      </c>
      <c r="AD4926" s="21" t="s">
        <v>368</v>
      </c>
      <c r="AE4926" t="str">
        <f>VLOOKUP(Table_Query_from_Actuarial___Production3[[#This Row],[Kor1]],$AI$3:$AK$105,3,FALSE)</f>
        <v>Investment Income</v>
      </c>
      <c r="AF4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7" spans="18:32" x14ac:dyDescent="0.2">
      <c r="R4927" t="s">
        <v>43</v>
      </c>
      <c r="S4927" t="s">
        <v>224</v>
      </c>
      <c r="T4927" t="s">
        <v>9</v>
      </c>
      <c r="U4927" s="21">
        <v>179.04</v>
      </c>
      <c r="V4927" s="21" t="s">
        <v>370</v>
      </c>
      <c r="W4927" t="str">
        <f>VLOOKUP(Table_Query_from_Actuarial___Production[[#This Row],[Kor1]],$AI$3:$AK$105,3,FALSE)</f>
        <v>Charge-offs</v>
      </c>
      <c r="X4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4927"/>
      <c r="Z4927" t="s">
        <v>17</v>
      </c>
      <c r="AA4927" t="s">
        <v>252</v>
      </c>
      <c r="AB4927" t="s">
        <v>433</v>
      </c>
      <c r="AC4927" s="21">
        <v>4348346.63</v>
      </c>
      <c r="AD4927" s="21" t="s">
        <v>368</v>
      </c>
      <c r="AE4927" t="str">
        <f>VLOOKUP(Table_Query_from_Actuarial___Production3[[#This Row],[Kor1]],$AI$3:$AK$105,3,FALSE)</f>
        <v>IBNR</v>
      </c>
      <c r="AF4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8" spans="18:32" x14ac:dyDescent="0.2">
      <c r="R4928" t="s">
        <v>12</v>
      </c>
      <c r="S4928" t="s">
        <v>4</v>
      </c>
      <c r="T4928" t="s">
        <v>356</v>
      </c>
      <c r="U4928" s="21">
        <v>688719.75</v>
      </c>
      <c r="V4928" s="21" t="s">
        <v>368</v>
      </c>
      <c r="W4928" t="str">
        <f>VLOOKUP(Table_Query_from_Actuarial___Production[[#This Row],[Kor1]],$AI$3:$AK$105,3,FALSE)</f>
        <v>Premium Tax</v>
      </c>
      <c r="X4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8"/>
      <c r="Z4928" t="s">
        <v>39</v>
      </c>
      <c r="AA4928" t="s">
        <v>227</v>
      </c>
      <c r="AB4928" t="s">
        <v>6</v>
      </c>
      <c r="AC4928" s="21">
        <v>24914.37</v>
      </c>
      <c r="AD4928" s="21" t="s">
        <v>368</v>
      </c>
      <c r="AE4928" t="str">
        <f>VLOOKUP(Table_Query_from_Actuarial___Production3[[#This Row],[Kor1]],$AI$3:$AK$105,3,FALSE)</f>
        <v>Misc. Income for Insolvent Companies</v>
      </c>
      <c r="AF4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29" spans="18:32" x14ac:dyDescent="0.2">
      <c r="R4929" t="s">
        <v>20</v>
      </c>
      <c r="S4929" t="s">
        <v>268</v>
      </c>
      <c r="T4929" t="s">
        <v>445</v>
      </c>
      <c r="U4929" s="21">
        <v>28.48</v>
      </c>
      <c r="V4929" s="21" t="s">
        <v>368</v>
      </c>
      <c r="W4929" t="str">
        <f>VLOOKUP(Table_Query_from_Actuarial___Production[[#This Row],[Kor1]],$AI$3:$AK$105,3,FALSE)</f>
        <v>Misc. Expense</v>
      </c>
      <c r="X4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29"/>
      <c r="Z4929" t="s">
        <v>11</v>
      </c>
      <c r="AA4929" t="s">
        <v>235</v>
      </c>
      <c r="AB4929" t="s">
        <v>427</v>
      </c>
      <c r="AC4929" s="21">
        <v>321225.84999999998</v>
      </c>
      <c r="AD4929" s="21" t="s">
        <v>368</v>
      </c>
      <c r="AE4929" t="str">
        <f>VLOOKUP(Table_Query_from_Actuarial___Production3[[#This Row],[Kor1]],$AI$3:$AK$105,3,FALSE)</f>
        <v>Losses Paid</v>
      </c>
      <c r="AF4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0" spans="18:32" x14ac:dyDescent="0.2">
      <c r="R4930" t="s">
        <v>41</v>
      </c>
      <c r="S4930" t="s">
        <v>256</v>
      </c>
      <c r="T4930" t="s">
        <v>443</v>
      </c>
      <c r="U4930" s="21">
        <v>750</v>
      </c>
      <c r="V4930" s="21" t="s">
        <v>368</v>
      </c>
      <c r="W4930" t="str">
        <f>VLOOKUP(Table_Query_from_Actuarial___Production[[#This Row],[Kor1]],$AI$3:$AK$105,3,FALSE)</f>
        <v>Misc. Income</v>
      </c>
      <c r="X4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0"/>
      <c r="Z4930" t="s">
        <v>39</v>
      </c>
      <c r="AA4930" t="s">
        <v>257</v>
      </c>
      <c r="AB4930" t="s">
        <v>427</v>
      </c>
      <c r="AC4930" s="21">
        <v>46453.27</v>
      </c>
      <c r="AD4930" s="21" t="s">
        <v>368</v>
      </c>
      <c r="AE4930" t="str">
        <f>VLOOKUP(Table_Query_from_Actuarial___Production3[[#This Row],[Kor1]],$AI$3:$AK$105,3,FALSE)</f>
        <v>Misc. Income for Insolvent Companies</v>
      </c>
      <c r="AF4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1" spans="18:32" x14ac:dyDescent="0.2">
      <c r="R4931" t="s">
        <v>33</v>
      </c>
      <c r="S4931" t="s">
        <v>250</v>
      </c>
      <c r="T4931" t="s">
        <v>445</v>
      </c>
      <c r="U4931" s="21">
        <v>11915.6</v>
      </c>
      <c r="V4931" s="21" t="s">
        <v>368</v>
      </c>
      <c r="W4931" t="str">
        <f>VLOOKUP(Table_Query_from_Actuarial___Production[[#This Row],[Kor1]],$AI$3:$AK$105,3,FALSE)</f>
        <v>Misc. Expense</v>
      </c>
      <c r="X4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1"/>
      <c r="Z4931" t="s">
        <v>20</v>
      </c>
      <c r="AA4931" t="s">
        <v>250</v>
      </c>
      <c r="AB4931" t="s">
        <v>427</v>
      </c>
      <c r="AC4931" s="21">
        <v>344.12</v>
      </c>
      <c r="AD4931" s="21" t="s">
        <v>368</v>
      </c>
      <c r="AE4931" t="str">
        <f>VLOOKUP(Table_Query_from_Actuarial___Production3[[#This Row],[Kor1]],$AI$3:$AK$105,3,FALSE)</f>
        <v>Misc. Expense</v>
      </c>
      <c r="AF4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2" spans="18:32" x14ac:dyDescent="0.2">
      <c r="R4932" t="s">
        <v>47</v>
      </c>
      <c r="S4932" t="s">
        <v>255</v>
      </c>
      <c r="T4932" t="s">
        <v>433</v>
      </c>
      <c r="U4932" s="21">
        <v>508.38</v>
      </c>
      <c r="V4932" s="21" t="s">
        <v>368</v>
      </c>
      <c r="W4932" t="str">
        <f>VLOOKUP(Table_Query_from_Actuarial___Production[[#This Row],[Kor1]],$AI$3:$AK$105,3,FALSE)</f>
        <v>Investment Income</v>
      </c>
      <c r="X4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2"/>
      <c r="Z4932" t="s">
        <v>43</v>
      </c>
      <c r="AA4932" t="s">
        <v>263</v>
      </c>
      <c r="AB4932" t="s">
        <v>443</v>
      </c>
      <c r="AC4932" s="21">
        <v>0.69</v>
      </c>
      <c r="AD4932" s="21" t="s">
        <v>368</v>
      </c>
      <c r="AE4932" t="str">
        <f>VLOOKUP(Table_Query_from_Actuarial___Production3[[#This Row],[Kor1]],$AI$3:$AK$105,3,FALSE)</f>
        <v>Charge-offs</v>
      </c>
      <c r="AF4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3" spans="18:32" x14ac:dyDescent="0.2">
      <c r="R4933" t="s">
        <v>13</v>
      </c>
      <c r="S4933" t="s">
        <v>265</v>
      </c>
      <c r="T4933" t="s">
        <v>433</v>
      </c>
      <c r="U4933" s="21">
        <v>245679.33</v>
      </c>
      <c r="V4933" s="21" t="s">
        <v>368</v>
      </c>
      <c r="W4933" t="str">
        <f>VLOOKUP(Table_Query_from_Actuarial___Production[[#This Row],[Kor1]],$AI$3:$AK$105,3,FALSE)</f>
        <v>Operating Service Fees</v>
      </c>
      <c r="X4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3"/>
      <c r="Z4933" t="s">
        <v>44</v>
      </c>
      <c r="AA4933" t="s">
        <v>238</v>
      </c>
      <c r="AB4933" t="s">
        <v>351</v>
      </c>
      <c r="AC4933" s="21">
        <v>203699.3</v>
      </c>
      <c r="AD4933" s="21" t="s">
        <v>368</v>
      </c>
      <c r="AE4933" t="str">
        <f>VLOOKUP(Table_Query_from_Actuarial___Production3[[#This Row],[Kor1]],$AI$3:$AK$105,3,FALSE)</f>
        <v>Charge-offs</v>
      </c>
      <c r="AF4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4" spans="18:32" x14ac:dyDescent="0.2">
      <c r="R4934" t="s">
        <v>33</v>
      </c>
      <c r="S4934" t="s">
        <v>231</v>
      </c>
      <c r="T4934" t="s">
        <v>6</v>
      </c>
      <c r="U4934" s="21">
        <v>15243.58</v>
      </c>
      <c r="V4934" s="21" t="s">
        <v>368</v>
      </c>
      <c r="W4934" t="str">
        <f>VLOOKUP(Table_Query_from_Actuarial___Production[[#This Row],[Kor1]],$AI$3:$AK$105,3,FALSE)</f>
        <v>Misc. Expense</v>
      </c>
      <c r="X4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4"/>
      <c r="Z4934" t="s">
        <v>50</v>
      </c>
      <c r="AA4934" t="s">
        <v>266</v>
      </c>
      <c r="AB4934" t="s">
        <v>427</v>
      </c>
      <c r="AC4934" s="21">
        <v>4261.32</v>
      </c>
      <c r="AD4934" s="21" t="s">
        <v>368</v>
      </c>
      <c r="AE4934" t="str">
        <f>VLOOKUP(Table_Query_from_Actuarial___Production3[[#This Row],[Kor1]],$AI$3:$AK$105,3,FALSE)</f>
        <v>ALAE Reserve</v>
      </c>
      <c r="AF4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5" spans="18:32" x14ac:dyDescent="0.2">
      <c r="R4935" t="s">
        <v>41</v>
      </c>
      <c r="S4935" t="s">
        <v>230</v>
      </c>
      <c r="T4935" t="s">
        <v>433</v>
      </c>
      <c r="U4935" s="21">
        <v>2820.34</v>
      </c>
      <c r="V4935" s="21" t="s">
        <v>368</v>
      </c>
      <c r="W4935" t="str">
        <f>VLOOKUP(Table_Query_from_Actuarial___Production[[#This Row],[Kor1]],$AI$3:$AK$105,3,FALSE)</f>
        <v>Misc. Income</v>
      </c>
      <c r="X4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5"/>
      <c r="Z4935" t="s">
        <v>41</v>
      </c>
      <c r="AA4935" t="s">
        <v>265</v>
      </c>
      <c r="AB4935" t="s">
        <v>442</v>
      </c>
      <c r="AC4935" s="21">
        <v>699.99</v>
      </c>
      <c r="AD4935" s="21" t="s">
        <v>368</v>
      </c>
      <c r="AE4935" t="str">
        <f>VLOOKUP(Table_Query_from_Actuarial___Production3[[#This Row],[Kor1]],$AI$3:$AK$105,3,FALSE)</f>
        <v>Misc. Income</v>
      </c>
      <c r="AF4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6" spans="18:32" x14ac:dyDescent="0.2">
      <c r="R4936" t="s">
        <v>10</v>
      </c>
      <c r="S4936" t="s">
        <v>238</v>
      </c>
      <c r="T4936" t="s">
        <v>427</v>
      </c>
      <c r="U4936" s="21">
        <v>53733.38</v>
      </c>
      <c r="V4936" s="21" t="s">
        <v>368</v>
      </c>
      <c r="W4936" t="str">
        <f>VLOOKUP(Table_Query_from_Actuarial___Production[[#This Row],[Kor1]],$AI$3:$AK$105,3,FALSE)</f>
        <v>Commissions</v>
      </c>
      <c r="X4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6"/>
      <c r="Z4936" t="s">
        <v>46</v>
      </c>
      <c r="AA4936" t="s">
        <v>224</v>
      </c>
      <c r="AB4936" t="s">
        <v>433</v>
      </c>
      <c r="AC4936" s="21">
        <v>160.27000000000001</v>
      </c>
      <c r="AD4936" s="21" t="s">
        <v>425</v>
      </c>
      <c r="AE4936" t="str">
        <f>VLOOKUP(Table_Query_from_Actuarial___Production3[[#This Row],[Kor1]],$AI$3:$AK$105,3,FALSE)</f>
        <v>Investment Income</v>
      </c>
      <c r="AF4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4937" spans="18:32" x14ac:dyDescent="0.2">
      <c r="R4937" t="s">
        <v>16</v>
      </c>
      <c r="S4937" t="s">
        <v>263</v>
      </c>
      <c r="T4937" t="s">
        <v>441</v>
      </c>
      <c r="U4937" s="21">
        <v>13400.1</v>
      </c>
      <c r="V4937" s="21" t="s">
        <v>368</v>
      </c>
      <c r="W4937" t="str">
        <f>VLOOKUP(Table_Query_from_Actuarial___Production[[#This Row],[Kor1]],$AI$3:$AK$105,3,FALSE)</f>
        <v>Losses Outstanding</v>
      </c>
      <c r="X4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7"/>
      <c r="Z4937" t="s">
        <v>44</v>
      </c>
      <c r="AA4937" t="s">
        <v>230</v>
      </c>
      <c r="AB4937" t="s">
        <v>442</v>
      </c>
      <c r="AC4937" s="21">
        <v>192258.26</v>
      </c>
      <c r="AD4937" s="21" t="s">
        <v>368</v>
      </c>
      <c r="AE4937" t="str">
        <f>VLOOKUP(Table_Query_from_Actuarial___Production3[[#This Row],[Kor1]],$AI$3:$AK$105,3,FALSE)</f>
        <v>Charge-offs</v>
      </c>
      <c r="AF4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8" spans="18:32" x14ac:dyDescent="0.2">
      <c r="R4938" t="s">
        <v>34</v>
      </c>
      <c r="S4938" t="s">
        <v>231</v>
      </c>
      <c r="T4938" t="s">
        <v>356</v>
      </c>
      <c r="U4938" s="21">
        <v>423.34</v>
      </c>
      <c r="V4938" s="21" t="s">
        <v>368</v>
      </c>
      <c r="W4938" t="str">
        <f>VLOOKUP(Table_Query_from_Actuarial___Production[[#This Row],[Kor1]],$AI$3:$AK$105,3,FALSE)</f>
        <v>Misc. Expense</v>
      </c>
      <c r="X4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8"/>
      <c r="Z4938" t="s">
        <v>77</v>
      </c>
      <c r="AA4938" t="s">
        <v>230</v>
      </c>
      <c r="AB4938" t="s">
        <v>443</v>
      </c>
      <c r="AC4938" s="21">
        <v>900739</v>
      </c>
      <c r="AD4938" s="21" t="s">
        <v>368</v>
      </c>
      <c r="AE4938" t="str">
        <f>VLOOKUP(Table_Query_from_Actuarial___Production3[[#This Row],[Kor1]],$AI$3:$AK$105,3,FALSE)</f>
        <v>PDR</v>
      </c>
      <c r="AF4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39" spans="18:32" x14ac:dyDescent="0.2">
      <c r="R4939" t="s">
        <v>43</v>
      </c>
      <c r="S4939" t="s">
        <v>231</v>
      </c>
      <c r="T4939" t="s">
        <v>427</v>
      </c>
      <c r="U4939" s="21">
        <v>-107.6</v>
      </c>
      <c r="V4939" s="21" t="s">
        <v>368</v>
      </c>
      <c r="W4939" t="str">
        <f>VLOOKUP(Table_Query_from_Actuarial___Production[[#This Row],[Kor1]],$AI$3:$AK$105,3,FALSE)</f>
        <v>Charge-offs</v>
      </c>
      <c r="X4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39"/>
      <c r="Z4939" t="s">
        <v>31</v>
      </c>
      <c r="AA4939" t="s">
        <v>265</v>
      </c>
      <c r="AB4939" t="s">
        <v>5</v>
      </c>
      <c r="AC4939" s="21">
        <v>-13165.03</v>
      </c>
      <c r="AD4939" s="21" t="s">
        <v>368</v>
      </c>
      <c r="AE4939" t="str">
        <f>VLOOKUP(Table_Query_from_Actuarial___Production3[[#This Row],[Kor1]],$AI$3:$AK$105,3,FALSE)</f>
        <v>Misc. Expense</v>
      </c>
      <c r="AF4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0" spans="18:32" x14ac:dyDescent="0.2">
      <c r="R4940" t="s">
        <v>16</v>
      </c>
      <c r="S4940" t="s">
        <v>225</v>
      </c>
      <c r="T4940" t="s">
        <v>443</v>
      </c>
      <c r="U4940" s="21">
        <v>200101</v>
      </c>
      <c r="V4940" s="21" t="s">
        <v>368</v>
      </c>
      <c r="W4940" t="str">
        <f>VLOOKUP(Table_Query_from_Actuarial___Production[[#This Row],[Kor1]],$AI$3:$AK$105,3,FALSE)</f>
        <v>Losses Outstanding</v>
      </c>
      <c r="X4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940"/>
      <c r="Z4940" t="s">
        <v>33</v>
      </c>
      <c r="AA4940" t="s">
        <v>253</v>
      </c>
      <c r="AB4940" t="s">
        <v>9</v>
      </c>
      <c r="AC4940" s="21">
        <v>7599.64</v>
      </c>
      <c r="AD4940" s="21" t="s">
        <v>368</v>
      </c>
      <c r="AE4940" t="str">
        <f>VLOOKUP(Table_Query_from_Actuarial___Production3[[#This Row],[Kor1]],$AI$3:$AK$105,3,FALSE)</f>
        <v>Misc. Expense</v>
      </c>
      <c r="AF4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1" spans="18:32" x14ac:dyDescent="0.2">
      <c r="R4941" t="s">
        <v>31</v>
      </c>
      <c r="S4941" t="s">
        <v>234</v>
      </c>
      <c r="T4941" t="s">
        <v>445</v>
      </c>
      <c r="U4941" s="21">
        <v>642.84</v>
      </c>
      <c r="V4941" s="21" t="s">
        <v>368</v>
      </c>
      <c r="W4941" t="str">
        <f>VLOOKUP(Table_Query_from_Actuarial___Production[[#This Row],[Kor1]],$AI$3:$AK$105,3,FALSE)</f>
        <v>Misc. Expense</v>
      </c>
      <c r="X4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1"/>
      <c r="Z4941" t="s">
        <v>12</v>
      </c>
      <c r="AA4941" t="s">
        <v>259</v>
      </c>
      <c r="AB4941" t="s">
        <v>442</v>
      </c>
      <c r="AC4941" s="21">
        <v>2200.6</v>
      </c>
      <c r="AD4941" s="21" t="s">
        <v>368</v>
      </c>
      <c r="AE4941" t="str">
        <f>VLOOKUP(Table_Query_from_Actuarial___Production3[[#This Row],[Kor1]],$AI$3:$AK$105,3,FALSE)</f>
        <v>Premium Tax</v>
      </c>
      <c r="AF4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2" spans="18:32" x14ac:dyDescent="0.2">
      <c r="R4942" t="s">
        <v>40</v>
      </c>
      <c r="S4942" t="s">
        <v>262</v>
      </c>
      <c r="T4942" t="s">
        <v>441</v>
      </c>
      <c r="U4942" s="21">
        <v>356</v>
      </c>
      <c r="V4942" s="21" t="s">
        <v>368</v>
      </c>
      <c r="W4942" t="str">
        <f>VLOOKUP(Table_Query_from_Actuarial___Production[[#This Row],[Kor1]],$AI$3:$AK$105,3,FALSE)</f>
        <v>Misc. Income</v>
      </c>
      <c r="X4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2"/>
      <c r="Z4942" t="s">
        <v>43</v>
      </c>
      <c r="AA4942" t="s">
        <v>224</v>
      </c>
      <c r="AB4942" t="s">
        <v>9</v>
      </c>
      <c r="AC4942" s="21">
        <v>179.04</v>
      </c>
      <c r="AD4942" s="21" t="s">
        <v>370</v>
      </c>
      <c r="AE4942" t="str">
        <f>VLOOKUP(Table_Query_from_Actuarial___Production3[[#This Row],[Kor1]],$AI$3:$AK$105,3,FALSE)</f>
        <v>Charge-offs</v>
      </c>
      <c r="AF4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4943" spans="18:32" x14ac:dyDescent="0.2">
      <c r="R4943" t="s">
        <v>43</v>
      </c>
      <c r="S4943" t="s">
        <v>259</v>
      </c>
      <c r="T4943" t="s">
        <v>356</v>
      </c>
      <c r="U4943" s="21">
        <v>-246.02</v>
      </c>
      <c r="V4943" s="21" t="s">
        <v>368</v>
      </c>
      <c r="W4943" t="str">
        <f>VLOOKUP(Table_Query_from_Actuarial___Production[[#This Row],[Kor1]],$AI$3:$AK$105,3,FALSE)</f>
        <v>Charge-offs</v>
      </c>
      <c r="X4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3"/>
      <c r="Z4943" t="s">
        <v>12</v>
      </c>
      <c r="AA4943" t="s">
        <v>4</v>
      </c>
      <c r="AB4943" t="s">
        <v>356</v>
      </c>
      <c r="AC4943" s="21">
        <v>688719.75</v>
      </c>
      <c r="AD4943" s="21" t="s">
        <v>368</v>
      </c>
      <c r="AE4943" t="str">
        <f>VLOOKUP(Table_Query_from_Actuarial___Production3[[#This Row],[Kor1]],$AI$3:$AK$105,3,FALSE)</f>
        <v>Premium Tax</v>
      </c>
      <c r="AF4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4" spans="18:32" x14ac:dyDescent="0.2">
      <c r="R4944" t="s">
        <v>12</v>
      </c>
      <c r="S4944" t="s">
        <v>245</v>
      </c>
      <c r="T4944" t="s">
        <v>442</v>
      </c>
      <c r="U4944" s="21">
        <v>535.08000000000004</v>
      </c>
      <c r="V4944" s="21" t="s">
        <v>368</v>
      </c>
      <c r="W4944" t="str">
        <f>VLOOKUP(Table_Query_from_Actuarial___Production[[#This Row],[Kor1]],$AI$3:$AK$105,3,FALSE)</f>
        <v>Premium Tax</v>
      </c>
      <c r="X4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4"/>
      <c r="Z4944" t="s">
        <v>41</v>
      </c>
      <c r="AA4944" t="s">
        <v>256</v>
      </c>
      <c r="AB4944" t="s">
        <v>443</v>
      </c>
      <c r="AC4944" s="21">
        <v>650</v>
      </c>
      <c r="AD4944" s="21" t="s">
        <v>368</v>
      </c>
      <c r="AE4944" t="str">
        <f>VLOOKUP(Table_Query_from_Actuarial___Production3[[#This Row],[Kor1]],$AI$3:$AK$105,3,FALSE)</f>
        <v>Misc. Income</v>
      </c>
      <c r="AF4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5" spans="18:32" x14ac:dyDescent="0.2">
      <c r="R4945" t="s">
        <v>49</v>
      </c>
      <c r="S4945" t="s">
        <v>259</v>
      </c>
      <c r="T4945" t="s">
        <v>356</v>
      </c>
      <c r="U4945" s="21">
        <v>1350.36</v>
      </c>
      <c r="V4945" s="21" t="s">
        <v>368</v>
      </c>
      <c r="W4945" t="str">
        <f>VLOOKUP(Table_Query_from_Actuarial___Production[[#This Row],[Kor1]],$AI$3:$AK$105,3,FALSE)</f>
        <v>ALAE Paid</v>
      </c>
      <c r="X4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5"/>
      <c r="Z4945" t="s">
        <v>47</v>
      </c>
      <c r="AA4945" t="s">
        <v>255</v>
      </c>
      <c r="AB4945" t="s">
        <v>433</v>
      </c>
      <c r="AC4945" s="21">
        <v>508.38</v>
      </c>
      <c r="AD4945" s="21" t="s">
        <v>368</v>
      </c>
      <c r="AE4945" t="str">
        <f>VLOOKUP(Table_Query_from_Actuarial___Production3[[#This Row],[Kor1]],$AI$3:$AK$105,3,FALSE)</f>
        <v>Investment Income</v>
      </c>
      <c r="AF4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6" spans="18:32" x14ac:dyDescent="0.2">
      <c r="R4946" t="s">
        <v>11</v>
      </c>
      <c r="S4946" t="s">
        <v>265</v>
      </c>
      <c r="T4946" t="s">
        <v>9</v>
      </c>
      <c r="U4946" s="21">
        <v>400231.7</v>
      </c>
      <c r="V4946" s="21" t="s">
        <v>368</v>
      </c>
      <c r="W4946" t="str">
        <f>VLOOKUP(Table_Query_from_Actuarial___Production[[#This Row],[Kor1]],$AI$3:$AK$105,3,FALSE)</f>
        <v>Losses Paid</v>
      </c>
      <c r="X4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6"/>
      <c r="Z4946" t="s">
        <v>13</v>
      </c>
      <c r="AA4946" t="s">
        <v>265</v>
      </c>
      <c r="AB4946" t="s">
        <v>433</v>
      </c>
      <c r="AC4946" s="21">
        <v>245679.33</v>
      </c>
      <c r="AD4946" s="21" t="s">
        <v>368</v>
      </c>
      <c r="AE4946" t="str">
        <f>VLOOKUP(Table_Query_from_Actuarial___Production3[[#This Row],[Kor1]],$AI$3:$AK$105,3,FALSE)</f>
        <v>Operating Service Fees</v>
      </c>
      <c r="AF4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7" spans="18:32" x14ac:dyDescent="0.2">
      <c r="R4947" t="s">
        <v>49</v>
      </c>
      <c r="S4947" t="s">
        <v>225</v>
      </c>
      <c r="T4947" t="s">
        <v>443</v>
      </c>
      <c r="U4947" s="21">
        <v>8450.7800000000007</v>
      </c>
      <c r="V4947" s="21" t="s">
        <v>369</v>
      </c>
      <c r="W4947" t="str">
        <f>VLOOKUP(Table_Query_from_Actuarial___Production[[#This Row],[Kor1]],$AI$3:$AK$105,3,FALSE)</f>
        <v>ALAE Paid</v>
      </c>
      <c r="X4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4947"/>
      <c r="Z4947" t="s">
        <v>33</v>
      </c>
      <c r="AA4947" t="s">
        <v>231</v>
      </c>
      <c r="AB4947" t="s">
        <v>6</v>
      </c>
      <c r="AC4947" s="21">
        <v>15243.58</v>
      </c>
      <c r="AD4947" s="21" t="s">
        <v>368</v>
      </c>
      <c r="AE4947" t="str">
        <f>VLOOKUP(Table_Query_from_Actuarial___Production3[[#This Row],[Kor1]],$AI$3:$AK$105,3,FALSE)</f>
        <v>Misc. Expense</v>
      </c>
      <c r="AF4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8" spans="18:32" x14ac:dyDescent="0.2">
      <c r="R4948" t="s">
        <v>13</v>
      </c>
      <c r="S4948" t="s">
        <v>263</v>
      </c>
      <c r="T4948" t="s">
        <v>6</v>
      </c>
      <c r="U4948" s="21">
        <v>83394.720000000001</v>
      </c>
      <c r="V4948" s="21" t="s">
        <v>368</v>
      </c>
      <c r="W4948" t="str">
        <f>VLOOKUP(Table_Query_from_Actuarial___Production[[#This Row],[Kor1]],$AI$3:$AK$105,3,FALSE)</f>
        <v>Operating Service Fees</v>
      </c>
      <c r="X4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8"/>
      <c r="Z4948" t="s">
        <v>41</v>
      </c>
      <c r="AA4948" t="s">
        <v>230</v>
      </c>
      <c r="AB4948" t="s">
        <v>433</v>
      </c>
      <c r="AC4948" s="21">
        <v>2820.34</v>
      </c>
      <c r="AD4948" s="21" t="s">
        <v>368</v>
      </c>
      <c r="AE4948" t="str">
        <f>VLOOKUP(Table_Query_from_Actuarial___Production3[[#This Row],[Kor1]],$AI$3:$AK$105,3,FALSE)</f>
        <v>Misc. Income</v>
      </c>
      <c r="AF4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49" spans="18:32" x14ac:dyDescent="0.2">
      <c r="R4949" t="s">
        <v>13</v>
      </c>
      <c r="S4949" t="s">
        <v>238</v>
      </c>
      <c r="T4949" t="s">
        <v>442</v>
      </c>
      <c r="U4949" s="21">
        <v>334125.34000000003</v>
      </c>
      <c r="V4949" s="21" t="s">
        <v>368</v>
      </c>
      <c r="W4949" t="str">
        <f>VLOOKUP(Table_Query_from_Actuarial___Production[[#This Row],[Kor1]],$AI$3:$AK$105,3,FALSE)</f>
        <v>Operating Service Fees</v>
      </c>
      <c r="X4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49"/>
      <c r="Z4949" t="s">
        <v>10</v>
      </c>
      <c r="AA4949" t="s">
        <v>238</v>
      </c>
      <c r="AB4949" t="s">
        <v>427</v>
      </c>
      <c r="AC4949" s="21">
        <v>53733.38</v>
      </c>
      <c r="AD4949" s="21" t="s">
        <v>368</v>
      </c>
      <c r="AE4949" t="str">
        <f>VLOOKUP(Table_Query_from_Actuarial___Production3[[#This Row],[Kor1]],$AI$3:$AK$105,3,FALSE)</f>
        <v>Commissions</v>
      </c>
      <c r="AF4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0" spans="18:32" x14ac:dyDescent="0.2">
      <c r="R4950" t="s">
        <v>10</v>
      </c>
      <c r="S4950" t="s">
        <v>249</v>
      </c>
      <c r="T4950" t="s">
        <v>8</v>
      </c>
      <c r="U4950" s="21">
        <v>33695.57</v>
      </c>
      <c r="V4950" s="21" t="s">
        <v>368</v>
      </c>
      <c r="W4950" t="str">
        <f>VLOOKUP(Table_Query_from_Actuarial___Production[[#This Row],[Kor1]],$AI$3:$AK$105,3,FALSE)</f>
        <v>Commissions</v>
      </c>
      <c r="X4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0"/>
      <c r="Z4950" t="s">
        <v>16</v>
      </c>
      <c r="AA4950" t="s">
        <v>263</v>
      </c>
      <c r="AB4950" t="s">
        <v>441</v>
      </c>
      <c r="AC4950" s="21">
        <v>166857.15</v>
      </c>
      <c r="AD4950" s="21" t="s">
        <v>368</v>
      </c>
      <c r="AE4950" t="str">
        <f>VLOOKUP(Table_Query_from_Actuarial___Production3[[#This Row],[Kor1]],$AI$3:$AK$105,3,FALSE)</f>
        <v>Losses Outstanding</v>
      </c>
      <c r="AF4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1" spans="18:32" x14ac:dyDescent="0.2">
      <c r="R4951" t="s">
        <v>36</v>
      </c>
      <c r="S4951" t="s">
        <v>235</v>
      </c>
      <c r="T4951" t="s">
        <v>433</v>
      </c>
      <c r="U4951" s="21">
        <v>100</v>
      </c>
      <c r="V4951" s="21" t="s">
        <v>368</v>
      </c>
      <c r="W4951" t="str">
        <f>VLOOKUP(Table_Query_from_Actuarial___Production[[#This Row],[Kor1]],$AI$3:$AK$105,3,FALSE)</f>
        <v>Misc. Expense</v>
      </c>
      <c r="X4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1"/>
      <c r="Z4951" t="s">
        <v>34</v>
      </c>
      <c r="AA4951" t="s">
        <v>231</v>
      </c>
      <c r="AB4951" t="s">
        <v>356</v>
      </c>
      <c r="AC4951" s="21">
        <v>423.34</v>
      </c>
      <c r="AD4951" s="21" t="s">
        <v>368</v>
      </c>
      <c r="AE4951" t="str">
        <f>VLOOKUP(Table_Query_from_Actuarial___Production3[[#This Row],[Kor1]],$AI$3:$AK$105,3,FALSE)</f>
        <v>Misc. Expense</v>
      </c>
      <c r="AF4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2" spans="18:32" x14ac:dyDescent="0.2">
      <c r="R4952" t="s">
        <v>43</v>
      </c>
      <c r="S4952" t="s">
        <v>224</v>
      </c>
      <c r="T4952" t="s">
        <v>7</v>
      </c>
      <c r="U4952" s="21">
        <v>195.93</v>
      </c>
      <c r="V4952" s="21" t="s">
        <v>368</v>
      </c>
      <c r="W4952" t="str">
        <f>VLOOKUP(Table_Query_from_Actuarial___Production[[#This Row],[Kor1]],$AI$3:$AK$105,3,FALSE)</f>
        <v>Charge-offs</v>
      </c>
      <c r="X4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952"/>
      <c r="Z4952" t="s">
        <v>43</v>
      </c>
      <c r="AA4952" t="s">
        <v>231</v>
      </c>
      <c r="AB4952" t="s">
        <v>427</v>
      </c>
      <c r="AC4952" s="21">
        <v>-107.6</v>
      </c>
      <c r="AD4952" s="21" t="s">
        <v>368</v>
      </c>
      <c r="AE4952" t="str">
        <f>VLOOKUP(Table_Query_from_Actuarial___Production3[[#This Row],[Kor1]],$AI$3:$AK$105,3,FALSE)</f>
        <v>Charge-offs</v>
      </c>
      <c r="AF4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3" spans="18:32" x14ac:dyDescent="0.2">
      <c r="R4953" t="s">
        <v>12</v>
      </c>
      <c r="S4953" t="s">
        <v>227</v>
      </c>
      <c r="T4953" t="s">
        <v>6</v>
      </c>
      <c r="U4953" s="21">
        <v>51054.7</v>
      </c>
      <c r="V4953" s="21" t="s">
        <v>368</v>
      </c>
      <c r="W4953" t="str">
        <f>VLOOKUP(Table_Query_from_Actuarial___Production[[#This Row],[Kor1]],$AI$3:$AK$105,3,FALSE)</f>
        <v>Premium Tax</v>
      </c>
      <c r="X4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3"/>
      <c r="Z4953" t="s">
        <v>16</v>
      </c>
      <c r="AA4953" t="s">
        <v>225</v>
      </c>
      <c r="AB4953" t="s">
        <v>443</v>
      </c>
      <c r="AC4953" s="21">
        <v>90000</v>
      </c>
      <c r="AD4953" s="21" t="s">
        <v>368</v>
      </c>
      <c r="AE4953" t="str">
        <f>VLOOKUP(Table_Query_from_Actuarial___Production3[[#This Row],[Kor1]],$AI$3:$AK$105,3,FALSE)</f>
        <v>Losses Outstanding</v>
      </c>
      <c r="AF4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954" spans="18:32" x14ac:dyDescent="0.2">
      <c r="R4954" t="s">
        <v>39</v>
      </c>
      <c r="S4954" t="s">
        <v>230</v>
      </c>
      <c r="T4954" t="s">
        <v>7</v>
      </c>
      <c r="U4954" s="21">
        <v>209.93</v>
      </c>
      <c r="V4954" s="21" t="s">
        <v>368</v>
      </c>
      <c r="W4954" t="str">
        <f>VLOOKUP(Table_Query_from_Actuarial___Production[[#This Row],[Kor1]],$AI$3:$AK$105,3,FALSE)</f>
        <v>Misc. Income for Insolvent Companies</v>
      </c>
      <c r="X4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4"/>
      <c r="Z4954" t="s">
        <v>10</v>
      </c>
      <c r="AA4954" t="s">
        <v>235</v>
      </c>
      <c r="AB4954" t="s">
        <v>5</v>
      </c>
      <c r="AC4954" s="21">
        <v>9551.39</v>
      </c>
      <c r="AD4954" s="21" t="s">
        <v>368</v>
      </c>
      <c r="AE4954" t="str">
        <f>VLOOKUP(Table_Query_from_Actuarial___Production3[[#This Row],[Kor1]],$AI$3:$AK$105,3,FALSE)</f>
        <v>Commissions</v>
      </c>
      <c r="AF4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5" spans="18:32" x14ac:dyDescent="0.2">
      <c r="R4955" t="s">
        <v>10</v>
      </c>
      <c r="S4955" t="s">
        <v>265</v>
      </c>
      <c r="T4955" t="s">
        <v>441</v>
      </c>
      <c r="U4955" s="21">
        <v>37609.980000000003</v>
      </c>
      <c r="V4955" s="21" t="s">
        <v>368</v>
      </c>
      <c r="W4955" t="str">
        <f>VLOOKUP(Table_Query_from_Actuarial___Production[[#This Row],[Kor1]],$AI$3:$AK$105,3,FALSE)</f>
        <v>Commissions</v>
      </c>
      <c r="X4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5"/>
      <c r="Z4955" t="s">
        <v>40</v>
      </c>
      <c r="AA4955" t="s">
        <v>262</v>
      </c>
      <c r="AB4955" t="s">
        <v>441</v>
      </c>
      <c r="AC4955" s="21">
        <v>356</v>
      </c>
      <c r="AD4955" s="21" t="s">
        <v>368</v>
      </c>
      <c r="AE4955" t="str">
        <f>VLOOKUP(Table_Query_from_Actuarial___Production3[[#This Row],[Kor1]],$AI$3:$AK$105,3,FALSE)</f>
        <v>Misc. Income</v>
      </c>
      <c r="AF4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6" spans="18:32" x14ac:dyDescent="0.2">
      <c r="R4956" t="s">
        <v>12</v>
      </c>
      <c r="S4956" t="s">
        <v>263</v>
      </c>
      <c r="T4956" t="s">
        <v>443</v>
      </c>
      <c r="U4956" s="21">
        <v>8344.31</v>
      </c>
      <c r="V4956" s="21" t="s">
        <v>368</v>
      </c>
      <c r="W4956" t="str">
        <f>VLOOKUP(Table_Query_from_Actuarial___Production[[#This Row],[Kor1]],$AI$3:$AK$105,3,FALSE)</f>
        <v>Premium Tax</v>
      </c>
      <c r="X4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6"/>
      <c r="Z4956" t="s">
        <v>43</v>
      </c>
      <c r="AA4956" t="s">
        <v>259</v>
      </c>
      <c r="AB4956" t="s">
        <v>356</v>
      </c>
      <c r="AC4956" s="21">
        <v>-246.02</v>
      </c>
      <c r="AD4956" s="21" t="s">
        <v>368</v>
      </c>
      <c r="AE4956" t="str">
        <f>VLOOKUP(Table_Query_from_Actuarial___Production3[[#This Row],[Kor1]],$AI$3:$AK$105,3,FALSE)</f>
        <v>Charge-offs</v>
      </c>
      <c r="AF4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7" spans="18:32" x14ac:dyDescent="0.2">
      <c r="R4957" t="s">
        <v>31</v>
      </c>
      <c r="S4957" t="s">
        <v>242</v>
      </c>
      <c r="T4957" t="s">
        <v>356</v>
      </c>
      <c r="U4957" s="21">
        <v>727.94</v>
      </c>
      <c r="V4957" s="21" t="s">
        <v>368</v>
      </c>
      <c r="W4957" t="str">
        <f>VLOOKUP(Table_Query_from_Actuarial___Production[[#This Row],[Kor1]],$AI$3:$AK$105,3,FALSE)</f>
        <v>Misc. Expense</v>
      </c>
      <c r="X4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7"/>
      <c r="Z4957" t="s">
        <v>12</v>
      </c>
      <c r="AA4957" t="s">
        <v>245</v>
      </c>
      <c r="AB4957" t="s">
        <v>442</v>
      </c>
      <c r="AC4957" s="21">
        <v>535.08000000000004</v>
      </c>
      <c r="AD4957" s="21" t="s">
        <v>368</v>
      </c>
      <c r="AE4957" t="str">
        <f>VLOOKUP(Table_Query_from_Actuarial___Production3[[#This Row],[Kor1]],$AI$3:$AK$105,3,FALSE)</f>
        <v>Premium Tax</v>
      </c>
      <c r="AF4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8" spans="18:32" x14ac:dyDescent="0.2">
      <c r="R4958" t="s">
        <v>31</v>
      </c>
      <c r="S4958" t="s">
        <v>238</v>
      </c>
      <c r="T4958" t="s">
        <v>8</v>
      </c>
      <c r="U4958" s="21">
        <v>849.52</v>
      </c>
      <c r="V4958" s="21" t="s">
        <v>368</v>
      </c>
      <c r="W4958" t="str">
        <f>VLOOKUP(Table_Query_from_Actuarial___Production[[#This Row],[Kor1]],$AI$3:$AK$105,3,FALSE)</f>
        <v>Misc. Expense</v>
      </c>
      <c r="X4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8"/>
      <c r="Z4958" t="s">
        <v>49</v>
      </c>
      <c r="AA4958" t="s">
        <v>259</v>
      </c>
      <c r="AB4958" t="s">
        <v>356</v>
      </c>
      <c r="AC4958" s="21">
        <v>1350.36</v>
      </c>
      <c r="AD4958" s="21" t="s">
        <v>368</v>
      </c>
      <c r="AE4958" t="str">
        <f>VLOOKUP(Table_Query_from_Actuarial___Production3[[#This Row],[Kor1]],$AI$3:$AK$105,3,FALSE)</f>
        <v>ALAE Paid</v>
      </c>
      <c r="AF4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59" spans="18:32" x14ac:dyDescent="0.2">
      <c r="R4959" t="s">
        <v>37</v>
      </c>
      <c r="S4959" t="s">
        <v>230</v>
      </c>
      <c r="T4959" t="s">
        <v>441</v>
      </c>
      <c r="U4959" s="21">
        <v>94442.7</v>
      </c>
      <c r="V4959" s="21" t="s">
        <v>368</v>
      </c>
      <c r="W4959" t="str">
        <f>VLOOKUP(Table_Query_from_Actuarial___Production[[#This Row],[Kor1]],$AI$3:$AK$105,3,FALSE)</f>
        <v>Misc. Expense</v>
      </c>
      <c r="X4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59"/>
      <c r="Z4959" t="s">
        <v>11</v>
      </c>
      <c r="AA4959" t="s">
        <v>265</v>
      </c>
      <c r="AB4959" t="s">
        <v>9</v>
      </c>
      <c r="AC4959" s="21">
        <v>400231.7</v>
      </c>
      <c r="AD4959" s="21" t="s">
        <v>368</v>
      </c>
      <c r="AE4959" t="str">
        <f>VLOOKUP(Table_Query_from_Actuarial___Production3[[#This Row],[Kor1]],$AI$3:$AK$105,3,FALSE)</f>
        <v>Losses Paid</v>
      </c>
      <c r="AF4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0" spans="18:32" x14ac:dyDescent="0.2">
      <c r="R4960" t="s">
        <v>14</v>
      </c>
      <c r="S4960" t="s">
        <v>248</v>
      </c>
      <c r="T4960" t="s">
        <v>445</v>
      </c>
      <c r="U4960" s="21">
        <v>7411.44</v>
      </c>
      <c r="V4960" s="21" t="s">
        <v>368</v>
      </c>
      <c r="W4960" t="str">
        <f>VLOOKUP(Table_Query_from_Actuarial___Production[[#This Row],[Kor1]],$AI$3:$AK$105,3,FALSE)</f>
        <v>Claims Expense</v>
      </c>
      <c r="X4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0"/>
      <c r="Z4960" t="s">
        <v>49</v>
      </c>
      <c r="AA4960" t="s">
        <v>225</v>
      </c>
      <c r="AB4960" t="s">
        <v>443</v>
      </c>
      <c r="AC4960" s="21">
        <v>59</v>
      </c>
      <c r="AD4960" s="21" t="s">
        <v>369</v>
      </c>
      <c r="AE4960" t="str">
        <f>VLOOKUP(Table_Query_from_Actuarial___Production3[[#This Row],[Kor1]],$AI$3:$AK$105,3,FALSE)</f>
        <v>ALAE Paid</v>
      </c>
      <c r="AF4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4961" spans="18:32" x14ac:dyDescent="0.2">
      <c r="R4961" t="s">
        <v>37</v>
      </c>
      <c r="S4961" t="s">
        <v>258</v>
      </c>
      <c r="T4961" t="s">
        <v>6</v>
      </c>
      <c r="U4961" s="21">
        <v>807.5</v>
      </c>
      <c r="V4961" s="21" t="s">
        <v>368</v>
      </c>
      <c r="W4961" t="str">
        <f>VLOOKUP(Table_Query_from_Actuarial___Production[[#This Row],[Kor1]],$AI$3:$AK$105,3,FALSE)</f>
        <v>Misc. Expense</v>
      </c>
      <c r="X4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1"/>
      <c r="Z4961" t="s">
        <v>13</v>
      </c>
      <c r="AA4961" t="s">
        <v>263</v>
      </c>
      <c r="AB4961" t="s">
        <v>6</v>
      </c>
      <c r="AC4961" s="21">
        <v>83394.720000000001</v>
      </c>
      <c r="AD4961" s="21" t="s">
        <v>368</v>
      </c>
      <c r="AE4961" t="str">
        <f>VLOOKUP(Table_Query_from_Actuarial___Production3[[#This Row],[Kor1]],$AI$3:$AK$105,3,FALSE)</f>
        <v>Operating Service Fees</v>
      </c>
      <c r="AF4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2" spans="18:32" x14ac:dyDescent="0.2">
      <c r="R4962" t="s">
        <v>14</v>
      </c>
      <c r="S4962" t="s">
        <v>256</v>
      </c>
      <c r="T4962" t="s">
        <v>356</v>
      </c>
      <c r="U4962" s="21">
        <v>5124.59</v>
      </c>
      <c r="V4962" s="21" t="s">
        <v>368</v>
      </c>
      <c r="W4962" t="str">
        <f>VLOOKUP(Table_Query_from_Actuarial___Production[[#This Row],[Kor1]],$AI$3:$AK$105,3,FALSE)</f>
        <v>Claims Expense</v>
      </c>
      <c r="X4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2"/>
      <c r="Z4962" t="s">
        <v>13</v>
      </c>
      <c r="AA4962" t="s">
        <v>238</v>
      </c>
      <c r="AB4962" t="s">
        <v>442</v>
      </c>
      <c r="AC4962" s="21">
        <v>353293.18</v>
      </c>
      <c r="AD4962" s="21" t="s">
        <v>368</v>
      </c>
      <c r="AE4962" t="str">
        <f>VLOOKUP(Table_Query_from_Actuarial___Production3[[#This Row],[Kor1]],$AI$3:$AK$105,3,FALSE)</f>
        <v>Operating Service Fees</v>
      </c>
      <c r="AF4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3" spans="18:32" x14ac:dyDescent="0.2">
      <c r="R4963" t="s">
        <v>41</v>
      </c>
      <c r="S4963" t="s">
        <v>249</v>
      </c>
      <c r="T4963" t="s">
        <v>442</v>
      </c>
      <c r="U4963" s="21">
        <v>516.62</v>
      </c>
      <c r="V4963" s="21" t="s">
        <v>368</v>
      </c>
      <c r="W4963" t="str">
        <f>VLOOKUP(Table_Query_from_Actuarial___Production[[#This Row],[Kor1]],$AI$3:$AK$105,3,FALSE)</f>
        <v>Misc. Income</v>
      </c>
      <c r="X4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3"/>
      <c r="Z4963" t="s">
        <v>10</v>
      </c>
      <c r="AA4963" t="s">
        <v>249</v>
      </c>
      <c r="AB4963" t="s">
        <v>8</v>
      </c>
      <c r="AC4963" s="21">
        <v>33695.57</v>
      </c>
      <c r="AD4963" s="21" t="s">
        <v>368</v>
      </c>
      <c r="AE4963" t="str">
        <f>VLOOKUP(Table_Query_from_Actuarial___Production3[[#This Row],[Kor1]],$AI$3:$AK$105,3,FALSE)</f>
        <v>Commissions</v>
      </c>
      <c r="AF4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4" spans="18:32" x14ac:dyDescent="0.2">
      <c r="R4964" t="s">
        <v>47</v>
      </c>
      <c r="S4964" t="s">
        <v>259</v>
      </c>
      <c r="T4964" t="s">
        <v>427</v>
      </c>
      <c r="U4964" s="21">
        <v>4234.82</v>
      </c>
      <c r="V4964" s="21" t="s">
        <v>368</v>
      </c>
      <c r="W4964" t="str">
        <f>VLOOKUP(Table_Query_from_Actuarial___Production[[#This Row],[Kor1]],$AI$3:$AK$105,3,FALSE)</f>
        <v>Investment Income</v>
      </c>
      <c r="X4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4"/>
      <c r="Z4964" t="s">
        <v>36</v>
      </c>
      <c r="AA4964" t="s">
        <v>235</v>
      </c>
      <c r="AB4964" t="s">
        <v>433</v>
      </c>
      <c r="AC4964" s="21">
        <v>100</v>
      </c>
      <c r="AD4964" s="21" t="s">
        <v>368</v>
      </c>
      <c r="AE4964" t="str">
        <f>VLOOKUP(Table_Query_from_Actuarial___Production3[[#This Row],[Kor1]],$AI$3:$AK$105,3,FALSE)</f>
        <v>Misc. Expense</v>
      </c>
      <c r="AF4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5" spans="18:32" x14ac:dyDescent="0.2">
      <c r="R4965" t="s">
        <v>20</v>
      </c>
      <c r="S4965" t="s">
        <v>243</v>
      </c>
      <c r="T4965" t="s">
        <v>356</v>
      </c>
      <c r="U4965" s="21">
        <v>110.27</v>
      </c>
      <c r="V4965" s="21" t="s">
        <v>368</v>
      </c>
      <c r="W4965" t="str">
        <f>VLOOKUP(Table_Query_from_Actuarial___Production[[#This Row],[Kor1]],$AI$3:$AK$105,3,FALSE)</f>
        <v>Misc. Expense</v>
      </c>
      <c r="X4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5"/>
      <c r="Z4965" t="s">
        <v>11</v>
      </c>
      <c r="AA4965" t="s">
        <v>261</v>
      </c>
      <c r="AB4965" t="s">
        <v>5</v>
      </c>
      <c r="AC4965" s="21">
        <v>74950.740000000005</v>
      </c>
      <c r="AD4965" s="21" t="s">
        <v>368</v>
      </c>
      <c r="AE4965" t="str">
        <f>VLOOKUP(Table_Query_from_Actuarial___Production3[[#This Row],[Kor1]],$AI$3:$AK$105,3,FALSE)</f>
        <v>Losses Paid</v>
      </c>
      <c r="AF4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6" spans="18:32" x14ac:dyDescent="0.2">
      <c r="R4966" t="s">
        <v>49</v>
      </c>
      <c r="S4966" t="s">
        <v>239</v>
      </c>
      <c r="T4966" t="s">
        <v>433</v>
      </c>
      <c r="U4966" s="21">
        <v>237830.32</v>
      </c>
      <c r="V4966" s="21" t="s">
        <v>368</v>
      </c>
      <c r="W4966" t="str">
        <f>VLOOKUP(Table_Query_from_Actuarial___Production[[#This Row],[Kor1]],$AI$3:$AK$105,3,FALSE)</f>
        <v>ALAE Paid</v>
      </c>
      <c r="X4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6"/>
      <c r="Z4966" t="s">
        <v>43</v>
      </c>
      <c r="AA4966" t="s">
        <v>224</v>
      </c>
      <c r="AB4966" t="s">
        <v>7</v>
      </c>
      <c r="AC4966" s="21">
        <v>195.93</v>
      </c>
      <c r="AD4966" s="21" t="s">
        <v>368</v>
      </c>
      <c r="AE4966" t="str">
        <f>VLOOKUP(Table_Query_from_Actuarial___Production3[[#This Row],[Kor1]],$AI$3:$AK$105,3,FALSE)</f>
        <v>Charge-offs</v>
      </c>
      <c r="AF4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967" spans="18:32" x14ac:dyDescent="0.2">
      <c r="R4967" t="s">
        <v>13</v>
      </c>
      <c r="S4967" t="s">
        <v>4</v>
      </c>
      <c r="T4967" t="s">
        <v>441</v>
      </c>
      <c r="U4967" s="21">
        <v>11492062.5</v>
      </c>
      <c r="V4967" s="21" t="s">
        <v>368</v>
      </c>
      <c r="W4967" t="str">
        <f>VLOOKUP(Table_Query_from_Actuarial___Production[[#This Row],[Kor1]],$AI$3:$AK$105,3,FALSE)</f>
        <v>Operating Service Fees</v>
      </c>
      <c r="X4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7"/>
      <c r="Z4967" t="s">
        <v>12</v>
      </c>
      <c r="AA4967" t="s">
        <v>227</v>
      </c>
      <c r="AB4967" t="s">
        <v>6</v>
      </c>
      <c r="AC4967" s="21">
        <v>51054.7</v>
      </c>
      <c r="AD4967" s="21" t="s">
        <v>368</v>
      </c>
      <c r="AE4967" t="str">
        <f>VLOOKUP(Table_Query_from_Actuarial___Production3[[#This Row],[Kor1]],$AI$3:$AK$105,3,FALSE)</f>
        <v>Premium Tax</v>
      </c>
      <c r="AF4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8" spans="18:32" x14ac:dyDescent="0.2">
      <c r="R4968" t="s">
        <v>11</v>
      </c>
      <c r="S4968" t="s">
        <v>249</v>
      </c>
      <c r="T4968" t="s">
        <v>7</v>
      </c>
      <c r="U4968" s="21">
        <v>165812.84</v>
      </c>
      <c r="V4968" s="21" t="s">
        <v>368</v>
      </c>
      <c r="W4968" t="str">
        <f>VLOOKUP(Table_Query_from_Actuarial___Production[[#This Row],[Kor1]],$AI$3:$AK$105,3,FALSE)</f>
        <v>Losses Paid</v>
      </c>
      <c r="X4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8"/>
      <c r="Z4968" t="s">
        <v>13</v>
      </c>
      <c r="AA4968" t="s">
        <v>230</v>
      </c>
      <c r="AB4968" t="s">
        <v>5</v>
      </c>
      <c r="AC4968" s="21">
        <v>1652160.77</v>
      </c>
      <c r="AD4968" s="21" t="s">
        <v>368</v>
      </c>
      <c r="AE4968" t="str">
        <f>VLOOKUP(Table_Query_from_Actuarial___Production3[[#This Row],[Kor1]],$AI$3:$AK$105,3,FALSE)</f>
        <v>Operating Service Fees</v>
      </c>
      <c r="AF4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69" spans="18:32" x14ac:dyDescent="0.2">
      <c r="R4969" t="s">
        <v>37</v>
      </c>
      <c r="S4969" t="s">
        <v>4</v>
      </c>
      <c r="T4969" t="s">
        <v>356</v>
      </c>
      <c r="U4969" s="21">
        <v>27210.400000000001</v>
      </c>
      <c r="V4969" s="21" t="s">
        <v>368</v>
      </c>
      <c r="W4969" t="str">
        <f>VLOOKUP(Table_Query_from_Actuarial___Production[[#This Row],[Kor1]],$AI$3:$AK$105,3,FALSE)</f>
        <v>Misc. Expense</v>
      </c>
      <c r="X4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69"/>
      <c r="Z4969" t="s">
        <v>39</v>
      </c>
      <c r="AA4969" t="s">
        <v>230</v>
      </c>
      <c r="AB4969" t="s">
        <v>7</v>
      </c>
      <c r="AC4969" s="21">
        <v>209.93</v>
      </c>
      <c r="AD4969" s="21" t="s">
        <v>368</v>
      </c>
      <c r="AE4969" t="str">
        <f>VLOOKUP(Table_Query_from_Actuarial___Production3[[#This Row],[Kor1]],$AI$3:$AK$105,3,FALSE)</f>
        <v>Misc. Income for Insolvent Companies</v>
      </c>
      <c r="AF4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0" spans="18:32" x14ac:dyDescent="0.2">
      <c r="R4970" t="s">
        <v>14</v>
      </c>
      <c r="S4970" t="s">
        <v>255</v>
      </c>
      <c r="T4970" t="s">
        <v>442</v>
      </c>
      <c r="U4970" s="21">
        <v>18695.36</v>
      </c>
      <c r="V4970" s="21" t="s">
        <v>368</v>
      </c>
      <c r="W4970" t="str">
        <f>VLOOKUP(Table_Query_from_Actuarial___Production[[#This Row],[Kor1]],$AI$3:$AK$105,3,FALSE)</f>
        <v>Claims Expense</v>
      </c>
      <c r="X4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0"/>
      <c r="Z4970" t="s">
        <v>10</v>
      </c>
      <c r="AA4970" t="s">
        <v>265</v>
      </c>
      <c r="AB4970" t="s">
        <v>441</v>
      </c>
      <c r="AC4970" s="21">
        <v>37609.980000000003</v>
      </c>
      <c r="AD4970" s="21" t="s">
        <v>368</v>
      </c>
      <c r="AE4970" t="str">
        <f>VLOOKUP(Table_Query_from_Actuarial___Production3[[#This Row],[Kor1]],$AI$3:$AK$105,3,FALSE)</f>
        <v>Commissions</v>
      </c>
      <c r="AF4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1" spans="18:32" x14ac:dyDescent="0.2">
      <c r="R4971" t="s">
        <v>3</v>
      </c>
      <c r="S4971" t="s">
        <v>225</v>
      </c>
      <c r="T4971" t="s">
        <v>427</v>
      </c>
      <c r="U4971" s="21">
        <v>1866173</v>
      </c>
      <c r="V4971" s="21" t="s">
        <v>368</v>
      </c>
      <c r="W4971" t="str">
        <f>VLOOKUP(Table_Query_from_Actuarial___Production[[#This Row],[Kor1]],$AI$3:$AK$105,3,FALSE)</f>
        <v>Premiums Written</v>
      </c>
      <c r="X4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971"/>
      <c r="Z4971" t="s">
        <v>12</v>
      </c>
      <c r="AA4971" t="s">
        <v>263</v>
      </c>
      <c r="AB4971" t="s">
        <v>443</v>
      </c>
      <c r="AC4971" s="21">
        <v>1120.56</v>
      </c>
      <c r="AD4971" s="21" t="s">
        <v>368</v>
      </c>
      <c r="AE4971" t="str">
        <f>VLOOKUP(Table_Query_from_Actuarial___Production3[[#This Row],[Kor1]],$AI$3:$AK$105,3,FALSE)</f>
        <v>Premium Tax</v>
      </c>
      <c r="AF4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2" spans="18:32" x14ac:dyDescent="0.2">
      <c r="R4972" t="s">
        <v>14</v>
      </c>
      <c r="S4972" t="s">
        <v>239</v>
      </c>
      <c r="T4972" t="s">
        <v>6</v>
      </c>
      <c r="U4972" s="21">
        <v>4681.6000000000004</v>
      </c>
      <c r="V4972" s="21" t="s">
        <v>368</v>
      </c>
      <c r="W4972" t="str">
        <f>VLOOKUP(Table_Query_from_Actuarial___Production[[#This Row],[Kor1]],$AI$3:$AK$105,3,FALSE)</f>
        <v>Claims Expense</v>
      </c>
      <c r="X4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2"/>
      <c r="Z4972" t="s">
        <v>31</v>
      </c>
      <c r="AA4972" t="s">
        <v>242</v>
      </c>
      <c r="AB4972" t="s">
        <v>356</v>
      </c>
      <c r="AC4972" s="21">
        <v>727.94</v>
      </c>
      <c r="AD4972" s="21" t="s">
        <v>368</v>
      </c>
      <c r="AE4972" t="str">
        <f>VLOOKUP(Table_Query_from_Actuarial___Production3[[#This Row],[Kor1]],$AI$3:$AK$105,3,FALSE)</f>
        <v>Misc. Expense</v>
      </c>
      <c r="AF4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3" spans="18:32" x14ac:dyDescent="0.2">
      <c r="R4973" t="s">
        <v>19</v>
      </c>
      <c r="S4973" t="s">
        <v>249</v>
      </c>
      <c r="T4973" t="s">
        <v>427</v>
      </c>
      <c r="U4973" s="21">
        <v>3463</v>
      </c>
      <c r="V4973" s="21" t="s">
        <v>368</v>
      </c>
      <c r="W4973" t="str">
        <f>VLOOKUP(Table_Query_from_Actuarial___Production[[#This Row],[Kor1]],$AI$3:$AK$105,3,FALSE)</f>
        <v>Misc. Expense for Insolvent Companies</v>
      </c>
      <c r="X4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3"/>
      <c r="Z4973" t="s">
        <v>31</v>
      </c>
      <c r="AA4973" t="s">
        <v>238</v>
      </c>
      <c r="AB4973" t="s">
        <v>8</v>
      </c>
      <c r="AC4973" s="21">
        <v>849.52</v>
      </c>
      <c r="AD4973" s="21" t="s">
        <v>368</v>
      </c>
      <c r="AE4973" t="str">
        <f>VLOOKUP(Table_Query_from_Actuarial___Production3[[#This Row],[Kor1]],$AI$3:$AK$105,3,FALSE)</f>
        <v>Misc. Expense</v>
      </c>
      <c r="AF4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4" spans="18:32" x14ac:dyDescent="0.2">
      <c r="R4974" t="s">
        <v>50</v>
      </c>
      <c r="S4974" t="s">
        <v>244</v>
      </c>
      <c r="T4974" t="s">
        <v>356</v>
      </c>
      <c r="U4974" s="21">
        <v>11444.45</v>
      </c>
      <c r="V4974" s="21" t="s">
        <v>368</v>
      </c>
      <c r="W4974" t="str">
        <f>VLOOKUP(Table_Query_from_Actuarial___Production[[#This Row],[Kor1]],$AI$3:$AK$105,3,FALSE)</f>
        <v>ALAE Reserve</v>
      </c>
      <c r="X4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4"/>
      <c r="Z4974" t="s">
        <v>37</v>
      </c>
      <c r="AA4974" t="s">
        <v>230</v>
      </c>
      <c r="AB4974" t="s">
        <v>441</v>
      </c>
      <c r="AC4974" s="21">
        <v>94442.7</v>
      </c>
      <c r="AD4974" s="21" t="s">
        <v>368</v>
      </c>
      <c r="AE4974" t="str">
        <f>VLOOKUP(Table_Query_from_Actuarial___Production3[[#This Row],[Kor1]],$AI$3:$AK$105,3,FALSE)</f>
        <v>Misc. Expense</v>
      </c>
      <c r="AF4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5" spans="18:32" x14ac:dyDescent="0.2">
      <c r="R4975" t="s">
        <v>3</v>
      </c>
      <c r="S4975" t="s">
        <v>224</v>
      </c>
      <c r="T4975" t="s">
        <v>433</v>
      </c>
      <c r="U4975" s="21">
        <v>1830296.58</v>
      </c>
      <c r="V4975" s="21" t="s">
        <v>368</v>
      </c>
      <c r="W4975" t="str">
        <f>VLOOKUP(Table_Query_from_Actuarial___Production[[#This Row],[Kor1]],$AI$3:$AK$105,3,FALSE)</f>
        <v>Premiums Written</v>
      </c>
      <c r="X4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975"/>
      <c r="Z4975" t="s">
        <v>37</v>
      </c>
      <c r="AA4975" t="s">
        <v>258</v>
      </c>
      <c r="AB4975" t="s">
        <v>6</v>
      </c>
      <c r="AC4975" s="21">
        <v>807.5</v>
      </c>
      <c r="AD4975" s="21" t="s">
        <v>368</v>
      </c>
      <c r="AE4975" t="str">
        <f>VLOOKUP(Table_Query_from_Actuarial___Production3[[#This Row],[Kor1]],$AI$3:$AK$105,3,FALSE)</f>
        <v>Misc. Expense</v>
      </c>
      <c r="AF4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6" spans="18:32" x14ac:dyDescent="0.2">
      <c r="R4976" t="s">
        <v>20</v>
      </c>
      <c r="S4976" t="s">
        <v>258</v>
      </c>
      <c r="T4976" t="s">
        <v>442</v>
      </c>
      <c r="U4976" s="21">
        <v>534.21</v>
      </c>
      <c r="V4976" s="21" t="s">
        <v>368</v>
      </c>
      <c r="W4976" t="str">
        <f>VLOOKUP(Table_Query_from_Actuarial___Production[[#This Row],[Kor1]],$AI$3:$AK$105,3,FALSE)</f>
        <v>Misc. Expense</v>
      </c>
      <c r="X4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6"/>
      <c r="Z4976" t="s">
        <v>11</v>
      </c>
      <c r="AA4976" t="s">
        <v>352</v>
      </c>
      <c r="AB4976" t="s">
        <v>9</v>
      </c>
      <c r="AC4976" s="21">
        <v>483</v>
      </c>
      <c r="AD4976" s="21" t="s">
        <v>368</v>
      </c>
      <c r="AE4976" t="str">
        <f>VLOOKUP(Table_Query_from_Actuarial___Production3[[#This Row],[Kor1]],$AI$3:$AK$105,3,FALSE)</f>
        <v>Losses Paid</v>
      </c>
      <c r="AF4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4977" spans="18:32" x14ac:dyDescent="0.2">
      <c r="R4977" t="s">
        <v>47</v>
      </c>
      <c r="S4977" t="s">
        <v>245</v>
      </c>
      <c r="T4977" t="s">
        <v>442</v>
      </c>
      <c r="U4977" s="21">
        <v>532.33000000000004</v>
      </c>
      <c r="V4977" s="21" t="s">
        <v>368</v>
      </c>
      <c r="W4977" t="str">
        <f>VLOOKUP(Table_Query_from_Actuarial___Production[[#This Row],[Kor1]],$AI$3:$AK$105,3,FALSE)</f>
        <v>Investment Income</v>
      </c>
      <c r="X4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7"/>
      <c r="Z4977" t="s">
        <v>14</v>
      </c>
      <c r="AA4977" t="s">
        <v>256</v>
      </c>
      <c r="AB4977" t="s">
        <v>356</v>
      </c>
      <c r="AC4977" s="21">
        <v>5124.59</v>
      </c>
      <c r="AD4977" s="21" t="s">
        <v>368</v>
      </c>
      <c r="AE4977" t="str">
        <f>VLOOKUP(Table_Query_from_Actuarial___Production3[[#This Row],[Kor1]],$AI$3:$AK$105,3,FALSE)</f>
        <v>Claims Expense</v>
      </c>
      <c r="AF4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8" spans="18:32" x14ac:dyDescent="0.2">
      <c r="R4978" t="s">
        <v>40</v>
      </c>
      <c r="S4978" t="s">
        <v>267</v>
      </c>
      <c r="T4978" t="s">
        <v>427</v>
      </c>
      <c r="U4978" s="21">
        <v>172</v>
      </c>
      <c r="V4978" s="21" t="s">
        <v>368</v>
      </c>
      <c r="W4978" t="str">
        <f>VLOOKUP(Table_Query_from_Actuarial___Production[[#This Row],[Kor1]],$AI$3:$AK$105,3,FALSE)</f>
        <v>Misc. Income</v>
      </c>
      <c r="X4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8"/>
      <c r="Z4978" t="s">
        <v>41</v>
      </c>
      <c r="AA4978" t="s">
        <v>249</v>
      </c>
      <c r="AB4978" t="s">
        <v>442</v>
      </c>
      <c r="AC4978" s="21">
        <v>516.62</v>
      </c>
      <c r="AD4978" s="21" t="s">
        <v>368</v>
      </c>
      <c r="AE4978" t="str">
        <f>VLOOKUP(Table_Query_from_Actuarial___Production3[[#This Row],[Kor1]],$AI$3:$AK$105,3,FALSE)</f>
        <v>Misc. Income</v>
      </c>
      <c r="AF4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79" spans="18:32" x14ac:dyDescent="0.2">
      <c r="R4979" t="s">
        <v>13</v>
      </c>
      <c r="S4979" t="s">
        <v>265</v>
      </c>
      <c r="T4979" t="s">
        <v>441</v>
      </c>
      <c r="U4979" s="21">
        <v>191486.72</v>
      </c>
      <c r="V4979" s="21" t="s">
        <v>368</v>
      </c>
      <c r="W4979" t="str">
        <f>VLOOKUP(Table_Query_from_Actuarial___Production[[#This Row],[Kor1]],$AI$3:$AK$105,3,FALSE)</f>
        <v>Operating Service Fees</v>
      </c>
      <c r="X4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79"/>
      <c r="Z4979" t="s">
        <v>47</v>
      </c>
      <c r="AA4979" t="s">
        <v>259</v>
      </c>
      <c r="AB4979" t="s">
        <v>427</v>
      </c>
      <c r="AC4979" s="21">
        <v>4234.82</v>
      </c>
      <c r="AD4979" s="21" t="s">
        <v>368</v>
      </c>
      <c r="AE4979" t="str">
        <f>VLOOKUP(Table_Query_from_Actuarial___Production3[[#This Row],[Kor1]],$AI$3:$AK$105,3,FALSE)</f>
        <v>Investment Income</v>
      </c>
      <c r="AF4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0" spans="18:32" x14ac:dyDescent="0.2">
      <c r="R4980" t="s">
        <v>29</v>
      </c>
      <c r="S4980" t="s">
        <v>238</v>
      </c>
      <c r="T4980" t="s">
        <v>445</v>
      </c>
      <c r="U4980" s="21">
        <v>734.54</v>
      </c>
      <c r="V4980" s="21" t="s">
        <v>368</v>
      </c>
      <c r="W4980" t="str">
        <f>VLOOKUP(Table_Query_from_Actuarial___Production[[#This Row],[Kor1]],$AI$3:$AK$105,3,FALSE)</f>
        <v>Misc. Expense</v>
      </c>
      <c r="X4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0"/>
      <c r="Z4980" t="s">
        <v>20</v>
      </c>
      <c r="AA4980" t="s">
        <v>243</v>
      </c>
      <c r="AB4980" t="s">
        <v>356</v>
      </c>
      <c r="AC4980" s="21">
        <v>110.27</v>
      </c>
      <c r="AD4980" s="21" t="s">
        <v>368</v>
      </c>
      <c r="AE4980" t="str">
        <f>VLOOKUP(Table_Query_from_Actuarial___Production3[[#This Row],[Kor1]],$AI$3:$AK$105,3,FALSE)</f>
        <v>Misc. Expense</v>
      </c>
      <c r="AF4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1" spans="18:32" x14ac:dyDescent="0.2">
      <c r="R4981" t="s">
        <v>37</v>
      </c>
      <c r="S4981" t="s">
        <v>252</v>
      </c>
      <c r="T4981" t="s">
        <v>441</v>
      </c>
      <c r="U4981" s="21">
        <v>166539.24</v>
      </c>
      <c r="V4981" s="21" t="s">
        <v>368</v>
      </c>
      <c r="W4981" t="str">
        <f>VLOOKUP(Table_Query_from_Actuarial___Production[[#This Row],[Kor1]],$AI$3:$AK$105,3,FALSE)</f>
        <v>Misc. Expense</v>
      </c>
      <c r="X4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1"/>
      <c r="Z4981" t="s">
        <v>49</v>
      </c>
      <c r="AA4981" t="s">
        <v>239</v>
      </c>
      <c r="AB4981" t="s">
        <v>433</v>
      </c>
      <c r="AC4981" s="21">
        <v>142465.98000000001</v>
      </c>
      <c r="AD4981" s="21" t="s">
        <v>368</v>
      </c>
      <c r="AE4981" t="str">
        <f>VLOOKUP(Table_Query_from_Actuarial___Production3[[#This Row],[Kor1]],$AI$3:$AK$105,3,FALSE)</f>
        <v>ALAE Paid</v>
      </c>
      <c r="AF4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2" spans="18:32" x14ac:dyDescent="0.2">
      <c r="R4982" t="s">
        <v>41</v>
      </c>
      <c r="S4982" t="s">
        <v>250</v>
      </c>
      <c r="T4982" t="s">
        <v>7</v>
      </c>
      <c r="U4982" s="21">
        <v>650</v>
      </c>
      <c r="V4982" s="21" t="s">
        <v>368</v>
      </c>
      <c r="W4982" t="str">
        <f>VLOOKUP(Table_Query_from_Actuarial___Production[[#This Row],[Kor1]],$AI$3:$AK$105,3,FALSE)</f>
        <v>Misc. Income</v>
      </c>
      <c r="X4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2"/>
      <c r="Z4982" t="s">
        <v>13</v>
      </c>
      <c r="AA4982" t="s">
        <v>4</v>
      </c>
      <c r="AB4982" t="s">
        <v>441</v>
      </c>
      <c r="AC4982" s="21">
        <v>11501106.6</v>
      </c>
      <c r="AD4982" s="21" t="s">
        <v>368</v>
      </c>
      <c r="AE4982" t="str">
        <f>VLOOKUP(Table_Query_from_Actuarial___Production3[[#This Row],[Kor1]],$AI$3:$AK$105,3,FALSE)</f>
        <v>Operating Service Fees</v>
      </c>
      <c r="AF4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3" spans="18:32" x14ac:dyDescent="0.2">
      <c r="R4983" t="s">
        <v>41</v>
      </c>
      <c r="S4983" t="s">
        <v>267</v>
      </c>
      <c r="T4983" t="s">
        <v>443</v>
      </c>
      <c r="U4983" s="21">
        <v>2048.52</v>
      </c>
      <c r="V4983" s="21" t="s">
        <v>368</v>
      </c>
      <c r="W4983" t="str">
        <f>VLOOKUP(Table_Query_from_Actuarial___Production[[#This Row],[Kor1]],$AI$3:$AK$105,3,FALSE)</f>
        <v>Misc. Income</v>
      </c>
      <c r="X4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3"/>
      <c r="Z4983" t="s">
        <v>11</v>
      </c>
      <c r="AA4983" t="s">
        <v>249</v>
      </c>
      <c r="AB4983" t="s">
        <v>7</v>
      </c>
      <c r="AC4983" s="21">
        <v>165812.84</v>
      </c>
      <c r="AD4983" s="21" t="s">
        <v>368</v>
      </c>
      <c r="AE4983" t="str">
        <f>VLOOKUP(Table_Query_from_Actuarial___Production3[[#This Row],[Kor1]],$AI$3:$AK$105,3,FALSE)</f>
        <v>Losses Paid</v>
      </c>
      <c r="AF4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4" spans="18:32" x14ac:dyDescent="0.2">
      <c r="R4984" t="s">
        <v>19</v>
      </c>
      <c r="S4984" t="s">
        <v>4</v>
      </c>
      <c r="T4984" t="s">
        <v>8</v>
      </c>
      <c r="U4984" s="21">
        <v>91620</v>
      </c>
      <c r="V4984" s="21" t="s">
        <v>368</v>
      </c>
      <c r="W4984" t="str">
        <f>VLOOKUP(Table_Query_from_Actuarial___Production[[#This Row],[Kor1]],$AI$3:$AK$105,3,FALSE)</f>
        <v>Misc. Expense for Insolvent Companies</v>
      </c>
      <c r="X4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4"/>
      <c r="Z4984" t="s">
        <v>20</v>
      </c>
      <c r="AA4984" t="s">
        <v>238</v>
      </c>
      <c r="AB4984" t="s">
        <v>5</v>
      </c>
      <c r="AC4984" s="21">
        <v>695.88</v>
      </c>
      <c r="AD4984" s="21" t="s">
        <v>368</v>
      </c>
      <c r="AE4984" t="str">
        <f>VLOOKUP(Table_Query_from_Actuarial___Production3[[#This Row],[Kor1]],$AI$3:$AK$105,3,FALSE)</f>
        <v>Misc. Expense</v>
      </c>
      <c r="AF4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5" spans="18:32" x14ac:dyDescent="0.2">
      <c r="R4985" t="s">
        <v>17</v>
      </c>
      <c r="S4985" t="s">
        <v>233</v>
      </c>
      <c r="T4985" t="s">
        <v>442</v>
      </c>
      <c r="U4985" s="21">
        <v>214823.89</v>
      </c>
      <c r="V4985" s="21" t="s">
        <v>368</v>
      </c>
      <c r="W4985" t="str">
        <f>VLOOKUP(Table_Query_from_Actuarial___Production[[#This Row],[Kor1]],$AI$3:$AK$105,3,FALSE)</f>
        <v>IBNR</v>
      </c>
      <c r="X4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5"/>
      <c r="Z4985" t="s">
        <v>37</v>
      </c>
      <c r="AA4985" t="s">
        <v>4</v>
      </c>
      <c r="AB4985" t="s">
        <v>356</v>
      </c>
      <c r="AC4985" s="21">
        <v>27210.400000000001</v>
      </c>
      <c r="AD4985" s="21" t="s">
        <v>368</v>
      </c>
      <c r="AE4985" t="str">
        <f>VLOOKUP(Table_Query_from_Actuarial___Production3[[#This Row],[Kor1]],$AI$3:$AK$105,3,FALSE)</f>
        <v>Misc. Expense</v>
      </c>
      <c r="AF4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6" spans="18:32" x14ac:dyDescent="0.2">
      <c r="R4986" t="s">
        <v>41</v>
      </c>
      <c r="S4986" t="s">
        <v>4</v>
      </c>
      <c r="T4986" t="s">
        <v>442</v>
      </c>
      <c r="U4986" s="21">
        <v>-2877.35</v>
      </c>
      <c r="V4986" s="21" t="s">
        <v>368</v>
      </c>
      <c r="W4986" t="str">
        <f>VLOOKUP(Table_Query_from_Actuarial___Production[[#This Row],[Kor1]],$AI$3:$AK$105,3,FALSE)</f>
        <v>Misc. Income</v>
      </c>
      <c r="X4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6"/>
      <c r="Z4986" t="s">
        <v>14</v>
      </c>
      <c r="AA4986" t="s">
        <v>255</v>
      </c>
      <c r="AB4986" t="s">
        <v>442</v>
      </c>
      <c r="AC4986" s="21">
        <v>16655.810000000001</v>
      </c>
      <c r="AD4986" s="21" t="s">
        <v>368</v>
      </c>
      <c r="AE4986" t="str">
        <f>VLOOKUP(Table_Query_from_Actuarial___Production3[[#This Row],[Kor1]],$AI$3:$AK$105,3,FALSE)</f>
        <v>Claims Expense</v>
      </c>
      <c r="AF4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7" spans="18:32" x14ac:dyDescent="0.2">
      <c r="R4987" t="s">
        <v>44</v>
      </c>
      <c r="S4987" t="s">
        <v>238</v>
      </c>
      <c r="T4987" t="s">
        <v>433</v>
      </c>
      <c r="U4987" s="21">
        <v>209711.1</v>
      </c>
      <c r="V4987" s="21" t="s">
        <v>368</v>
      </c>
      <c r="W4987" t="str">
        <f>VLOOKUP(Table_Query_from_Actuarial___Production[[#This Row],[Kor1]],$AI$3:$AK$105,3,FALSE)</f>
        <v>Charge-offs</v>
      </c>
      <c r="X4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7"/>
      <c r="Z4987" t="s">
        <v>3</v>
      </c>
      <c r="AA4987" t="s">
        <v>225</v>
      </c>
      <c r="AB4987" t="s">
        <v>427</v>
      </c>
      <c r="AC4987" s="21">
        <v>1866173</v>
      </c>
      <c r="AD4987" s="21" t="s">
        <v>368</v>
      </c>
      <c r="AE4987" t="str">
        <f>VLOOKUP(Table_Query_from_Actuarial___Production3[[#This Row],[Kor1]],$AI$3:$AK$105,3,FALSE)</f>
        <v>Premiums Written</v>
      </c>
      <c r="AF4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4988" spans="18:32" x14ac:dyDescent="0.2">
      <c r="R4988" t="s">
        <v>15</v>
      </c>
      <c r="S4988" t="s">
        <v>225</v>
      </c>
      <c r="T4988" t="s">
        <v>443</v>
      </c>
      <c r="U4988" s="21">
        <v>2961.32</v>
      </c>
      <c r="V4988" s="21" t="s">
        <v>368</v>
      </c>
      <c r="W4988" t="str">
        <f>VLOOKUP(Table_Query_from_Actuarial___Production[[#This Row],[Kor1]],$AI$3:$AK$105,3,FALSE)</f>
        <v>Unearned Premiums</v>
      </c>
      <c r="X4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4988"/>
      <c r="Z4988" t="s">
        <v>14</v>
      </c>
      <c r="AA4988" t="s">
        <v>239</v>
      </c>
      <c r="AB4988" t="s">
        <v>6</v>
      </c>
      <c r="AC4988" s="21">
        <v>4681.6000000000004</v>
      </c>
      <c r="AD4988" s="21" t="s">
        <v>368</v>
      </c>
      <c r="AE4988" t="str">
        <f>VLOOKUP(Table_Query_from_Actuarial___Production3[[#This Row],[Kor1]],$AI$3:$AK$105,3,FALSE)</f>
        <v>Claims Expense</v>
      </c>
      <c r="AF4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89" spans="18:32" x14ac:dyDescent="0.2">
      <c r="R4989" t="s">
        <v>10</v>
      </c>
      <c r="S4989" t="s">
        <v>264</v>
      </c>
      <c r="T4989" t="s">
        <v>442</v>
      </c>
      <c r="U4989" s="21">
        <v>204536.12</v>
      </c>
      <c r="V4989" s="21" t="s">
        <v>368</v>
      </c>
      <c r="W4989" t="str">
        <f>VLOOKUP(Table_Query_from_Actuarial___Production[[#This Row],[Kor1]],$AI$3:$AK$105,3,FALSE)</f>
        <v>Commissions</v>
      </c>
      <c r="X4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89"/>
      <c r="Z4989" t="s">
        <v>19</v>
      </c>
      <c r="AA4989" t="s">
        <v>249</v>
      </c>
      <c r="AB4989" t="s">
        <v>427</v>
      </c>
      <c r="AC4989" s="21">
        <v>3463</v>
      </c>
      <c r="AD4989" s="21" t="s">
        <v>368</v>
      </c>
      <c r="AE4989" t="str">
        <f>VLOOKUP(Table_Query_from_Actuarial___Production3[[#This Row],[Kor1]],$AI$3:$AK$105,3,FALSE)</f>
        <v>Misc. Expense for Insolvent Companies</v>
      </c>
      <c r="AF4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0" spans="18:32" x14ac:dyDescent="0.2">
      <c r="R4990" t="s">
        <v>31</v>
      </c>
      <c r="S4990" t="s">
        <v>265</v>
      </c>
      <c r="T4990" t="s">
        <v>8</v>
      </c>
      <c r="U4990" s="21">
        <v>593.70000000000005</v>
      </c>
      <c r="V4990" s="21" t="s">
        <v>368</v>
      </c>
      <c r="W4990" t="str">
        <f>VLOOKUP(Table_Query_from_Actuarial___Production[[#This Row],[Kor1]],$AI$3:$AK$105,3,FALSE)</f>
        <v>Misc. Expense</v>
      </c>
      <c r="X4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0"/>
      <c r="Z4990" t="s">
        <v>50</v>
      </c>
      <c r="AA4990" t="s">
        <v>244</v>
      </c>
      <c r="AB4990" t="s">
        <v>356</v>
      </c>
      <c r="AC4990" s="21">
        <v>22133.200000000001</v>
      </c>
      <c r="AD4990" s="21" t="s">
        <v>368</v>
      </c>
      <c r="AE4990" t="str">
        <f>VLOOKUP(Table_Query_from_Actuarial___Production3[[#This Row],[Kor1]],$AI$3:$AK$105,3,FALSE)</f>
        <v>ALAE Reserve</v>
      </c>
      <c r="AF4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1" spans="18:32" x14ac:dyDescent="0.2">
      <c r="R4991" t="s">
        <v>13</v>
      </c>
      <c r="S4991" t="s">
        <v>230</v>
      </c>
      <c r="T4991" t="s">
        <v>351</v>
      </c>
      <c r="U4991" s="21">
        <v>4654587.9800000004</v>
      </c>
      <c r="V4991" s="21" t="s">
        <v>368</v>
      </c>
      <c r="W4991" t="str">
        <f>VLOOKUP(Table_Query_from_Actuarial___Production[[#This Row],[Kor1]],$AI$3:$AK$105,3,FALSE)</f>
        <v>Operating Service Fees</v>
      </c>
      <c r="X4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1"/>
      <c r="Z4991" t="s">
        <v>3</v>
      </c>
      <c r="AA4991" t="s">
        <v>224</v>
      </c>
      <c r="AB4991" t="s">
        <v>433</v>
      </c>
      <c r="AC4991" s="21">
        <v>1830296.58</v>
      </c>
      <c r="AD4991" s="21" t="s">
        <v>368</v>
      </c>
      <c r="AE4991" t="str">
        <f>VLOOKUP(Table_Query_from_Actuarial___Production3[[#This Row],[Kor1]],$AI$3:$AK$105,3,FALSE)</f>
        <v>Premiums Written</v>
      </c>
      <c r="AF4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4992" spans="18:32" x14ac:dyDescent="0.2">
      <c r="R4992" t="s">
        <v>444</v>
      </c>
      <c r="S4992" t="s">
        <v>233</v>
      </c>
      <c r="T4992" t="s">
        <v>443</v>
      </c>
      <c r="U4992" s="21">
        <v>10167.790000000001</v>
      </c>
      <c r="V4992" s="21" t="s">
        <v>368</v>
      </c>
      <c r="W4992" t="str">
        <f>VLOOKUP(Table_Query_from_Actuarial___Production[[#This Row],[Kor1]],$AI$3:$AK$105,3,FALSE)</f>
        <v>Misc. Expense</v>
      </c>
      <c r="X4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2"/>
      <c r="Z4992" t="s">
        <v>20</v>
      </c>
      <c r="AA4992" t="s">
        <v>258</v>
      </c>
      <c r="AB4992" t="s">
        <v>442</v>
      </c>
      <c r="AC4992" s="21">
        <v>534.21</v>
      </c>
      <c r="AD4992" s="21" t="s">
        <v>368</v>
      </c>
      <c r="AE4992" t="str">
        <f>VLOOKUP(Table_Query_from_Actuarial___Production3[[#This Row],[Kor1]],$AI$3:$AK$105,3,FALSE)</f>
        <v>Misc. Expense</v>
      </c>
      <c r="AF4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3" spans="18:32" x14ac:dyDescent="0.2">
      <c r="R4993" t="s">
        <v>43</v>
      </c>
      <c r="S4993" t="s">
        <v>224</v>
      </c>
      <c r="T4993" t="s">
        <v>427</v>
      </c>
      <c r="U4993" s="21">
        <v>53.34</v>
      </c>
      <c r="V4993" s="21" t="s">
        <v>368</v>
      </c>
      <c r="W4993" t="str">
        <f>VLOOKUP(Table_Query_from_Actuarial___Production[[#This Row],[Kor1]],$AI$3:$AK$105,3,FALSE)</f>
        <v>Charge-offs</v>
      </c>
      <c r="X4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4993"/>
      <c r="Z4993" t="s">
        <v>47</v>
      </c>
      <c r="AA4993" t="s">
        <v>245</v>
      </c>
      <c r="AB4993" t="s">
        <v>442</v>
      </c>
      <c r="AC4993" s="21">
        <v>532.33000000000004</v>
      </c>
      <c r="AD4993" s="21" t="s">
        <v>368</v>
      </c>
      <c r="AE4993" t="str">
        <f>VLOOKUP(Table_Query_from_Actuarial___Production3[[#This Row],[Kor1]],$AI$3:$AK$105,3,FALSE)</f>
        <v>Investment Income</v>
      </c>
      <c r="AF4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4" spans="18:32" x14ac:dyDescent="0.2">
      <c r="R4994" t="s">
        <v>33</v>
      </c>
      <c r="S4994" t="s">
        <v>268</v>
      </c>
      <c r="T4994" t="s">
        <v>7</v>
      </c>
      <c r="U4994" s="21">
        <v>13416.51</v>
      </c>
      <c r="V4994" s="21" t="s">
        <v>368</v>
      </c>
      <c r="W4994" t="str">
        <f>VLOOKUP(Table_Query_from_Actuarial___Production[[#This Row],[Kor1]],$AI$3:$AK$105,3,FALSE)</f>
        <v>Misc. Expense</v>
      </c>
      <c r="X4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4"/>
      <c r="Z4994" t="s">
        <v>40</v>
      </c>
      <c r="AA4994" t="s">
        <v>267</v>
      </c>
      <c r="AB4994" t="s">
        <v>427</v>
      </c>
      <c r="AC4994" s="21">
        <v>172</v>
      </c>
      <c r="AD4994" s="21" t="s">
        <v>368</v>
      </c>
      <c r="AE4994" t="str">
        <f>VLOOKUP(Table_Query_from_Actuarial___Production3[[#This Row],[Kor1]],$AI$3:$AK$105,3,FALSE)</f>
        <v>Misc. Income</v>
      </c>
      <c r="AF4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5" spans="18:32" x14ac:dyDescent="0.2">
      <c r="R4995" t="s">
        <v>49</v>
      </c>
      <c r="S4995" t="s">
        <v>237</v>
      </c>
      <c r="T4995" t="s">
        <v>443</v>
      </c>
      <c r="U4995" s="21">
        <v>170817.44</v>
      </c>
      <c r="V4995" s="21" t="s">
        <v>368</v>
      </c>
      <c r="W4995" t="str">
        <f>VLOOKUP(Table_Query_from_Actuarial___Production[[#This Row],[Kor1]],$AI$3:$AK$105,3,FALSE)</f>
        <v>ALAE Paid</v>
      </c>
      <c r="X4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5"/>
      <c r="Z4995" t="s">
        <v>13</v>
      </c>
      <c r="AA4995" t="s">
        <v>265</v>
      </c>
      <c r="AB4995" t="s">
        <v>441</v>
      </c>
      <c r="AC4995" s="21">
        <v>191486.72</v>
      </c>
      <c r="AD4995" s="21" t="s">
        <v>368</v>
      </c>
      <c r="AE4995" t="str">
        <f>VLOOKUP(Table_Query_from_Actuarial___Production3[[#This Row],[Kor1]],$AI$3:$AK$105,3,FALSE)</f>
        <v>Operating Service Fees</v>
      </c>
      <c r="AF4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6" spans="18:32" x14ac:dyDescent="0.2">
      <c r="R4996" t="s">
        <v>49</v>
      </c>
      <c r="S4996" t="s">
        <v>252</v>
      </c>
      <c r="T4996" t="s">
        <v>427</v>
      </c>
      <c r="U4996" s="21">
        <v>1167565.01</v>
      </c>
      <c r="V4996" s="21" t="s">
        <v>368</v>
      </c>
      <c r="W4996" t="str">
        <f>VLOOKUP(Table_Query_from_Actuarial___Production[[#This Row],[Kor1]],$AI$3:$AK$105,3,FALSE)</f>
        <v>ALAE Paid</v>
      </c>
      <c r="X4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6"/>
      <c r="Z4996" t="s">
        <v>3</v>
      </c>
      <c r="AA4996" t="s">
        <v>266</v>
      </c>
      <c r="AB4996" t="s">
        <v>5</v>
      </c>
      <c r="AC4996" s="21">
        <v>81289</v>
      </c>
      <c r="AD4996" s="21" t="s">
        <v>368</v>
      </c>
      <c r="AE4996" t="str">
        <f>VLOOKUP(Table_Query_from_Actuarial___Production3[[#This Row],[Kor1]],$AI$3:$AK$105,3,FALSE)</f>
        <v>Premiums Written</v>
      </c>
      <c r="AF4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7" spans="18:32" x14ac:dyDescent="0.2">
      <c r="R4997" t="s">
        <v>10</v>
      </c>
      <c r="S4997" t="s">
        <v>243</v>
      </c>
      <c r="T4997" t="s">
        <v>6</v>
      </c>
      <c r="U4997" s="21">
        <v>15970.16</v>
      </c>
      <c r="V4997" s="21" t="s">
        <v>368</v>
      </c>
      <c r="W4997" t="str">
        <f>VLOOKUP(Table_Query_from_Actuarial___Production[[#This Row],[Kor1]],$AI$3:$AK$105,3,FALSE)</f>
        <v>Commissions</v>
      </c>
      <c r="X4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7"/>
      <c r="Z4997" t="s">
        <v>37</v>
      </c>
      <c r="AA4997" t="s">
        <v>252</v>
      </c>
      <c r="AB4997" t="s">
        <v>441</v>
      </c>
      <c r="AC4997" s="21">
        <v>166539.24</v>
      </c>
      <c r="AD4997" s="21" t="s">
        <v>368</v>
      </c>
      <c r="AE4997" t="str">
        <f>VLOOKUP(Table_Query_from_Actuarial___Production3[[#This Row],[Kor1]],$AI$3:$AK$105,3,FALSE)</f>
        <v>Misc. Expense</v>
      </c>
      <c r="AF4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8" spans="18:32" x14ac:dyDescent="0.2">
      <c r="R4998" t="s">
        <v>12</v>
      </c>
      <c r="S4998" t="s">
        <v>233</v>
      </c>
      <c r="T4998" t="s">
        <v>8</v>
      </c>
      <c r="U4998" s="21">
        <v>10794.78</v>
      </c>
      <c r="V4998" s="21" t="s">
        <v>368</v>
      </c>
      <c r="W4998" t="str">
        <f>VLOOKUP(Table_Query_from_Actuarial___Production[[#This Row],[Kor1]],$AI$3:$AK$105,3,FALSE)</f>
        <v>Premium Tax</v>
      </c>
      <c r="X4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8"/>
      <c r="Z4998" t="s">
        <v>41</v>
      </c>
      <c r="AA4998" t="s">
        <v>250</v>
      </c>
      <c r="AB4998" t="s">
        <v>7</v>
      </c>
      <c r="AC4998" s="21">
        <v>650</v>
      </c>
      <c r="AD4998" s="21" t="s">
        <v>368</v>
      </c>
      <c r="AE4998" t="str">
        <f>VLOOKUP(Table_Query_from_Actuarial___Production3[[#This Row],[Kor1]],$AI$3:$AK$105,3,FALSE)</f>
        <v>Misc. Income</v>
      </c>
      <c r="AF4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4999" spans="18:32" x14ac:dyDescent="0.2">
      <c r="R4999" t="s">
        <v>13</v>
      </c>
      <c r="S4999" t="s">
        <v>257</v>
      </c>
      <c r="T4999" t="s">
        <v>6</v>
      </c>
      <c r="U4999" s="21">
        <v>243711.68</v>
      </c>
      <c r="V4999" s="21" t="s">
        <v>368</v>
      </c>
      <c r="W4999" t="str">
        <f>VLOOKUP(Table_Query_from_Actuarial___Production[[#This Row],[Kor1]],$AI$3:$AK$105,3,FALSE)</f>
        <v>Operating Service Fees</v>
      </c>
      <c r="X4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4999"/>
      <c r="Z4999" t="s">
        <v>19</v>
      </c>
      <c r="AA4999" t="s">
        <v>4</v>
      </c>
      <c r="AB4999" t="s">
        <v>8</v>
      </c>
      <c r="AC4999" s="21">
        <v>91620</v>
      </c>
      <c r="AD4999" s="21" t="s">
        <v>368</v>
      </c>
      <c r="AE4999" t="str">
        <f>VLOOKUP(Table_Query_from_Actuarial___Production3[[#This Row],[Kor1]],$AI$3:$AK$105,3,FALSE)</f>
        <v>Misc. Expense for Insolvent Companies</v>
      </c>
      <c r="AF4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0" spans="18:32" x14ac:dyDescent="0.2">
      <c r="R5000" t="s">
        <v>20</v>
      </c>
      <c r="S5000" t="s">
        <v>235</v>
      </c>
      <c r="T5000" t="s">
        <v>445</v>
      </c>
      <c r="U5000" s="21">
        <v>85.45</v>
      </c>
      <c r="V5000" s="21" t="s">
        <v>368</v>
      </c>
      <c r="W5000" t="str">
        <f>VLOOKUP(Table_Query_from_Actuarial___Production[[#This Row],[Kor1]],$AI$3:$AK$105,3,FALSE)</f>
        <v>Misc. Expense</v>
      </c>
      <c r="X5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0"/>
      <c r="Z5000" t="s">
        <v>17</v>
      </c>
      <c r="AA5000" t="s">
        <v>233</v>
      </c>
      <c r="AB5000" t="s">
        <v>442</v>
      </c>
      <c r="AC5000" s="21">
        <v>311304.81</v>
      </c>
      <c r="AD5000" s="21" t="s">
        <v>368</v>
      </c>
      <c r="AE5000" t="str">
        <f>VLOOKUP(Table_Query_from_Actuarial___Production3[[#This Row],[Kor1]],$AI$3:$AK$105,3,FALSE)</f>
        <v>IBNR</v>
      </c>
      <c r="AF5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1" spans="18:32" x14ac:dyDescent="0.2">
      <c r="R5001" t="s">
        <v>10</v>
      </c>
      <c r="S5001" t="s">
        <v>251</v>
      </c>
      <c r="T5001" t="s">
        <v>433</v>
      </c>
      <c r="U5001" s="21">
        <v>36989.9</v>
      </c>
      <c r="V5001" s="21" t="s">
        <v>368</v>
      </c>
      <c r="W5001" t="str">
        <f>VLOOKUP(Table_Query_from_Actuarial___Production[[#This Row],[Kor1]],$AI$3:$AK$105,3,FALSE)</f>
        <v>Commissions</v>
      </c>
      <c r="X5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1"/>
      <c r="Z5001" t="s">
        <v>41</v>
      </c>
      <c r="AA5001" t="s">
        <v>4</v>
      </c>
      <c r="AB5001" t="s">
        <v>442</v>
      </c>
      <c r="AC5001" s="21">
        <v>-2877.35</v>
      </c>
      <c r="AD5001" s="21" t="s">
        <v>368</v>
      </c>
      <c r="AE5001" t="str">
        <f>VLOOKUP(Table_Query_from_Actuarial___Production3[[#This Row],[Kor1]],$AI$3:$AK$105,3,FALSE)</f>
        <v>Misc. Income</v>
      </c>
      <c r="AF5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2" spans="18:32" x14ac:dyDescent="0.2">
      <c r="R5002" t="s">
        <v>15</v>
      </c>
      <c r="S5002" t="s">
        <v>240</v>
      </c>
      <c r="T5002" t="s">
        <v>443</v>
      </c>
      <c r="U5002" s="21">
        <v>509988.64</v>
      </c>
      <c r="V5002" s="21" t="s">
        <v>368</v>
      </c>
      <c r="W5002" t="str">
        <f>VLOOKUP(Table_Query_from_Actuarial___Production[[#This Row],[Kor1]],$AI$3:$AK$105,3,FALSE)</f>
        <v>Unearned Premiums</v>
      </c>
      <c r="X5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2"/>
      <c r="Z5002" t="s">
        <v>44</v>
      </c>
      <c r="AA5002" t="s">
        <v>238</v>
      </c>
      <c r="AB5002" t="s">
        <v>433</v>
      </c>
      <c r="AC5002" s="21">
        <v>209711.1</v>
      </c>
      <c r="AD5002" s="21" t="s">
        <v>368</v>
      </c>
      <c r="AE5002" t="str">
        <f>VLOOKUP(Table_Query_from_Actuarial___Production3[[#This Row],[Kor1]],$AI$3:$AK$105,3,FALSE)</f>
        <v>Charge-offs</v>
      </c>
      <c r="AF5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3" spans="18:32" x14ac:dyDescent="0.2">
      <c r="R5003" t="s">
        <v>37</v>
      </c>
      <c r="S5003" t="s">
        <v>232</v>
      </c>
      <c r="T5003" t="s">
        <v>6</v>
      </c>
      <c r="U5003" s="21">
        <v>3737.61</v>
      </c>
      <c r="V5003" s="21" t="s">
        <v>368</v>
      </c>
      <c r="W5003" t="str">
        <f>VLOOKUP(Table_Query_from_Actuarial___Production[[#This Row],[Kor1]],$AI$3:$AK$105,3,FALSE)</f>
        <v>Misc. Expense</v>
      </c>
      <c r="X5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3"/>
      <c r="Z5003" t="s">
        <v>15</v>
      </c>
      <c r="AA5003" t="s">
        <v>225</v>
      </c>
      <c r="AB5003" t="s">
        <v>443</v>
      </c>
      <c r="AC5003" s="21">
        <v>581242.31000000006</v>
      </c>
      <c r="AD5003" s="21" t="s">
        <v>368</v>
      </c>
      <c r="AE5003" t="str">
        <f>VLOOKUP(Table_Query_from_Actuarial___Production3[[#This Row],[Kor1]],$AI$3:$AK$105,3,FALSE)</f>
        <v>Unearned Premiums</v>
      </c>
      <c r="AF5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004" spans="18:32" x14ac:dyDescent="0.2">
      <c r="R5004" t="s">
        <v>37</v>
      </c>
      <c r="S5004" t="s">
        <v>244</v>
      </c>
      <c r="T5004" t="s">
        <v>356</v>
      </c>
      <c r="U5004" s="21">
        <v>10678.35</v>
      </c>
      <c r="V5004" s="21" t="s">
        <v>368</v>
      </c>
      <c r="W5004" t="str">
        <f>VLOOKUP(Table_Query_from_Actuarial___Production[[#This Row],[Kor1]],$AI$3:$AK$105,3,FALSE)</f>
        <v>Misc. Expense</v>
      </c>
      <c r="X5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4"/>
      <c r="Z5004" t="s">
        <v>10</v>
      </c>
      <c r="AA5004" t="s">
        <v>264</v>
      </c>
      <c r="AB5004" t="s">
        <v>442</v>
      </c>
      <c r="AC5004" s="21">
        <v>209963.62</v>
      </c>
      <c r="AD5004" s="21" t="s">
        <v>368</v>
      </c>
      <c r="AE5004" t="str">
        <f>VLOOKUP(Table_Query_from_Actuarial___Production3[[#This Row],[Kor1]],$AI$3:$AK$105,3,FALSE)</f>
        <v>Commissions</v>
      </c>
      <c r="AF5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5" spans="18:32" x14ac:dyDescent="0.2">
      <c r="R5005" t="s">
        <v>13</v>
      </c>
      <c r="S5005" t="s">
        <v>230</v>
      </c>
      <c r="T5005" t="s">
        <v>441</v>
      </c>
      <c r="U5005" s="21">
        <v>3921257.7</v>
      </c>
      <c r="V5005" s="21" t="s">
        <v>368</v>
      </c>
      <c r="W5005" t="str">
        <f>VLOOKUP(Table_Query_from_Actuarial___Production[[#This Row],[Kor1]],$AI$3:$AK$105,3,FALSE)</f>
        <v>Operating Service Fees</v>
      </c>
      <c r="X5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5"/>
      <c r="Z5005" t="s">
        <v>31</v>
      </c>
      <c r="AA5005" t="s">
        <v>265</v>
      </c>
      <c r="AB5005" t="s">
        <v>8</v>
      </c>
      <c r="AC5005" s="21">
        <v>593.70000000000005</v>
      </c>
      <c r="AD5005" s="21" t="s">
        <v>368</v>
      </c>
      <c r="AE5005" t="str">
        <f>VLOOKUP(Table_Query_from_Actuarial___Production3[[#This Row],[Kor1]],$AI$3:$AK$105,3,FALSE)</f>
        <v>Misc. Expense</v>
      </c>
      <c r="AF5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6" spans="18:32" x14ac:dyDescent="0.2">
      <c r="R5006" t="s">
        <v>12</v>
      </c>
      <c r="S5006" t="s">
        <v>265</v>
      </c>
      <c r="T5006" t="s">
        <v>441</v>
      </c>
      <c r="U5006" s="21">
        <v>21270.16</v>
      </c>
      <c r="V5006" s="21" t="s">
        <v>368</v>
      </c>
      <c r="W5006" t="str">
        <f>VLOOKUP(Table_Query_from_Actuarial___Production[[#This Row],[Kor1]],$AI$3:$AK$105,3,FALSE)</f>
        <v>Premium Tax</v>
      </c>
      <c r="X5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6"/>
      <c r="Z5006" t="s">
        <v>13</v>
      </c>
      <c r="AA5006" t="s">
        <v>230</v>
      </c>
      <c r="AB5006" t="s">
        <v>351</v>
      </c>
      <c r="AC5006" s="21">
        <v>4654587.9800000004</v>
      </c>
      <c r="AD5006" s="21" t="s">
        <v>368</v>
      </c>
      <c r="AE5006" t="str">
        <f>VLOOKUP(Table_Query_from_Actuarial___Production3[[#This Row],[Kor1]],$AI$3:$AK$105,3,FALSE)</f>
        <v>Operating Service Fees</v>
      </c>
      <c r="AF5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07" spans="18:32" x14ac:dyDescent="0.2">
      <c r="R5007" t="s">
        <v>43</v>
      </c>
      <c r="S5007" t="s">
        <v>224</v>
      </c>
      <c r="T5007" t="s">
        <v>443</v>
      </c>
      <c r="U5007" s="21">
        <v>348.27</v>
      </c>
      <c r="V5007" s="21" t="s">
        <v>368</v>
      </c>
      <c r="W5007" t="str">
        <f>VLOOKUP(Table_Query_from_Actuarial___Production[[#This Row],[Kor1]],$AI$3:$AK$105,3,FALSE)</f>
        <v>Charge-offs</v>
      </c>
      <c r="X5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007"/>
      <c r="Z5007" t="s">
        <v>48</v>
      </c>
      <c r="AA5007" t="s">
        <v>224</v>
      </c>
      <c r="AB5007" t="s">
        <v>441</v>
      </c>
      <c r="AC5007" s="21">
        <v>93.4</v>
      </c>
      <c r="AD5007" s="21" t="s">
        <v>369</v>
      </c>
      <c r="AE5007" t="str">
        <f>VLOOKUP(Table_Query_from_Actuarial___Production3[[#This Row],[Kor1]],$AI$3:$AK$105,3,FALSE)</f>
        <v>Anticipated Salvage</v>
      </c>
      <c r="AF5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008" spans="18:32" x14ac:dyDescent="0.2">
      <c r="R5008" t="s">
        <v>17</v>
      </c>
      <c r="S5008" t="s">
        <v>244</v>
      </c>
      <c r="T5008" t="s">
        <v>433</v>
      </c>
      <c r="U5008" s="21">
        <v>242458.23999999999</v>
      </c>
      <c r="V5008" s="21" t="s">
        <v>368</v>
      </c>
      <c r="W5008" t="str">
        <f>VLOOKUP(Table_Query_from_Actuarial___Production[[#This Row],[Kor1]],$AI$3:$AK$105,3,FALSE)</f>
        <v>IBNR</v>
      </c>
      <c r="X5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8"/>
      <c r="Z5008" t="s">
        <v>43</v>
      </c>
      <c r="AA5008" t="s">
        <v>224</v>
      </c>
      <c r="AB5008" t="s">
        <v>427</v>
      </c>
      <c r="AC5008" s="21">
        <v>53.34</v>
      </c>
      <c r="AD5008" s="21" t="s">
        <v>368</v>
      </c>
      <c r="AE5008" t="str">
        <f>VLOOKUP(Table_Query_from_Actuarial___Production3[[#This Row],[Kor1]],$AI$3:$AK$105,3,FALSE)</f>
        <v>Charge-offs</v>
      </c>
      <c r="AF5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009" spans="18:32" x14ac:dyDescent="0.2">
      <c r="R5009" t="s">
        <v>439</v>
      </c>
      <c r="S5009" t="s">
        <v>250</v>
      </c>
      <c r="T5009" t="s">
        <v>433</v>
      </c>
      <c r="U5009" s="21">
        <v>18180</v>
      </c>
      <c r="V5009" s="21" t="s">
        <v>368</v>
      </c>
      <c r="W5009" t="str">
        <f>VLOOKUP(Table_Query_from_Actuarial___Production[[#This Row],[Kor1]],$AI$3:$AK$105,3,FALSE)</f>
        <v>Operating Service Fees</v>
      </c>
      <c r="X5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09"/>
      <c r="Z5009" t="s">
        <v>33</v>
      </c>
      <c r="AA5009" t="s">
        <v>268</v>
      </c>
      <c r="AB5009" t="s">
        <v>7</v>
      </c>
      <c r="AC5009" s="21">
        <v>13416.51</v>
      </c>
      <c r="AD5009" s="21" t="s">
        <v>368</v>
      </c>
      <c r="AE5009" t="str">
        <f>VLOOKUP(Table_Query_from_Actuarial___Production3[[#This Row],[Kor1]],$AI$3:$AK$105,3,FALSE)</f>
        <v>Misc. Expense</v>
      </c>
      <c r="AF5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0" spans="18:32" x14ac:dyDescent="0.2">
      <c r="R5010" t="s">
        <v>12</v>
      </c>
      <c r="S5010" t="s">
        <v>261</v>
      </c>
      <c r="T5010" t="s">
        <v>445</v>
      </c>
      <c r="U5010" s="21">
        <v>22492.59</v>
      </c>
      <c r="V5010" s="21" t="s">
        <v>368</v>
      </c>
      <c r="W5010" t="str">
        <f>VLOOKUP(Table_Query_from_Actuarial___Production[[#This Row],[Kor1]],$AI$3:$AK$105,3,FALSE)</f>
        <v>Premium Tax</v>
      </c>
      <c r="X5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0"/>
      <c r="Z5010" t="s">
        <v>49</v>
      </c>
      <c r="AA5010" t="s">
        <v>252</v>
      </c>
      <c r="AB5010" t="s">
        <v>427</v>
      </c>
      <c r="AC5010" s="21">
        <v>1028927.63</v>
      </c>
      <c r="AD5010" s="21" t="s">
        <v>368</v>
      </c>
      <c r="AE5010" t="str">
        <f>VLOOKUP(Table_Query_from_Actuarial___Production3[[#This Row],[Kor1]],$AI$3:$AK$105,3,FALSE)</f>
        <v>ALAE Paid</v>
      </c>
      <c r="AF5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1" spans="18:32" x14ac:dyDescent="0.2">
      <c r="R5011" t="s">
        <v>29</v>
      </c>
      <c r="S5011" t="s">
        <v>237</v>
      </c>
      <c r="T5011" t="s">
        <v>441</v>
      </c>
      <c r="U5011" s="21">
        <v>20138.78</v>
      </c>
      <c r="V5011" s="21" t="s">
        <v>368</v>
      </c>
      <c r="W5011" t="str">
        <f>VLOOKUP(Table_Query_from_Actuarial___Production[[#This Row],[Kor1]],$AI$3:$AK$105,3,FALSE)</f>
        <v>Misc. Expense</v>
      </c>
      <c r="X5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1"/>
      <c r="Z5011" t="s">
        <v>10</v>
      </c>
      <c r="AA5011" t="s">
        <v>243</v>
      </c>
      <c r="AB5011" t="s">
        <v>6</v>
      </c>
      <c r="AC5011" s="21">
        <v>15970.16</v>
      </c>
      <c r="AD5011" s="21" t="s">
        <v>368</v>
      </c>
      <c r="AE5011" t="str">
        <f>VLOOKUP(Table_Query_from_Actuarial___Production3[[#This Row],[Kor1]],$AI$3:$AK$105,3,FALSE)</f>
        <v>Commissions</v>
      </c>
      <c r="AF5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2" spans="18:32" x14ac:dyDescent="0.2">
      <c r="R5012" t="s">
        <v>34</v>
      </c>
      <c r="S5012" t="s">
        <v>244</v>
      </c>
      <c r="T5012" t="s">
        <v>433</v>
      </c>
      <c r="U5012" s="21">
        <v>993.39</v>
      </c>
      <c r="V5012" s="21" t="s">
        <v>368</v>
      </c>
      <c r="W5012" t="str">
        <f>VLOOKUP(Table_Query_from_Actuarial___Production[[#This Row],[Kor1]],$AI$3:$AK$105,3,FALSE)</f>
        <v>Misc. Expense</v>
      </c>
      <c r="X5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2"/>
      <c r="Z5012" t="s">
        <v>12</v>
      </c>
      <c r="AA5012" t="s">
        <v>233</v>
      </c>
      <c r="AB5012" t="s">
        <v>8</v>
      </c>
      <c r="AC5012" s="21">
        <v>10794.78</v>
      </c>
      <c r="AD5012" s="21" t="s">
        <v>368</v>
      </c>
      <c r="AE5012" t="str">
        <f>VLOOKUP(Table_Query_from_Actuarial___Production3[[#This Row],[Kor1]],$AI$3:$AK$105,3,FALSE)</f>
        <v>Premium Tax</v>
      </c>
      <c r="AF5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3" spans="18:32" x14ac:dyDescent="0.2">
      <c r="R5013" t="s">
        <v>43</v>
      </c>
      <c r="S5013" t="s">
        <v>263</v>
      </c>
      <c r="T5013" t="s">
        <v>7</v>
      </c>
      <c r="U5013" s="21">
        <v>-158.9</v>
      </c>
      <c r="V5013" s="21" t="s">
        <v>368</v>
      </c>
      <c r="W5013" t="str">
        <f>VLOOKUP(Table_Query_from_Actuarial___Production[[#This Row],[Kor1]],$AI$3:$AK$105,3,FALSE)</f>
        <v>Charge-offs</v>
      </c>
      <c r="X5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3"/>
      <c r="Z5013" t="s">
        <v>13</v>
      </c>
      <c r="AA5013" t="s">
        <v>257</v>
      </c>
      <c r="AB5013" t="s">
        <v>6</v>
      </c>
      <c r="AC5013" s="21">
        <v>243711.68</v>
      </c>
      <c r="AD5013" s="21" t="s">
        <v>368</v>
      </c>
      <c r="AE5013" t="str">
        <f>VLOOKUP(Table_Query_from_Actuarial___Production3[[#This Row],[Kor1]],$AI$3:$AK$105,3,FALSE)</f>
        <v>Operating Service Fees</v>
      </c>
      <c r="AF5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4" spans="18:32" x14ac:dyDescent="0.2">
      <c r="R5014" t="s">
        <v>19</v>
      </c>
      <c r="S5014" t="s">
        <v>261</v>
      </c>
      <c r="T5014" t="s">
        <v>433</v>
      </c>
      <c r="U5014" s="21">
        <v>258</v>
      </c>
      <c r="V5014" s="21" t="s">
        <v>368</v>
      </c>
      <c r="W5014" t="str">
        <f>VLOOKUP(Table_Query_from_Actuarial___Production[[#This Row],[Kor1]],$AI$3:$AK$105,3,FALSE)</f>
        <v>Misc. Expense for Insolvent Companies</v>
      </c>
      <c r="X5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4"/>
      <c r="Z5014" t="s">
        <v>10</v>
      </c>
      <c r="AA5014" t="s">
        <v>251</v>
      </c>
      <c r="AB5014" t="s">
        <v>433</v>
      </c>
      <c r="AC5014" s="21">
        <v>36989.9</v>
      </c>
      <c r="AD5014" s="21" t="s">
        <v>368</v>
      </c>
      <c r="AE5014" t="str">
        <f>VLOOKUP(Table_Query_from_Actuarial___Production3[[#This Row],[Kor1]],$AI$3:$AK$105,3,FALSE)</f>
        <v>Commissions</v>
      </c>
      <c r="AF5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5" spans="18:32" x14ac:dyDescent="0.2">
      <c r="R5015" t="s">
        <v>10</v>
      </c>
      <c r="S5015" t="s">
        <v>352</v>
      </c>
      <c r="T5015" t="s">
        <v>351</v>
      </c>
      <c r="U5015" s="21">
        <v>648.33000000000004</v>
      </c>
      <c r="V5015" s="21" t="s">
        <v>368</v>
      </c>
      <c r="W5015" t="str">
        <f>VLOOKUP(Table_Query_from_Actuarial___Production[[#This Row],[Kor1]],$AI$3:$AK$105,3,FALSE)</f>
        <v>Commissions</v>
      </c>
      <c r="X5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015"/>
      <c r="Z5015" t="s">
        <v>15</v>
      </c>
      <c r="AA5015" t="s">
        <v>240</v>
      </c>
      <c r="AB5015" t="s">
        <v>443</v>
      </c>
      <c r="AC5015" s="21">
        <v>758595.16</v>
      </c>
      <c r="AD5015" s="21" t="s">
        <v>368</v>
      </c>
      <c r="AE5015" t="str">
        <f>VLOOKUP(Table_Query_from_Actuarial___Production3[[#This Row],[Kor1]],$AI$3:$AK$105,3,FALSE)</f>
        <v>Unearned Premiums</v>
      </c>
      <c r="AF5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6" spans="18:32" x14ac:dyDescent="0.2">
      <c r="R5016" t="s">
        <v>14</v>
      </c>
      <c r="S5016" t="s">
        <v>264</v>
      </c>
      <c r="T5016" t="s">
        <v>433</v>
      </c>
      <c r="U5016" s="21">
        <v>250426.34</v>
      </c>
      <c r="V5016" s="21" t="s">
        <v>368</v>
      </c>
      <c r="W5016" t="str">
        <f>VLOOKUP(Table_Query_from_Actuarial___Production[[#This Row],[Kor1]],$AI$3:$AK$105,3,FALSE)</f>
        <v>Claims Expense</v>
      </c>
      <c r="X5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6"/>
      <c r="Z5016" t="s">
        <v>37</v>
      </c>
      <c r="AA5016" t="s">
        <v>232</v>
      </c>
      <c r="AB5016" t="s">
        <v>6</v>
      </c>
      <c r="AC5016" s="21">
        <v>3737.61</v>
      </c>
      <c r="AD5016" s="21" t="s">
        <v>368</v>
      </c>
      <c r="AE5016" t="str">
        <f>VLOOKUP(Table_Query_from_Actuarial___Production3[[#This Row],[Kor1]],$AI$3:$AK$105,3,FALSE)</f>
        <v>Misc. Expense</v>
      </c>
      <c r="AF5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7" spans="18:32" x14ac:dyDescent="0.2">
      <c r="R5017" t="s">
        <v>34</v>
      </c>
      <c r="S5017" t="s">
        <v>261</v>
      </c>
      <c r="T5017" t="s">
        <v>6</v>
      </c>
      <c r="U5017" s="21">
        <v>33.29</v>
      </c>
      <c r="V5017" s="21" t="s">
        <v>368</v>
      </c>
      <c r="W5017" t="str">
        <f>VLOOKUP(Table_Query_from_Actuarial___Production[[#This Row],[Kor1]],$AI$3:$AK$105,3,FALSE)</f>
        <v>Misc. Expense</v>
      </c>
      <c r="X5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7"/>
      <c r="Z5017" t="s">
        <v>43</v>
      </c>
      <c r="AA5017" t="s">
        <v>267</v>
      </c>
      <c r="AB5017" t="s">
        <v>5</v>
      </c>
      <c r="AC5017" s="21">
        <v>2.5099999999999998</v>
      </c>
      <c r="AD5017" s="21" t="s">
        <v>368</v>
      </c>
      <c r="AE5017" t="str">
        <f>VLOOKUP(Table_Query_from_Actuarial___Production3[[#This Row],[Kor1]],$AI$3:$AK$105,3,FALSE)</f>
        <v>Charge-offs</v>
      </c>
      <c r="AF5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8" spans="18:32" x14ac:dyDescent="0.2">
      <c r="R5018" t="s">
        <v>49</v>
      </c>
      <c r="S5018" t="s">
        <v>267</v>
      </c>
      <c r="T5018" t="s">
        <v>441</v>
      </c>
      <c r="U5018" s="21">
        <v>4507.5</v>
      </c>
      <c r="V5018" s="21" t="s">
        <v>368</v>
      </c>
      <c r="W5018" t="str">
        <f>VLOOKUP(Table_Query_from_Actuarial___Production[[#This Row],[Kor1]],$AI$3:$AK$105,3,FALSE)</f>
        <v>ALAE Paid</v>
      </c>
      <c r="X5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8"/>
      <c r="Z5018" t="s">
        <v>37</v>
      </c>
      <c r="AA5018" t="s">
        <v>244</v>
      </c>
      <c r="AB5018" t="s">
        <v>356</v>
      </c>
      <c r="AC5018" s="21">
        <v>10678.35</v>
      </c>
      <c r="AD5018" s="21" t="s">
        <v>368</v>
      </c>
      <c r="AE5018" t="str">
        <f>VLOOKUP(Table_Query_from_Actuarial___Production3[[#This Row],[Kor1]],$AI$3:$AK$105,3,FALSE)</f>
        <v>Misc. Expense</v>
      </c>
      <c r="AF5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19" spans="18:32" x14ac:dyDescent="0.2">
      <c r="R5019" t="s">
        <v>12</v>
      </c>
      <c r="S5019" t="s">
        <v>244</v>
      </c>
      <c r="T5019" t="s">
        <v>356</v>
      </c>
      <c r="U5019" s="21">
        <v>33666.519999999997</v>
      </c>
      <c r="V5019" s="21" t="s">
        <v>368</v>
      </c>
      <c r="W5019" t="str">
        <f>VLOOKUP(Table_Query_from_Actuarial___Production[[#This Row],[Kor1]],$AI$3:$AK$105,3,FALSE)</f>
        <v>Premium Tax</v>
      </c>
      <c r="X5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19"/>
      <c r="Z5019" t="s">
        <v>10</v>
      </c>
      <c r="AA5019" t="s">
        <v>265</v>
      </c>
      <c r="AB5019" t="s">
        <v>5</v>
      </c>
      <c r="AC5019" s="21">
        <v>14145.7</v>
      </c>
      <c r="AD5019" s="21" t="s">
        <v>368</v>
      </c>
      <c r="AE5019" t="str">
        <f>VLOOKUP(Table_Query_from_Actuarial___Production3[[#This Row],[Kor1]],$AI$3:$AK$105,3,FALSE)</f>
        <v>Commissions</v>
      </c>
      <c r="AF5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0" spans="18:32" x14ac:dyDescent="0.2">
      <c r="R5020" t="s">
        <v>444</v>
      </c>
      <c r="S5020" t="s">
        <v>247</v>
      </c>
      <c r="T5020" t="s">
        <v>443</v>
      </c>
      <c r="U5020" s="21">
        <v>10167.81</v>
      </c>
      <c r="V5020" s="21" t="s">
        <v>368</v>
      </c>
      <c r="W5020" t="str">
        <f>VLOOKUP(Table_Query_from_Actuarial___Production[[#This Row],[Kor1]],$AI$3:$AK$105,3,FALSE)</f>
        <v>Misc. Expense</v>
      </c>
      <c r="X5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0"/>
      <c r="Z5020" t="s">
        <v>13</v>
      </c>
      <c r="AA5020" t="s">
        <v>230</v>
      </c>
      <c r="AB5020" t="s">
        <v>441</v>
      </c>
      <c r="AC5020" s="21">
        <v>3921257.7</v>
      </c>
      <c r="AD5020" s="21" t="s">
        <v>368</v>
      </c>
      <c r="AE5020" t="str">
        <f>VLOOKUP(Table_Query_from_Actuarial___Production3[[#This Row],[Kor1]],$AI$3:$AK$105,3,FALSE)</f>
        <v>Operating Service Fees</v>
      </c>
      <c r="AF5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1" spans="18:32" x14ac:dyDescent="0.2">
      <c r="R5021" t="s">
        <v>43</v>
      </c>
      <c r="S5021" t="s">
        <v>246</v>
      </c>
      <c r="T5021" t="s">
        <v>6</v>
      </c>
      <c r="U5021" s="21">
        <v>9.6199999999999992</v>
      </c>
      <c r="V5021" s="21" t="s">
        <v>368</v>
      </c>
      <c r="W5021" t="str">
        <f>VLOOKUP(Table_Query_from_Actuarial___Production[[#This Row],[Kor1]],$AI$3:$AK$105,3,FALSE)</f>
        <v>Charge-offs</v>
      </c>
      <c r="X5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1"/>
      <c r="Z5021" t="s">
        <v>43</v>
      </c>
      <c r="AA5021" t="s">
        <v>232</v>
      </c>
      <c r="AB5021" t="s">
        <v>5</v>
      </c>
      <c r="AC5021" s="21">
        <v>415.59</v>
      </c>
      <c r="AD5021" s="21" t="s">
        <v>368</v>
      </c>
      <c r="AE5021" t="str">
        <f>VLOOKUP(Table_Query_from_Actuarial___Production3[[#This Row],[Kor1]],$AI$3:$AK$105,3,FALSE)</f>
        <v>Charge-offs</v>
      </c>
      <c r="AF5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2" spans="18:32" x14ac:dyDescent="0.2">
      <c r="R5022" t="s">
        <v>44</v>
      </c>
      <c r="S5022" t="s">
        <v>246</v>
      </c>
      <c r="T5022" t="s">
        <v>441</v>
      </c>
      <c r="U5022" s="21">
        <v>1.4</v>
      </c>
      <c r="V5022" s="21" t="s">
        <v>368</v>
      </c>
      <c r="W5022" t="str">
        <f>VLOOKUP(Table_Query_from_Actuarial___Production[[#This Row],[Kor1]],$AI$3:$AK$105,3,FALSE)</f>
        <v>Charge-offs</v>
      </c>
      <c r="X5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2"/>
      <c r="Z5022" t="s">
        <v>12</v>
      </c>
      <c r="AA5022" t="s">
        <v>265</v>
      </c>
      <c r="AB5022" t="s">
        <v>441</v>
      </c>
      <c r="AC5022" s="21">
        <v>21270.16</v>
      </c>
      <c r="AD5022" s="21" t="s">
        <v>368</v>
      </c>
      <c r="AE5022" t="str">
        <f>VLOOKUP(Table_Query_from_Actuarial___Production3[[#This Row],[Kor1]],$AI$3:$AK$105,3,FALSE)</f>
        <v>Premium Tax</v>
      </c>
      <c r="AF5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3" spans="18:32" x14ac:dyDescent="0.2">
      <c r="R5023" t="s">
        <v>47</v>
      </c>
      <c r="S5023" t="s">
        <v>260</v>
      </c>
      <c r="T5023" t="s">
        <v>351</v>
      </c>
      <c r="U5023" s="21">
        <v>190.64</v>
      </c>
      <c r="V5023" s="21" t="s">
        <v>368</v>
      </c>
      <c r="W5023" t="str">
        <f>VLOOKUP(Table_Query_from_Actuarial___Production[[#This Row],[Kor1]],$AI$3:$AK$105,3,FALSE)</f>
        <v>Investment Income</v>
      </c>
      <c r="X5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3"/>
      <c r="Z5023" t="s">
        <v>43</v>
      </c>
      <c r="AA5023" t="s">
        <v>224</v>
      </c>
      <c r="AB5023" t="s">
        <v>443</v>
      </c>
      <c r="AC5023" s="21">
        <v>348.27</v>
      </c>
      <c r="AD5023" s="21" t="s">
        <v>368</v>
      </c>
      <c r="AE5023" t="str">
        <f>VLOOKUP(Table_Query_from_Actuarial___Production3[[#This Row],[Kor1]],$AI$3:$AK$105,3,FALSE)</f>
        <v>Charge-offs</v>
      </c>
      <c r="AF5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024" spans="18:32" x14ac:dyDescent="0.2">
      <c r="R5024" t="s">
        <v>39</v>
      </c>
      <c r="S5024" t="s">
        <v>255</v>
      </c>
      <c r="T5024" t="s">
        <v>443</v>
      </c>
      <c r="U5024" s="21">
        <v>534.94000000000005</v>
      </c>
      <c r="V5024" s="21" t="s">
        <v>368</v>
      </c>
      <c r="W5024" t="str">
        <f>VLOOKUP(Table_Query_from_Actuarial___Production[[#This Row],[Kor1]],$AI$3:$AK$105,3,FALSE)</f>
        <v>Misc. Income for Insolvent Companies</v>
      </c>
      <c r="X5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4"/>
      <c r="Z5024" t="s">
        <v>17</v>
      </c>
      <c r="AA5024" t="s">
        <v>244</v>
      </c>
      <c r="AB5024" t="s">
        <v>433</v>
      </c>
      <c r="AC5024" s="21">
        <v>205699.62</v>
      </c>
      <c r="AD5024" s="21" t="s">
        <v>368</v>
      </c>
      <c r="AE5024" t="str">
        <f>VLOOKUP(Table_Query_from_Actuarial___Production3[[#This Row],[Kor1]],$AI$3:$AK$105,3,FALSE)</f>
        <v>IBNR</v>
      </c>
      <c r="AF5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5" spans="18:32" x14ac:dyDescent="0.2">
      <c r="R5025" t="s">
        <v>41</v>
      </c>
      <c r="S5025" t="s">
        <v>267</v>
      </c>
      <c r="T5025" t="s">
        <v>427</v>
      </c>
      <c r="U5025" s="21">
        <v>50</v>
      </c>
      <c r="V5025" s="21" t="s">
        <v>368</v>
      </c>
      <c r="W5025" t="str">
        <f>VLOOKUP(Table_Query_from_Actuarial___Production[[#This Row],[Kor1]],$AI$3:$AK$105,3,FALSE)</f>
        <v>Misc. Income</v>
      </c>
      <c r="X5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5"/>
      <c r="Z5025" t="s">
        <v>439</v>
      </c>
      <c r="AA5025" t="s">
        <v>250</v>
      </c>
      <c r="AB5025" t="s">
        <v>433</v>
      </c>
      <c r="AC5025" s="21">
        <v>18180</v>
      </c>
      <c r="AD5025" s="21" t="s">
        <v>368</v>
      </c>
      <c r="AE5025" t="str">
        <f>VLOOKUP(Table_Query_from_Actuarial___Production3[[#This Row],[Kor1]],$AI$3:$AK$105,3,FALSE)</f>
        <v>Operating Service Fees</v>
      </c>
      <c r="AF5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6" spans="18:32" x14ac:dyDescent="0.2">
      <c r="R5026" t="s">
        <v>13</v>
      </c>
      <c r="S5026" t="s">
        <v>243</v>
      </c>
      <c r="T5026" t="s">
        <v>9</v>
      </c>
      <c r="U5026" s="21">
        <v>54102.33</v>
      </c>
      <c r="V5026" s="21" t="s">
        <v>368</v>
      </c>
      <c r="W5026" t="str">
        <f>VLOOKUP(Table_Query_from_Actuarial___Production[[#This Row],[Kor1]],$AI$3:$AK$105,3,FALSE)</f>
        <v>Operating Service Fees</v>
      </c>
      <c r="X5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6"/>
      <c r="Z5026" t="s">
        <v>29</v>
      </c>
      <c r="AA5026" t="s">
        <v>237</v>
      </c>
      <c r="AB5026" t="s">
        <v>441</v>
      </c>
      <c r="AC5026" s="21">
        <v>20138.78</v>
      </c>
      <c r="AD5026" s="21" t="s">
        <v>368</v>
      </c>
      <c r="AE5026" t="str">
        <f>VLOOKUP(Table_Query_from_Actuarial___Production3[[#This Row],[Kor1]],$AI$3:$AK$105,3,FALSE)</f>
        <v>Misc. Expense</v>
      </c>
      <c r="AF5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7" spans="18:32" x14ac:dyDescent="0.2">
      <c r="R5027" t="s">
        <v>13</v>
      </c>
      <c r="S5027" t="s">
        <v>235</v>
      </c>
      <c r="T5027" t="s">
        <v>433</v>
      </c>
      <c r="U5027" s="21">
        <v>75581.55</v>
      </c>
      <c r="V5027" s="21" t="s">
        <v>368</v>
      </c>
      <c r="W5027" t="str">
        <f>VLOOKUP(Table_Query_from_Actuarial___Production[[#This Row],[Kor1]],$AI$3:$AK$105,3,FALSE)</f>
        <v>Operating Service Fees</v>
      </c>
      <c r="X5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7"/>
      <c r="Z5027" t="s">
        <v>34</v>
      </c>
      <c r="AA5027" t="s">
        <v>244</v>
      </c>
      <c r="AB5027" t="s">
        <v>433</v>
      </c>
      <c r="AC5027" s="21">
        <v>993.39</v>
      </c>
      <c r="AD5027" s="21" t="s">
        <v>368</v>
      </c>
      <c r="AE5027" t="str">
        <f>VLOOKUP(Table_Query_from_Actuarial___Production3[[#This Row],[Kor1]],$AI$3:$AK$105,3,FALSE)</f>
        <v>Misc. Expense</v>
      </c>
      <c r="AF5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8" spans="18:32" x14ac:dyDescent="0.2">
      <c r="R5028" t="s">
        <v>13</v>
      </c>
      <c r="S5028" t="s">
        <v>263</v>
      </c>
      <c r="T5028" t="s">
        <v>445</v>
      </c>
      <c r="U5028" s="21">
        <v>8102.03</v>
      </c>
      <c r="V5028" s="21" t="s">
        <v>368</v>
      </c>
      <c r="W5028" t="str">
        <f>VLOOKUP(Table_Query_from_Actuarial___Production[[#This Row],[Kor1]],$AI$3:$AK$105,3,FALSE)</f>
        <v>Operating Service Fees</v>
      </c>
      <c r="X5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8"/>
      <c r="Z5028" t="s">
        <v>43</v>
      </c>
      <c r="AA5028" t="s">
        <v>263</v>
      </c>
      <c r="AB5028" t="s">
        <v>7</v>
      </c>
      <c r="AC5028" s="21">
        <v>-158.9</v>
      </c>
      <c r="AD5028" s="21" t="s">
        <v>368</v>
      </c>
      <c r="AE5028" t="str">
        <f>VLOOKUP(Table_Query_from_Actuarial___Production3[[#This Row],[Kor1]],$AI$3:$AK$105,3,FALSE)</f>
        <v>Charge-offs</v>
      </c>
      <c r="AF5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29" spans="18:32" x14ac:dyDescent="0.2">
      <c r="R5029" t="s">
        <v>13</v>
      </c>
      <c r="S5029" t="s">
        <v>265</v>
      </c>
      <c r="T5029" t="s">
        <v>351</v>
      </c>
      <c r="U5029" s="21">
        <v>160186.68</v>
      </c>
      <c r="V5029" s="21" t="s">
        <v>368</v>
      </c>
      <c r="W5029" t="str">
        <f>VLOOKUP(Table_Query_from_Actuarial___Production[[#This Row],[Kor1]],$AI$3:$AK$105,3,FALSE)</f>
        <v>Operating Service Fees</v>
      </c>
      <c r="X5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29"/>
      <c r="Z5029" t="s">
        <v>19</v>
      </c>
      <c r="AA5029" t="s">
        <v>261</v>
      </c>
      <c r="AB5029" t="s">
        <v>433</v>
      </c>
      <c r="AC5029" s="21">
        <v>258</v>
      </c>
      <c r="AD5029" s="21" t="s">
        <v>368</v>
      </c>
      <c r="AE5029" t="str">
        <f>VLOOKUP(Table_Query_from_Actuarial___Production3[[#This Row],[Kor1]],$AI$3:$AK$105,3,FALSE)</f>
        <v>Misc. Expense for Insolvent Companies</v>
      </c>
      <c r="AF5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0" spans="18:32" x14ac:dyDescent="0.2">
      <c r="R5030" t="s">
        <v>14</v>
      </c>
      <c r="S5030" t="s">
        <v>237</v>
      </c>
      <c r="T5030" t="s">
        <v>8</v>
      </c>
      <c r="U5030" s="21">
        <v>1436353.24</v>
      </c>
      <c r="V5030" s="21" t="s">
        <v>368</v>
      </c>
      <c r="W5030" t="str">
        <f>VLOOKUP(Table_Query_from_Actuarial___Production[[#This Row],[Kor1]],$AI$3:$AK$105,3,FALSE)</f>
        <v>Claims Expense</v>
      </c>
      <c r="X5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0"/>
      <c r="Z5030" t="s">
        <v>10</v>
      </c>
      <c r="AA5030" t="s">
        <v>352</v>
      </c>
      <c r="AB5030" t="s">
        <v>351</v>
      </c>
      <c r="AC5030" s="21">
        <v>648.33000000000004</v>
      </c>
      <c r="AD5030" s="21" t="s">
        <v>368</v>
      </c>
      <c r="AE5030" t="str">
        <f>VLOOKUP(Table_Query_from_Actuarial___Production3[[#This Row],[Kor1]],$AI$3:$AK$105,3,FALSE)</f>
        <v>Commissions</v>
      </c>
      <c r="AF5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031" spans="18:32" x14ac:dyDescent="0.2">
      <c r="R5031" t="s">
        <v>20</v>
      </c>
      <c r="S5031" t="s">
        <v>257</v>
      </c>
      <c r="T5031" t="s">
        <v>356</v>
      </c>
      <c r="U5031" s="21">
        <v>967.56</v>
      </c>
      <c r="V5031" s="21" t="s">
        <v>368</v>
      </c>
      <c r="W5031" t="str">
        <f>VLOOKUP(Table_Query_from_Actuarial___Production[[#This Row],[Kor1]],$AI$3:$AK$105,3,FALSE)</f>
        <v>Misc. Expense</v>
      </c>
      <c r="X5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1"/>
      <c r="Z5031" t="s">
        <v>11</v>
      </c>
      <c r="AA5031" t="s">
        <v>263</v>
      </c>
      <c r="AB5031" t="s">
        <v>5</v>
      </c>
      <c r="AC5031" s="21">
        <v>177208.23</v>
      </c>
      <c r="AD5031" s="21" t="s">
        <v>368</v>
      </c>
      <c r="AE5031" t="str">
        <f>VLOOKUP(Table_Query_from_Actuarial___Production3[[#This Row],[Kor1]],$AI$3:$AK$105,3,FALSE)</f>
        <v>Losses Paid</v>
      </c>
      <c r="AF5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2" spans="18:32" x14ac:dyDescent="0.2">
      <c r="R5032" t="s">
        <v>13</v>
      </c>
      <c r="S5032" t="s">
        <v>352</v>
      </c>
      <c r="T5032" t="s">
        <v>351</v>
      </c>
      <c r="U5032" s="21">
        <v>1136.4000000000001</v>
      </c>
      <c r="V5032" s="21" t="s">
        <v>368</v>
      </c>
      <c r="W5032" t="str">
        <f>VLOOKUP(Table_Query_from_Actuarial___Production[[#This Row],[Kor1]],$AI$3:$AK$105,3,FALSE)</f>
        <v>Operating Service Fees</v>
      </c>
      <c r="X5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032"/>
      <c r="Z5032" t="s">
        <v>14</v>
      </c>
      <c r="AA5032" t="s">
        <v>264</v>
      </c>
      <c r="AB5032" t="s">
        <v>433</v>
      </c>
      <c r="AC5032" s="21">
        <v>250426.34</v>
      </c>
      <c r="AD5032" s="21" t="s">
        <v>368</v>
      </c>
      <c r="AE5032" t="str">
        <f>VLOOKUP(Table_Query_from_Actuarial___Production3[[#This Row],[Kor1]],$AI$3:$AK$105,3,FALSE)</f>
        <v>Claims Expense</v>
      </c>
      <c r="AF5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3" spans="18:32" x14ac:dyDescent="0.2">
      <c r="R5033" t="s">
        <v>41</v>
      </c>
      <c r="S5033" t="s">
        <v>243</v>
      </c>
      <c r="T5033" t="s">
        <v>445</v>
      </c>
      <c r="U5033" s="21">
        <v>709.38</v>
      </c>
      <c r="V5033" s="21" t="s">
        <v>368</v>
      </c>
      <c r="W5033" t="str">
        <f>VLOOKUP(Table_Query_from_Actuarial___Production[[#This Row],[Kor1]],$AI$3:$AK$105,3,FALSE)</f>
        <v>Misc. Income</v>
      </c>
      <c r="X5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3"/>
      <c r="Z5033" t="s">
        <v>34</v>
      </c>
      <c r="AA5033" t="s">
        <v>261</v>
      </c>
      <c r="AB5033" t="s">
        <v>6</v>
      </c>
      <c r="AC5033" s="21">
        <v>33.29</v>
      </c>
      <c r="AD5033" s="21" t="s">
        <v>368</v>
      </c>
      <c r="AE5033" t="str">
        <f>VLOOKUP(Table_Query_from_Actuarial___Production3[[#This Row],[Kor1]],$AI$3:$AK$105,3,FALSE)</f>
        <v>Misc. Expense</v>
      </c>
      <c r="AF5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4" spans="18:32" x14ac:dyDescent="0.2">
      <c r="R5034" t="s">
        <v>14</v>
      </c>
      <c r="S5034" t="s">
        <v>224</v>
      </c>
      <c r="T5034" t="s">
        <v>441</v>
      </c>
      <c r="U5034" s="21">
        <v>14676.07</v>
      </c>
      <c r="V5034" s="21" t="s">
        <v>369</v>
      </c>
      <c r="W5034" t="str">
        <f>VLOOKUP(Table_Query_from_Actuarial___Production[[#This Row],[Kor1]],$AI$3:$AK$105,3,FALSE)</f>
        <v>Claims Expense</v>
      </c>
      <c r="X5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034"/>
      <c r="Z5034" t="s">
        <v>49</v>
      </c>
      <c r="AA5034" t="s">
        <v>267</v>
      </c>
      <c r="AB5034" t="s">
        <v>441</v>
      </c>
      <c r="AC5034" s="21">
        <v>782.5</v>
      </c>
      <c r="AD5034" s="21" t="s">
        <v>368</v>
      </c>
      <c r="AE5034" t="str">
        <f>VLOOKUP(Table_Query_from_Actuarial___Production3[[#This Row],[Kor1]],$AI$3:$AK$105,3,FALSE)</f>
        <v>ALAE Paid</v>
      </c>
      <c r="AF5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5" spans="18:32" x14ac:dyDescent="0.2">
      <c r="R5035" t="s">
        <v>48</v>
      </c>
      <c r="S5035" t="s">
        <v>226</v>
      </c>
      <c r="T5035" t="s">
        <v>442</v>
      </c>
      <c r="U5035" s="21">
        <v>104187.68</v>
      </c>
      <c r="V5035" s="21" t="s">
        <v>368</v>
      </c>
      <c r="W5035" t="str">
        <f>VLOOKUP(Table_Query_from_Actuarial___Production[[#This Row],[Kor1]],$AI$3:$AK$105,3,FALSE)</f>
        <v>Anticipated Salvage</v>
      </c>
      <c r="X5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035"/>
      <c r="Z5035" t="s">
        <v>12</v>
      </c>
      <c r="AA5035" t="s">
        <v>244</v>
      </c>
      <c r="AB5035" t="s">
        <v>356</v>
      </c>
      <c r="AC5035" s="21">
        <v>33666.519999999997</v>
      </c>
      <c r="AD5035" s="21" t="s">
        <v>368</v>
      </c>
      <c r="AE5035" t="str">
        <f>VLOOKUP(Table_Query_from_Actuarial___Production3[[#This Row],[Kor1]],$AI$3:$AK$105,3,FALSE)</f>
        <v>Premium Tax</v>
      </c>
      <c r="AF5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6" spans="18:32" x14ac:dyDescent="0.2">
      <c r="R5036" t="s">
        <v>3</v>
      </c>
      <c r="S5036" t="s">
        <v>354</v>
      </c>
      <c r="T5036" t="s">
        <v>8</v>
      </c>
      <c r="U5036" s="21">
        <v>841500534.47000003</v>
      </c>
      <c r="V5036" s="21" t="s">
        <v>369</v>
      </c>
      <c r="W5036" t="str">
        <f>VLOOKUP(Table_Query_from_Actuarial___Production[[#This Row],[Kor1]],$AI$3:$AK$105,3,FALSE)</f>
        <v>Premiums Written</v>
      </c>
      <c r="X5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036"/>
      <c r="Z5036" t="s">
        <v>43</v>
      </c>
      <c r="AA5036" t="s">
        <v>246</v>
      </c>
      <c r="AB5036" t="s">
        <v>6</v>
      </c>
      <c r="AC5036" s="21">
        <v>9.6199999999999992</v>
      </c>
      <c r="AD5036" s="21" t="s">
        <v>368</v>
      </c>
      <c r="AE5036" t="str">
        <f>VLOOKUP(Table_Query_from_Actuarial___Production3[[#This Row],[Kor1]],$AI$3:$AK$105,3,FALSE)</f>
        <v>Charge-offs</v>
      </c>
      <c r="AF5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7" spans="18:32" x14ac:dyDescent="0.2">
      <c r="R5037" t="s">
        <v>10</v>
      </c>
      <c r="S5037" t="s">
        <v>4</v>
      </c>
      <c r="T5037" t="s">
        <v>7</v>
      </c>
      <c r="U5037" s="21">
        <v>781104.36</v>
      </c>
      <c r="V5037" s="21" t="s">
        <v>368</v>
      </c>
      <c r="W5037" t="str">
        <f>VLOOKUP(Table_Query_from_Actuarial___Production[[#This Row],[Kor1]],$AI$3:$AK$105,3,FALSE)</f>
        <v>Commissions</v>
      </c>
      <c r="X5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7"/>
      <c r="Z5037" t="s">
        <v>44</v>
      </c>
      <c r="AA5037" t="s">
        <v>246</v>
      </c>
      <c r="AB5037" t="s">
        <v>441</v>
      </c>
      <c r="AC5037" s="21">
        <v>1.4</v>
      </c>
      <c r="AD5037" s="21" t="s">
        <v>368</v>
      </c>
      <c r="AE5037" t="str">
        <f>VLOOKUP(Table_Query_from_Actuarial___Production3[[#This Row],[Kor1]],$AI$3:$AK$105,3,FALSE)</f>
        <v>Charge-offs</v>
      </c>
      <c r="AF5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8" spans="18:32" x14ac:dyDescent="0.2">
      <c r="R5038" t="s">
        <v>25</v>
      </c>
      <c r="S5038" t="s">
        <v>4</v>
      </c>
      <c r="T5038" t="s">
        <v>6</v>
      </c>
      <c r="U5038" s="21">
        <v>19997.7</v>
      </c>
      <c r="V5038" s="21" t="s">
        <v>368</v>
      </c>
      <c r="W5038" t="str">
        <f>VLOOKUP(Table_Query_from_Actuarial___Production[[#This Row],[Kor1]],$AI$3:$AK$105,3,FALSE)</f>
        <v>Misc. Expense</v>
      </c>
      <c r="X5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8"/>
      <c r="Z5038" t="s">
        <v>47</v>
      </c>
      <c r="AA5038" t="s">
        <v>260</v>
      </c>
      <c r="AB5038" t="s">
        <v>351</v>
      </c>
      <c r="AC5038" s="21">
        <v>190.64</v>
      </c>
      <c r="AD5038" s="21" t="s">
        <v>368</v>
      </c>
      <c r="AE5038" t="str">
        <f>VLOOKUP(Table_Query_from_Actuarial___Production3[[#This Row],[Kor1]],$AI$3:$AK$105,3,FALSE)</f>
        <v>Investment Income</v>
      </c>
      <c r="AF5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39" spans="18:32" x14ac:dyDescent="0.2">
      <c r="R5039" t="s">
        <v>39</v>
      </c>
      <c r="S5039" t="s">
        <v>241</v>
      </c>
      <c r="T5039" t="s">
        <v>9</v>
      </c>
      <c r="U5039" s="21">
        <v>3000.99</v>
      </c>
      <c r="V5039" s="21" t="s">
        <v>368</v>
      </c>
      <c r="W5039" t="str">
        <f>VLOOKUP(Table_Query_from_Actuarial___Production[[#This Row],[Kor1]],$AI$3:$AK$105,3,FALSE)</f>
        <v>Misc. Income for Insolvent Companies</v>
      </c>
      <c r="X5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39"/>
      <c r="Z5039" t="s">
        <v>39</v>
      </c>
      <c r="AA5039" t="s">
        <v>255</v>
      </c>
      <c r="AB5039" t="s">
        <v>443</v>
      </c>
      <c r="AC5039" s="21">
        <v>534.94000000000005</v>
      </c>
      <c r="AD5039" s="21" t="s">
        <v>368</v>
      </c>
      <c r="AE5039" t="str">
        <f>VLOOKUP(Table_Query_from_Actuarial___Production3[[#This Row],[Kor1]],$AI$3:$AK$105,3,FALSE)</f>
        <v>Misc. Income for Insolvent Companies</v>
      </c>
      <c r="AF5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0" spans="18:32" x14ac:dyDescent="0.2">
      <c r="R5040" t="s">
        <v>11</v>
      </c>
      <c r="S5040" t="s">
        <v>224</v>
      </c>
      <c r="T5040" t="s">
        <v>9</v>
      </c>
      <c r="U5040" s="21">
        <v>1462305.24</v>
      </c>
      <c r="V5040" s="21" t="s">
        <v>368</v>
      </c>
      <c r="W5040" t="str">
        <f>VLOOKUP(Table_Query_from_Actuarial___Production[[#This Row],[Kor1]],$AI$3:$AK$105,3,FALSE)</f>
        <v>Losses Paid</v>
      </c>
      <c r="X5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040"/>
      <c r="Z5040" t="s">
        <v>41</v>
      </c>
      <c r="AA5040" t="s">
        <v>267</v>
      </c>
      <c r="AB5040" t="s">
        <v>427</v>
      </c>
      <c r="AC5040" s="21">
        <v>50</v>
      </c>
      <c r="AD5040" s="21" t="s">
        <v>368</v>
      </c>
      <c r="AE5040" t="str">
        <f>VLOOKUP(Table_Query_from_Actuarial___Production3[[#This Row],[Kor1]],$AI$3:$AK$105,3,FALSE)</f>
        <v>Misc. Income</v>
      </c>
      <c r="AF5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1" spans="18:32" x14ac:dyDescent="0.2">
      <c r="R5041" t="s">
        <v>167</v>
      </c>
      <c r="S5041" t="s">
        <v>354</v>
      </c>
      <c r="T5041" t="s">
        <v>356</v>
      </c>
      <c r="U5041" s="21">
        <v>86210457</v>
      </c>
      <c r="V5041" s="21" t="s">
        <v>369</v>
      </c>
      <c r="W5041" t="str">
        <f>VLOOKUP(Table_Query_from_Actuarial___Production[[#This Row],[Kor1]],$AI$3:$AK$105,3,FALSE)</f>
        <v>Recoupment</v>
      </c>
      <c r="X5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041"/>
      <c r="Z5041" t="s">
        <v>13</v>
      </c>
      <c r="AA5041" t="s">
        <v>243</v>
      </c>
      <c r="AB5041" t="s">
        <v>9</v>
      </c>
      <c r="AC5041" s="21">
        <v>54102.33</v>
      </c>
      <c r="AD5041" s="21" t="s">
        <v>368</v>
      </c>
      <c r="AE5041" t="str">
        <f>VLOOKUP(Table_Query_from_Actuarial___Production3[[#This Row],[Kor1]],$AI$3:$AK$105,3,FALSE)</f>
        <v>Operating Service Fees</v>
      </c>
      <c r="AF5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2" spans="18:32" x14ac:dyDescent="0.2">
      <c r="R5042" t="s">
        <v>13</v>
      </c>
      <c r="S5042" t="s">
        <v>234</v>
      </c>
      <c r="T5042" t="s">
        <v>442</v>
      </c>
      <c r="U5042" s="21">
        <v>247316.4</v>
      </c>
      <c r="V5042" s="21" t="s">
        <v>368</v>
      </c>
      <c r="W5042" t="str">
        <f>VLOOKUP(Table_Query_from_Actuarial___Production[[#This Row],[Kor1]],$AI$3:$AK$105,3,FALSE)</f>
        <v>Operating Service Fees</v>
      </c>
      <c r="X5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2"/>
      <c r="Z5042" t="s">
        <v>13</v>
      </c>
      <c r="AA5042" t="s">
        <v>235</v>
      </c>
      <c r="AB5042" t="s">
        <v>433</v>
      </c>
      <c r="AC5042" s="21">
        <v>75581.55</v>
      </c>
      <c r="AD5042" s="21" t="s">
        <v>368</v>
      </c>
      <c r="AE5042" t="str">
        <f>VLOOKUP(Table_Query_from_Actuarial___Production3[[#This Row],[Kor1]],$AI$3:$AK$105,3,FALSE)</f>
        <v>Operating Service Fees</v>
      </c>
      <c r="AF5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3" spans="18:32" x14ac:dyDescent="0.2">
      <c r="R5043" t="s">
        <v>50</v>
      </c>
      <c r="S5043" t="s">
        <v>252</v>
      </c>
      <c r="T5043" t="s">
        <v>356</v>
      </c>
      <c r="U5043" s="21">
        <v>399571.67</v>
      </c>
      <c r="V5043" s="21" t="s">
        <v>368</v>
      </c>
      <c r="W5043" t="str">
        <f>VLOOKUP(Table_Query_from_Actuarial___Production[[#This Row],[Kor1]],$AI$3:$AK$105,3,FALSE)</f>
        <v>ALAE Reserve</v>
      </c>
      <c r="X5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3"/>
      <c r="Z5043" t="s">
        <v>50</v>
      </c>
      <c r="AA5043" t="s">
        <v>227</v>
      </c>
      <c r="AB5043" t="s">
        <v>427</v>
      </c>
      <c r="AC5043" s="21">
        <v>17.649999999999999</v>
      </c>
      <c r="AD5043" s="21" t="s">
        <v>368</v>
      </c>
      <c r="AE5043" t="str">
        <f>VLOOKUP(Table_Query_from_Actuarial___Production3[[#This Row],[Kor1]],$AI$3:$AK$105,3,FALSE)</f>
        <v>ALAE Reserve</v>
      </c>
      <c r="AF5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4" spans="18:32" x14ac:dyDescent="0.2">
      <c r="R5044" t="s">
        <v>21</v>
      </c>
      <c r="S5044" t="s">
        <v>256</v>
      </c>
      <c r="T5044" t="s">
        <v>8</v>
      </c>
      <c r="U5044" s="21">
        <v>42.01</v>
      </c>
      <c r="V5044" s="21" t="s">
        <v>368</v>
      </c>
      <c r="W5044" t="str">
        <f>VLOOKUP(Table_Query_from_Actuarial___Production[[#This Row],[Kor1]],$AI$3:$AK$105,3,FALSE)</f>
        <v>Misc. Expense</v>
      </c>
      <c r="X5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4"/>
      <c r="Z5044" t="s">
        <v>13</v>
      </c>
      <c r="AA5044" t="s">
        <v>265</v>
      </c>
      <c r="AB5044" t="s">
        <v>351</v>
      </c>
      <c r="AC5044" s="21">
        <v>160186.68</v>
      </c>
      <c r="AD5044" s="21" t="s">
        <v>368</v>
      </c>
      <c r="AE5044" t="str">
        <f>VLOOKUP(Table_Query_from_Actuarial___Production3[[#This Row],[Kor1]],$AI$3:$AK$105,3,FALSE)</f>
        <v>Operating Service Fees</v>
      </c>
      <c r="AF5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5" spans="18:32" x14ac:dyDescent="0.2">
      <c r="R5045" t="s">
        <v>49</v>
      </c>
      <c r="S5045" t="s">
        <v>225</v>
      </c>
      <c r="T5045" t="s">
        <v>351</v>
      </c>
      <c r="U5045" s="21">
        <v>75101.22</v>
      </c>
      <c r="V5045" s="21" t="s">
        <v>369</v>
      </c>
      <c r="W5045" t="str">
        <f>VLOOKUP(Table_Query_from_Actuarial___Production[[#This Row],[Kor1]],$AI$3:$AK$105,3,FALSE)</f>
        <v>ALAE Paid</v>
      </c>
      <c r="X5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045"/>
      <c r="Z5045" t="s">
        <v>14</v>
      </c>
      <c r="AA5045" t="s">
        <v>237</v>
      </c>
      <c r="AB5045" t="s">
        <v>8</v>
      </c>
      <c r="AC5045" s="21">
        <v>1436353.24</v>
      </c>
      <c r="AD5045" s="21" t="s">
        <v>368</v>
      </c>
      <c r="AE5045" t="str">
        <f>VLOOKUP(Table_Query_from_Actuarial___Production3[[#This Row],[Kor1]],$AI$3:$AK$105,3,FALSE)</f>
        <v>Claims Expense</v>
      </c>
      <c r="AF5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6" spans="18:32" x14ac:dyDescent="0.2">
      <c r="R5046" t="s">
        <v>48</v>
      </c>
      <c r="S5046" t="s">
        <v>227</v>
      </c>
      <c r="T5046" t="s">
        <v>443</v>
      </c>
      <c r="U5046" s="21">
        <v>367.84</v>
      </c>
      <c r="V5046" s="21" t="s">
        <v>368</v>
      </c>
      <c r="W5046" t="str">
        <f>VLOOKUP(Table_Query_from_Actuarial___Production[[#This Row],[Kor1]],$AI$3:$AK$105,3,FALSE)</f>
        <v>Anticipated Salvage</v>
      </c>
      <c r="X5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6"/>
      <c r="Z5046" t="s">
        <v>20</v>
      </c>
      <c r="AA5046" t="s">
        <v>257</v>
      </c>
      <c r="AB5046" t="s">
        <v>356</v>
      </c>
      <c r="AC5046" s="21">
        <v>967.56</v>
      </c>
      <c r="AD5046" s="21" t="s">
        <v>368</v>
      </c>
      <c r="AE5046" t="str">
        <f>VLOOKUP(Table_Query_from_Actuarial___Production3[[#This Row],[Kor1]],$AI$3:$AK$105,3,FALSE)</f>
        <v>Misc. Expense</v>
      </c>
      <c r="AF5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7" spans="18:32" x14ac:dyDescent="0.2">
      <c r="R5047" t="s">
        <v>16</v>
      </c>
      <c r="S5047" t="s">
        <v>4</v>
      </c>
      <c r="T5047" t="s">
        <v>442</v>
      </c>
      <c r="U5047" s="21">
        <v>35096135.710000001</v>
      </c>
      <c r="V5047" s="21" t="s">
        <v>368</v>
      </c>
      <c r="W5047" t="str">
        <f>VLOOKUP(Table_Query_from_Actuarial___Production[[#This Row],[Kor1]],$AI$3:$AK$105,3,FALSE)</f>
        <v>Losses Outstanding</v>
      </c>
      <c r="X5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7"/>
      <c r="Z5047" t="s">
        <v>19</v>
      </c>
      <c r="AA5047" t="s">
        <v>238</v>
      </c>
      <c r="AB5047" t="s">
        <v>5</v>
      </c>
      <c r="AC5047" s="21">
        <v>672</v>
      </c>
      <c r="AD5047" s="21" t="s">
        <v>368</v>
      </c>
      <c r="AE5047" t="str">
        <f>VLOOKUP(Table_Query_from_Actuarial___Production3[[#This Row],[Kor1]],$AI$3:$AK$105,3,FALSE)</f>
        <v>Misc. Expense for Insolvent Companies</v>
      </c>
      <c r="AF5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48" spans="18:32" x14ac:dyDescent="0.2">
      <c r="R5048" t="s">
        <v>43</v>
      </c>
      <c r="S5048" t="s">
        <v>244</v>
      </c>
      <c r="T5048" t="s">
        <v>442</v>
      </c>
      <c r="U5048" s="21">
        <v>6.9</v>
      </c>
      <c r="V5048" s="21" t="s">
        <v>368</v>
      </c>
      <c r="W5048" t="str">
        <f>VLOOKUP(Table_Query_from_Actuarial___Production[[#This Row],[Kor1]],$AI$3:$AK$105,3,FALSE)</f>
        <v>Charge-offs</v>
      </c>
      <c r="X5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8"/>
      <c r="Z5048" t="s">
        <v>13</v>
      </c>
      <c r="AA5048" t="s">
        <v>352</v>
      </c>
      <c r="AB5048" t="s">
        <v>351</v>
      </c>
      <c r="AC5048" s="21">
        <v>1136.4000000000001</v>
      </c>
      <c r="AD5048" s="21" t="s">
        <v>368</v>
      </c>
      <c r="AE5048" t="str">
        <f>VLOOKUP(Table_Query_from_Actuarial___Production3[[#This Row],[Kor1]],$AI$3:$AK$105,3,FALSE)</f>
        <v>Operating Service Fees</v>
      </c>
      <c r="AF5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049" spans="18:32" x14ac:dyDescent="0.2">
      <c r="R5049" t="s">
        <v>40</v>
      </c>
      <c r="S5049" t="s">
        <v>258</v>
      </c>
      <c r="T5049" t="s">
        <v>356</v>
      </c>
      <c r="U5049" s="21">
        <v>2323.17</v>
      </c>
      <c r="V5049" s="21" t="s">
        <v>368</v>
      </c>
      <c r="W5049" t="str">
        <f>VLOOKUP(Table_Query_from_Actuarial___Production[[#This Row],[Kor1]],$AI$3:$AK$105,3,FALSE)</f>
        <v>Misc. Income</v>
      </c>
      <c r="X5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49"/>
      <c r="Z5049" t="s">
        <v>14</v>
      </c>
      <c r="AA5049" t="s">
        <v>224</v>
      </c>
      <c r="AB5049" t="s">
        <v>441</v>
      </c>
      <c r="AC5049" s="21">
        <v>15155.97</v>
      </c>
      <c r="AD5049" s="21" t="s">
        <v>369</v>
      </c>
      <c r="AE5049" t="str">
        <f>VLOOKUP(Table_Query_from_Actuarial___Production3[[#This Row],[Kor1]],$AI$3:$AK$105,3,FALSE)</f>
        <v>Claims Expense</v>
      </c>
      <c r="AF5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050" spans="18:32" x14ac:dyDescent="0.2">
      <c r="R5050" t="s">
        <v>48</v>
      </c>
      <c r="S5050" t="s">
        <v>259</v>
      </c>
      <c r="T5050" t="s">
        <v>441</v>
      </c>
      <c r="U5050" s="21">
        <v>39.78</v>
      </c>
      <c r="V5050" s="21" t="s">
        <v>368</v>
      </c>
      <c r="W5050" t="str">
        <f>VLOOKUP(Table_Query_from_Actuarial___Production[[#This Row],[Kor1]],$AI$3:$AK$105,3,FALSE)</f>
        <v>Anticipated Salvage</v>
      </c>
      <c r="X5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0"/>
      <c r="Z5050" t="s">
        <v>48</v>
      </c>
      <c r="AA5050" t="s">
        <v>226</v>
      </c>
      <c r="AB5050" t="s">
        <v>442</v>
      </c>
      <c r="AC5050" s="21">
        <v>109127.18</v>
      </c>
      <c r="AD5050" s="21" t="s">
        <v>368</v>
      </c>
      <c r="AE5050" t="str">
        <f>VLOOKUP(Table_Query_from_Actuarial___Production3[[#This Row],[Kor1]],$AI$3:$AK$105,3,FALSE)</f>
        <v>Anticipated Salvage</v>
      </c>
      <c r="AF5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051" spans="18:32" x14ac:dyDescent="0.2">
      <c r="R5051" t="s">
        <v>21</v>
      </c>
      <c r="S5051" t="s">
        <v>251</v>
      </c>
      <c r="T5051" t="s">
        <v>351</v>
      </c>
      <c r="U5051" s="21">
        <v>1078.03</v>
      </c>
      <c r="V5051" s="21" t="s">
        <v>368</v>
      </c>
      <c r="W5051" t="str">
        <f>VLOOKUP(Table_Query_from_Actuarial___Production[[#This Row],[Kor1]],$AI$3:$AK$105,3,FALSE)</f>
        <v>Misc. Expense</v>
      </c>
      <c r="X5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1"/>
      <c r="Z5051" t="s">
        <v>3</v>
      </c>
      <c r="AA5051" t="s">
        <v>354</v>
      </c>
      <c r="AB5051" t="s">
        <v>8</v>
      </c>
      <c r="AC5051" s="21">
        <v>841500520.75999999</v>
      </c>
      <c r="AD5051" s="21" t="s">
        <v>369</v>
      </c>
      <c r="AE5051" t="str">
        <f>VLOOKUP(Table_Query_from_Actuarial___Production3[[#This Row],[Kor1]],$AI$3:$AK$105,3,FALSE)</f>
        <v>Premiums Written</v>
      </c>
      <c r="AF5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052" spans="18:32" x14ac:dyDescent="0.2">
      <c r="R5052" t="s">
        <v>41</v>
      </c>
      <c r="S5052" t="s">
        <v>241</v>
      </c>
      <c r="T5052" t="s">
        <v>7</v>
      </c>
      <c r="U5052" s="21">
        <v>300.02</v>
      </c>
      <c r="V5052" s="21" t="s">
        <v>368</v>
      </c>
      <c r="W5052" t="str">
        <f>VLOOKUP(Table_Query_from_Actuarial___Production[[#This Row],[Kor1]],$AI$3:$AK$105,3,FALSE)</f>
        <v>Misc. Income</v>
      </c>
      <c r="X5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2"/>
      <c r="Z5052" t="s">
        <v>47</v>
      </c>
      <c r="AA5052" t="s">
        <v>243</v>
      </c>
      <c r="AB5052" t="s">
        <v>5</v>
      </c>
      <c r="AC5052" s="21">
        <v>1.08</v>
      </c>
      <c r="AD5052" s="21" t="s">
        <v>368</v>
      </c>
      <c r="AE5052" t="str">
        <f>VLOOKUP(Table_Query_from_Actuarial___Production3[[#This Row],[Kor1]],$AI$3:$AK$105,3,FALSE)</f>
        <v>Investment Income</v>
      </c>
      <c r="AF5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53" spans="18:32" x14ac:dyDescent="0.2">
      <c r="R5053" t="s">
        <v>13</v>
      </c>
      <c r="S5053" t="s">
        <v>232</v>
      </c>
      <c r="T5053" t="s">
        <v>441</v>
      </c>
      <c r="U5053" s="21">
        <v>232679.5</v>
      </c>
      <c r="V5053" s="21" t="s">
        <v>368</v>
      </c>
      <c r="W5053" t="str">
        <f>VLOOKUP(Table_Query_from_Actuarial___Production[[#This Row],[Kor1]],$AI$3:$AK$105,3,FALSE)</f>
        <v>Operating Service Fees</v>
      </c>
      <c r="X5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3"/>
      <c r="Z5053" t="s">
        <v>10</v>
      </c>
      <c r="AA5053" t="s">
        <v>4</v>
      </c>
      <c r="AB5053" t="s">
        <v>7</v>
      </c>
      <c r="AC5053" s="21">
        <v>781104.36</v>
      </c>
      <c r="AD5053" s="21" t="s">
        <v>368</v>
      </c>
      <c r="AE5053" t="str">
        <f>VLOOKUP(Table_Query_from_Actuarial___Production3[[#This Row],[Kor1]],$AI$3:$AK$105,3,FALSE)</f>
        <v>Commissions</v>
      </c>
      <c r="AF5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54" spans="18:32" x14ac:dyDescent="0.2">
      <c r="R5054" t="s">
        <v>27</v>
      </c>
      <c r="S5054" t="s">
        <v>250</v>
      </c>
      <c r="T5054" t="s">
        <v>356</v>
      </c>
      <c r="U5054" s="21">
        <v>67.38</v>
      </c>
      <c r="V5054" s="21" t="s">
        <v>368</v>
      </c>
      <c r="W5054" t="str">
        <f>VLOOKUP(Table_Query_from_Actuarial___Production[[#This Row],[Kor1]],$AI$3:$AK$105,3,FALSE)</f>
        <v>Misc. Expense</v>
      </c>
      <c r="X5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4"/>
      <c r="Z5054" t="s">
        <v>41</v>
      </c>
      <c r="AA5054" t="s">
        <v>251</v>
      </c>
      <c r="AB5054" t="s">
        <v>5</v>
      </c>
      <c r="AC5054" s="21">
        <v>150</v>
      </c>
      <c r="AD5054" s="21" t="s">
        <v>368</v>
      </c>
      <c r="AE5054" t="str">
        <f>VLOOKUP(Table_Query_from_Actuarial___Production3[[#This Row],[Kor1]],$AI$3:$AK$105,3,FALSE)</f>
        <v>Misc. Income</v>
      </c>
      <c r="AF5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55" spans="18:32" x14ac:dyDescent="0.2">
      <c r="R5055" t="s">
        <v>49</v>
      </c>
      <c r="S5055" t="s">
        <v>246</v>
      </c>
      <c r="T5055" t="s">
        <v>441</v>
      </c>
      <c r="U5055" s="21">
        <v>10205.549999999999</v>
      </c>
      <c r="V5055" s="21" t="s">
        <v>368</v>
      </c>
      <c r="W5055" t="str">
        <f>VLOOKUP(Table_Query_from_Actuarial___Production[[#This Row],[Kor1]],$AI$3:$AK$105,3,FALSE)</f>
        <v>ALAE Paid</v>
      </c>
      <c r="X5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5"/>
      <c r="Z5055" t="s">
        <v>25</v>
      </c>
      <c r="AA5055" t="s">
        <v>4</v>
      </c>
      <c r="AB5055" t="s">
        <v>6</v>
      </c>
      <c r="AC5055" s="21">
        <v>19997.7</v>
      </c>
      <c r="AD5055" s="21" t="s">
        <v>368</v>
      </c>
      <c r="AE5055" t="str">
        <f>VLOOKUP(Table_Query_from_Actuarial___Production3[[#This Row],[Kor1]],$AI$3:$AK$105,3,FALSE)</f>
        <v>Misc. Expense</v>
      </c>
      <c r="AF5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56" spans="18:32" x14ac:dyDescent="0.2">
      <c r="R5056" t="s">
        <v>13</v>
      </c>
      <c r="S5056" t="s">
        <v>253</v>
      </c>
      <c r="T5056" t="s">
        <v>445</v>
      </c>
      <c r="U5056" s="21">
        <v>3659.79</v>
      </c>
      <c r="V5056" s="21" t="s">
        <v>368</v>
      </c>
      <c r="W5056" t="str">
        <f>VLOOKUP(Table_Query_from_Actuarial___Production[[#This Row],[Kor1]],$AI$3:$AK$105,3,FALSE)</f>
        <v>Operating Service Fees</v>
      </c>
      <c r="X5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6"/>
      <c r="Z5056" t="s">
        <v>39</v>
      </c>
      <c r="AA5056" t="s">
        <v>241</v>
      </c>
      <c r="AB5056" t="s">
        <v>9</v>
      </c>
      <c r="AC5056" s="21">
        <v>3000.99</v>
      </c>
      <c r="AD5056" s="21" t="s">
        <v>368</v>
      </c>
      <c r="AE5056" t="str">
        <f>VLOOKUP(Table_Query_from_Actuarial___Production3[[#This Row],[Kor1]],$AI$3:$AK$105,3,FALSE)</f>
        <v>Misc. Income for Insolvent Companies</v>
      </c>
      <c r="AF5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57" spans="18:32" x14ac:dyDescent="0.2">
      <c r="R5057" t="s">
        <v>17</v>
      </c>
      <c r="S5057" t="s">
        <v>252</v>
      </c>
      <c r="T5057" t="s">
        <v>441</v>
      </c>
      <c r="U5057" s="21">
        <v>5274568.6900000004</v>
      </c>
      <c r="V5057" s="21" t="s">
        <v>368</v>
      </c>
      <c r="W5057" t="str">
        <f>VLOOKUP(Table_Query_from_Actuarial___Production[[#This Row],[Kor1]],$AI$3:$AK$105,3,FALSE)</f>
        <v>IBNR</v>
      </c>
      <c r="X5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7"/>
      <c r="Z5057" t="s">
        <v>11</v>
      </c>
      <c r="AA5057" t="s">
        <v>224</v>
      </c>
      <c r="AB5057" t="s">
        <v>9</v>
      </c>
      <c r="AC5057" s="21">
        <v>1462305.24</v>
      </c>
      <c r="AD5057" s="21" t="s">
        <v>368</v>
      </c>
      <c r="AE5057" t="str">
        <f>VLOOKUP(Table_Query_from_Actuarial___Production3[[#This Row],[Kor1]],$AI$3:$AK$105,3,FALSE)</f>
        <v>Losses Paid</v>
      </c>
      <c r="AF5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058" spans="18:32" x14ac:dyDescent="0.2">
      <c r="R5058" t="s">
        <v>3</v>
      </c>
      <c r="S5058" t="s">
        <v>260</v>
      </c>
      <c r="T5058" t="s">
        <v>442</v>
      </c>
      <c r="U5058" s="21">
        <v>47772</v>
      </c>
      <c r="V5058" s="21" t="s">
        <v>368</v>
      </c>
      <c r="W5058" t="str">
        <f>VLOOKUP(Table_Query_from_Actuarial___Production[[#This Row],[Kor1]],$AI$3:$AK$105,3,FALSE)</f>
        <v>Premiums Written</v>
      </c>
      <c r="X5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8"/>
      <c r="Z5058" t="s">
        <v>167</v>
      </c>
      <c r="AA5058" t="s">
        <v>354</v>
      </c>
      <c r="AB5058" t="s">
        <v>356</v>
      </c>
      <c r="AC5058" s="21">
        <v>85682968</v>
      </c>
      <c r="AD5058" s="21" t="s">
        <v>369</v>
      </c>
      <c r="AE5058" t="str">
        <f>VLOOKUP(Table_Query_from_Actuarial___Production3[[#This Row],[Kor1]],$AI$3:$AK$105,3,FALSE)</f>
        <v>Recoupment</v>
      </c>
      <c r="AF5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059" spans="18:32" x14ac:dyDescent="0.2">
      <c r="R5059" t="s">
        <v>10</v>
      </c>
      <c r="S5059" t="s">
        <v>230</v>
      </c>
      <c r="T5059" t="s">
        <v>445</v>
      </c>
      <c r="U5059" s="21">
        <v>372248.34</v>
      </c>
      <c r="V5059" s="21" t="s">
        <v>368</v>
      </c>
      <c r="W5059" t="str">
        <f>VLOOKUP(Table_Query_from_Actuarial___Production[[#This Row],[Kor1]],$AI$3:$AK$105,3,FALSE)</f>
        <v>Commissions</v>
      </c>
      <c r="X5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59"/>
      <c r="Z5059" t="s">
        <v>12</v>
      </c>
      <c r="AA5059" t="s">
        <v>254</v>
      </c>
      <c r="AB5059" t="s">
        <v>5</v>
      </c>
      <c r="AC5059" s="21">
        <v>1881.58</v>
      </c>
      <c r="AD5059" s="21" t="s">
        <v>368</v>
      </c>
      <c r="AE5059" t="str">
        <f>VLOOKUP(Table_Query_from_Actuarial___Production3[[#This Row],[Kor1]],$AI$3:$AK$105,3,FALSE)</f>
        <v>Premium Tax</v>
      </c>
      <c r="AF5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0" spans="18:32" x14ac:dyDescent="0.2">
      <c r="R5060" t="s">
        <v>31</v>
      </c>
      <c r="S5060" t="s">
        <v>267</v>
      </c>
      <c r="T5060" t="s">
        <v>7</v>
      </c>
      <c r="U5060" s="21">
        <v>957.87</v>
      </c>
      <c r="V5060" s="21" t="s">
        <v>368</v>
      </c>
      <c r="W5060" t="str">
        <f>VLOOKUP(Table_Query_from_Actuarial___Production[[#This Row],[Kor1]],$AI$3:$AK$105,3,FALSE)</f>
        <v>Misc. Expense</v>
      </c>
      <c r="X5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0"/>
      <c r="Z5060" t="s">
        <v>13</v>
      </c>
      <c r="AA5060" t="s">
        <v>234</v>
      </c>
      <c r="AB5060" t="s">
        <v>442</v>
      </c>
      <c r="AC5060" s="21">
        <v>242079.12</v>
      </c>
      <c r="AD5060" s="21" t="s">
        <v>368</v>
      </c>
      <c r="AE5060" t="str">
        <f>VLOOKUP(Table_Query_from_Actuarial___Production3[[#This Row],[Kor1]],$AI$3:$AK$105,3,FALSE)</f>
        <v>Operating Service Fees</v>
      </c>
      <c r="AF5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1" spans="18:32" x14ac:dyDescent="0.2">
      <c r="R5061" t="s">
        <v>19</v>
      </c>
      <c r="S5061" t="s">
        <v>257</v>
      </c>
      <c r="T5061" t="s">
        <v>9</v>
      </c>
      <c r="U5061" s="21">
        <v>83</v>
      </c>
      <c r="V5061" s="21" t="s">
        <v>368</v>
      </c>
      <c r="W5061" t="str">
        <f>VLOOKUP(Table_Query_from_Actuarial___Production[[#This Row],[Kor1]],$AI$3:$AK$105,3,FALSE)</f>
        <v>Misc. Expense for Insolvent Companies</v>
      </c>
      <c r="X5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1"/>
      <c r="Z5061" t="s">
        <v>50</v>
      </c>
      <c r="AA5061" t="s">
        <v>252</v>
      </c>
      <c r="AB5061" t="s">
        <v>356</v>
      </c>
      <c r="AC5061" s="21">
        <v>619402.07999999996</v>
      </c>
      <c r="AD5061" s="21" t="s">
        <v>368</v>
      </c>
      <c r="AE5061" t="str">
        <f>VLOOKUP(Table_Query_from_Actuarial___Production3[[#This Row],[Kor1]],$AI$3:$AK$105,3,FALSE)</f>
        <v>ALAE Reserve</v>
      </c>
      <c r="AF5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2" spans="18:32" x14ac:dyDescent="0.2">
      <c r="R5062" t="s">
        <v>20</v>
      </c>
      <c r="S5062" t="s">
        <v>4</v>
      </c>
      <c r="T5062" t="s">
        <v>9</v>
      </c>
      <c r="U5062" s="21">
        <v>14751.88</v>
      </c>
      <c r="V5062" s="21" t="s">
        <v>368</v>
      </c>
      <c r="W5062" t="str">
        <f>VLOOKUP(Table_Query_from_Actuarial___Production[[#This Row],[Kor1]],$AI$3:$AK$105,3,FALSE)</f>
        <v>Misc. Expense</v>
      </c>
      <c r="X5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2"/>
      <c r="Z5062" t="s">
        <v>21</v>
      </c>
      <c r="AA5062" t="s">
        <v>256</v>
      </c>
      <c r="AB5062" t="s">
        <v>8</v>
      </c>
      <c r="AC5062" s="21">
        <v>42.01</v>
      </c>
      <c r="AD5062" s="21" t="s">
        <v>368</v>
      </c>
      <c r="AE5062" t="str">
        <f>VLOOKUP(Table_Query_from_Actuarial___Production3[[#This Row],[Kor1]],$AI$3:$AK$105,3,FALSE)</f>
        <v>Misc. Expense</v>
      </c>
      <c r="AF5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3" spans="18:32" x14ac:dyDescent="0.2">
      <c r="R5063" t="s">
        <v>40</v>
      </c>
      <c r="S5063" t="s">
        <v>252</v>
      </c>
      <c r="T5063" t="s">
        <v>356</v>
      </c>
      <c r="U5063" s="21">
        <v>607.95000000000005</v>
      </c>
      <c r="V5063" s="21" t="s">
        <v>368</v>
      </c>
      <c r="W5063" t="str">
        <f>VLOOKUP(Table_Query_from_Actuarial___Production[[#This Row],[Kor1]],$AI$3:$AK$105,3,FALSE)</f>
        <v>Misc. Income</v>
      </c>
      <c r="X5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3"/>
      <c r="Z5063" t="s">
        <v>49</v>
      </c>
      <c r="AA5063" t="s">
        <v>225</v>
      </c>
      <c r="AB5063" t="s">
        <v>351</v>
      </c>
      <c r="AC5063" s="21">
        <v>75101.22</v>
      </c>
      <c r="AD5063" s="21" t="s">
        <v>369</v>
      </c>
      <c r="AE5063" t="str">
        <f>VLOOKUP(Table_Query_from_Actuarial___Production3[[#This Row],[Kor1]],$AI$3:$AK$105,3,FALSE)</f>
        <v>ALAE Paid</v>
      </c>
      <c r="AF5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064" spans="18:32" x14ac:dyDescent="0.2">
      <c r="R5064" t="s">
        <v>37</v>
      </c>
      <c r="S5064" t="s">
        <v>228</v>
      </c>
      <c r="T5064" t="s">
        <v>441</v>
      </c>
      <c r="U5064" s="21">
        <v>52.69</v>
      </c>
      <c r="V5064" s="21" t="s">
        <v>368</v>
      </c>
      <c r="W5064" t="str">
        <f>VLOOKUP(Table_Query_from_Actuarial___Production[[#This Row],[Kor1]],$AI$3:$AK$105,3,FALSE)</f>
        <v>Misc. Expense</v>
      </c>
      <c r="X5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4"/>
      <c r="Z5064" t="s">
        <v>16</v>
      </c>
      <c r="AA5064" t="s">
        <v>4</v>
      </c>
      <c r="AB5064" t="s">
        <v>442</v>
      </c>
      <c r="AC5064" s="21">
        <v>26289789.699999999</v>
      </c>
      <c r="AD5064" s="21" t="s">
        <v>368</v>
      </c>
      <c r="AE5064" t="str">
        <f>VLOOKUP(Table_Query_from_Actuarial___Production3[[#This Row],[Kor1]],$AI$3:$AK$105,3,FALSE)</f>
        <v>Losses Outstanding</v>
      </c>
      <c r="AF5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5" spans="18:32" x14ac:dyDescent="0.2">
      <c r="R5065" t="s">
        <v>44</v>
      </c>
      <c r="S5065" t="s">
        <v>262</v>
      </c>
      <c r="T5065" t="s">
        <v>9</v>
      </c>
      <c r="U5065" s="21">
        <v>14699</v>
      </c>
      <c r="V5065" s="21" t="s">
        <v>368</v>
      </c>
      <c r="W5065" t="str">
        <f>VLOOKUP(Table_Query_from_Actuarial___Production[[#This Row],[Kor1]],$AI$3:$AK$105,3,FALSE)</f>
        <v>Charge-offs</v>
      </c>
      <c r="X5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5"/>
      <c r="Z5065" t="s">
        <v>40</v>
      </c>
      <c r="AA5065" t="s">
        <v>258</v>
      </c>
      <c r="AB5065" t="s">
        <v>356</v>
      </c>
      <c r="AC5065" s="21">
        <v>2323.17</v>
      </c>
      <c r="AD5065" s="21" t="s">
        <v>368</v>
      </c>
      <c r="AE5065" t="str">
        <f>VLOOKUP(Table_Query_from_Actuarial___Production3[[#This Row],[Kor1]],$AI$3:$AK$105,3,FALSE)</f>
        <v>Misc. Income</v>
      </c>
      <c r="AF5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6" spans="18:32" x14ac:dyDescent="0.2">
      <c r="R5066" t="s">
        <v>39</v>
      </c>
      <c r="S5066" t="s">
        <v>230</v>
      </c>
      <c r="T5066" t="s">
        <v>427</v>
      </c>
      <c r="U5066" s="21">
        <v>3852356.97</v>
      </c>
      <c r="V5066" s="21" t="s">
        <v>368</v>
      </c>
      <c r="W5066" t="str">
        <f>VLOOKUP(Table_Query_from_Actuarial___Production[[#This Row],[Kor1]],$AI$3:$AK$105,3,FALSE)</f>
        <v>Misc. Income for Insolvent Companies</v>
      </c>
      <c r="X5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6"/>
      <c r="Z5066" t="s">
        <v>48</v>
      </c>
      <c r="AA5066" t="s">
        <v>259</v>
      </c>
      <c r="AB5066" t="s">
        <v>441</v>
      </c>
      <c r="AC5066" s="21">
        <v>64.5</v>
      </c>
      <c r="AD5066" s="21" t="s">
        <v>368</v>
      </c>
      <c r="AE5066" t="str">
        <f>VLOOKUP(Table_Query_from_Actuarial___Production3[[#This Row],[Kor1]],$AI$3:$AK$105,3,FALSE)</f>
        <v>Anticipated Salvage</v>
      </c>
      <c r="AF5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7" spans="18:32" x14ac:dyDescent="0.2">
      <c r="R5067" t="s">
        <v>44</v>
      </c>
      <c r="S5067" t="s">
        <v>252</v>
      </c>
      <c r="T5067" t="s">
        <v>7</v>
      </c>
      <c r="U5067" s="21">
        <v>242216.76</v>
      </c>
      <c r="V5067" s="21" t="s">
        <v>368</v>
      </c>
      <c r="W5067" t="str">
        <f>VLOOKUP(Table_Query_from_Actuarial___Production[[#This Row],[Kor1]],$AI$3:$AK$105,3,FALSE)</f>
        <v>Charge-offs</v>
      </c>
      <c r="X5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7"/>
      <c r="Z5067" t="s">
        <v>21</v>
      </c>
      <c r="AA5067" t="s">
        <v>251</v>
      </c>
      <c r="AB5067" t="s">
        <v>351</v>
      </c>
      <c r="AC5067" s="21">
        <v>1078.03</v>
      </c>
      <c r="AD5067" s="21" t="s">
        <v>368</v>
      </c>
      <c r="AE5067" t="str">
        <f>VLOOKUP(Table_Query_from_Actuarial___Production3[[#This Row],[Kor1]],$AI$3:$AK$105,3,FALSE)</f>
        <v>Misc. Expense</v>
      </c>
      <c r="AF5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8" spans="18:32" x14ac:dyDescent="0.2">
      <c r="R5068" t="s">
        <v>39</v>
      </c>
      <c r="S5068" t="s">
        <v>249</v>
      </c>
      <c r="T5068" t="s">
        <v>6</v>
      </c>
      <c r="U5068" s="21">
        <v>150.75</v>
      </c>
      <c r="V5068" s="21" t="s">
        <v>368</v>
      </c>
      <c r="W5068" t="str">
        <f>VLOOKUP(Table_Query_from_Actuarial___Production[[#This Row],[Kor1]],$AI$3:$AK$105,3,FALSE)</f>
        <v>Misc. Income for Insolvent Companies</v>
      </c>
      <c r="X5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8"/>
      <c r="Z5068" t="s">
        <v>41</v>
      </c>
      <c r="AA5068" t="s">
        <v>241</v>
      </c>
      <c r="AB5068" t="s">
        <v>7</v>
      </c>
      <c r="AC5068" s="21">
        <v>300.02</v>
      </c>
      <c r="AD5068" s="21" t="s">
        <v>368</v>
      </c>
      <c r="AE5068" t="str">
        <f>VLOOKUP(Table_Query_from_Actuarial___Production3[[#This Row],[Kor1]],$AI$3:$AK$105,3,FALSE)</f>
        <v>Misc. Income</v>
      </c>
      <c r="AF5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69" spans="18:32" x14ac:dyDescent="0.2">
      <c r="R5069" t="s">
        <v>43</v>
      </c>
      <c r="S5069" t="s">
        <v>261</v>
      </c>
      <c r="T5069" t="s">
        <v>7</v>
      </c>
      <c r="U5069" s="21">
        <v>122.69</v>
      </c>
      <c r="V5069" s="21" t="s">
        <v>368</v>
      </c>
      <c r="W5069" t="str">
        <f>VLOOKUP(Table_Query_from_Actuarial___Production[[#This Row],[Kor1]],$AI$3:$AK$105,3,FALSE)</f>
        <v>Charge-offs</v>
      </c>
      <c r="X5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69"/>
      <c r="Z5069" t="s">
        <v>11</v>
      </c>
      <c r="AA5069" t="s">
        <v>253</v>
      </c>
      <c r="AB5069" t="s">
        <v>5</v>
      </c>
      <c r="AC5069" s="21">
        <v>9172.31</v>
      </c>
      <c r="AD5069" s="21" t="s">
        <v>368</v>
      </c>
      <c r="AE5069" t="str">
        <f>VLOOKUP(Table_Query_from_Actuarial___Production3[[#This Row],[Kor1]],$AI$3:$AK$105,3,FALSE)</f>
        <v>Losses Paid</v>
      </c>
      <c r="AF5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0" spans="18:32" x14ac:dyDescent="0.2">
      <c r="R5070" t="s">
        <v>38</v>
      </c>
      <c r="S5070" t="s">
        <v>225</v>
      </c>
      <c r="T5070" t="s">
        <v>445</v>
      </c>
      <c r="U5070" s="21">
        <v>-988.22</v>
      </c>
      <c r="V5070" s="21" t="s">
        <v>368</v>
      </c>
      <c r="W5070" t="str">
        <f>VLOOKUP(Table_Query_from_Actuarial___Production[[#This Row],[Kor1]],$AI$3:$AK$105,3,FALSE)</f>
        <v>Misc. Income</v>
      </c>
      <c r="X5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070"/>
      <c r="Z5070" t="s">
        <v>13</v>
      </c>
      <c r="AA5070" t="s">
        <v>232</v>
      </c>
      <c r="AB5070" t="s">
        <v>441</v>
      </c>
      <c r="AC5070" s="21">
        <v>232679.5</v>
      </c>
      <c r="AD5070" s="21" t="s">
        <v>368</v>
      </c>
      <c r="AE5070" t="str">
        <f>VLOOKUP(Table_Query_from_Actuarial___Production3[[#This Row],[Kor1]],$AI$3:$AK$105,3,FALSE)</f>
        <v>Operating Service Fees</v>
      </c>
      <c r="AF5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1" spans="18:32" x14ac:dyDescent="0.2">
      <c r="R5071" t="s">
        <v>40</v>
      </c>
      <c r="S5071" t="s">
        <v>227</v>
      </c>
      <c r="T5071" t="s">
        <v>443</v>
      </c>
      <c r="U5071" s="21">
        <v>115.01</v>
      </c>
      <c r="V5071" s="21" t="s">
        <v>368</v>
      </c>
      <c r="W5071" t="str">
        <f>VLOOKUP(Table_Query_from_Actuarial___Production[[#This Row],[Kor1]],$AI$3:$AK$105,3,FALSE)</f>
        <v>Misc. Income</v>
      </c>
      <c r="X5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1"/>
      <c r="Z5071" t="s">
        <v>27</v>
      </c>
      <c r="AA5071" t="s">
        <v>250</v>
      </c>
      <c r="AB5071" t="s">
        <v>356</v>
      </c>
      <c r="AC5071" s="21">
        <v>67.38</v>
      </c>
      <c r="AD5071" s="21" t="s">
        <v>368</v>
      </c>
      <c r="AE5071" t="str">
        <f>VLOOKUP(Table_Query_from_Actuarial___Production3[[#This Row],[Kor1]],$AI$3:$AK$105,3,FALSE)</f>
        <v>Misc. Expense</v>
      </c>
      <c r="AF5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2" spans="18:32" x14ac:dyDescent="0.2">
      <c r="R5072" t="s">
        <v>33</v>
      </c>
      <c r="S5072" t="s">
        <v>254</v>
      </c>
      <c r="T5072" t="s">
        <v>442</v>
      </c>
      <c r="U5072" s="21">
        <v>17764.12</v>
      </c>
      <c r="V5072" s="21" t="s">
        <v>368</v>
      </c>
      <c r="W5072" t="str">
        <f>VLOOKUP(Table_Query_from_Actuarial___Production[[#This Row],[Kor1]],$AI$3:$AK$105,3,FALSE)</f>
        <v>Misc. Expense</v>
      </c>
      <c r="X5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2"/>
      <c r="Z5072" t="s">
        <v>49</v>
      </c>
      <c r="AA5072" t="s">
        <v>246</v>
      </c>
      <c r="AB5072" t="s">
        <v>441</v>
      </c>
      <c r="AC5072" s="21">
        <v>324.05</v>
      </c>
      <c r="AD5072" s="21" t="s">
        <v>368</v>
      </c>
      <c r="AE5072" t="str">
        <f>VLOOKUP(Table_Query_from_Actuarial___Production3[[#This Row],[Kor1]],$AI$3:$AK$105,3,FALSE)</f>
        <v>ALAE Paid</v>
      </c>
      <c r="AF5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3" spans="18:32" x14ac:dyDescent="0.2">
      <c r="R5073" t="s">
        <v>31</v>
      </c>
      <c r="S5073" t="s">
        <v>239</v>
      </c>
      <c r="T5073" t="s">
        <v>427</v>
      </c>
      <c r="U5073" s="21">
        <v>601.53</v>
      </c>
      <c r="V5073" s="21" t="s">
        <v>368</v>
      </c>
      <c r="W5073" t="str">
        <f>VLOOKUP(Table_Query_from_Actuarial___Production[[#This Row],[Kor1]],$AI$3:$AK$105,3,FALSE)</f>
        <v>Misc. Expense</v>
      </c>
      <c r="X5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3"/>
      <c r="Z5073" t="s">
        <v>17</v>
      </c>
      <c r="AA5073" t="s">
        <v>252</v>
      </c>
      <c r="AB5073" t="s">
        <v>441</v>
      </c>
      <c r="AC5073" s="21">
        <v>7612388.9800000004</v>
      </c>
      <c r="AD5073" s="21" t="s">
        <v>368</v>
      </c>
      <c r="AE5073" t="str">
        <f>VLOOKUP(Table_Query_from_Actuarial___Production3[[#This Row],[Kor1]],$AI$3:$AK$105,3,FALSE)</f>
        <v>IBNR</v>
      </c>
      <c r="AF5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4" spans="18:32" x14ac:dyDescent="0.2">
      <c r="R5074" t="s">
        <v>39</v>
      </c>
      <c r="S5074" t="s">
        <v>235</v>
      </c>
      <c r="T5074" t="s">
        <v>427</v>
      </c>
      <c r="U5074" s="21">
        <v>28640.37</v>
      </c>
      <c r="V5074" s="21" t="s">
        <v>368</v>
      </c>
      <c r="W5074" t="str">
        <f>VLOOKUP(Table_Query_from_Actuarial___Production[[#This Row],[Kor1]],$AI$3:$AK$105,3,FALSE)</f>
        <v>Misc. Income for Insolvent Companies</v>
      </c>
      <c r="X5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4"/>
      <c r="Z5074" t="s">
        <v>14</v>
      </c>
      <c r="AA5074" t="s">
        <v>354</v>
      </c>
      <c r="AB5074" t="s">
        <v>5</v>
      </c>
      <c r="AC5074" s="21">
        <v>85966458.209999993</v>
      </c>
      <c r="AD5074" s="21" t="s">
        <v>369</v>
      </c>
      <c r="AE5074" t="str">
        <f>VLOOKUP(Table_Query_from_Actuarial___Production3[[#This Row],[Kor1]],$AI$3:$AK$105,3,FALSE)</f>
        <v>Claims Expense</v>
      </c>
      <c r="AF5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075" spans="18:32" x14ac:dyDescent="0.2">
      <c r="R5075" t="s">
        <v>48</v>
      </c>
      <c r="S5075" t="s">
        <v>242</v>
      </c>
      <c r="T5075" t="s">
        <v>441</v>
      </c>
      <c r="U5075" s="21">
        <v>886</v>
      </c>
      <c r="V5075" s="21" t="s">
        <v>368</v>
      </c>
      <c r="W5075" t="str">
        <f>VLOOKUP(Table_Query_from_Actuarial___Production[[#This Row],[Kor1]],$AI$3:$AK$105,3,FALSE)</f>
        <v>Anticipated Salvage</v>
      </c>
      <c r="X5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5"/>
      <c r="Z5075" t="s">
        <v>3</v>
      </c>
      <c r="AA5075" t="s">
        <v>260</v>
      </c>
      <c r="AB5075" t="s">
        <v>442</v>
      </c>
      <c r="AC5075" s="21">
        <v>47772</v>
      </c>
      <c r="AD5075" s="21" t="s">
        <v>368</v>
      </c>
      <c r="AE5075" t="str">
        <f>VLOOKUP(Table_Query_from_Actuarial___Production3[[#This Row],[Kor1]],$AI$3:$AK$105,3,FALSE)</f>
        <v>Premiums Written</v>
      </c>
      <c r="AF5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6" spans="18:32" x14ac:dyDescent="0.2">
      <c r="R5076" t="s">
        <v>31</v>
      </c>
      <c r="S5076" t="s">
        <v>236</v>
      </c>
      <c r="T5076" t="s">
        <v>6</v>
      </c>
      <c r="U5076" s="21">
        <v>16</v>
      </c>
      <c r="V5076" s="21" t="s">
        <v>368</v>
      </c>
      <c r="W5076" t="str">
        <f>VLOOKUP(Table_Query_from_Actuarial___Production[[#This Row],[Kor1]],$AI$3:$AK$105,3,FALSE)</f>
        <v>Misc. Expense</v>
      </c>
      <c r="X5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6"/>
      <c r="Z5076" t="s">
        <v>29</v>
      </c>
      <c r="AA5076" t="s">
        <v>230</v>
      </c>
      <c r="AB5076" t="s">
        <v>5</v>
      </c>
      <c r="AC5076" s="21">
        <v>1419429.34</v>
      </c>
      <c r="AD5076" s="21" t="s">
        <v>368</v>
      </c>
      <c r="AE5076" t="str">
        <f>VLOOKUP(Table_Query_from_Actuarial___Production3[[#This Row],[Kor1]],$AI$3:$AK$105,3,FALSE)</f>
        <v>Misc. Expense</v>
      </c>
      <c r="AF5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7" spans="18:32" x14ac:dyDescent="0.2">
      <c r="R5077" t="s">
        <v>14</v>
      </c>
      <c r="S5077" t="s">
        <v>254</v>
      </c>
      <c r="T5077" t="s">
        <v>9</v>
      </c>
      <c r="U5077" s="21">
        <v>325928.46000000002</v>
      </c>
      <c r="V5077" s="21" t="s">
        <v>368</v>
      </c>
      <c r="W5077" t="str">
        <f>VLOOKUP(Table_Query_from_Actuarial___Production[[#This Row],[Kor1]],$AI$3:$AK$105,3,FALSE)</f>
        <v>Claims Expense</v>
      </c>
      <c r="X5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7"/>
      <c r="Z5077" t="s">
        <v>31</v>
      </c>
      <c r="AA5077" t="s">
        <v>267</v>
      </c>
      <c r="AB5077" t="s">
        <v>7</v>
      </c>
      <c r="AC5077" s="21">
        <v>957.87</v>
      </c>
      <c r="AD5077" s="21" t="s">
        <v>368</v>
      </c>
      <c r="AE5077" t="str">
        <f>VLOOKUP(Table_Query_from_Actuarial___Production3[[#This Row],[Kor1]],$AI$3:$AK$105,3,FALSE)</f>
        <v>Misc. Expense</v>
      </c>
      <c r="AF5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8" spans="18:32" x14ac:dyDescent="0.2">
      <c r="R5078" t="s">
        <v>20</v>
      </c>
      <c r="S5078" t="s">
        <v>231</v>
      </c>
      <c r="T5078" t="s">
        <v>7</v>
      </c>
      <c r="U5078" s="21">
        <v>113.37</v>
      </c>
      <c r="V5078" s="21" t="s">
        <v>368</v>
      </c>
      <c r="W5078" t="str">
        <f>VLOOKUP(Table_Query_from_Actuarial___Production[[#This Row],[Kor1]],$AI$3:$AK$105,3,FALSE)</f>
        <v>Misc. Expense</v>
      </c>
      <c r="X5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78"/>
      <c r="Z5078" t="s">
        <v>19</v>
      </c>
      <c r="AA5078" t="s">
        <v>257</v>
      </c>
      <c r="AB5078" t="s">
        <v>9</v>
      </c>
      <c r="AC5078" s="21">
        <v>83</v>
      </c>
      <c r="AD5078" s="21" t="s">
        <v>368</v>
      </c>
      <c r="AE5078" t="str">
        <f>VLOOKUP(Table_Query_from_Actuarial___Production3[[#This Row],[Kor1]],$AI$3:$AK$105,3,FALSE)</f>
        <v>Misc. Expense for Insolvent Companies</v>
      </c>
      <c r="AF5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79" spans="18:32" x14ac:dyDescent="0.2">
      <c r="R5079" t="s">
        <v>3</v>
      </c>
      <c r="S5079" t="s">
        <v>224</v>
      </c>
      <c r="T5079" t="s">
        <v>442</v>
      </c>
      <c r="U5079" s="21">
        <v>20878.38</v>
      </c>
      <c r="V5079" s="21" t="s">
        <v>425</v>
      </c>
      <c r="W5079" t="str">
        <f>VLOOKUP(Table_Query_from_Actuarial___Production[[#This Row],[Kor1]],$AI$3:$AK$105,3,FALSE)</f>
        <v>Premiums Written</v>
      </c>
      <c r="X5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079"/>
      <c r="Z5079" t="s">
        <v>20</v>
      </c>
      <c r="AA5079" t="s">
        <v>4</v>
      </c>
      <c r="AB5079" t="s">
        <v>9</v>
      </c>
      <c r="AC5079" s="21">
        <v>14751.88</v>
      </c>
      <c r="AD5079" s="21" t="s">
        <v>368</v>
      </c>
      <c r="AE5079" t="str">
        <f>VLOOKUP(Table_Query_from_Actuarial___Production3[[#This Row],[Kor1]],$AI$3:$AK$105,3,FALSE)</f>
        <v>Misc. Expense</v>
      </c>
      <c r="AF5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0" spans="18:32" x14ac:dyDescent="0.2">
      <c r="R5080" t="s">
        <v>21</v>
      </c>
      <c r="S5080" t="s">
        <v>227</v>
      </c>
      <c r="T5080" t="s">
        <v>351</v>
      </c>
      <c r="U5080" s="21">
        <v>800</v>
      </c>
      <c r="V5080" s="21" t="s">
        <v>368</v>
      </c>
      <c r="W5080" t="str">
        <f>VLOOKUP(Table_Query_from_Actuarial___Production[[#This Row],[Kor1]],$AI$3:$AK$105,3,FALSE)</f>
        <v>Misc. Expense</v>
      </c>
      <c r="X5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0"/>
      <c r="Z5080" t="s">
        <v>40</v>
      </c>
      <c r="AA5080" t="s">
        <v>252</v>
      </c>
      <c r="AB5080" t="s">
        <v>356</v>
      </c>
      <c r="AC5080" s="21">
        <v>607.95000000000005</v>
      </c>
      <c r="AD5080" s="21" t="s">
        <v>368</v>
      </c>
      <c r="AE5080" t="str">
        <f>VLOOKUP(Table_Query_from_Actuarial___Production3[[#This Row],[Kor1]],$AI$3:$AK$105,3,FALSE)</f>
        <v>Misc. Income</v>
      </c>
      <c r="AF5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1" spans="18:32" x14ac:dyDescent="0.2">
      <c r="R5081" t="s">
        <v>33</v>
      </c>
      <c r="S5081" t="s">
        <v>261</v>
      </c>
      <c r="T5081" t="s">
        <v>351</v>
      </c>
      <c r="U5081" s="21">
        <v>16524.36</v>
      </c>
      <c r="V5081" s="21" t="s">
        <v>368</v>
      </c>
      <c r="W5081" t="str">
        <f>VLOOKUP(Table_Query_from_Actuarial___Production[[#This Row],[Kor1]],$AI$3:$AK$105,3,FALSE)</f>
        <v>Misc. Expense</v>
      </c>
      <c r="X5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1"/>
      <c r="Z5081" t="s">
        <v>37</v>
      </c>
      <c r="AA5081" t="s">
        <v>228</v>
      </c>
      <c r="AB5081" t="s">
        <v>441</v>
      </c>
      <c r="AC5081" s="21">
        <v>52.69</v>
      </c>
      <c r="AD5081" s="21" t="s">
        <v>368</v>
      </c>
      <c r="AE5081" t="str">
        <f>VLOOKUP(Table_Query_from_Actuarial___Production3[[#This Row],[Kor1]],$AI$3:$AK$105,3,FALSE)</f>
        <v>Misc. Expense</v>
      </c>
      <c r="AF5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2" spans="18:32" x14ac:dyDescent="0.2">
      <c r="R5082" t="s">
        <v>36</v>
      </c>
      <c r="S5082" t="s">
        <v>4</v>
      </c>
      <c r="T5082" t="s">
        <v>433</v>
      </c>
      <c r="U5082" s="21">
        <v>145500.29999999999</v>
      </c>
      <c r="V5082" s="21" t="s">
        <v>368</v>
      </c>
      <c r="W5082" t="str">
        <f>VLOOKUP(Table_Query_from_Actuarial___Production[[#This Row],[Kor1]],$AI$3:$AK$105,3,FALSE)</f>
        <v>Misc. Expense</v>
      </c>
      <c r="X5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2"/>
      <c r="Z5082" t="s">
        <v>44</v>
      </c>
      <c r="AA5082" t="s">
        <v>262</v>
      </c>
      <c r="AB5082" t="s">
        <v>9</v>
      </c>
      <c r="AC5082" s="21">
        <v>14699</v>
      </c>
      <c r="AD5082" s="21" t="s">
        <v>368</v>
      </c>
      <c r="AE5082" t="str">
        <f>VLOOKUP(Table_Query_from_Actuarial___Production3[[#This Row],[Kor1]],$AI$3:$AK$105,3,FALSE)</f>
        <v>Charge-offs</v>
      </c>
      <c r="AF5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3" spans="18:32" x14ac:dyDescent="0.2">
      <c r="R5083" t="s">
        <v>18</v>
      </c>
      <c r="S5083" t="s">
        <v>352</v>
      </c>
      <c r="T5083" t="s">
        <v>8</v>
      </c>
      <c r="U5083" s="21">
        <v>149111.53</v>
      </c>
      <c r="V5083" s="21" t="s">
        <v>369</v>
      </c>
      <c r="W5083" t="str">
        <f>VLOOKUP(Table_Query_from_Actuarial___Production[[#This Row],[Kor1]],$AI$3:$AK$105,3,FALSE)</f>
        <v>Misc. Expense</v>
      </c>
      <c r="X5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083"/>
      <c r="Z5083" t="s">
        <v>39</v>
      </c>
      <c r="AA5083" t="s">
        <v>230</v>
      </c>
      <c r="AB5083" t="s">
        <v>427</v>
      </c>
      <c r="AC5083" s="21">
        <v>3852356.97</v>
      </c>
      <c r="AD5083" s="21" t="s">
        <v>368</v>
      </c>
      <c r="AE5083" t="str">
        <f>VLOOKUP(Table_Query_from_Actuarial___Production3[[#This Row],[Kor1]],$AI$3:$AK$105,3,FALSE)</f>
        <v>Misc. Income for Insolvent Companies</v>
      </c>
      <c r="AF5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4" spans="18:32" x14ac:dyDescent="0.2">
      <c r="R5084" t="s">
        <v>33</v>
      </c>
      <c r="S5084" t="s">
        <v>4</v>
      </c>
      <c r="T5084" t="s">
        <v>445</v>
      </c>
      <c r="U5084" s="21">
        <v>17240.04</v>
      </c>
      <c r="V5084" s="21" t="s">
        <v>368</v>
      </c>
      <c r="W5084" t="str">
        <f>VLOOKUP(Table_Query_from_Actuarial___Production[[#This Row],[Kor1]],$AI$3:$AK$105,3,FALSE)</f>
        <v>Misc. Expense</v>
      </c>
      <c r="X5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4"/>
      <c r="Z5084" t="s">
        <v>44</v>
      </c>
      <c r="AA5084" t="s">
        <v>252</v>
      </c>
      <c r="AB5084" t="s">
        <v>7</v>
      </c>
      <c r="AC5084" s="21">
        <v>242216.76</v>
      </c>
      <c r="AD5084" s="21" t="s">
        <v>368</v>
      </c>
      <c r="AE5084" t="str">
        <f>VLOOKUP(Table_Query_from_Actuarial___Production3[[#This Row],[Kor1]],$AI$3:$AK$105,3,FALSE)</f>
        <v>Charge-offs</v>
      </c>
      <c r="AF5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5" spans="18:32" x14ac:dyDescent="0.2">
      <c r="R5085" t="s">
        <v>31</v>
      </c>
      <c r="S5085" t="s">
        <v>252</v>
      </c>
      <c r="T5085" t="s">
        <v>427</v>
      </c>
      <c r="U5085" s="21">
        <v>-7259.87</v>
      </c>
      <c r="V5085" s="21" t="s">
        <v>368</v>
      </c>
      <c r="W5085" t="str">
        <f>VLOOKUP(Table_Query_from_Actuarial___Production[[#This Row],[Kor1]],$AI$3:$AK$105,3,FALSE)</f>
        <v>Misc. Expense</v>
      </c>
      <c r="X5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5"/>
      <c r="Z5085" t="s">
        <v>39</v>
      </c>
      <c r="AA5085" t="s">
        <v>249</v>
      </c>
      <c r="AB5085" t="s">
        <v>6</v>
      </c>
      <c r="AC5085" s="21">
        <v>150.75</v>
      </c>
      <c r="AD5085" s="21" t="s">
        <v>368</v>
      </c>
      <c r="AE5085" t="str">
        <f>VLOOKUP(Table_Query_from_Actuarial___Production3[[#This Row],[Kor1]],$AI$3:$AK$105,3,FALSE)</f>
        <v>Misc. Income for Insolvent Companies</v>
      </c>
      <c r="AF5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6" spans="18:32" x14ac:dyDescent="0.2">
      <c r="R5086" t="s">
        <v>14</v>
      </c>
      <c r="S5086" t="s">
        <v>224</v>
      </c>
      <c r="T5086" t="s">
        <v>351</v>
      </c>
      <c r="U5086" s="21">
        <v>24104.94</v>
      </c>
      <c r="V5086" s="21" t="s">
        <v>369</v>
      </c>
      <c r="W5086" t="str">
        <f>VLOOKUP(Table_Query_from_Actuarial___Production[[#This Row],[Kor1]],$AI$3:$AK$105,3,FALSE)</f>
        <v>Claims Expense</v>
      </c>
      <c r="X5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086"/>
      <c r="Z5086" t="s">
        <v>43</v>
      </c>
      <c r="AA5086" t="s">
        <v>261</v>
      </c>
      <c r="AB5086" t="s">
        <v>7</v>
      </c>
      <c r="AC5086" s="21">
        <v>122.69</v>
      </c>
      <c r="AD5086" s="21" t="s">
        <v>368</v>
      </c>
      <c r="AE5086" t="str">
        <f>VLOOKUP(Table_Query_from_Actuarial___Production3[[#This Row],[Kor1]],$AI$3:$AK$105,3,FALSE)</f>
        <v>Charge-offs</v>
      </c>
      <c r="AF5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7" spans="18:32" x14ac:dyDescent="0.2">
      <c r="R5087" t="s">
        <v>3</v>
      </c>
      <c r="S5087" t="s">
        <v>242</v>
      </c>
      <c r="T5087" t="s">
        <v>6</v>
      </c>
      <c r="U5087" s="21">
        <v>241190</v>
      </c>
      <c r="V5087" s="21" t="s">
        <v>368</v>
      </c>
      <c r="W5087" t="str">
        <f>VLOOKUP(Table_Query_from_Actuarial___Production[[#This Row],[Kor1]],$AI$3:$AK$105,3,FALSE)</f>
        <v>Premiums Written</v>
      </c>
      <c r="X5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7"/>
      <c r="Z5087" t="s">
        <v>33</v>
      </c>
      <c r="AA5087" t="s">
        <v>254</v>
      </c>
      <c r="AB5087" t="s">
        <v>442</v>
      </c>
      <c r="AC5087" s="21">
        <v>17764.12</v>
      </c>
      <c r="AD5087" s="21" t="s">
        <v>368</v>
      </c>
      <c r="AE5087" t="str">
        <f>VLOOKUP(Table_Query_from_Actuarial___Production3[[#This Row],[Kor1]],$AI$3:$AK$105,3,FALSE)</f>
        <v>Misc. Expense</v>
      </c>
      <c r="AF5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8" spans="18:32" x14ac:dyDescent="0.2">
      <c r="R5088" t="s">
        <v>13</v>
      </c>
      <c r="S5088" t="s">
        <v>244</v>
      </c>
      <c r="T5088" t="s">
        <v>442</v>
      </c>
      <c r="U5088" s="21">
        <v>550711.91</v>
      </c>
      <c r="V5088" s="21" t="s">
        <v>368</v>
      </c>
      <c r="W5088" t="str">
        <f>VLOOKUP(Table_Query_from_Actuarial___Production[[#This Row],[Kor1]],$AI$3:$AK$105,3,FALSE)</f>
        <v>Operating Service Fees</v>
      </c>
      <c r="X5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88"/>
      <c r="Z5088" t="s">
        <v>31</v>
      </c>
      <c r="AA5088" t="s">
        <v>239</v>
      </c>
      <c r="AB5088" t="s">
        <v>427</v>
      </c>
      <c r="AC5088" s="21">
        <v>601.53</v>
      </c>
      <c r="AD5088" s="21" t="s">
        <v>368</v>
      </c>
      <c r="AE5088" t="str">
        <f>VLOOKUP(Table_Query_from_Actuarial___Production3[[#This Row],[Kor1]],$AI$3:$AK$105,3,FALSE)</f>
        <v>Misc. Expense</v>
      </c>
      <c r="AF5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89" spans="18:32" x14ac:dyDescent="0.2">
      <c r="R5089" t="s">
        <v>11</v>
      </c>
      <c r="S5089" t="s">
        <v>225</v>
      </c>
      <c r="T5089" t="s">
        <v>442</v>
      </c>
      <c r="U5089" s="21">
        <v>8097.48</v>
      </c>
      <c r="V5089" s="21" t="s">
        <v>368</v>
      </c>
      <c r="W5089" t="str">
        <f>VLOOKUP(Table_Query_from_Actuarial___Production[[#This Row],[Kor1]],$AI$3:$AK$105,3,FALSE)</f>
        <v>Losses Paid</v>
      </c>
      <c r="X5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089"/>
      <c r="Z5089" t="s">
        <v>39</v>
      </c>
      <c r="AA5089" t="s">
        <v>235</v>
      </c>
      <c r="AB5089" t="s">
        <v>427</v>
      </c>
      <c r="AC5089" s="21">
        <v>28640.37</v>
      </c>
      <c r="AD5089" s="21" t="s">
        <v>368</v>
      </c>
      <c r="AE5089" t="str">
        <f>VLOOKUP(Table_Query_from_Actuarial___Production3[[#This Row],[Kor1]],$AI$3:$AK$105,3,FALSE)</f>
        <v>Misc. Income for Insolvent Companies</v>
      </c>
      <c r="AF5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0" spans="18:32" x14ac:dyDescent="0.2">
      <c r="R5090" t="s">
        <v>10</v>
      </c>
      <c r="S5090" t="s">
        <v>236</v>
      </c>
      <c r="T5090" t="s">
        <v>351</v>
      </c>
      <c r="U5090" s="21">
        <v>3569.45</v>
      </c>
      <c r="V5090" s="21" t="s">
        <v>368</v>
      </c>
      <c r="W5090" t="str">
        <f>VLOOKUP(Table_Query_from_Actuarial___Production[[#This Row],[Kor1]],$AI$3:$AK$105,3,FALSE)</f>
        <v>Commissions</v>
      </c>
      <c r="X5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0"/>
      <c r="Z5090" t="s">
        <v>48</v>
      </c>
      <c r="AA5090" t="s">
        <v>242</v>
      </c>
      <c r="AB5090" t="s">
        <v>441</v>
      </c>
      <c r="AC5090" s="21">
        <v>285.45999999999998</v>
      </c>
      <c r="AD5090" s="21" t="s">
        <v>368</v>
      </c>
      <c r="AE5090" t="str">
        <f>VLOOKUP(Table_Query_from_Actuarial___Production3[[#This Row],[Kor1]],$AI$3:$AK$105,3,FALSE)</f>
        <v>Anticipated Salvage</v>
      </c>
      <c r="AF5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1" spans="18:32" x14ac:dyDescent="0.2">
      <c r="R5091" t="s">
        <v>13</v>
      </c>
      <c r="S5091" t="s">
        <v>256</v>
      </c>
      <c r="T5091" t="s">
        <v>7</v>
      </c>
      <c r="U5091" s="21">
        <v>10371.61</v>
      </c>
      <c r="V5091" s="21" t="s">
        <v>368</v>
      </c>
      <c r="W5091" t="str">
        <f>VLOOKUP(Table_Query_from_Actuarial___Production[[#This Row],[Kor1]],$AI$3:$AK$105,3,FALSE)</f>
        <v>Operating Service Fees</v>
      </c>
      <c r="X5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1"/>
      <c r="Z5091" t="s">
        <v>31</v>
      </c>
      <c r="AA5091" t="s">
        <v>236</v>
      </c>
      <c r="AB5091" t="s">
        <v>6</v>
      </c>
      <c r="AC5091" s="21">
        <v>16</v>
      </c>
      <c r="AD5091" s="21" t="s">
        <v>368</v>
      </c>
      <c r="AE5091" t="str">
        <f>VLOOKUP(Table_Query_from_Actuarial___Production3[[#This Row],[Kor1]],$AI$3:$AK$105,3,FALSE)</f>
        <v>Misc. Expense</v>
      </c>
      <c r="AF5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2" spans="18:32" x14ac:dyDescent="0.2">
      <c r="R5092" t="s">
        <v>33</v>
      </c>
      <c r="S5092" t="s">
        <v>249</v>
      </c>
      <c r="T5092" t="s">
        <v>427</v>
      </c>
      <c r="U5092" s="21">
        <v>13060.03</v>
      </c>
      <c r="V5092" s="21" t="s">
        <v>368</v>
      </c>
      <c r="W5092" t="str">
        <f>VLOOKUP(Table_Query_from_Actuarial___Production[[#This Row],[Kor1]],$AI$3:$AK$105,3,FALSE)</f>
        <v>Misc. Expense</v>
      </c>
      <c r="X5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2"/>
      <c r="Z5092" t="s">
        <v>14</v>
      </c>
      <c r="AA5092" t="s">
        <v>254</v>
      </c>
      <c r="AB5092" t="s">
        <v>9</v>
      </c>
      <c r="AC5092" s="21">
        <v>325928.46000000002</v>
      </c>
      <c r="AD5092" s="21" t="s">
        <v>368</v>
      </c>
      <c r="AE5092" t="str">
        <f>VLOOKUP(Table_Query_from_Actuarial___Production3[[#This Row],[Kor1]],$AI$3:$AK$105,3,FALSE)</f>
        <v>Claims Expense</v>
      </c>
      <c r="AF5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3" spans="18:32" x14ac:dyDescent="0.2">
      <c r="R5093" t="s">
        <v>41</v>
      </c>
      <c r="S5093" t="s">
        <v>232</v>
      </c>
      <c r="T5093" t="s">
        <v>7</v>
      </c>
      <c r="U5093" s="21">
        <v>645.16</v>
      </c>
      <c r="V5093" s="21" t="s">
        <v>368</v>
      </c>
      <c r="W5093" t="str">
        <f>VLOOKUP(Table_Query_from_Actuarial___Production[[#This Row],[Kor1]],$AI$3:$AK$105,3,FALSE)</f>
        <v>Misc. Income</v>
      </c>
      <c r="X5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3"/>
      <c r="Z5093" t="s">
        <v>20</v>
      </c>
      <c r="AA5093" t="s">
        <v>231</v>
      </c>
      <c r="AB5093" t="s">
        <v>7</v>
      </c>
      <c r="AC5093" s="21">
        <v>113.37</v>
      </c>
      <c r="AD5093" s="21" t="s">
        <v>368</v>
      </c>
      <c r="AE5093" t="str">
        <f>VLOOKUP(Table_Query_from_Actuarial___Production3[[#This Row],[Kor1]],$AI$3:$AK$105,3,FALSE)</f>
        <v>Misc. Expense</v>
      </c>
      <c r="AF5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4" spans="18:32" x14ac:dyDescent="0.2">
      <c r="R5094" t="s">
        <v>3</v>
      </c>
      <c r="S5094" t="s">
        <v>244</v>
      </c>
      <c r="T5094" t="s">
        <v>7</v>
      </c>
      <c r="U5094" s="21">
        <v>1047797</v>
      </c>
      <c r="V5094" s="21" t="s">
        <v>368</v>
      </c>
      <c r="W5094" t="str">
        <f>VLOOKUP(Table_Query_from_Actuarial___Production[[#This Row],[Kor1]],$AI$3:$AK$105,3,FALSE)</f>
        <v>Premiums Written</v>
      </c>
      <c r="X5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4"/>
      <c r="Z5094" t="s">
        <v>3</v>
      </c>
      <c r="AA5094" t="s">
        <v>224</v>
      </c>
      <c r="AB5094" t="s">
        <v>442</v>
      </c>
      <c r="AC5094" s="21">
        <v>22608.38</v>
      </c>
      <c r="AD5094" s="21" t="s">
        <v>425</v>
      </c>
      <c r="AE5094" t="str">
        <f>VLOOKUP(Table_Query_from_Actuarial___Production3[[#This Row],[Kor1]],$AI$3:$AK$105,3,FALSE)</f>
        <v>Premiums Written</v>
      </c>
      <c r="AF5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095" spans="18:32" x14ac:dyDescent="0.2">
      <c r="R5095" t="s">
        <v>12</v>
      </c>
      <c r="S5095" t="s">
        <v>254</v>
      </c>
      <c r="T5095" t="s">
        <v>441</v>
      </c>
      <c r="U5095" s="21">
        <v>679031.25</v>
      </c>
      <c r="V5095" s="21" t="s">
        <v>368</v>
      </c>
      <c r="W5095" t="str">
        <f>VLOOKUP(Table_Query_from_Actuarial___Production[[#This Row],[Kor1]],$AI$3:$AK$105,3,FALSE)</f>
        <v>Premium Tax</v>
      </c>
      <c r="X5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5"/>
      <c r="Z5095" t="s">
        <v>21</v>
      </c>
      <c r="AA5095" t="s">
        <v>227</v>
      </c>
      <c r="AB5095" t="s">
        <v>351</v>
      </c>
      <c r="AC5095" s="21">
        <v>800</v>
      </c>
      <c r="AD5095" s="21" t="s">
        <v>368</v>
      </c>
      <c r="AE5095" t="str">
        <f>VLOOKUP(Table_Query_from_Actuarial___Production3[[#This Row],[Kor1]],$AI$3:$AK$105,3,FALSE)</f>
        <v>Misc. Expense</v>
      </c>
      <c r="AF5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6" spans="18:32" x14ac:dyDescent="0.2">
      <c r="R5096" t="s">
        <v>48</v>
      </c>
      <c r="S5096" t="s">
        <v>262</v>
      </c>
      <c r="T5096" t="s">
        <v>445</v>
      </c>
      <c r="U5096" s="21">
        <v>156.18</v>
      </c>
      <c r="V5096" s="21" t="s">
        <v>368</v>
      </c>
      <c r="W5096" t="str">
        <f>VLOOKUP(Table_Query_from_Actuarial___Production[[#This Row],[Kor1]],$AI$3:$AK$105,3,FALSE)</f>
        <v>Anticipated Salvage</v>
      </c>
      <c r="X5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6"/>
      <c r="Z5096" t="s">
        <v>33</v>
      </c>
      <c r="AA5096" t="s">
        <v>261</v>
      </c>
      <c r="AB5096" t="s">
        <v>351</v>
      </c>
      <c r="AC5096" s="21">
        <v>16524.36</v>
      </c>
      <c r="AD5096" s="21" t="s">
        <v>368</v>
      </c>
      <c r="AE5096" t="str">
        <f>VLOOKUP(Table_Query_from_Actuarial___Production3[[#This Row],[Kor1]],$AI$3:$AK$105,3,FALSE)</f>
        <v>Misc. Expense</v>
      </c>
      <c r="AF5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7" spans="18:32" x14ac:dyDescent="0.2">
      <c r="R5097" t="s">
        <v>33</v>
      </c>
      <c r="S5097" t="s">
        <v>236</v>
      </c>
      <c r="T5097" t="s">
        <v>433</v>
      </c>
      <c r="U5097" s="21">
        <v>14125.83</v>
      </c>
      <c r="V5097" s="21" t="s">
        <v>368</v>
      </c>
      <c r="W5097" t="str">
        <f>VLOOKUP(Table_Query_from_Actuarial___Production[[#This Row],[Kor1]],$AI$3:$AK$105,3,FALSE)</f>
        <v>Misc. Expense</v>
      </c>
      <c r="X5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7"/>
      <c r="Z5097" t="s">
        <v>36</v>
      </c>
      <c r="AA5097" t="s">
        <v>4</v>
      </c>
      <c r="AB5097" t="s">
        <v>433</v>
      </c>
      <c r="AC5097" s="21">
        <v>145500.29999999999</v>
      </c>
      <c r="AD5097" s="21" t="s">
        <v>368</v>
      </c>
      <c r="AE5097" t="str">
        <f>VLOOKUP(Table_Query_from_Actuarial___Production3[[#This Row],[Kor1]],$AI$3:$AK$105,3,FALSE)</f>
        <v>Misc. Expense</v>
      </c>
      <c r="AF5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098" spans="18:32" x14ac:dyDescent="0.2">
      <c r="R5098" t="s">
        <v>31</v>
      </c>
      <c r="S5098" t="s">
        <v>250</v>
      </c>
      <c r="T5098" t="s">
        <v>445</v>
      </c>
      <c r="U5098" s="21">
        <v>315.62</v>
      </c>
      <c r="V5098" s="21" t="s">
        <v>368</v>
      </c>
      <c r="W5098" t="str">
        <f>VLOOKUP(Table_Query_from_Actuarial___Production[[#This Row],[Kor1]],$AI$3:$AK$105,3,FALSE)</f>
        <v>Misc. Expense</v>
      </c>
      <c r="X5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098"/>
      <c r="Z5098" t="s">
        <v>18</v>
      </c>
      <c r="AA5098" t="s">
        <v>352</v>
      </c>
      <c r="AB5098" t="s">
        <v>8</v>
      </c>
      <c r="AC5098" s="21">
        <v>149111.53</v>
      </c>
      <c r="AD5098" s="21" t="s">
        <v>369</v>
      </c>
      <c r="AE5098" t="str">
        <f>VLOOKUP(Table_Query_from_Actuarial___Production3[[#This Row],[Kor1]],$AI$3:$AK$105,3,FALSE)</f>
        <v>Misc. Expense</v>
      </c>
      <c r="AF5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099" spans="18:32" x14ac:dyDescent="0.2">
      <c r="R5099" t="s">
        <v>17</v>
      </c>
      <c r="S5099" t="s">
        <v>354</v>
      </c>
      <c r="T5099" t="s">
        <v>443</v>
      </c>
      <c r="U5099" s="21">
        <v>192310828.90000001</v>
      </c>
      <c r="V5099" s="21" t="s">
        <v>369</v>
      </c>
      <c r="W5099" t="str">
        <f>VLOOKUP(Table_Query_from_Actuarial___Production[[#This Row],[Kor1]],$AI$3:$AK$105,3,FALSE)</f>
        <v>IBNR</v>
      </c>
      <c r="X5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099"/>
      <c r="Z5099" t="s">
        <v>31</v>
      </c>
      <c r="AA5099" t="s">
        <v>252</v>
      </c>
      <c r="AB5099" t="s">
        <v>427</v>
      </c>
      <c r="AC5099" s="21">
        <v>-7259.87</v>
      </c>
      <c r="AD5099" s="21" t="s">
        <v>368</v>
      </c>
      <c r="AE5099" t="str">
        <f>VLOOKUP(Table_Query_from_Actuarial___Production3[[#This Row],[Kor1]],$AI$3:$AK$105,3,FALSE)</f>
        <v>Misc. Expense</v>
      </c>
      <c r="AF5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0" spans="18:32" x14ac:dyDescent="0.2">
      <c r="R5100" t="s">
        <v>49</v>
      </c>
      <c r="S5100" t="s">
        <v>230</v>
      </c>
      <c r="T5100" t="s">
        <v>441</v>
      </c>
      <c r="U5100" s="21">
        <v>558146.17000000004</v>
      </c>
      <c r="V5100" s="21" t="s">
        <v>368</v>
      </c>
      <c r="W5100" t="str">
        <f>VLOOKUP(Table_Query_from_Actuarial___Production[[#This Row],[Kor1]],$AI$3:$AK$105,3,FALSE)</f>
        <v>ALAE Paid</v>
      </c>
      <c r="X5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0"/>
      <c r="Z5100" t="s">
        <v>14</v>
      </c>
      <c r="AA5100" t="s">
        <v>224</v>
      </c>
      <c r="AB5100" t="s">
        <v>351</v>
      </c>
      <c r="AC5100" s="21">
        <v>24274.28</v>
      </c>
      <c r="AD5100" s="21" t="s">
        <v>369</v>
      </c>
      <c r="AE5100" t="str">
        <f>VLOOKUP(Table_Query_from_Actuarial___Production3[[#This Row],[Kor1]],$AI$3:$AK$105,3,FALSE)</f>
        <v>Claims Expense</v>
      </c>
      <c r="AF5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101" spans="18:32" x14ac:dyDescent="0.2">
      <c r="R5101" t="s">
        <v>10</v>
      </c>
      <c r="S5101" t="s">
        <v>239</v>
      </c>
      <c r="T5101" t="s">
        <v>442</v>
      </c>
      <c r="U5101" s="21">
        <v>254577.68</v>
      </c>
      <c r="V5101" s="21" t="s">
        <v>368</v>
      </c>
      <c r="W5101" t="str">
        <f>VLOOKUP(Table_Query_from_Actuarial___Production[[#This Row],[Kor1]],$AI$3:$AK$105,3,FALSE)</f>
        <v>Commissions</v>
      </c>
      <c r="X5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1"/>
      <c r="Z5101" t="s">
        <v>3</v>
      </c>
      <c r="AA5101" t="s">
        <v>242</v>
      </c>
      <c r="AB5101" t="s">
        <v>6</v>
      </c>
      <c r="AC5101" s="21">
        <v>241190</v>
      </c>
      <c r="AD5101" s="21" t="s">
        <v>368</v>
      </c>
      <c r="AE5101" t="str">
        <f>VLOOKUP(Table_Query_from_Actuarial___Production3[[#This Row],[Kor1]],$AI$3:$AK$105,3,FALSE)</f>
        <v>Premiums Written</v>
      </c>
      <c r="AF5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2" spans="18:32" x14ac:dyDescent="0.2">
      <c r="R5102" t="s">
        <v>10</v>
      </c>
      <c r="S5102" t="s">
        <v>248</v>
      </c>
      <c r="T5102" t="s">
        <v>6</v>
      </c>
      <c r="U5102" s="21">
        <v>2203.86</v>
      </c>
      <c r="V5102" s="21" t="s">
        <v>368</v>
      </c>
      <c r="W5102" t="str">
        <f>VLOOKUP(Table_Query_from_Actuarial___Production[[#This Row],[Kor1]],$AI$3:$AK$105,3,FALSE)</f>
        <v>Commissions</v>
      </c>
      <c r="X5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2"/>
      <c r="Z5102" t="s">
        <v>13</v>
      </c>
      <c r="AA5102" t="s">
        <v>244</v>
      </c>
      <c r="AB5102" t="s">
        <v>442</v>
      </c>
      <c r="AC5102" s="21">
        <v>585014.32999999996</v>
      </c>
      <c r="AD5102" s="21" t="s">
        <v>368</v>
      </c>
      <c r="AE5102" t="str">
        <f>VLOOKUP(Table_Query_from_Actuarial___Production3[[#This Row],[Kor1]],$AI$3:$AK$105,3,FALSE)</f>
        <v>Operating Service Fees</v>
      </c>
      <c r="AF5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3" spans="18:32" x14ac:dyDescent="0.2">
      <c r="R5103" t="s">
        <v>12</v>
      </c>
      <c r="S5103" t="s">
        <v>265</v>
      </c>
      <c r="T5103" t="s">
        <v>351</v>
      </c>
      <c r="U5103" s="21">
        <v>16666.54</v>
      </c>
      <c r="V5103" s="21" t="s">
        <v>368</v>
      </c>
      <c r="W5103" t="str">
        <f>VLOOKUP(Table_Query_from_Actuarial___Production[[#This Row],[Kor1]],$AI$3:$AK$105,3,FALSE)</f>
        <v>Premium Tax</v>
      </c>
      <c r="X5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3"/>
      <c r="Z5103" t="s">
        <v>11</v>
      </c>
      <c r="AA5103" t="s">
        <v>225</v>
      </c>
      <c r="AB5103" t="s">
        <v>442</v>
      </c>
      <c r="AC5103" s="21">
        <v>3109.36</v>
      </c>
      <c r="AD5103" s="21" t="s">
        <v>368</v>
      </c>
      <c r="AE5103" t="str">
        <f>VLOOKUP(Table_Query_from_Actuarial___Production3[[#This Row],[Kor1]],$AI$3:$AK$105,3,FALSE)</f>
        <v>Losses Paid</v>
      </c>
      <c r="AF5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104" spans="18:32" x14ac:dyDescent="0.2">
      <c r="R5104" t="s">
        <v>11</v>
      </c>
      <c r="S5104" t="s">
        <v>354</v>
      </c>
      <c r="T5104" t="s">
        <v>6</v>
      </c>
      <c r="U5104" s="21">
        <v>49351160.740000002</v>
      </c>
      <c r="V5104" s="21" t="s">
        <v>368</v>
      </c>
      <c r="W5104" t="str">
        <f>VLOOKUP(Table_Query_from_Actuarial___Production[[#This Row],[Kor1]],$AI$3:$AK$105,3,FALSE)</f>
        <v>Losses Paid</v>
      </c>
      <c r="X5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104"/>
      <c r="Z5104" t="s">
        <v>10</v>
      </c>
      <c r="AA5104" t="s">
        <v>236</v>
      </c>
      <c r="AB5104" t="s">
        <v>351</v>
      </c>
      <c r="AC5104" s="21">
        <v>3569.45</v>
      </c>
      <c r="AD5104" s="21" t="s">
        <v>368</v>
      </c>
      <c r="AE5104" t="str">
        <f>VLOOKUP(Table_Query_from_Actuarial___Production3[[#This Row],[Kor1]],$AI$3:$AK$105,3,FALSE)</f>
        <v>Commissions</v>
      </c>
      <c r="AF5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5" spans="18:32" x14ac:dyDescent="0.2">
      <c r="R5105" t="s">
        <v>40</v>
      </c>
      <c r="S5105" t="s">
        <v>229</v>
      </c>
      <c r="T5105" t="s">
        <v>356</v>
      </c>
      <c r="U5105" s="21">
        <v>10</v>
      </c>
      <c r="V5105" s="21" t="s">
        <v>368</v>
      </c>
      <c r="W5105" t="str">
        <f>VLOOKUP(Table_Query_from_Actuarial___Production[[#This Row],[Kor1]],$AI$3:$AK$105,3,FALSE)</f>
        <v>Misc. Income</v>
      </c>
      <c r="X5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5"/>
      <c r="Z5105" t="s">
        <v>13</v>
      </c>
      <c r="AA5105" t="s">
        <v>256</v>
      </c>
      <c r="AB5105" t="s">
        <v>7</v>
      </c>
      <c r="AC5105" s="21">
        <v>10371.61</v>
      </c>
      <c r="AD5105" s="21" t="s">
        <v>368</v>
      </c>
      <c r="AE5105" t="str">
        <f>VLOOKUP(Table_Query_from_Actuarial___Production3[[#This Row],[Kor1]],$AI$3:$AK$105,3,FALSE)</f>
        <v>Operating Service Fees</v>
      </c>
      <c r="AF5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6" spans="18:32" x14ac:dyDescent="0.2">
      <c r="R5106" t="s">
        <v>19</v>
      </c>
      <c r="S5106" t="s">
        <v>232</v>
      </c>
      <c r="T5106" t="s">
        <v>9</v>
      </c>
      <c r="U5106" s="21">
        <v>4130.97</v>
      </c>
      <c r="V5106" s="21" t="s">
        <v>368</v>
      </c>
      <c r="W5106" t="str">
        <f>VLOOKUP(Table_Query_from_Actuarial___Production[[#This Row],[Kor1]],$AI$3:$AK$105,3,FALSE)</f>
        <v>Misc. Expense for Insolvent Companies</v>
      </c>
      <c r="X5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6"/>
      <c r="Z5106" t="s">
        <v>48</v>
      </c>
      <c r="AA5106" t="s">
        <v>227</v>
      </c>
      <c r="AB5106" t="s">
        <v>427</v>
      </c>
      <c r="AC5106" s="21">
        <v>0.57999999999999996</v>
      </c>
      <c r="AD5106" s="21" t="s">
        <v>368</v>
      </c>
      <c r="AE5106" t="str">
        <f>VLOOKUP(Table_Query_from_Actuarial___Production3[[#This Row],[Kor1]],$AI$3:$AK$105,3,FALSE)</f>
        <v>Anticipated Salvage</v>
      </c>
      <c r="AF5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7" spans="18:32" x14ac:dyDescent="0.2">
      <c r="R5107" t="s">
        <v>3</v>
      </c>
      <c r="S5107" t="s">
        <v>254</v>
      </c>
      <c r="T5107" t="s">
        <v>433</v>
      </c>
      <c r="U5107" s="21">
        <v>18071046</v>
      </c>
      <c r="V5107" s="21" t="s">
        <v>368</v>
      </c>
      <c r="W5107" t="str">
        <f>VLOOKUP(Table_Query_from_Actuarial___Production[[#This Row],[Kor1]],$AI$3:$AK$105,3,FALSE)</f>
        <v>Premiums Written</v>
      </c>
      <c r="X5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7"/>
      <c r="Z5107" t="s">
        <v>33</v>
      </c>
      <c r="AA5107" t="s">
        <v>249</v>
      </c>
      <c r="AB5107" t="s">
        <v>427</v>
      </c>
      <c r="AC5107" s="21">
        <v>13060.03</v>
      </c>
      <c r="AD5107" s="21" t="s">
        <v>368</v>
      </c>
      <c r="AE5107" t="str">
        <f>VLOOKUP(Table_Query_from_Actuarial___Production3[[#This Row],[Kor1]],$AI$3:$AK$105,3,FALSE)</f>
        <v>Misc. Expense</v>
      </c>
      <c r="AF5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8" spans="18:32" x14ac:dyDescent="0.2">
      <c r="R5108" t="s">
        <v>12</v>
      </c>
      <c r="S5108" t="s">
        <v>4</v>
      </c>
      <c r="T5108" t="s">
        <v>442</v>
      </c>
      <c r="U5108" s="21">
        <v>1126275.6100000001</v>
      </c>
      <c r="V5108" s="21" t="s">
        <v>368</v>
      </c>
      <c r="W5108" t="str">
        <f>VLOOKUP(Table_Query_from_Actuarial___Production[[#This Row],[Kor1]],$AI$3:$AK$105,3,FALSE)</f>
        <v>Premium Tax</v>
      </c>
      <c r="X5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8"/>
      <c r="Z5108" t="s">
        <v>41</v>
      </c>
      <c r="AA5108" t="s">
        <v>232</v>
      </c>
      <c r="AB5108" t="s">
        <v>7</v>
      </c>
      <c r="AC5108" s="21">
        <v>645.16</v>
      </c>
      <c r="AD5108" s="21" t="s">
        <v>368</v>
      </c>
      <c r="AE5108" t="str">
        <f>VLOOKUP(Table_Query_from_Actuarial___Production3[[#This Row],[Kor1]],$AI$3:$AK$105,3,FALSE)</f>
        <v>Misc. Income</v>
      </c>
      <c r="AF5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09" spans="18:32" x14ac:dyDescent="0.2">
      <c r="R5109" t="s">
        <v>19</v>
      </c>
      <c r="S5109" t="s">
        <v>253</v>
      </c>
      <c r="T5109" t="s">
        <v>351</v>
      </c>
      <c r="U5109" s="21">
        <v>33</v>
      </c>
      <c r="V5109" s="21" t="s">
        <v>368</v>
      </c>
      <c r="W5109" t="str">
        <f>VLOOKUP(Table_Query_from_Actuarial___Production[[#This Row],[Kor1]],$AI$3:$AK$105,3,FALSE)</f>
        <v>Misc. Expense for Insolvent Companies</v>
      </c>
      <c r="X5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09"/>
      <c r="Z5109" t="s">
        <v>3</v>
      </c>
      <c r="AA5109" t="s">
        <v>244</v>
      </c>
      <c r="AB5109" t="s">
        <v>7</v>
      </c>
      <c r="AC5109" s="21">
        <v>1047797</v>
      </c>
      <c r="AD5109" s="21" t="s">
        <v>368</v>
      </c>
      <c r="AE5109" t="str">
        <f>VLOOKUP(Table_Query_from_Actuarial___Production3[[#This Row],[Kor1]],$AI$3:$AK$105,3,FALSE)</f>
        <v>Premiums Written</v>
      </c>
      <c r="AF5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0" spans="18:32" x14ac:dyDescent="0.2">
      <c r="R5110" t="s">
        <v>49</v>
      </c>
      <c r="S5110" t="s">
        <v>4</v>
      </c>
      <c r="T5110" t="s">
        <v>8</v>
      </c>
      <c r="U5110" s="21">
        <v>1638763.82</v>
      </c>
      <c r="V5110" s="21" t="s">
        <v>368</v>
      </c>
      <c r="W5110" t="str">
        <f>VLOOKUP(Table_Query_from_Actuarial___Production[[#This Row],[Kor1]],$AI$3:$AK$105,3,FALSE)</f>
        <v>ALAE Paid</v>
      </c>
      <c r="X5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0"/>
      <c r="Z5110" t="s">
        <v>12</v>
      </c>
      <c r="AA5110" t="s">
        <v>254</v>
      </c>
      <c r="AB5110" t="s">
        <v>441</v>
      </c>
      <c r="AC5110" s="21">
        <v>679058.77</v>
      </c>
      <c r="AD5110" s="21" t="s">
        <v>368</v>
      </c>
      <c r="AE5110" t="str">
        <f>VLOOKUP(Table_Query_from_Actuarial___Production3[[#This Row],[Kor1]],$AI$3:$AK$105,3,FALSE)</f>
        <v>Premium Tax</v>
      </c>
      <c r="AF5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1" spans="18:32" x14ac:dyDescent="0.2">
      <c r="R5111" t="s">
        <v>12</v>
      </c>
      <c r="S5111" t="s">
        <v>263</v>
      </c>
      <c r="T5111" t="s">
        <v>427</v>
      </c>
      <c r="U5111" s="21">
        <v>10167.540000000001</v>
      </c>
      <c r="V5111" s="21" t="s">
        <v>368</v>
      </c>
      <c r="W5111" t="str">
        <f>VLOOKUP(Table_Query_from_Actuarial___Production[[#This Row],[Kor1]],$AI$3:$AK$105,3,FALSE)</f>
        <v>Premium Tax</v>
      </c>
      <c r="X5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1"/>
      <c r="Z5111" t="s">
        <v>33</v>
      </c>
      <c r="AA5111" t="s">
        <v>236</v>
      </c>
      <c r="AB5111" t="s">
        <v>433</v>
      </c>
      <c r="AC5111" s="21">
        <v>14125.83</v>
      </c>
      <c r="AD5111" s="21" t="s">
        <v>368</v>
      </c>
      <c r="AE5111" t="str">
        <f>VLOOKUP(Table_Query_from_Actuarial___Production3[[#This Row],[Kor1]],$AI$3:$AK$105,3,FALSE)</f>
        <v>Misc. Expense</v>
      </c>
      <c r="AF5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2" spans="18:32" x14ac:dyDescent="0.2">
      <c r="R5112" t="s">
        <v>39</v>
      </c>
      <c r="S5112" t="s">
        <v>235</v>
      </c>
      <c r="T5112" t="s">
        <v>7</v>
      </c>
      <c r="U5112" s="21">
        <v>5</v>
      </c>
      <c r="V5112" s="21" t="s">
        <v>368</v>
      </c>
      <c r="W5112" t="str">
        <f>VLOOKUP(Table_Query_from_Actuarial___Production[[#This Row],[Kor1]],$AI$3:$AK$105,3,FALSE)</f>
        <v>Misc. Income for Insolvent Companies</v>
      </c>
      <c r="X5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2"/>
      <c r="Z5112" t="s">
        <v>17</v>
      </c>
      <c r="AA5112" t="s">
        <v>354</v>
      </c>
      <c r="AB5112" t="s">
        <v>443</v>
      </c>
      <c r="AC5112" s="21">
        <v>73893820.209999993</v>
      </c>
      <c r="AD5112" s="21" t="s">
        <v>369</v>
      </c>
      <c r="AE5112" t="str">
        <f>VLOOKUP(Table_Query_from_Actuarial___Production3[[#This Row],[Kor1]],$AI$3:$AK$105,3,FALSE)</f>
        <v>IBNR</v>
      </c>
      <c r="AF5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113" spans="18:32" x14ac:dyDescent="0.2">
      <c r="R5113" t="s">
        <v>12</v>
      </c>
      <c r="S5113" t="s">
        <v>237</v>
      </c>
      <c r="T5113" t="s">
        <v>442</v>
      </c>
      <c r="U5113" s="21">
        <v>1173679.6599999999</v>
      </c>
      <c r="V5113" s="21" t="s">
        <v>368</v>
      </c>
      <c r="W5113" t="str">
        <f>VLOOKUP(Table_Query_from_Actuarial___Production[[#This Row],[Kor1]],$AI$3:$AK$105,3,FALSE)</f>
        <v>Premium Tax</v>
      </c>
      <c r="X5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3"/>
      <c r="Z5113" t="s">
        <v>49</v>
      </c>
      <c r="AA5113" t="s">
        <v>230</v>
      </c>
      <c r="AB5113" t="s">
        <v>441</v>
      </c>
      <c r="AC5113" s="21">
        <v>189964.67</v>
      </c>
      <c r="AD5113" s="21" t="s">
        <v>368</v>
      </c>
      <c r="AE5113" t="str">
        <f>VLOOKUP(Table_Query_from_Actuarial___Production3[[#This Row],[Kor1]],$AI$3:$AK$105,3,FALSE)</f>
        <v>ALAE Paid</v>
      </c>
      <c r="AF5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4" spans="18:32" x14ac:dyDescent="0.2">
      <c r="R5114" t="s">
        <v>39</v>
      </c>
      <c r="S5114" t="s">
        <v>254</v>
      </c>
      <c r="T5114" t="s">
        <v>351</v>
      </c>
      <c r="U5114" s="21">
        <v>1922</v>
      </c>
      <c r="V5114" s="21" t="s">
        <v>368</v>
      </c>
      <c r="W5114" t="str">
        <f>VLOOKUP(Table_Query_from_Actuarial___Production[[#This Row],[Kor1]],$AI$3:$AK$105,3,FALSE)</f>
        <v>Misc. Income for Insolvent Companies</v>
      </c>
      <c r="X5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4"/>
      <c r="Z5114" t="s">
        <v>10</v>
      </c>
      <c r="AA5114" t="s">
        <v>229</v>
      </c>
      <c r="AB5114" t="s">
        <v>5</v>
      </c>
      <c r="AC5114" s="21">
        <v>3054.65</v>
      </c>
      <c r="AD5114" s="21" t="s">
        <v>368</v>
      </c>
      <c r="AE5114" t="str">
        <f>VLOOKUP(Table_Query_from_Actuarial___Production3[[#This Row],[Kor1]],$AI$3:$AK$105,3,FALSE)</f>
        <v>Commissions</v>
      </c>
      <c r="AF5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5" spans="18:32" x14ac:dyDescent="0.2">
      <c r="R5115" t="s">
        <v>38</v>
      </c>
      <c r="S5115" t="s">
        <v>354</v>
      </c>
      <c r="T5115" t="s">
        <v>442</v>
      </c>
      <c r="U5115" s="21">
        <v>496282.89</v>
      </c>
      <c r="V5115" s="21" t="s">
        <v>369</v>
      </c>
      <c r="W5115" t="str">
        <f>VLOOKUP(Table_Query_from_Actuarial___Production[[#This Row],[Kor1]],$AI$3:$AK$105,3,FALSE)</f>
        <v>Misc. Income</v>
      </c>
      <c r="X5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115"/>
      <c r="Z5115" t="s">
        <v>10</v>
      </c>
      <c r="AA5115" t="s">
        <v>239</v>
      </c>
      <c r="AB5115" t="s">
        <v>442</v>
      </c>
      <c r="AC5115" s="21">
        <v>298209.93</v>
      </c>
      <c r="AD5115" s="21" t="s">
        <v>368</v>
      </c>
      <c r="AE5115" t="str">
        <f>VLOOKUP(Table_Query_from_Actuarial___Production3[[#This Row],[Kor1]],$AI$3:$AK$105,3,FALSE)</f>
        <v>Commissions</v>
      </c>
      <c r="AF5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6" spans="18:32" x14ac:dyDescent="0.2">
      <c r="R5116" t="s">
        <v>21</v>
      </c>
      <c r="S5116" t="s">
        <v>251</v>
      </c>
      <c r="T5116" t="s">
        <v>433</v>
      </c>
      <c r="U5116" s="21">
        <v>2082.19</v>
      </c>
      <c r="V5116" s="21" t="s">
        <v>368</v>
      </c>
      <c r="W5116" t="str">
        <f>VLOOKUP(Table_Query_from_Actuarial___Production[[#This Row],[Kor1]],$AI$3:$AK$105,3,FALSE)</f>
        <v>Misc. Expense</v>
      </c>
      <c r="X5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6"/>
      <c r="Z5116" t="s">
        <v>10</v>
      </c>
      <c r="AA5116" t="s">
        <v>248</v>
      </c>
      <c r="AB5116" t="s">
        <v>6</v>
      </c>
      <c r="AC5116" s="21">
        <v>2203.86</v>
      </c>
      <c r="AD5116" s="21" t="s">
        <v>368</v>
      </c>
      <c r="AE5116" t="str">
        <f>VLOOKUP(Table_Query_from_Actuarial___Production3[[#This Row],[Kor1]],$AI$3:$AK$105,3,FALSE)</f>
        <v>Commissions</v>
      </c>
      <c r="AF5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7" spans="18:32" x14ac:dyDescent="0.2">
      <c r="R5117" t="s">
        <v>37</v>
      </c>
      <c r="S5117" t="s">
        <v>250</v>
      </c>
      <c r="T5117" t="s">
        <v>356</v>
      </c>
      <c r="U5117" s="21">
        <v>397.32</v>
      </c>
      <c r="V5117" s="21" t="s">
        <v>368</v>
      </c>
      <c r="W5117" t="str">
        <f>VLOOKUP(Table_Query_from_Actuarial___Production[[#This Row],[Kor1]],$AI$3:$AK$105,3,FALSE)</f>
        <v>Misc. Expense</v>
      </c>
      <c r="X5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7"/>
      <c r="Z5117" t="s">
        <v>12</v>
      </c>
      <c r="AA5117" t="s">
        <v>265</v>
      </c>
      <c r="AB5117" t="s">
        <v>351</v>
      </c>
      <c r="AC5117" s="21">
        <v>16666.54</v>
      </c>
      <c r="AD5117" s="21" t="s">
        <v>368</v>
      </c>
      <c r="AE5117" t="str">
        <f>VLOOKUP(Table_Query_from_Actuarial___Production3[[#This Row],[Kor1]],$AI$3:$AK$105,3,FALSE)</f>
        <v>Premium Tax</v>
      </c>
      <c r="AF5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18" spans="18:32" x14ac:dyDescent="0.2">
      <c r="R5118" t="s">
        <v>39</v>
      </c>
      <c r="S5118" t="s">
        <v>250</v>
      </c>
      <c r="T5118" t="s">
        <v>441</v>
      </c>
      <c r="U5118" s="21">
        <v>1017.01</v>
      </c>
      <c r="V5118" s="21" t="s">
        <v>368</v>
      </c>
      <c r="W5118" t="str">
        <f>VLOOKUP(Table_Query_from_Actuarial___Production[[#This Row],[Kor1]],$AI$3:$AK$105,3,FALSE)</f>
        <v>Misc. Income for Insolvent Companies</v>
      </c>
      <c r="X5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18"/>
      <c r="Z5118" t="s">
        <v>11</v>
      </c>
      <c r="AA5118" t="s">
        <v>354</v>
      </c>
      <c r="AB5118" t="s">
        <v>6</v>
      </c>
      <c r="AC5118" s="21">
        <v>49392851.25</v>
      </c>
      <c r="AD5118" s="21" t="s">
        <v>368</v>
      </c>
      <c r="AE5118" t="str">
        <f>VLOOKUP(Table_Query_from_Actuarial___Production3[[#This Row],[Kor1]],$AI$3:$AK$105,3,FALSE)</f>
        <v>Losses Paid</v>
      </c>
      <c r="AF5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119" spans="18:32" x14ac:dyDescent="0.2">
      <c r="R5119" t="s">
        <v>14</v>
      </c>
      <c r="S5119" t="s">
        <v>226</v>
      </c>
      <c r="T5119" t="s">
        <v>9</v>
      </c>
      <c r="U5119" s="21">
        <v>588028.52</v>
      </c>
      <c r="V5119" s="21" t="s">
        <v>368</v>
      </c>
      <c r="W5119" t="str">
        <f>VLOOKUP(Table_Query_from_Actuarial___Production[[#This Row],[Kor1]],$AI$3:$AK$105,3,FALSE)</f>
        <v>Claims Expense</v>
      </c>
      <c r="X5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119"/>
      <c r="Z5119" t="s">
        <v>40</v>
      </c>
      <c r="AA5119" t="s">
        <v>229</v>
      </c>
      <c r="AB5119" t="s">
        <v>356</v>
      </c>
      <c r="AC5119" s="21">
        <v>10</v>
      </c>
      <c r="AD5119" s="21" t="s">
        <v>368</v>
      </c>
      <c r="AE5119" t="str">
        <f>VLOOKUP(Table_Query_from_Actuarial___Production3[[#This Row],[Kor1]],$AI$3:$AK$105,3,FALSE)</f>
        <v>Misc. Income</v>
      </c>
      <c r="AF5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0" spans="18:32" x14ac:dyDescent="0.2">
      <c r="R5120" t="s">
        <v>14</v>
      </c>
      <c r="S5120" t="s">
        <v>225</v>
      </c>
      <c r="T5120" t="s">
        <v>8</v>
      </c>
      <c r="U5120" s="21">
        <v>105248</v>
      </c>
      <c r="V5120" s="21" t="s">
        <v>369</v>
      </c>
      <c r="W5120" t="str">
        <f>VLOOKUP(Table_Query_from_Actuarial___Production[[#This Row],[Kor1]],$AI$3:$AK$105,3,FALSE)</f>
        <v>Claims Expense</v>
      </c>
      <c r="X5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120"/>
      <c r="Z5120" t="s">
        <v>19</v>
      </c>
      <c r="AA5120" t="s">
        <v>232</v>
      </c>
      <c r="AB5120" t="s">
        <v>9</v>
      </c>
      <c r="AC5120" s="21">
        <v>4130.97</v>
      </c>
      <c r="AD5120" s="21" t="s">
        <v>368</v>
      </c>
      <c r="AE5120" t="str">
        <f>VLOOKUP(Table_Query_from_Actuarial___Production3[[#This Row],[Kor1]],$AI$3:$AK$105,3,FALSE)</f>
        <v>Misc. Expense for Insolvent Companies</v>
      </c>
      <c r="AF5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1" spans="18:32" x14ac:dyDescent="0.2">
      <c r="R5121" t="s">
        <v>48</v>
      </c>
      <c r="S5121" t="s">
        <v>243</v>
      </c>
      <c r="T5121" t="s">
        <v>433</v>
      </c>
      <c r="U5121" s="21">
        <v>2784.47</v>
      </c>
      <c r="V5121" s="21" t="s">
        <v>368</v>
      </c>
      <c r="W5121" t="str">
        <f>VLOOKUP(Table_Query_from_Actuarial___Production[[#This Row],[Kor1]],$AI$3:$AK$105,3,FALSE)</f>
        <v>Anticipated Salvage</v>
      </c>
      <c r="X5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1"/>
      <c r="Z5121" t="s">
        <v>34</v>
      </c>
      <c r="AA5121" t="s">
        <v>263</v>
      </c>
      <c r="AB5121" t="s">
        <v>5</v>
      </c>
      <c r="AC5121" s="21">
        <v>106.54</v>
      </c>
      <c r="AD5121" s="21" t="s">
        <v>368</v>
      </c>
      <c r="AE5121" t="str">
        <f>VLOOKUP(Table_Query_from_Actuarial___Production3[[#This Row],[Kor1]],$AI$3:$AK$105,3,FALSE)</f>
        <v>Misc. Expense</v>
      </c>
      <c r="AF5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2" spans="18:32" x14ac:dyDescent="0.2">
      <c r="R5122" t="s">
        <v>14</v>
      </c>
      <c r="S5122" t="s">
        <v>227</v>
      </c>
      <c r="T5122" t="s">
        <v>441</v>
      </c>
      <c r="U5122" s="21">
        <v>5442.73</v>
      </c>
      <c r="V5122" s="21" t="s">
        <v>368</v>
      </c>
      <c r="W5122" t="str">
        <f>VLOOKUP(Table_Query_from_Actuarial___Production[[#This Row],[Kor1]],$AI$3:$AK$105,3,FALSE)</f>
        <v>Claims Expense</v>
      </c>
      <c r="X5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2"/>
      <c r="Z5122" t="s">
        <v>3</v>
      </c>
      <c r="AA5122" t="s">
        <v>254</v>
      </c>
      <c r="AB5122" t="s">
        <v>433</v>
      </c>
      <c r="AC5122" s="21">
        <v>18071046</v>
      </c>
      <c r="AD5122" s="21" t="s">
        <v>368</v>
      </c>
      <c r="AE5122" t="str">
        <f>VLOOKUP(Table_Query_from_Actuarial___Production3[[#This Row],[Kor1]],$AI$3:$AK$105,3,FALSE)</f>
        <v>Premiums Written</v>
      </c>
      <c r="AF5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3" spans="18:32" x14ac:dyDescent="0.2">
      <c r="R5123" t="s">
        <v>3</v>
      </c>
      <c r="S5123" t="s">
        <v>256</v>
      </c>
      <c r="T5123" t="s">
        <v>6</v>
      </c>
      <c r="U5123" s="21">
        <v>48510</v>
      </c>
      <c r="V5123" s="21" t="s">
        <v>368</v>
      </c>
      <c r="W5123" t="str">
        <f>VLOOKUP(Table_Query_from_Actuarial___Production[[#This Row],[Kor1]],$AI$3:$AK$105,3,FALSE)</f>
        <v>Premiums Written</v>
      </c>
      <c r="X5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3"/>
      <c r="Z5123" t="s">
        <v>12</v>
      </c>
      <c r="AA5123" t="s">
        <v>4</v>
      </c>
      <c r="AB5123" t="s">
        <v>442</v>
      </c>
      <c r="AC5123" s="21">
        <v>1122590.48</v>
      </c>
      <c r="AD5123" s="21" t="s">
        <v>368</v>
      </c>
      <c r="AE5123" t="str">
        <f>VLOOKUP(Table_Query_from_Actuarial___Production3[[#This Row],[Kor1]],$AI$3:$AK$105,3,FALSE)</f>
        <v>Premium Tax</v>
      </c>
      <c r="AF5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4" spans="18:32" x14ac:dyDescent="0.2">
      <c r="R5124" t="s">
        <v>47</v>
      </c>
      <c r="S5124" t="s">
        <v>243</v>
      </c>
      <c r="T5124" t="s">
        <v>441</v>
      </c>
      <c r="U5124" s="21">
        <v>8.56</v>
      </c>
      <c r="V5124" s="21" t="s">
        <v>368</v>
      </c>
      <c r="W5124" t="str">
        <f>VLOOKUP(Table_Query_from_Actuarial___Production[[#This Row],[Kor1]],$AI$3:$AK$105,3,FALSE)</f>
        <v>Investment Income</v>
      </c>
      <c r="X5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4"/>
      <c r="Z5124" t="s">
        <v>19</v>
      </c>
      <c r="AA5124" t="s">
        <v>253</v>
      </c>
      <c r="AB5124" t="s">
        <v>351</v>
      </c>
      <c r="AC5124" s="21">
        <v>33</v>
      </c>
      <c r="AD5124" s="21" t="s">
        <v>368</v>
      </c>
      <c r="AE5124" t="str">
        <f>VLOOKUP(Table_Query_from_Actuarial___Production3[[#This Row],[Kor1]],$AI$3:$AK$105,3,FALSE)</f>
        <v>Misc. Expense for Insolvent Companies</v>
      </c>
      <c r="AF5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5" spans="18:32" x14ac:dyDescent="0.2">
      <c r="R5125" t="s">
        <v>49</v>
      </c>
      <c r="S5125" t="s">
        <v>230</v>
      </c>
      <c r="T5125" t="s">
        <v>433</v>
      </c>
      <c r="U5125" s="21">
        <v>1397148.32</v>
      </c>
      <c r="V5125" s="21" t="s">
        <v>368</v>
      </c>
      <c r="W5125" t="str">
        <f>VLOOKUP(Table_Query_from_Actuarial___Production[[#This Row],[Kor1]],$AI$3:$AK$105,3,FALSE)</f>
        <v>ALAE Paid</v>
      </c>
      <c r="X5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5"/>
      <c r="Z5125" t="s">
        <v>49</v>
      </c>
      <c r="AA5125" t="s">
        <v>4</v>
      </c>
      <c r="AB5125" t="s">
        <v>8</v>
      </c>
      <c r="AC5125" s="21">
        <v>1615494.97</v>
      </c>
      <c r="AD5125" s="21" t="s">
        <v>368</v>
      </c>
      <c r="AE5125" t="str">
        <f>VLOOKUP(Table_Query_from_Actuarial___Production3[[#This Row],[Kor1]],$AI$3:$AK$105,3,FALSE)</f>
        <v>ALAE Paid</v>
      </c>
      <c r="AF5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6" spans="18:32" x14ac:dyDescent="0.2">
      <c r="R5126" t="s">
        <v>16</v>
      </c>
      <c r="S5126" t="s">
        <v>249</v>
      </c>
      <c r="T5126" t="s">
        <v>443</v>
      </c>
      <c r="U5126" s="21">
        <v>193243.96</v>
      </c>
      <c r="V5126" s="21" t="s">
        <v>368</v>
      </c>
      <c r="W5126" t="str">
        <f>VLOOKUP(Table_Query_from_Actuarial___Production[[#This Row],[Kor1]],$AI$3:$AK$105,3,FALSE)</f>
        <v>Losses Outstanding</v>
      </c>
      <c r="X5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6"/>
      <c r="Z5126" t="s">
        <v>12</v>
      </c>
      <c r="AA5126" t="s">
        <v>263</v>
      </c>
      <c r="AB5126" t="s">
        <v>427</v>
      </c>
      <c r="AC5126" s="21">
        <v>10167.540000000001</v>
      </c>
      <c r="AD5126" s="21" t="s">
        <v>368</v>
      </c>
      <c r="AE5126" t="str">
        <f>VLOOKUP(Table_Query_from_Actuarial___Production3[[#This Row],[Kor1]],$AI$3:$AK$105,3,FALSE)</f>
        <v>Premium Tax</v>
      </c>
      <c r="AF5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7" spans="18:32" x14ac:dyDescent="0.2">
      <c r="R5127" t="s">
        <v>31</v>
      </c>
      <c r="S5127" t="s">
        <v>268</v>
      </c>
      <c r="T5127" t="s">
        <v>351</v>
      </c>
      <c r="U5127" s="21">
        <v>899.54</v>
      </c>
      <c r="V5127" s="21" t="s">
        <v>368</v>
      </c>
      <c r="W5127" t="str">
        <f>VLOOKUP(Table_Query_from_Actuarial___Production[[#This Row],[Kor1]],$AI$3:$AK$105,3,FALSE)</f>
        <v>Misc. Expense</v>
      </c>
      <c r="X5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7"/>
      <c r="Z5127" t="s">
        <v>48</v>
      </c>
      <c r="AA5127" t="s">
        <v>251</v>
      </c>
      <c r="AB5127" t="s">
        <v>427</v>
      </c>
      <c r="AC5127" s="21">
        <v>634.08000000000004</v>
      </c>
      <c r="AD5127" s="21" t="s">
        <v>368</v>
      </c>
      <c r="AE5127" t="str">
        <f>VLOOKUP(Table_Query_from_Actuarial___Production3[[#This Row],[Kor1]],$AI$3:$AK$105,3,FALSE)</f>
        <v>Anticipated Salvage</v>
      </c>
      <c r="AF5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8" spans="18:32" x14ac:dyDescent="0.2">
      <c r="R5128" t="s">
        <v>50</v>
      </c>
      <c r="S5128" t="s">
        <v>229</v>
      </c>
      <c r="T5128" t="s">
        <v>441</v>
      </c>
      <c r="U5128" s="21">
        <v>340.66</v>
      </c>
      <c r="V5128" s="21" t="s">
        <v>368</v>
      </c>
      <c r="W5128" t="str">
        <f>VLOOKUP(Table_Query_from_Actuarial___Production[[#This Row],[Kor1]],$AI$3:$AK$105,3,FALSE)</f>
        <v>ALAE Reserve</v>
      </c>
      <c r="X5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8"/>
      <c r="Z5128" t="s">
        <v>39</v>
      </c>
      <c r="AA5128" t="s">
        <v>235</v>
      </c>
      <c r="AB5128" t="s">
        <v>7</v>
      </c>
      <c r="AC5128" s="21">
        <v>5</v>
      </c>
      <c r="AD5128" s="21" t="s">
        <v>368</v>
      </c>
      <c r="AE5128" t="str">
        <f>VLOOKUP(Table_Query_from_Actuarial___Production3[[#This Row],[Kor1]],$AI$3:$AK$105,3,FALSE)</f>
        <v>Misc. Income for Insolvent Companies</v>
      </c>
      <c r="AF5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29" spans="18:32" x14ac:dyDescent="0.2">
      <c r="R5129" t="s">
        <v>44</v>
      </c>
      <c r="S5129" t="s">
        <v>227</v>
      </c>
      <c r="T5129" t="s">
        <v>9</v>
      </c>
      <c r="U5129" s="21">
        <v>7234</v>
      </c>
      <c r="V5129" s="21" t="s">
        <v>368</v>
      </c>
      <c r="W5129" t="str">
        <f>VLOOKUP(Table_Query_from_Actuarial___Production[[#This Row],[Kor1]],$AI$3:$AK$105,3,FALSE)</f>
        <v>Charge-offs</v>
      </c>
      <c r="X5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29"/>
      <c r="Z5129" t="s">
        <v>12</v>
      </c>
      <c r="AA5129" t="s">
        <v>237</v>
      </c>
      <c r="AB5129" t="s">
        <v>442</v>
      </c>
      <c r="AC5129" s="21">
        <v>1231294.83</v>
      </c>
      <c r="AD5129" s="21" t="s">
        <v>368</v>
      </c>
      <c r="AE5129" t="str">
        <f>VLOOKUP(Table_Query_from_Actuarial___Production3[[#This Row],[Kor1]],$AI$3:$AK$105,3,FALSE)</f>
        <v>Premium Tax</v>
      </c>
      <c r="AF5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0" spans="18:32" x14ac:dyDescent="0.2">
      <c r="R5130" t="s">
        <v>3</v>
      </c>
      <c r="S5130" t="s">
        <v>225</v>
      </c>
      <c r="T5130" t="s">
        <v>445</v>
      </c>
      <c r="U5130" s="21">
        <v>671008</v>
      </c>
      <c r="V5130" s="21" t="s">
        <v>369</v>
      </c>
      <c r="W5130" t="str">
        <f>VLOOKUP(Table_Query_from_Actuarial___Production[[#This Row],[Kor1]],$AI$3:$AK$105,3,FALSE)</f>
        <v>Premiums Written</v>
      </c>
      <c r="X5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130"/>
      <c r="Z5130" t="s">
        <v>50</v>
      </c>
      <c r="AA5130" t="s">
        <v>230</v>
      </c>
      <c r="AB5130" t="s">
        <v>9</v>
      </c>
      <c r="AC5130" s="21">
        <v>123551.95</v>
      </c>
      <c r="AD5130" s="21" t="s">
        <v>368</v>
      </c>
      <c r="AE5130" t="str">
        <f>VLOOKUP(Table_Query_from_Actuarial___Production3[[#This Row],[Kor1]],$AI$3:$AK$105,3,FALSE)</f>
        <v>ALAE Reserve</v>
      </c>
      <c r="AF5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1" spans="18:32" x14ac:dyDescent="0.2">
      <c r="R5131" t="s">
        <v>11</v>
      </c>
      <c r="S5131" t="s">
        <v>257</v>
      </c>
      <c r="T5131" t="s">
        <v>9</v>
      </c>
      <c r="U5131" s="21">
        <v>1251276.08</v>
      </c>
      <c r="V5131" s="21" t="s">
        <v>368</v>
      </c>
      <c r="W5131" t="str">
        <f>VLOOKUP(Table_Query_from_Actuarial___Production[[#This Row],[Kor1]],$AI$3:$AK$105,3,FALSE)</f>
        <v>Losses Paid</v>
      </c>
      <c r="X5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1"/>
      <c r="Z5131" t="s">
        <v>39</v>
      </c>
      <c r="AA5131" t="s">
        <v>254</v>
      </c>
      <c r="AB5131" t="s">
        <v>351</v>
      </c>
      <c r="AC5131" s="21">
        <v>1922</v>
      </c>
      <c r="AD5131" s="21" t="s">
        <v>368</v>
      </c>
      <c r="AE5131" t="str">
        <f>VLOOKUP(Table_Query_from_Actuarial___Production3[[#This Row],[Kor1]],$AI$3:$AK$105,3,FALSE)</f>
        <v>Misc. Income for Insolvent Companies</v>
      </c>
      <c r="AF5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2" spans="18:32" x14ac:dyDescent="0.2">
      <c r="R5132" t="s">
        <v>11</v>
      </c>
      <c r="S5132" t="s">
        <v>228</v>
      </c>
      <c r="T5132" t="s">
        <v>7</v>
      </c>
      <c r="U5132" s="21">
        <v>194862.17</v>
      </c>
      <c r="V5132" s="21" t="s">
        <v>368</v>
      </c>
      <c r="W5132" t="str">
        <f>VLOOKUP(Table_Query_from_Actuarial___Production[[#This Row],[Kor1]],$AI$3:$AK$105,3,FALSE)</f>
        <v>Losses Paid</v>
      </c>
      <c r="X5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2"/>
      <c r="Z5132" t="s">
        <v>38</v>
      </c>
      <c r="AA5132" t="s">
        <v>354</v>
      </c>
      <c r="AB5132" t="s">
        <v>442</v>
      </c>
      <c r="AC5132" s="21">
        <v>496282.89</v>
      </c>
      <c r="AD5132" s="21" t="s">
        <v>369</v>
      </c>
      <c r="AE5132" t="str">
        <f>VLOOKUP(Table_Query_from_Actuarial___Production3[[#This Row],[Kor1]],$AI$3:$AK$105,3,FALSE)</f>
        <v>Misc. Income</v>
      </c>
      <c r="AF5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133" spans="18:32" x14ac:dyDescent="0.2">
      <c r="R5133" t="s">
        <v>12</v>
      </c>
      <c r="S5133" t="s">
        <v>231</v>
      </c>
      <c r="T5133" t="s">
        <v>356</v>
      </c>
      <c r="U5133" s="21">
        <v>5859.2</v>
      </c>
      <c r="V5133" s="21" t="s">
        <v>368</v>
      </c>
      <c r="W5133" t="str">
        <f>VLOOKUP(Table_Query_from_Actuarial___Production[[#This Row],[Kor1]],$AI$3:$AK$105,3,FALSE)</f>
        <v>Premium Tax</v>
      </c>
      <c r="X5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3"/>
      <c r="Z5133" t="s">
        <v>21</v>
      </c>
      <c r="AA5133" t="s">
        <v>251</v>
      </c>
      <c r="AB5133" t="s">
        <v>433</v>
      </c>
      <c r="AC5133" s="21">
        <v>2082.19</v>
      </c>
      <c r="AD5133" s="21" t="s">
        <v>368</v>
      </c>
      <c r="AE5133" t="str">
        <f>VLOOKUP(Table_Query_from_Actuarial___Production3[[#This Row],[Kor1]],$AI$3:$AK$105,3,FALSE)</f>
        <v>Misc. Expense</v>
      </c>
      <c r="AF5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4" spans="18:32" x14ac:dyDescent="0.2">
      <c r="R5134" t="s">
        <v>49</v>
      </c>
      <c r="S5134" t="s">
        <v>235</v>
      </c>
      <c r="T5134" t="s">
        <v>427</v>
      </c>
      <c r="U5134" s="21">
        <v>78851.72</v>
      </c>
      <c r="V5134" s="21" t="s">
        <v>368</v>
      </c>
      <c r="W5134" t="str">
        <f>VLOOKUP(Table_Query_from_Actuarial___Production[[#This Row],[Kor1]],$AI$3:$AK$105,3,FALSE)</f>
        <v>ALAE Paid</v>
      </c>
      <c r="X5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4"/>
      <c r="Z5134" t="s">
        <v>37</v>
      </c>
      <c r="AA5134" t="s">
        <v>250</v>
      </c>
      <c r="AB5134" t="s">
        <v>356</v>
      </c>
      <c r="AC5134" s="21">
        <v>397.32</v>
      </c>
      <c r="AD5134" s="21" t="s">
        <v>368</v>
      </c>
      <c r="AE5134" t="str">
        <f>VLOOKUP(Table_Query_from_Actuarial___Production3[[#This Row],[Kor1]],$AI$3:$AK$105,3,FALSE)</f>
        <v>Misc. Expense</v>
      </c>
      <c r="AF5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5" spans="18:32" x14ac:dyDescent="0.2">
      <c r="R5135" t="s">
        <v>44</v>
      </c>
      <c r="S5135" t="s">
        <v>243</v>
      </c>
      <c r="T5135" t="s">
        <v>433</v>
      </c>
      <c r="U5135" s="21">
        <v>18034</v>
      </c>
      <c r="V5135" s="21" t="s">
        <v>368</v>
      </c>
      <c r="W5135" t="str">
        <f>VLOOKUP(Table_Query_from_Actuarial___Production[[#This Row],[Kor1]],$AI$3:$AK$105,3,FALSE)</f>
        <v>Charge-offs</v>
      </c>
      <c r="X5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5"/>
      <c r="Z5135" t="s">
        <v>39</v>
      </c>
      <c r="AA5135" t="s">
        <v>250</v>
      </c>
      <c r="AB5135" t="s">
        <v>441</v>
      </c>
      <c r="AC5135" s="21">
        <v>1017.01</v>
      </c>
      <c r="AD5135" s="21" t="s">
        <v>368</v>
      </c>
      <c r="AE5135" t="str">
        <f>VLOOKUP(Table_Query_from_Actuarial___Production3[[#This Row],[Kor1]],$AI$3:$AK$105,3,FALSE)</f>
        <v>Misc. Income for Insolvent Companies</v>
      </c>
      <c r="AF5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6" spans="18:32" x14ac:dyDescent="0.2">
      <c r="R5136" t="s">
        <v>46</v>
      </c>
      <c r="S5136" t="s">
        <v>224</v>
      </c>
      <c r="T5136" t="s">
        <v>9</v>
      </c>
      <c r="U5136" s="21">
        <v>16942.71</v>
      </c>
      <c r="V5136" s="21" t="s">
        <v>368</v>
      </c>
      <c r="W5136" t="str">
        <f>VLOOKUP(Table_Query_from_Actuarial___Production[[#This Row],[Kor1]],$AI$3:$AK$105,3,FALSE)</f>
        <v>Investment Income</v>
      </c>
      <c r="X5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136"/>
      <c r="Z5136" t="s">
        <v>14</v>
      </c>
      <c r="AA5136" t="s">
        <v>226</v>
      </c>
      <c r="AB5136" t="s">
        <v>9</v>
      </c>
      <c r="AC5136" s="21">
        <v>588028.52</v>
      </c>
      <c r="AD5136" s="21" t="s">
        <v>368</v>
      </c>
      <c r="AE5136" t="str">
        <f>VLOOKUP(Table_Query_from_Actuarial___Production3[[#This Row],[Kor1]],$AI$3:$AK$105,3,FALSE)</f>
        <v>Claims Expense</v>
      </c>
      <c r="AF5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137" spans="18:32" x14ac:dyDescent="0.2">
      <c r="R5137" t="s">
        <v>39</v>
      </c>
      <c r="S5137" t="s">
        <v>266</v>
      </c>
      <c r="T5137" t="s">
        <v>7</v>
      </c>
      <c r="U5137" s="21">
        <v>3</v>
      </c>
      <c r="V5137" s="21" t="s">
        <v>368</v>
      </c>
      <c r="W5137" t="str">
        <f>VLOOKUP(Table_Query_from_Actuarial___Production[[#This Row],[Kor1]],$AI$3:$AK$105,3,FALSE)</f>
        <v>Misc. Income for Insolvent Companies</v>
      </c>
      <c r="X5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7"/>
      <c r="Z5137" t="s">
        <v>14</v>
      </c>
      <c r="AA5137" t="s">
        <v>225</v>
      </c>
      <c r="AB5137" t="s">
        <v>8</v>
      </c>
      <c r="AC5137" s="21">
        <v>105286</v>
      </c>
      <c r="AD5137" s="21" t="s">
        <v>369</v>
      </c>
      <c r="AE5137" t="str">
        <f>VLOOKUP(Table_Query_from_Actuarial___Production3[[#This Row],[Kor1]],$AI$3:$AK$105,3,FALSE)</f>
        <v>Claims Expense</v>
      </c>
      <c r="AF5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138" spans="18:32" x14ac:dyDescent="0.2">
      <c r="R5138" t="s">
        <v>12</v>
      </c>
      <c r="S5138" t="s">
        <v>230</v>
      </c>
      <c r="T5138" t="s">
        <v>7</v>
      </c>
      <c r="U5138" s="21">
        <v>424981.53</v>
      </c>
      <c r="V5138" s="21" t="s">
        <v>368</v>
      </c>
      <c r="W5138" t="str">
        <f>VLOOKUP(Table_Query_from_Actuarial___Production[[#This Row],[Kor1]],$AI$3:$AK$105,3,FALSE)</f>
        <v>Premium Tax</v>
      </c>
      <c r="X5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8"/>
      <c r="Z5138" t="s">
        <v>48</v>
      </c>
      <c r="AA5138" t="s">
        <v>243</v>
      </c>
      <c r="AB5138" t="s">
        <v>433</v>
      </c>
      <c r="AC5138" s="21">
        <v>4115.45</v>
      </c>
      <c r="AD5138" s="21" t="s">
        <v>368</v>
      </c>
      <c r="AE5138" t="str">
        <f>VLOOKUP(Table_Query_from_Actuarial___Production3[[#This Row],[Kor1]],$AI$3:$AK$105,3,FALSE)</f>
        <v>Anticipated Salvage</v>
      </c>
      <c r="AF5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39" spans="18:32" x14ac:dyDescent="0.2">
      <c r="R5139" t="s">
        <v>10</v>
      </c>
      <c r="S5139" t="s">
        <v>235</v>
      </c>
      <c r="T5139" t="s">
        <v>8</v>
      </c>
      <c r="U5139" s="21">
        <v>48114</v>
      </c>
      <c r="V5139" s="21" t="s">
        <v>368</v>
      </c>
      <c r="W5139" t="str">
        <f>VLOOKUP(Table_Query_from_Actuarial___Production[[#This Row],[Kor1]],$AI$3:$AK$105,3,FALSE)</f>
        <v>Commissions</v>
      </c>
      <c r="X5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39"/>
      <c r="Z5139" t="s">
        <v>14</v>
      </c>
      <c r="AA5139" t="s">
        <v>227</v>
      </c>
      <c r="AB5139" t="s">
        <v>441</v>
      </c>
      <c r="AC5139" s="21">
        <v>5442.73</v>
      </c>
      <c r="AD5139" s="21" t="s">
        <v>368</v>
      </c>
      <c r="AE5139" t="str">
        <f>VLOOKUP(Table_Query_from_Actuarial___Production3[[#This Row],[Kor1]],$AI$3:$AK$105,3,FALSE)</f>
        <v>Claims Expense</v>
      </c>
      <c r="AF5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0" spans="18:32" x14ac:dyDescent="0.2">
      <c r="R5140" t="s">
        <v>41</v>
      </c>
      <c r="S5140" t="s">
        <v>243</v>
      </c>
      <c r="T5140" t="s">
        <v>6</v>
      </c>
      <c r="U5140" s="21">
        <v>50</v>
      </c>
      <c r="V5140" s="21" t="s">
        <v>368</v>
      </c>
      <c r="W5140" t="str">
        <f>VLOOKUP(Table_Query_from_Actuarial___Production[[#This Row],[Kor1]],$AI$3:$AK$105,3,FALSE)</f>
        <v>Misc. Income</v>
      </c>
      <c r="X5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0"/>
      <c r="Z5140" t="s">
        <v>3</v>
      </c>
      <c r="AA5140" t="s">
        <v>256</v>
      </c>
      <c r="AB5140" t="s">
        <v>6</v>
      </c>
      <c r="AC5140" s="21">
        <v>48510</v>
      </c>
      <c r="AD5140" s="21" t="s">
        <v>368</v>
      </c>
      <c r="AE5140" t="str">
        <f>VLOOKUP(Table_Query_from_Actuarial___Production3[[#This Row],[Kor1]],$AI$3:$AK$105,3,FALSE)</f>
        <v>Premiums Written</v>
      </c>
      <c r="AF5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1" spans="18:32" x14ac:dyDescent="0.2">
      <c r="R5141" t="s">
        <v>144</v>
      </c>
      <c r="S5141" t="s">
        <v>224</v>
      </c>
      <c r="T5141" t="s">
        <v>442</v>
      </c>
      <c r="U5141" s="21">
        <v>-1200</v>
      </c>
      <c r="V5141" s="21" t="s">
        <v>369</v>
      </c>
      <c r="W5141" t="str">
        <f>VLOOKUP(Table_Query_from_Actuarial___Production[[#This Row],[Kor1]],$AI$3:$AK$105,3,FALSE)</f>
        <v>Claims Expense</v>
      </c>
      <c r="X5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141"/>
      <c r="Z5141" t="s">
        <v>47</v>
      </c>
      <c r="AA5141" t="s">
        <v>243</v>
      </c>
      <c r="AB5141" t="s">
        <v>441</v>
      </c>
      <c r="AC5141" s="21">
        <v>8.56</v>
      </c>
      <c r="AD5141" s="21" t="s">
        <v>368</v>
      </c>
      <c r="AE5141" t="str">
        <f>VLOOKUP(Table_Query_from_Actuarial___Production3[[#This Row],[Kor1]],$AI$3:$AK$105,3,FALSE)</f>
        <v>Investment Income</v>
      </c>
      <c r="AF5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2" spans="18:32" x14ac:dyDescent="0.2">
      <c r="R5142" t="s">
        <v>20</v>
      </c>
      <c r="S5142" t="s">
        <v>251</v>
      </c>
      <c r="T5142" t="s">
        <v>445</v>
      </c>
      <c r="U5142" s="21">
        <v>28.47</v>
      </c>
      <c r="V5142" s="21" t="s">
        <v>368</v>
      </c>
      <c r="W5142" t="str">
        <f>VLOOKUP(Table_Query_from_Actuarial___Production[[#This Row],[Kor1]],$AI$3:$AK$105,3,FALSE)</f>
        <v>Misc. Expense</v>
      </c>
      <c r="X5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2"/>
      <c r="Z5142" t="s">
        <v>14</v>
      </c>
      <c r="AA5142" t="s">
        <v>224</v>
      </c>
      <c r="AB5142" t="s">
        <v>5</v>
      </c>
      <c r="AC5142" s="21">
        <v>56227.31</v>
      </c>
      <c r="AD5142" s="21" t="s">
        <v>369</v>
      </c>
      <c r="AE5142" t="str">
        <f>VLOOKUP(Table_Query_from_Actuarial___Production3[[#This Row],[Kor1]],$AI$3:$AK$105,3,FALSE)</f>
        <v>Claims Expense</v>
      </c>
      <c r="AF5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143" spans="18:32" x14ac:dyDescent="0.2">
      <c r="R5143" t="s">
        <v>20</v>
      </c>
      <c r="S5143" t="s">
        <v>252</v>
      </c>
      <c r="T5143" t="s">
        <v>6</v>
      </c>
      <c r="U5143" s="21">
        <v>645.57000000000005</v>
      </c>
      <c r="V5143" s="21" t="s">
        <v>368</v>
      </c>
      <c r="W5143" t="str">
        <f>VLOOKUP(Table_Query_from_Actuarial___Production[[#This Row],[Kor1]],$AI$3:$AK$105,3,FALSE)</f>
        <v>Misc. Expense</v>
      </c>
      <c r="X5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3"/>
      <c r="Z5143" t="s">
        <v>49</v>
      </c>
      <c r="AA5143" t="s">
        <v>230</v>
      </c>
      <c r="AB5143" t="s">
        <v>433</v>
      </c>
      <c r="AC5143" s="21">
        <v>800280.69</v>
      </c>
      <c r="AD5143" s="21" t="s">
        <v>368</v>
      </c>
      <c r="AE5143" t="str">
        <f>VLOOKUP(Table_Query_from_Actuarial___Production3[[#This Row],[Kor1]],$AI$3:$AK$105,3,FALSE)</f>
        <v>ALAE Paid</v>
      </c>
      <c r="AF5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4" spans="18:32" x14ac:dyDescent="0.2">
      <c r="R5144" t="s">
        <v>37</v>
      </c>
      <c r="S5144" t="s">
        <v>257</v>
      </c>
      <c r="T5144" t="s">
        <v>6</v>
      </c>
      <c r="U5144" s="21">
        <v>4061.67</v>
      </c>
      <c r="V5144" s="21" t="s">
        <v>368</v>
      </c>
      <c r="W5144" t="str">
        <f>VLOOKUP(Table_Query_from_Actuarial___Production[[#This Row],[Kor1]],$AI$3:$AK$105,3,FALSE)</f>
        <v>Misc. Expense</v>
      </c>
      <c r="X5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4"/>
      <c r="Z5144" t="s">
        <v>31</v>
      </c>
      <c r="AA5144" t="s">
        <v>268</v>
      </c>
      <c r="AB5144" t="s">
        <v>351</v>
      </c>
      <c r="AC5144" s="21">
        <v>899.54</v>
      </c>
      <c r="AD5144" s="21" t="s">
        <v>368</v>
      </c>
      <c r="AE5144" t="str">
        <f>VLOOKUP(Table_Query_from_Actuarial___Production3[[#This Row],[Kor1]],$AI$3:$AK$105,3,FALSE)</f>
        <v>Misc. Expense</v>
      </c>
      <c r="AF5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5" spans="18:32" x14ac:dyDescent="0.2">
      <c r="R5145" t="s">
        <v>3</v>
      </c>
      <c r="S5145" t="s">
        <v>265</v>
      </c>
      <c r="T5145" t="s">
        <v>8</v>
      </c>
      <c r="U5145" s="21">
        <v>718244</v>
      </c>
      <c r="V5145" s="21" t="s">
        <v>368</v>
      </c>
      <c r="W5145" t="str">
        <f>VLOOKUP(Table_Query_from_Actuarial___Production[[#This Row],[Kor1]],$AI$3:$AK$105,3,FALSE)</f>
        <v>Premiums Written</v>
      </c>
      <c r="X5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5"/>
      <c r="Z5145" t="s">
        <v>50</v>
      </c>
      <c r="AA5145" t="s">
        <v>229</v>
      </c>
      <c r="AB5145" t="s">
        <v>441</v>
      </c>
      <c r="AC5145" s="21">
        <v>351.69</v>
      </c>
      <c r="AD5145" s="21" t="s">
        <v>368</v>
      </c>
      <c r="AE5145" t="str">
        <f>VLOOKUP(Table_Query_from_Actuarial___Production3[[#This Row],[Kor1]],$AI$3:$AK$105,3,FALSE)</f>
        <v>ALAE Reserve</v>
      </c>
      <c r="AF5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6" spans="18:32" x14ac:dyDescent="0.2">
      <c r="R5146" t="s">
        <v>3</v>
      </c>
      <c r="S5146" t="s">
        <v>242</v>
      </c>
      <c r="T5146" t="s">
        <v>445</v>
      </c>
      <c r="U5146" s="21">
        <v>326015</v>
      </c>
      <c r="V5146" s="21" t="s">
        <v>368</v>
      </c>
      <c r="W5146" t="str">
        <f>VLOOKUP(Table_Query_from_Actuarial___Production[[#This Row],[Kor1]],$AI$3:$AK$105,3,FALSE)</f>
        <v>Premiums Written</v>
      </c>
      <c r="X5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6"/>
      <c r="Z5146" t="s">
        <v>44</v>
      </c>
      <c r="AA5146" t="s">
        <v>227</v>
      </c>
      <c r="AB5146" t="s">
        <v>9</v>
      </c>
      <c r="AC5146" s="21">
        <v>7234</v>
      </c>
      <c r="AD5146" s="21" t="s">
        <v>368</v>
      </c>
      <c r="AE5146" t="str">
        <f>VLOOKUP(Table_Query_from_Actuarial___Production3[[#This Row],[Kor1]],$AI$3:$AK$105,3,FALSE)</f>
        <v>Charge-offs</v>
      </c>
      <c r="AF5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7" spans="18:32" x14ac:dyDescent="0.2">
      <c r="R5147" t="s">
        <v>19</v>
      </c>
      <c r="S5147" t="s">
        <v>262</v>
      </c>
      <c r="T5147" t="s">
        <v>7</v>
      </c>
      <c r="U5147" s="21">
        <v>270</v>
      </c>
      <c r="V5147" s="21" t="s">
        <v>368</v>
      </c>
      <c r="W5147" t="str">
        <f>VLOOKUP(Table_Query_from_Actuarial___Production[[#This Row],[Kor1]],$AI$3:$AK$105,3,FALSE)</f>
        <v>Misc. Expense for Insolvent Companies</v>
      </c>
      <c r="X5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7"/>
      <c r="Z5147" t="s">
        <v>11</v>
      </c>
      <c r="AA5147" t="s">
        <v>257</v>
      </c>
      <c r="AB5147" t="s">
        <v>9</v>
      </c>
      <c r="AC5147" s="21">
        <v>1251276.08</v>
      </c>
      <c r="AD5147" s="21" t="s">
        <v>368</v>
      </c>
      <c r="AE5147" t="str">
        <f>VLOOKUP(Table_Query_from_Actuarial___Production3[[#This Row],[Kor1]],$AI$3:$AK$105,3,FALSE)</f>
        <v>Losses Paid</v>
      </c>
      <c r="AF5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8" spans="18:32" x14ac:dyDescent="0.2">
      <c r="R5148" t="s">
        <v>10</v>
      </c>
      <c r="S5148" t="s">
        <v>261</v>
      </c>
      <c r="T5148" t="s">
        <v>442</v>
      </c>
      <c r="U5148" s="21">
        <v>20321.400000000001</v>
      </c>
      <c r="V5148" s="21" t="s">
        <v>368</v>
      </c>
      <c r="W5148" t="str">
        <f>VLOOKUP(Table_Query_from_Actuarial___Production[[#This Row],[Kor1]],$AI$3:$AK$105,3,FALSE)</f>
        <v>Commissions</v>
      </c>
      <c r="X5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8"/>
      <c r="Z5148" t="s">
        <v>11</v>
      </c>
      <c r="AA5148" t="s">
        <v>228</v>
      </c>
      <c r="AB5148" t="s">
        <v>7</v>
      </c>
      <c r="AC5148" s="21">
        <v>194862.17</v>
      </c>
      <c r="AD5148" s="21" t="s">
        <v>368</v>
      </c>
      <c r="AE5148" t="str">
        <f>VLOOKUP(Table_Query_from_Actuarial___Production3[[#This Row],[Kor1]],$AI$3:$AK$105,3,FALSE)</f>
        <v>Losses Paid</v>
      </c>
      <c r="AF5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49" spans="18:32" x14ac:dyDescent="0.2">
      <c r="R5149" t="s">
        <v>12</v>
      </c>
      <c r="S5149" t="s">
        <v>241</v>
      </c>
      <c r="T5149" t="s">
        <v>6</v>
      </c>
      <c r="U5149" s="21">
        <v>6909.54</v>
      </c>
      <c r="V5149" s="21" t="s">
        <v>368</v>
      </c>
      <c r="W5149" t="str">
        <f>VLOOKUP(Table_Query_from_Actuarial___Production[[#This Row],[Kor1]],$AI$3:$AK$105,3,FALSE)</f>
        <v>Premium Tax</v>
      </c>
      <c r="X5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49"/>
      <c r="Z5149" t="s">
        <v>12</v>
      </c>
      <c r="AA5149" t="s">
        <v>231</v>
      </c>
      <c r="AB5149" t="s">
        <v>356</v>
      </c>
      <c r="AC5149" s="21">
        <v>5859.2</v>
      </c>
      <c r="AD5149" s="21" t="s">
        <v>368</v>
      </c>
      <c r="AE5149" t="str">
        <f>VLOOKUP(Table_Query_from_Actuarial___Production3[[#This Row],[Kor1]],$AI$3:$AK$105,3,FALSE)</f>
        <v>Premium Tax</v>
      </c>
      <c r="AF5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0" spans="18:32" x14ac:dyDescent="0.2">
      <c r="R5150" t="s">
        <v>21</v>
      </c>
      <c r="S5150" t="s">
        <v>252</v>
      </c>
      <c r="T5150" t="s">
        <v>356</v>
      </c>
      <c r="U5150" s="21">
        <v>35116.33</v>
      </c>
      <c r="V5150" s="21" t="s">
        <v>368</v>
      </c>
      <c r="W5150" t="str">
        <f>VLOOKUP(Table_Query_from_Actuarial___Production[[#This Row],[Kor1]],$AI$3:$AK$105,3,FALSE)</f>
        <v>Misc. Expense</v>
      </c>
      <c r="X5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0"/>
      <c r="Z5150" t="s">
        <v>49</v>
      </c>
      <c r="AA5150" t="s">
        <v>235</v>
      </c>
      <c r="AB5150" t="s">
        <v>427</v>
      </c>
      <c r="AC5150" s="21">
        <v>67830.06</v>
      </c>
      <c r="AD5150" s="21" t="s">
        <v>368</v>
      </c>
      <c r="AE5150" t="str">
        <f>VLOOKUP(Table_Query_from_Actuarial___Production3[[#This Row],[Kor1]],$AI$3:$AK$105,3,FALSE)</f>
        <v>ALAE Paid</v>
      </c>
      <c r="AF5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1" spans="18:32" x14ac:dyDescent="0.2">
      <c r="R5151" t="s">
        <v>50</v>
      </c>
      <c r="S5151" t="s">
        <v>247</v>
      </c>
      <c r="T5151" t="s">
        <v>441</v>
      </c>
      <c r="U5151" s="21">
        <v>19.72</v>
      </c>
      <c r="V5151" s="21" t="s">
        <v>368</v>
      </c>
      <c r="W5151" t="str">
        <f>VLOOKUP(Table_Query_from_Actuarial___Production[[#This Row],[Kor1]],$AI$3:$AK$105,3,FALSE)</f>
        <v>ALAE Reserve</v>
      </c>
      <c r="X5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1"/>
      <c r="Z5151" t="s">
        <v>44</v>
      </c>
      <c r="AA5151" t="s">
        <v>243</v>
      </c>
      <c r="AB5151" t="s">
        <v>433</v>
      </c>
      <c r="AC5151" s="21">
        <v>18034</v>
      </c>
      <c r="AD5151" s="21" t="s">
        <v>368</v>
      </c>
      <c r="AE5151" t="str">
        <f>VLOOKUP(Table_Query_from_Actuarial___Production3[[#This Row],[Kor1]],$AI$3:$AK$105,3,FALSE)</f>
        <v>Charge-offs</v>
      </c>
      <c r="AF5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2" spans="18:32" x14ac:dyDescent="0.2">
      <c r="R5152" t="s">
        <v>31</v>
      </c>
      <c r="S5152" t="s">
        <v>235</v>
      </c>
      <c r="T5152" t="s">
        <v>356</v>
      </c>
      <c r="U5152" s="21">
        <v>803.52</v>
      </c>
      <c r="V5152" s="21" t="s">
        <v>368</v>
      </c>
      <c r="W5152" t="str">
        <f>VLOOKUP(Table_Query_from_Actuarial___Production[[#This Row],[Kor1]],$AI$3:$AK$105,3,FALSE)</f>
        <v>Misc. Expense</v>
      </c>
      <c r="X5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2"/>
      <c r="Z5152" t="s">
        <v>46</v>
      </c>
      <c r="AA5152" t="s">
        <v>224</v>
      </c>
      <c r="AB5152" t="s">
        <v>9</v>
      </c>
      <c r="AC5152" s="21">
        <v>16942.71</v>
      </c>
      <c r="AD5152" s="21" t="s">
        <v>368</v>
      </c>
      <c r="AE5152" t="str">
        <f>VLOOKUP(Table_Query_from_Actuarial___Production3[[#This Row],[Kor1]],$AI$3:$AK$105,3,FALSE)</f>
        <v>Investment Income</v>
      </c>
      <c r="AF5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153" spans="18:32" x14ac:dyDescent="0.2">
      <c r="R5153" t="s">
        <v>20</v>
      </c>
      <c r="S5153" t="s">
        <v>254</v>
      </c>
      <c r="T5153" t="s">
        <v>445</v>
      </c>
      <c r="U5153" s="21">
        <v>142.29</v>
      </c>
      <c r="V5153" s="21" t="s">
        <v>368</v>
      </c>
      <c r="W5153" t="str">
        <f>VLOOKUP(Table_Query_from_Actuarial___Production[[#This Row],[Kor1]],$AI$3:$AK$105,3,FALSE)</f>
        <v>Misc. Expense</v>
      </c>
      <c r="X5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3"/>
      <c r="Z5153" t="s">
        <v>13</v>
      </c>
      <c r="AA5153" t="s">
        <v>232</v>
      </c>
      <c r="AB5153" t="s">
        <v>5</v>
      </c>
      <c r="AC5153" s="21">
        <v>180287.4</v>
      </c>
      <c r="AD5153" s="21" t="s">
        <v>368</v>
      </c>
      <c r="AE5153" t="str">
        <f>VLOOKUP(Table_Query_from_Actuarial___Production3[[#This Row],[Kor1]],$AI$3:$AK$105,3,FALSE)</f>
        <v>Operating Service Fees</v>
      </c>
      <c r="AF5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4" spans="18:32" x14ac:dyDescent="0.2">
      <c r="R5154" t="s">
        <v>11</v>
      </c>
      <c r="S5154" t="s">
        <v>231</v>
      </c>
      <c r="T5154" t="s">
        <v>6</v>
      </c>
      <c r="U5154" s="21">
        <v>18947.86</v>
      </c>
      <c r="V5154" s="21" t="s">
        <v>368</v>
      </c>
      <c r="W5154" t="str">
        <f>VLOOKUP(Table_Query_from_Actuarial___Production[[#This Row],[Kor1]],$AI$3:$AK$105,3,FALSE)</f>
        <v>Losses Paid</v>
      </c>
      <c r="X5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4"/>
      <c r="Z5154" t="s">
        <v>39</v>
      </c>
      <c r="AA5154" t="s">
        <v>266</v>
      </c>
      <c r="AB5154" t="s">
        <v>7</v>
      </c>
      <c r="AC5154" s="21">
        <v>3</v>
      </c>
      <c r="AD5154" s="21" t="s">
        <v>368</v>
      </c>
      <c r="AE5154" t="str">
        <f>VLOOKUP(Table_Query_from_Actuarial___Production3[[#This Row],[Kor1]],$AI$3:$AK$105,3,FALSE)</f>
        <v>Misc. Income for Insolvent Companies</v>
      </c>
      <c r="AF5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5" spans="18:32" x14ac:dyDescent="0.2">
      <c r="R5155" t="s">
        <v>44</v>
      </c>
      <c r="S5155" t="s">
        <v>242</v>
      </c>
      <c r="T5155" t="s">
        <v>351</v>
      </c>
      <c r="U5155" s="21">
        <v>-7</v>
      </c>
      <c r="V5155" s="21" t="s">
        <v>368</v>
      </c>
      <c r="W5155" t="str">
        <f>VLOOKUP(Table_Query_from_Actuarial___Production[[#This Row],[Kor1]],$AI$3:$AK$105,3,FALSE)</f>
        <v>Charge-offs</v>
      </c>
      <c r="X5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5"/>
      <c r="Z5155" t="s">
        <v>12</v>
      </c>
      <c r="AA5155" t="s">
        <v>230</v>
      </c>
      <c r="AB5155" t="s">
        <v>7</v>
      </c>
      <c r="AC5155" s="21">
        <v>424981.53</v>
      </c>
      <c r="AD5155" s="21" t="s">
        <v>368</v>
      </c>
      <c r="AE5155" t="str">
        <f>VLOOKUP(Table_Query_from_Actuarial___Production3[[#This Row],[Kor1]],$AI$3:$AK$105,3,FALSE)</f>
        <v>Premium Tax</v>
      </c>
      <c r="AF5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6" spans="18:32" x14ac:dyDescent="0.2">
      <c r="R5156" t="s">
        <v>14</v>
      </c>
      <c r="S5156" t="s">
        <v>249</v>
      </c>
      <c r="T5156" t="s">
        <v>433</v>
      </c>
      <c r="U5156" s="21">
        <v>52202.58</v>
      </c>
      <c r="V5156" s="21" t="s">
        <v>368</v>
      </c>
      <c r="W5156" t="str">
        <f>VLOOKUP(Table_Query_from_Actuarial___Production[[#This Row],[Kor1]],$AI$3:$AK$105,3,FALSE)</f>
        <v>Claims Expense</v>
      </c>
      <c r="X5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6"/>
      <c r="Z5156" t="s">
        <v>10</v>
      </c>
      <c r="AA5156" t="s">
        <v>235</v>
      </c>
      <c r="AB5156" t="s">
        <v>8</v>
      </c>
      <c r="AC5156" s="21">
        <v>48114</v>
      </c>
      <c r="AD5156" s="21" t="s">
        <v>368</v>
      </c>
      <c r="AE5156" t="str">
        <f>VLOOKUP(Table_Query_from_Actuarial___Production3[[#This Row],[Kor1]],$AI$3:$AK$105,3,FALSE)</f>
        <v>Commissions</v>
      </c>
      <c r="AF5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7" spans="18:32" x14ac:dyDescent="0.2">
      <c r="R5157" t="s">
        <v>14</v>
      </c>
      <c r="S5157" t="s">
        <v>354</v>
      </c>
      <c r="T5157" t="s">
        <v>441</v>
      </c>
      <c r="U5157" s="21">
        <v>131393620.26000001</v>
      </c>
      <c r="V5157" s="21" t="s">
        <v>369</v>
      </c>
      <c r="W5157" t="str">
        <f>VLOOKUP(Table_Query_from_Actuarial___Production[[#This Row],[Kor1]],$AI$3:$AK$105,3,FALSE)</f>
        <v>Claims Expense</v>
      </c>
      <c r="X5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157"/>
      <c r="Z5157" t="s">
        <v>41</v>
      </c>
      <c r="AA5157" t="s">
        <v>243</v>
      </c>
      <c r="AB5157" t="s">
        <v>6</v>
      </c>
      <c r="AC5157" s="21">
        <v>50</v>
      </c>
      <c r="AD5157" s="21" t="s">
        <v>368</v>
      </c>
      <c r="AE5157" t="str">
        <f>VLOOKUP(Table_Query_from_Actuarial___Production3[[#This Row],[Kor1]],$AI$3:$AK$105,3,FALSE)</f>
        <v>Misc. Income</v>
      </c>
      <c r="AF5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58" spans="18:32" x14ac:dyDescent="0.2">
      <c r="R5158" t="s">
        <v>31</v>
      </c>
      <c r="S5158" t="s">
        <v>259</v>
      </c>
      <c r="T5158" t="s">
        <v>6</v>
      </c>
      <c r="U5158" s="21">
        <v>29.36</v>
      </c>
      <c r="V5158" s="21" t="s">
        <v>368</v>
      </c>
      <c r="W5158" t="str">
        <f>VLOOKUP(Table_Query_from_Actuarial___Production[[#This Row],[Kor1]],$AI$3:$AK$105,3,FALSE)</f>
        <v>Misc. Expense</v>
      </c>
      <c r="X5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8"/>
      <c r="Z5158" t="s">
        <v>144</v>
      </c>
      <c r="AA5158" t="s">
        <v>224</v>
      </c>
      <c r="AB5158" t="s">
        <v>442</v>
      </c>
      <c r="AC5158" s="21">
        <v>-1000</v>
      </c>
      <c r="AD5158" s="21" t="s">
        <v>369</v>
      </c>
      <c r="AE5158" t="str">
        <f>VLOOKUP(Table_Query_from_Actuarial___Production3[[#This Row],[Kor1]],$AI$3:$AK$105,3,FALSE)</f>
        <v>Claims Expense</v>
      </c>
      <c r="AF5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159" spans="18:32" x14ac:dyDescent="0.2">
      <c r="R5159" t="s">
        <v>50</v>
      </c>
      <c r="S5159" t="s">
        <v>262</v>
      </c>
      <c r="T5159" t="s">
        <v>433</v>
      </c>
      <c r="U5159" s="21">
        <v>2622.9</v>
      </c>
      <c r="V5159" s="21" t="s">
        <v>368</v>
      </c>
      <c r="W5159" t="str">
        <f>VLOOKUP(Table_Query_from_Actuarial___Production[[#This Row],[Kor1]],$AI$3:$AK$105,3,FALSE)</f>
        <v>ALAE Reserve</v>
      </c>
      <c r="X5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59"/>
      <c r="Z5159" t="s">
        <v>20</v>
      </c>
      <c r="AA5159" t="s">
        <v>252</v>
      </c>
      <c r="AB5159" t="s">
        <v>6</v>
      </c>
      <c r="AC5159" s="21">
        <v>645.57000000000005</v>
      </c>
      <c r="AD5159" s="21" t="s">
        <v>368</v>
      </c>
      <c r="AE5159" t="str">
        <f>VLOOKUP(Table_Query_from_Actuarial___Production3[[#This Row],[Kor1]],$AI$3:$AK$105,3,FALSE)</f>
        <v>Misc. Expense</v>
      </c>
      <c r="AF5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0" spans="18:32" x14ac:dyDescent="0.2">
      <c r="R5160" t="s">
        <v>10</v>
      </c>
      <c r="S5160" t="s">
        <v>236</v>
      </c>
      <c r="T5160" t="s">
        <v>441</v>
      </c>
      <c r="U5160" s="21">
        <v>4980.3500000000004</v>
      </c>
      <c r="V5160" s="21" t="s">
        <v>368</v>
      </c>
      <c r="W5160" t="str">
        <f>VLOOKUP(Table_Query_from_Actuarial___Production[[#This Row],[Kor1]],$AI$3:$AK$105,3,FALSE)</f>
        <v>Commissions</v>
      </c>
      <c r="X5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0"/>
      <c r="Z5160" t="s">
        <v>37</v>
      </c>
      <c r="AA5160" t="s">
        <v>257</v>
      </c>
      <c r="AB5160" t="s">
        <v>6</v>
      </c>
      <c r="AC5160" s="21">
        <v>4061.67</v>
      </c>
      <c r="AD5160" s="21" t="s">
        <v>368</v>
      </c>
      <c r="AE5160" t="str">
        <f>VLOOKUP(Table_Query_from_Actuarial___Production3[[#This Row],[Kor1]],$AI$3:$AK$105,3,FALSE)</f>
        <v>Misc. Expense</v>
      </c>
      <c r="AF5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1" spans="18:32" x14ac:dyDescent="0.2">
      <c r="R5161" t="s">
        <v>19</v>
      </c>
      <c r="S5161" t="s">
        <v>255</v>
      </c>
      <c r="T5161" t="s">
        <v>8</v>
      </c>
      <c r="U5161" s="21">
        <v>1760</v>
      </c>
      <c r="V5161" s="21" t="s">
        <v>368</v>
      </c>
      <c r="W5161" t="str">
        <f>VLOOKUP(Table_Query_from_Actuarial___Production[[#This Row],[Kor1]],$AI$3:$AK$105,3,FALSE)</f>
        <v>Misc. Expense for Insolvent Companies</v>
      </c>
      <c r="X5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1"/>
      <c r="Z5161" t="s">
        <v>3</v>
      </c>
      <c r="AA5161" t="s">
        <v>265</v>
      </c>
      <c r="AB5161" t="s">
        <v>8</v>
      </c>
      <c r="AC5161" s="21">
        <v>718244</v>
      </c>
      <c r="AD5161" s="21" t="s">
        <v>368</v>
      </c>
      <c r="AE5161" t="str">
        <f>VLOOKUP(Table_Query_from_Actuarial___Production3[[#This Row],[Kor1]],$AI$3:$AK$105,3,FALSE)</f>
        <v>Premiums Written</v>
      </c>
      <c r="AF5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2" spans="18:32" x14ac:dyDescent="0.2">
      <c r="R5162" t="s">
        <v>47</v>
      </c>
      <c r="S5162" t="s">
        <v>258</v>
      </c>
      <c r="T5162" t="s">
        <v>8</v>
      </c>
      <c r="U5162" s="21">
        <v>0.2</v>
      </c>
      <c r="V5162" s="21" t="s">
        <v>368</v>
      </c>
      <c r="W5162" t="str">
        <f>VLOOKUP(Table_Query_from_Actuarial___Production[[#This Row],[Kor1]],$AI$3:$AK$105,3,FALSE)</f>
        <v>Investment Income</v>
      </c>
      <c r="X5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2"/>
      <c r="Z5162" t="s">
        <v>14</v>
      </c>
      <c r="AA5162" t="s">
        <v>251</v>
      </c>
      <c r="AB5162" t="s">
        <v>5</v>
      </c>
      <c r="AC5162" s="21">
        <v>2381.4699999999998</v>
      </c>
      <c r="AD5162" s="21" t="s">
        <v>368</v>
      </c>
      <c r="AE5162" t="str">
        <f>VLOOKUP(Table_Query_from_Actuarial___Production3[[#This Row],[Kor1]],$AI$3:$AK$105,3,FALSE)</f>
        <v>Claims Expense</v>
      </c>
      <c r="AF5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3" spans="18:32" x14ac:dyDescent="0.2">
      <c r="R5163" t="s">
        <v>13</v>
      </c>
      <c r="S5163" t="s">
        <v>245</v>
      </c>
      <c r="T5163" t="s">
        <v>356</v>
      </c>
      <c r="U5163" s="21">
        <v>402.88</v>
      </c>
      <c r="V5163" s="21" t="s">
        <v>368</v>
      </c>
      <c r="W5163" t="str">
        <f>VLOOKUP(Table_Query_from_Actuarial___Production[[#This Row],[Kor1]],$AI$3:$AK$105,3,FALSE)</f>
        <v>Operating Service Fees</v>
      </c>
      <c r="X5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3"/>
      <c r="Z5163" t="s">
        <v>19</v>
      </c>
      <c r="AA5163" t="s">
        <v>262</v>
      </c>
      <c r="AB5163" t="s">
        <v>7</v>
      </c>
      <c r="AC5163" s="21">
        <v>270</v>
      </c>
      <c r="AD5163" s="21" t="s">
        <v>368</v>
      </c>
      <c r="AE5163" t="str">
        <f>VLOOKUP(Table_Query_from_Actuarial___Production3[[#This Row],[Kor1]],$AI$3:$AK$105,3,FALSE)</f>
        <v>Misc. Expense for Insolvent Companies</v>
      </c>
      <c r="AF5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4" spans="18:32" x14ac:dyDescent="0.2">
      <c r="R5164" t="s">
        <v>33</v>
      </c>
      <c r="S5164" t="s">
        <v>249</v>
      </c>
      <c r="T5164" t="s">
        <v>443</v>
      </c>
      <c r="U5164" s="21">
        <v>21115.65</v>
      </c>
      <c r="V5164" s="21" t="s">
        <v>368</v>
      </c>
      <c r="W5164" t="str">
        <f>VLOOKUP(Table_Query_from_Actuarial___Production[[#This Row],[Kor1]],$AI$3:$AK$105,3,FALSE)</f>
        <v>Misc. Expense</v>
      </c>
      <c r="X5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4"/>
      <c r="Z5164" t="s">
        <v>10</v>
      </c>
      <c r="AA5164" t="s">
        <v>261</v>
      </c>
      <c r="AB5164" t="s">
        <v>442</v>
      </c>
      <c r="AC5164" s="21">
        <v>20104.7</v>
      </c>
      <c r="AD5164" s="21" t="s">
        <v>368</v>
      </c>
      <c r="AE5164" t="str">
        <f>VLOOKUP(Table_Query_from_Actuarial___Production3[[#This Row],[Kor1]],$AI$3:$AK$105,3,FALSE)</f>
        <v>Commissions</v>
      </c>
      <c r="AF5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5" spans="18:32" x14ac:dyDescent="0.2">
      <c r="R5165" t="s">
        <v>41</v>
      </c>
      <c r="S5165" t="s">
        <v>228</v>
      </c>
      <c r="T5165" t="s">
        <v>442</v>
      </c>
      <c r="U5165" s="21">
        <v>3652.71</v>
      </c>
      <c r="V5165" s="21" t="s">
        <v>368</v>
      </c>
      <c r="W5165" t="str">
        <f>VLOOKUP(Table_Query_from_Actuarial___Production[[#This Row],[Kor1]],$AI$3:$AK$105,3,FALSE)</f>
        <v>Misc. Income</v>
      </c>
      <c r="X5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5"/>
      <c r="Z5165" t="s">
        <v>12</v>
      </c>
      <c r="AA5165" t="s">
        <v>241</v>
      </c>
      <c r="AB5165" t="s">
        <v>6</v>
      </c>
      <c r="AC5165" s="21">
        <v>6909.54</v>
      </c>
      <c r="AD5165" s="21" t="s">
        <v>368</v>
      </c>
      <c r="AE5165" t="str">
        <f>VLOOKUP(Table_Query_from_Actuarial___Production3[[#This Row],[Kor1]],$AI$3:$AK$105,3,FALSE)</f>
        <v>Premium Tax</v>
      </c>
      <c r="AF5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6" spans="18:32" x14ac:dyDescent="0.2">
      <c r="R5166" t="s">
        <v>13</v>
      </c>
      <c r="S5166" t="s">
        <v>248</v>
      </c>
      <c r="T5166" t="s">
        <v>356</v>
      </c>
      <c r="U5166" s="21">
        <v>50377.32</v>
      </c>
      <c r="V5166" s="21" t="s">
        <v>368</v>
      </c>
      <c r="W5166" t="str">
        <f>VLOOKUP(Table_Query_from_Actuarial___Production[[#This Row],[Kor1]],$AI$3:$AK$105,3,FALSE)</f>
        <v>Operating Service Fees</v>
      </c>
      <c r="X5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6"/>
      <c r="Z5166" t="s">
        <v>21</v>
      </c>
      <c r="AA5166" t="s">
        <v>252</v>
      </c>
      <c r="AB5166" t="s">
        <v>356</v>
      </c>
      <c r="AC5166" s="21">
        <v>35116.33</v>
      </c>
      <c r="AD5166" s="21" t="s">
        <v>368</v>
      </c>
      <c r="AE5166" t="str">
        <f>VLOOKUP(Table_Query_from_Actuarial___Production3[[#This Row],[Kor1]],$AI$3:$AK$105,3,FALSE)</f>
        <v>Misc. Expense</v>
      </c>
      <c r="AF5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7" spans="18:32" x14ac:dyDescent="0.2">
      <c r="R5167" t="s">
        <v>33</v>
      </c>
      <c r="S5167" t="s">
        <v>261</v>
      </c>
      <c r="T5167" t="s">
        <v>433</v>
      </c>
      <c r="U5167" s="21">
        <v>14016.74</v>
      </c>
      <c r="V5167" s="21" t="s">
        <v>368</v>
      </c>
      <c r="W5167" t="str">
        <f>VLOOKUP(Table_Query_from_Actuarial___Production[[#This Row],[Kor1]],$AI$3:$AK$105,3,FALSE)</f>
        <v>Misc. Expense</v>
      </c>
      <c r="X5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7"/>
      <c r="Z5167" t="s">
        <v>50</v>
      </c>
      <c r="AA5167" t="s">
        <v>247</v>
      </c>
      <c r="AB5167" t="s">
        <v>441</v>
      </c>
      <c r="AC5167" s="21">
        <v>15.68</v>
      </c>
      <c r="AD5167" s="21" t="s">
        <v>368</v>
      </c>
      <c r="AE5167" t="str">
        <f>VLOOKUP(Table_Query_from_Actuarial___Production3[[#This Row],[Kor1]],$AI$3:$AK$105,3,FALSE)</f>
        <v>ALAE Reserve</v>
      </c>
      <c r="AF5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8" spans="18:32" x14ac:dyDescent="0.2">
      <c r="R5168" t="s">
        <v>34</v>
      </c>
      <c r="S5168" t="s">
        <v>256</v>
      </c>
      <c r="T5168" t="s">
        <v>442</v>
      </c>
      <c r="U5168" s="21">
        <v>26.04</v>
      </c>
      <c r="V5168" s="21" t="s">
        <v>368</v>
      </c>
      <c r="W5168" t="str">
        <f>VLOOKUP(Table_Query_from_Actuarial___Production[[#This Row],[Kor1]],$AI$3:$AK$105,3,FALSE)</f>
        <v>Misc. Expense</v>
      </c>
      <c r="X5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8"/>
      <c r="Z5168" t="s">
        <v>31</v>
      </c>
      <c r="AA5168" t="s">
        <v>235</v>
      </c>
      <c r="AB5168" t="s">
        <v>356</v>
      </c>
      <c r="AC5168" s="21">
        <v>803.52</v>
      </c>
      <c r="AD5168" s="21" t="s">
        <v>368</v>
      </c>
      <c r="AE5168" t="str">
        <f>VLOOKUP(Table_Query_from_Actuarial___Production3[[#This Row],[Kor1]],$AI$3:$AK$105,3,FALSE)</f>
        <v>Misc. Expense</v>
      </c>
      <c r="AF5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69" spans="18:32" x14ac:dyDescent="0.2">
      <c r="R5169" t="s">
        <v>37</v>
      </c>
      <c r="S5169" t="s">
        <v>262</v>
      </c>
      <c r="T5169" t="s">
        <v>356</v>
      </c>
      <c r="U5169" s="21">
        <v>302.02999999999997</v>
      </c>
      <c r="V5169" s="21" t="s">
        <v>368</v>
      </c>
      <c r="W5169" t="str">
        <f>VLOOKUP(Table_Query_from_Actuarial___Production[[#This Row],[Kor1]],$AI$3:$AK$105,3,FALSE)</f>
        <v>Misc. Expense</v>
      </c>
      <c r="X5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69"/>
      <c r="Z5169" t="s">
        <v>11</v>
      </c>
      <c r="AA5169" t="s">
        <v>231</v>
      </c>
      <c r="AB5169" t="s">
        <v>6</v>
      </c>
      <c r="AC5169" s="21">
        <v>18947.86</v>
      </c>
      <c r="AD5169" s="21" t="s">
        <v>368</v>
      </c>
      <c r="AE5169" t="str">
        <f>VLOOKUP(Table_Query_from_Actuarial___Production3[[#This Row],[Kor1]],$AI$3:$AK$105,3,FALSE)</f>
        <v>Losses Paid</v>
      </c>
      <c r="AF5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0" spans="18:32" x14ac:dyDescent="0.2">
      <c r="R5170" t="s">
        <v>39</v>
      </c>
      <c r="S5170" t="s">
        <v>251</v>
      </c>
      <c r="T5170" t="s">
        <v>7</v>
      </c>
      <c r="U5170" s="21">
        <v>4</v>
      </c>
      <c r="V5170" s="21" t="s">
        <v>368</v>
      </c>
      <c r="W5170" t="str">
        <f>VLOOKUP(Table_Query_from_Actuarial___Production[[#This Row],[Kor1]],$AI$3:$AK$105,3,FALSE)</f>
        <v>Misc. Income for Insolvent Companies</v>
      </c>
      <c r="X5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0"/>
      <c r="Z5170" t="s">
        <v>44</v>
      </c>
      <c r="AA5170" t="s">
        <v>242</v>
      </c>
      <c r="AB5170" t="s">
        <v>351</v>
      </c>
      <c r="AC5170" s="21">
        <v>-7</v>
      </c>
      <c r="AD5170" s="21" t="s">
        <v>368</v>
      </c>
      <c r="AE5170" t="str">
        <f>VLOOKUP(Table_Query_from_Actuarial___Production3[[#This Row],[Kor1]],$AI$3:$AK$105,3,FALSE)</f>
        <v>Charge-offs</v>
      </c>
      <c r="AF5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1" spans="18:32" x14ac:dyDescent="0.2">
      <c r="R5171" t="s">
        <v>41</v>
      </c>
      <c r="S5171" t="s">
        <v>233</v>
      </c>
      <c r="T5171" t="s">
        <v>427</v>
      </c>
      <c r="U5171" s="21">
        <v>100.01</v>
      </c>
      <c r="V5171" s="21" t="s">
        <v>368</v>
      </c>
      <c r="W5171" t="str">
        <f>VLOOKUP(Table_Query_from_Actuarial___Production[[#This Row],[Kor1]],$AI$3:$AK$105,3,FALSE)</f>
        <v>Misc. Income</v>
      </c>
      <c r="X5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1"/>
      <c r="Z5171" t="s">
        <v>16</v>
      </c>
      <c r="AA5171" t="s">
        <v>352</v>
      </c>
      <c r="AB5171" t="s">
        <v>443</v>
      </c>
      <c r="AC5171" s="21">
        <v>3893.81</v>
      </c>
      <c r="AD5171" s="21" t="s">
        <v>369</v>
      </c>
      <c r="AE5171" t="str">
        <f>VLOOKUP(Table_Query_from_Actuarial___Production3[[#This Row],[Kor1]],$AI$3:$AK$105,3,FALSE)</f>
        <v>Losses Outstanding</v>
      </c>
      <c r="AF5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172" spans="18:32" x14ac:dyDescent="0.2">
      <c r="R5172" t="s">
        <v>41</v>
      </c>
      <c r="S5172" t="s">
        <v>241</v>
      </c>
      <c r="T5172" t="s">
        <v>427</v>
      </c>
      <c r="U5172" s="21">
        <v>675.7</v>
      </c>
      <c r="V5172" s="21" t="s">
        <v>368</v>
      </c>
      <c r="W5172" t="str">
        <f>VLOOKUP(Table_Query_from_Actuarial___Production[[#This Row],[Kor1]],$AI$3:$AK$105,3,FALSE)</f>
        <v>Misc. Income</v>
      </c>
      <c r="X5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2"/>
      <c r="Z5172" t="s">
        <v>14</v>
      </c>
      <c r="AA5172" t="s">
        <v>249</v>
      </c>
      <c r="AB5172" t="s">
        <v>433</v>
      </c>
      <c r="AC5172" s="21">
        <v>52202.58</v>
      </c>
      <c r="AD5172" s="21" t="s">
        <v>368</v>
      </c>
      <c r="AE5172" t="str">
        <f>VLOOKUP(Table_Query_from_Actuarial___Production3[[#This Row],[Kor1]],$AI$3:$AK$105,3,FALSE)</f>
        <v>Claims Expense</v>
      </c>
      <c r="AF5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3" spans="18:32" x14ac:dyDescent="0.2">
      <c r="R5173" t="s">
        <v>3</v>
      </c>
      <c r="S5173" t="s">
        <v>234</v>
      </c>
      <c r="T5173" t="s">
        <v>7</v>
      </c>
      <c r="U5173" s="21">
        <v>721181</v>
      </c>
      <c r="V5173" s="21" t="s">
        <v>368</v>
      </c>
      <c r="W5173" t="str">
        <f>VLOOKUP(Table_Query_from_Actuarial___Production[[#This Row],[Kor1]],$AI$3:$AK$105,3,FALSE)</f>
        <v>Premiums Written</v>
      </c>
      <c r="X5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3"/>
      <c r="Z5173" t="s">
        <v>14</v>
      </c>
      <c r="AA5173" t="s">
        <v>354</v>
      </c>
      <c r="AB5173" t="s">
        <v>441</v>
      </c>
      <c r="AC5173" s="21">
        <v>131236703.31999999</v>
      </c>
      <c r="AD5173" s="21" t="s">
        <v>369</v>
      </c>
      <c r="AE5173" t="str">
        <f>VLOOKUP(Table_Query_from_Actuarial___Production3[[#This Row],[Kor1]],$AI$3:$AK$105,3,FALSE)</f>
        <v>Claims Expense</v>
      </c>
      <c r="AF5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174" spans="18:32" x14ac:dyDescent="0.2">
      <c r="R5174" t="s">
        <v>31</v>
      </c>
      <c r="S5174" t="s">
        <v>240</v>
      </c>
      <c r="T5174" t="s">
        <v>8</v>
      </c>
      <c r="U5174" s="21">
        <v>6832.96</v>
      </c>
      <c r="V5174" s="21" t="s">
        <v>368</v>
      </c>
      <c r="W5174" t="str">
        <f>VLOOKUP(Table_Query_from_Actuarial___Production[[#This Row],[Kor1]],$AI$3:$AK$105,3,FALSE)</f>
        <v>Misc. Expense</v>
      </c>
      <c r="X5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4"/>
      <c r="Z5174" t="s">
        <v>31</v>
      </c>
      <c r="AA5174" t="s">
        <v>259</v>
      </c>
      <c r="AB5174" t="s">
        <v>6</v>
      </c>
      <c r="AC5174" s="21">
        <v>29.36</v>
      </c>
      <c r="AD5174" s="21" t="s">
        <v>368</v>
      </c>
      <c r="AE5174" t="str">
        <f>VLOOKUP(Table_Query_from_Actuarial___Production3[[#This Row],[Kor1]],$AI$3:$AK$105,3,FALSE)</f>
        <v>Misc. Expense</v>
      </c>
      <c r="AF5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5" spans="18:32" x14ac:dyDescent="0.2">
      <c r="R5175" t="s">
        <v>439</v>
      </c>
      <c r="S5175" t="s">
        <v>240</v>
      </c>
      <c r="T5175" t="s">
        <v>443</v>
      </c>
      <c r="U5175" s="21">
        <v>-155193.66</v>
      </c>
      <c r="V5175" s="21" t="s">
        <v>368</v>
      </c>
      <c r="W5175" t="str">
        <f>VLOOKUP(Table_Query_from_Actuarial___Production[[#This Row],[Kor1]],$AI$3:$AK$105,3,FALSE)</f>
        <v>Operating Service Fees</v>
      </c>
      <c r="X5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5"/>
      <c r="Z5175" t="s">
        <v>50</v>
      </c>
      <c r="AA5175" t="s">
        <v>262</v>
      </c>
      <c r="AB5175" t="s">
        <v>433</v>
      </c>
      <c r="AC5175" s="21">
        <v>1038.8699999999999</v>
      </c>
      <c r="AD5175" s="21" t="s">
        <v>368</v>
      </c>
      <c r="AE5175" t="str">
        <f>VLOOKUP(Table_Query_from_Actuarial___Production3[[#This Row],[Kor1]],$AI$3:$AK$105,3,FALSE)</f>
        <v>ALAE Reserve</v>
      </c>
      <c r="AF5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6" spans="18:32" x14ac:dyDescent="0.2">
      <c r="R5176" t="s">
        <v>33</v>
      </c>
      <c r="S5176" t="s">
        <v>234</v>
      </c>
      <c r="T5176" t="s">
        <v>6</v>
      </c>
      <c r="U5176" s="21">
        <v>15693.57</v>
      </c>
      <c r="V5176" s="21" t="s">
        <v>368</v>
      </c>
      <c r="W5176" t="str">
        <f>VLOOKUP(Table_Query_from_Actuarial___Production[[#This Row],[Kor1]],$AI$3:$AK$105,3,FALSE)</f>
        <v>Misc. Expense</v>
      </c>
      <c r="X5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6"/>
      <c r="Z5176" t="s">
        <v>10</v>
      </c>
      <c r="AA5176" t="s">
        <v>236</v>
      </c>
      <c r="AB5176" t="s">
        <v>441</v>
      </c>
      <c r="AC5176" s="21">
        <v>4980.3500000000004</v>
      </c>
      <c r="AD5176" s="21" t="s">
        <v>368</v>
      </c>
      <c r="AE5176" t="str">
        <f>VLOOKUP(Table_Query_from_Actuarial___Production3[[#This Row],[Kor1]],$AI$3:$AK$105,3,FALSE)</f>
        <v>Commissions</v>
      </c>
      <c r="AF5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7" spans="18:32" x14ac:dyDescent="0.2">
      <c r="R5177" t="s">
        <v>40</v>
      </c>
      <c r="S5177" t="s">
        <v>227</v>
      </c>
      <c r="T5177" t="s">
        <v>7</v>
      </c>
      <c r="U5177" s="21">
        <v>567</v>
      </c>
      <c r="V5177" s="21" t="s">
        <v>368</v>
      </c>
      <c r="W5177" t="str">
        <f>VLOOKUP(Table_Query_from_Actuarial___Production[[#This Row],[Kor1]],$AI$3:$AK$105,3,FALSE)</f>
        <v>Misc. Income</v>
      </c>
      <c r="X5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7"/>
      <c r="Z5177" t="s">
        <v>19</v>
      </c>
      <c r="AA5177" t="s">
        <v>255</v>
      </c>
      <c r="AB5177" t="s">
        <v>8</v>
      </c>
      <c r="AC5177" s="21">
        <v>1760</v>
      </c>
      <c r="AD5177" s="21" t="s">
        <v>368</v>
      </c>
      <c r="AE5177" t="str">
        <f>VLOOKUP(Table_Query_from_Actuarial___Production3[[#This Row],[Kor1]],$AI$3:$AK$105,3,FALSE)</f>
        <v>Misc. Expense for Insolvent Companies</v>
      </c>
      <c r="AF5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8" spans="18:32" x14ac:dyDescent="0.2">
      <c r="R5178" t="s">
        <v>44</v>
      </c>
      <c r="S5178" t="s">
        <v>251</v>
      </c>
      <c r="T5178" t="s">
        <v>6</v>
      </c>
      <c r="U5178" s="21">
        <v>2862.96</v>
      </c>
      <c r="V5178" s="21" t="s">
        <v>368</v>
      </c>
      <c r="W5178" t="str">
        <f>VLOOKUP(Table_Query_from_Actuarial___Production[[#This Row],[Kor1]],$AI$3:$AK$105,3,FALSE)</f>
        <v>Charge-offs</v>
      </c>
      <c r="X5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8"/>
      <c r="Z5178" t="s">
        <v>47</v>
      </c>
      <c r="AA5178" t="s">
        <v>258</v>
      </c>
      <c r="AB5178" t="s">
        <v>8</v>
      </c>
      <c r="AC5178" s="21">
        <v>0.2</v>
      </c>
      <c r="AD5178" s="21" t="s">
        <v>368</v>
      </c>
      <c r="AE5178" t="str">
        <f>VLOOKUP(Table_Query_from_Actuarial___Production3[[#This Row],[Kor1]],$AI$3:$AK$105,3,FALSE)</f>
        <v>Investment Income</v>
      </c>
      <c r="AF5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79" spans="18:32" x14ac:dyDescent="0.2">
      <c r="R5179" t="s">
        <v>39</v>
      </c>
      <c r="S5179" t="s">
        <v>230</v>
      </c>
      <c r="T5179" t="s">
        <v>443</v>
      </c>
      <c r="U5179" s="21">
        <v>2937.31</v>
      </c>
      <c r="V5179" s="21" t="s">
        <v>368</v>
      </c>
      <c r="W5179" t="str">
        <f>VLOOKUP(Table_Query_from_Actuarial___Production[[#This Row],[Kor1]],$AI$3:$AK$105,3,FALSE)</f>
        <v>Misc. Income for Insolvent Companies</v>
      </c>
      <c r="X5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79"/>
      <c r="Z5179" t="s">
        <v>13</v>
      </c>
      <c r="AA5179" t="s">
        <v>245</v>
      </c>
      <c r="AB5179" t="s">
        <v>356</v>
      </c>
      <c r="AC5179" s="21">
        <v>402.88</v>
      </c>
      <c r="AD5179" s="21" t="s">
        <v>368</v>
      </c>
      <c r="AE5179" t="str">
        <f>VLOOKUP(Table_Query_from_Actuarial___Production3[[#This Row],[Kor1]],$AI$3:$AK$105,3,FALSE)</f>
        <v>Operating Service Fees</v>
      </c>
      <c r="AF5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0" spans="18:32" x14ac:dyDescent="0.2">
      <c r="R5180" t="s">
        <v>13</v>
      </c>
      <c r="S5180" t="s">
        <v>4</v>
      </c>
      <c r="T5180" t="s">
        <v>433</v>
      </c>
      <c r="U5180" s="21">
        <v>9937400.1600000001</v>
      </c>
      <c r="V5180" s="21" t="s">
        <v>368</v>
      </c>
      <c r="W5180" t="str">
        <f>VLOOKUP(Table_Query_from_Actuarial___Production[[#This Row],[Kor1]],$AI$3:$AK$105,3,FALSE)</f>
        <v>Operating Service Fees</v>
      </c>
      <c r="X5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0"/>
      <c r="Z5180" t="s">
        <v>33</v>
      </c>
      <c r="AA5180" t="s">
        <v>249</v>
      </c>
      <c r="AB5180" t="s">
        <v>443</v>
      </c>
      <c r="AC5180" s="21">
        <v>8292.25</v>
      </c>
      <c r="AD5180" s="21" t="s">
        <v>368</v>
      </c>
      <c r="AE5180" t="str">
        <f>VLOOKUP(Table_Query_from_Actuarial___Production3[[#This Row],[Kor1]],$AI$3:$AK$105,3,FALSE)</f>
        <v>Misc. Expense</v>
      </c>
      <c r="AF5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1" spans="18:32" x14ac:dyDescent="0.2">
      <c r="R5181" t="s">
        <v>31</v>
      </c>
      <c r="S5181" t="s">
        <v>252</v>
      </c>
      <c r="T5181" t="s">
        <v>9</v>
      </c>
      <c r="U5181" s="21">
        <v>-434.9</v>
      </c>
      <c r="V5181" s="21" t="s">
        <v>368</v>
      </c>
      <c r="W5181" t="str">
        <f>VLOOKUP(Table_Query_from_Actuarial___Production[[#This Row],[Kor1]],$AI$3:$AK$105,3,FALSE)</f>
        <v>Misc. Expense</v>
      </c>
      <c r="X5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1"/>
      <c r="Z5181" t="s">
        <v>41</v>
      </c>
      <c r="AA5181" t="s">
        <v>228</v>
      </c>
      <c r="AB5181" t="s">
        <v>442</v>
      </c>
      <c r="AC5181" s="21">
        <v>3652.71</v>
      </c>
      <c r="AD5181" s="21" t="s">
        <v>368</v>
      </c>
      <c r="AE5181" t="str">
        <f>VLOOKUP(Table_Query_from_Actuarial___Production3[[#This Row],[Kor1]],$AI$3:$AK$105,3,FALSE)</f>
        <v>Misc. Income</v>
      </c>
      <c r="AF5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2" spans="18:32" x14ac:dyDescent="0.2">
      <c r="R5182" t="s">
        <v>31</v>
      </c>
      <c r="S5182" t="s">
        <v>268</v>
      </c>
      <c r="T5182" t="s">
        <v>441</v>
      </c>
      <c r="U5182" s="21">
        <v>1227.19</v>
      </c>
      <c r="V5182" s="21" t="s">
        <v>368</v>
      </c>
      <c r="W5182" t="str">
        <f>VLOOKUP(Table_Query_from_Actuarial___Production[[#This Row],[Kor1]],$AI$3:$AK$105,3,FALSE)</f>
        <v>Misc. Expense</v>
      </c>
      <c r="X5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2"/>
      <c r="Z5182" t="s">
        <v>13</v>
      </c>
      <c r="AA5182" t="s">
        <v>248</v>
      </c>
      <c r="AB5182" t="s">
        <v>356</v>
      </c>
      <c r="AC5182" s="21">
        <v>50377.32</v>
      </c>
      <c r="AD5182" s="21" t="s">
        <v>368</v>
      </c>
      <c r="AE5182" t="str">
        <f>VLOOKUP(Table_Query_from_Actuarial___Production3[[#This Row],[Kor1]],$AI$3:$AK$105,3,FALSE)</f>
        <v>Operating Service Fees</v>
      </c>
      <c r="AF5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3" spans="18:32" x14ac:dyDescent="0.2">
      <c r="R5183" t="s">
        <v>49</v>
      </c>
      <c r="S5183" t="s">
        <v>238</v>
      </c>
      <c r="T5183" t="s">
        <v>442</v>
      </c>
      <c r="U5183" s="21">
        <v>44080</v>
      </c>
      <c r="V5183" s="21" t="s">
        <v>368</v>
      </c>
      <c r="W5183" t="str">
        <f>VLOOKUP(Table_Query_from_Actuarial___Production[[#This Row],[Kor1]],$AI$3:$AK$105,3,FALSE)</f>
        <v>ALAE Paid</v>
      </c>
      <c r="X5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3"/>
      <c r="Z5183" t="s">
        <v>33</v>
      </c>
      <c r="AA5183" t="s">
        <v>261</v>
      </c>
      <c r="AB5183" t="s">
        <v>433</v>
      </c>
      <c r="AC5183" s="21">
        <v>14016.74</v>
      </c>
      <c r="AD5183" s="21" t="s">
        <v>368</v>
      </c>
      <c r="AE5183" t="str">
        <f>VLOOKUP(Table_Query_from_Actuarial___Production3[[#This Row],[Kor1]],$AI$3:$AK$105,3,FALSE)</f>
        <v>Misc. Expense</v>
      </c>
      <c r="AF5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4" spans="18:32" x14ac:dyDescent="0.2">
      <c r="R5184" t="s">
        <v>3</v>
      </c>
      <c r="S5184" t="s">
        <v>263</v>
      </c>
      <c r="T5184" t="s">
        <v>442</v>
      </c>
      <c r="U5184" s="21">
        <v>438987</v>
      </c>
      <c r="V5184" s="21" t="s">
        <v>368</v>
      </c>
      <c r="W5184" t="str">
        <f>VLOOKUP(Table_Query_from_Actuarial___Production[[#This Row],[Kor1]],$AI$3:$AK$105,3,FALSE)</f>
        <v>Premiums Written</v>
      </c>
      <c r="X5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4"/>
      <c r="Z5184" t="s">
        <v>34</v>
      </c>
      <c r="AA5184" t="s">
        <v>256</v>
      </c>
      <c r="AB5184" t="s">
        <v>442</v>
      </c>
      <c r="AC5184" s="21">
        <v>26.04</v>
      </c>
      <c r="AD5184" s="21" t="s">
        <v>368</v>
      </c>
      <c r="AE5184" t="str">
        <f>VLOOKUP(Table_Query_from_Actuarial___Production3[[#This Row],[Kor1]],$AI$3:$AK$105,3,FALSE)</f>
        <v>Misc. Expense</v>
      </c>
      <c r="AF5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5" spans="18:32" x14ac:dyDescent="0.2">
      <c r="R5185" t="s">
        <v>21</v>
      </c>
      <c r="S5185" t="s">
        <v>250</v>
      </c>
      <c r="T5185" t="s">
        <v>8</v>
      </c>
      <c r="U5185" s="21">
        <v>1541.99</v>
      </c>
      <c r="V5185" s="21" t="s">
        <v>368</v>
      </c>
      <c r="W5185" t="str">
        <f>VLOOKUP(Table_Query_from_Actuarial___Production[[#This Row],[Kor1]],$AI$3:$AK$105,3,FALSE)</f>
        <v>Misc. Expense</v>
      </c>
      <c r="X5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5"/>
      <c r="Z5185" t="s">
        <v>37</v>
      </c>
      <c r="AA5185" t="s">
        <v>262</v>
      </c>
      <c r="AB5185" t="s">
        <v>356</v>
      </c>
      <c r="AC5185" s="21">
        <v>302.02999999999997</v>
      </c>
      <c r="AD5185" s="21" t="s">
        <v>368</v>
      </c>
      <c r="AE5185" t="str">
        <f>VLOOKUP(Table_Query_from_Actuarial___Production3[[#This Row],[Kor1]],$AI$3:$AK$105,3,FALSE)</f>
        <v>Misc. Expense</v>
      </c>
      <c r="AF5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6" spans="18:32" x14ac:dyDescent="0.2">
      <c r="R5186" t="s">
        <v>44</v>
      </c>
      <c r="S5186" t="s">
        <v>224</v>
      </c>
      <c r="T5186" t="s">
        <v>6</v>
      </c>
      <c r="U5186" s="21">
        <v>1170.74</v>
      </c>
      <c r="V5186" s="21" t="s">
        <v>368</v>
      </c>
      <c r="W5186" t="str">
        <f>VLOOKUP(Table_Query_from_Actuarial___Production[[#This Row],[Kor1]],$AI$3:$AK$105,3,FALSE)</f>
        <v>Charge-offs</v>
      </c>
      <c r="X5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186"/>
      <c r="Z5186" t="s">
        <v>39</v>
      </c>
      <c r="AA5186" t="s">
        <v>251</v>
      </c>
      <c r="AB5186" t="s">
        <v>7</v>
      </c>
      <c r="AC5186" s="21">
        <v>4</v>
      </c>
      <c r="AD5186" s="21" t="s">
        <v>368</v>
      </c>
      <c r="AE5186" t="str">
        <f>VLOOKUP(Table_Query_from_Actuarial___Production3[[#This Row],[Kor1]],$AI$3:$AK$105,3,FALSE)</f>
        <v>Misc. Income for Insolvent Companies</v>
      </c>
      <c r="AF5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7" spans="18:32" x14ac:dyDescent="0.2">
      <c r="R5187" t="s">
        <v>39</v>
      </c>
      <c r="S5187" t="s">
        <v>236</v>
      </c>
      <c r="T5187" t="s">
        <v>433</v>
      </c>
      <c r="U5187" s="21">
        <v>569</v>
      </c>
      <c r="V5187" s="21" t="s">
        <v>368</v>
      </c>
      <c r="W5187" t="str">
        <f>VLOOKUP(Table_Query_from_Actuarial___Production[[#This Row],[Kor1]],$AI$3:$AK$105,3,FALSE)</f>
        <v>Misc. Income for Insolvent Companies</v>
      </c>
      <c r="X5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7"/>
      <c r="Z5187" t="s">
        <v>41</v>
      </c>
      <c r="AA5187" t="s">
        <v>233</v>
      </c>
      <c r="AB5187" t="s">
        <v>427</v>
      </c>
      <c r="AC5187" s="21">
        <v>100.01</v>
      </c>
      <c r="AD5187" s="21" t="s">
        <v>368</v>
      </c>
      <c r="AE5187" t="str">
        <f>VLOOKUP(Table_Query_from_Actuarial___Production3[[#This Row],[Kor1]],$AI$3:$AK$105,3,FALSE)</f>
        <v>Misc. Income</v>
      </c>
      <c r="AF5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8" spans="18:32" x14ac:dyDescent="0.2">
      <c r="R5188" t="s">
        <v>21</v>
      </c>
      <c r="S5188" t="s">
        <v>243</v>
      </c>
      <c r="T5188" t="s">
        <v>427</v>
      </c>
      <c r="U5188" s="21">
        <v>1329.51</v>
      </c>
      <c r="V5188" s="21" t="s">
        <v>368</v>
      </c>
      <c r="W5188" t="str">
        <f>VLOOKUP(Table_Query_from_Actuarial___Production[[#This Row],[Kor1]],$AI$3:$AK$105,3,FALSE)</f>
        <v>Misc. Expense</v>
      </c>
      <c r="X5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8"/>
      <c r="Z5188" t="s">
        <v>41</v>
      </c>
      <c r="AA5188" t="s">
        <v>241</v>
      </c>
      <c r="AB5188" t="s">
        <v>427</v>
      </c>
      <c r="AC5188" s="21">
        <v>675.7</v>
      </c>
      <c r="AD5188" s="21" t="s">
        <v>368</v>
      </c>
      <c r="AE5188" t="str">
        <f>VLOOKUP(Table_Query_from_Actuarial___Production3[[#This Row],[Kor1]],$AI$3:$AK$105,3,FALSE)</f>
        <v>Misc. Income</v>
      </c>
      <c r="AF5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89" spans="18:32" x14ac:dyDescent="0.2">
      <c r="R5189" t="s">
        <v>44</v>
      </c>
      <c r="S5189" t="s">
        <v>243</v>
      </c>
      <c r="T5189" t="s">
        <v>351</v>
      </c>
      <c r="U5189" s="21">
        <v>491.25</v>
      </c>
      <c r="V5189" s="21" t="s">
        <v>368</v>
      </c>
      <c r="W5189" t="str">
        <f>VLOOKUP(Table_Query_from_Actuarial___Production[[#This Row],[Kor1]],$AI$3:$AK$105,3,FALSE)</f>
        <v>Charge-offs</v>
      </c>
      <c r="X5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89"/>
      <c r="Z5189" t="s">
        <v>3</v>
      </c>
      <c r="AA5189" t="s">
        <v>234</v>
      </c>
      <c r="AB5189" t="s">
        <v>7</v>
      </c>
      <c r="AC5189" s="21">
        <v>721181</v>
      </c>
      <c r="AD5189" s="21" t="s">
        <v>368</v>
      </c>
      <c r="AE5189" t="str">
        <f>VLOOKUP(Table_Query_from_Actuarial___Production3[[#This Row],[Kor1]],$AI$3:$AK$105,3,FALSE)</f>
        <v>Premiums Written</v>
      </c>
      <c r="AF5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0" spans="18:32" x14ac:dyDescent="0.2">
      <c r="R5190" t="s">
        <v>12</v>
      </c>
      <c r="S5190" t="s">
        <v>258</v>
      </c>
      <c r="T5190" t="s">
        <v>7</v>
      </c>
      <c r="U5190" s="21">
        <v>49590.14</v>
      </c>
      <c r="V5190" s="21" t="s">
        <v>368</v>
      </c>
      <c r="W5190" t="str">
        <f>VLOOKUP(Table_Query_from_Actuarial___Production[[#This Row],[Kor1]],$AI$3:$AK$105,3,FALSE)</f>
        <v>Premium Tax</v>
      </c>
      <c r="X5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0"/>
      <c r="Z5190" t="s">
        <v>14</v>
      </c>
      <c r="AA5190" t="s">
        <v>227</v>
      </c>
      <c r="AB5190" t="s">
        <v>5</v>
      </c>
      <c r="AC5190" s="21">
        <v>20161.32</v>
      </c>
      <c r="AD5190" s="21" t="s">
        <v>368</v>
      </c>
      <c r="AE5190" t="str">
        <f>VLOOKUP(Table_Query_from_Actuarial___Production3[[#This Row],[Kor1]],$AI$3:$AK$105,3,FALSE)</f>
        <v>Claims Expense</v>
      </c>
      <c r="AF5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1" spans="18:32" x14ac:dyDescent="0.2">
      <c r="R5191" t="s">
        <v>44</v>
      </c>
      <c r="S5191" t="s">
        <v>240</v>
      </c>
      <c r="T5191" t="s">
        <v>6</v>
      </c>
      <c r="U5191" s="21">
        <v>4</v>
      </c>
      <c r="V5191" s="21" t="s">
        <v>368</v>
      </c>
      <c r="W5191" t="str">
        <f>VLOOKUP(Table_Query_from_Actuarial___Production[[#This Row],[Kor1]],$AI$3:$AK$105,3,FALSE)</f>
        <v>Charge-offs</v>
      </c>
      <c r="X5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1"/>
      <c r="Z5191" t="s">
        <v>31</v>
      </c>
      <c r="AA5191" t="s">
        <v>240</v>
      </c>
      <c r="AB5191" t="s">
        <v>8</v>
      </c>
      <c r="AC5191" s="21">
        <v>6832.96</v>
      </c>
      <c r="AD5191" s="21" t="s">
        <v>368</v>
      </c>
      <c r="AE5191" t="str">
        <f>VLOOKUP(Table_Query_from_Actuarial___Production3[[#This Row],[Kor1]],$AI$3:$AK$105,3,FALSE)</f>
        <v>Misc. Expense</v>
      </c>
      <c r="AF5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2" spans="18:32" x14ac:dyDescent="0.2">
      <c r="R5192" t="s">
        <v>33</v>
      </c>
      <c r="S5192" t="s">
        <v>239</v>
      </c>
      <c r="T5192" t="s">
        <v>442</v>
      </c>
      <c r="U5192" s="21">
        <v>22181.95</v>
      </c>
      <c r="V5192" s="21" t="s">
        <v>368</v>
      </c>
      <c r="W5192" t="str">
        <f>VLOOKUP(Table_Query_from_Actuarial___Production[[#This Row],[Kor1]],$AI$3:$AK$105,3,FALSE)</f>
        <v>Misc. Expense</v>
      </c>
      <c r="X5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2"/>
      <c r="Z5192" t="s">
        <v>439</v>
      </c>
      <c r="AA5192" t="s">
        <v>240</v>
      </c>
      <c r="AB5192" t="s">
        <v>443</v>
      </c>
      <c r="AC5192" s="21">
        <v>-155193.66</v>
      </c>
      <c r="AD5192" s="21" t="s">
        <v>368</v>
      </c>
      <c r="AE5192" t="str">
        <f>VLOOKUP(Table_Query_from_Actuarial___Production3[[#This Row],[Kor1]],$AI$3:$AK$105,3,FALSE)</f>
        <v>Operating Service Fees</v>
      </c>
      <c r="AF5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3" spans="18:32" x14ac:dyDescent="0.2">
      <c r="R5193" t="s">
        <v>14</v>
      </c>
      <c r="S5193" t="s">
        <v>231</v>
      </c>
      <c r="T5193" t="s">
        <v>8</v>
      </c>
      <c r="U5193" s="21">
        <v>9148.11</v>
      </c>
      <c r="V5193" s="21" t="s">
        <v>368</v>
      </c>
      <c r="W5193" t="str">
        <f>VLOOKUP(Table_Query_from_Actuarial___Production[[#This Row],[Kor1]],$AI$3:$AK$105,3,FALSE)</f>
        <v>Claims Expense</v>
      </c>
      <c r="X5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3"/>
      <c r="Z5193" t="s">
        <v>33</v>
      </c>
      <c r="AA5193" t="s">
        <v>234</v>
      </c>
      <c r="AB5193" t="s">
        <v>6</v>
      </c>
      <c r="AC5193" s="21">
        <v>15693.57</v>
      </c>
      <c r="AD5193" s="21" t="s">
        <v>368</v>
      </c>
      <c r="AE5193" t="str">
        <f>VLOOKUP(Table_Query_from_Actuarial___Production3[[#This Row],[Kor1]],$AI$3:$AK$105,3,FALSE)</f>
        <v>Misc. Expense</v>
      </c>
      <c r="AF5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4" spans="18:32" x14ac:dyDescent="0.2">
      <c r="R5194" t="s">
        <v>37</v>
      </c>
      <c r="S5194" t="s">
        <v>268</v>
      </c>
      <c r="T5194" t="s">
        <v>433</v>
      </c>
      <c r="U5194" s="21">
        <v>89.99</v>
      </c>
      <c r="V5194" s="21" t="s">
        <v>368</v>
      </c>
      <c r="W5194" t="str">
        <f>VLOOKUP(Table_Query_from_Actuarial___Production[[#This Row],[Kor1]],$AI$3:$AK$105,3,FALSE)</f>
        <v>Misc. Expense</v>
      </c>
      <c r="X5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4"/>
      <c r="Z5194" t="s">
        <v>40</v>
      </c>
      <c r="AA5194" t="s">
        <v>227</v>
      </c>
      <c r="AB5194" t="s">
        <v>7</v>
      </c>
      <c r="AC5194" s="21">
        <v>567</v>
      </c>
      <c r="AD5194" s="21" t="s">
        <v>368</v>
      </c>
      <c r="AE5194" t="str">
        <f>VLOOKUP(Table_Query_from_Actuarial___Production3[[#This Row],[Kor1]],$AI$3:$AK$105,3,FALSE)</f>
        <v>Misc. Income</v>
      </c>
      <c r="AF5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5" spans="18:32" x14ac:dyDescent="0.2">
      <c r="R5195" t="s">
        <v>10</v>
      </c>
      <c r="S5195" t="s">
        <v>229</v>
      </c>
      <c r="T5195" t="s">
        <v>433</v>
      </c>
      <c r="U5195" s="21">
        <v>9796</v>
      </c>
      <c r="V5195" s="21" t="s">
        <v>368</v>
      </c>
      <c r="W5195" t="str">
        <f>VLOOKUP(Table_Query_from_Actuarial___Production[[#This Row],[Kor1]],$AI$3:$AK$105,3,FALSE)</f>
        <v>Commissions</v>
      </c>
      <c r="X5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5"/>
      <c r="Z5195" t="s">
        <v>15</v>
      </c>
      <c r="AA5195" t="s">
        <v>257</v>
      </c>
      <c r="AB5195" t="s">
        <v>442</v>
      </c>
      <c r="AC5195" s="21">
        <v>543396.22</v>
      </c>
      <c r="AD5195" s="21" t="s">
        <v>368</v>
      </c>
      <c r="AE5195" t="str">
        <f>VLOOKUP(Table_Query_from_Actuarial___Production3[[#This Row],[Kor1]],$AI$3:$AK$105,3,FALSE)</f>
        <v>Unearned Premiums</v>
      </c>
      <c r="AF5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6" spans="18:32" x14ac:dyDescent="0.2">
      <c r="R5196" t="s">
        <v>33</v>
      </c>
      <c r="S5196" t="s">
        <v>249</v>
      </c>
      <c r="T5196" t="s">
        <v>7</v>
      </c>
      <c r="U5196" s="21">
        <v>17027.240000000002</v>
      </c>
      <c r="V5196" s="21" t="s">
        <v>368</v>
      </c>
      <c r="W5196" t="str">
        <f>VLOOKUP(Table_Query_from_Actuarial___Production[[#This Row],[Kor1]],$AI$3:$AK$105,3,FALSE)</f>
        <v>Misc. Expense</v>
      </c>
      <c r="X5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6"/>
      <c r="Z5196" t="s">
        <v>44</v>
      </c>
      <c r="AA5196" t="s">
        <v>251</v>
      </c>
      <c r="AB5196" t="s">
        <v>6</v>
      </c>
      <c r="AC5196" s="21">
        <v>2862.96</v>
      </c>
      <c r="AD5196" s="21" t="s">
        <v>368</v>
      </c>
      <c r="AE5196" t="str">
        <f>VLOOKUP(Table_Query_from_Actuarial___Production3[[#This Row],[Kor1]],$AI$3:$AK$105,3,FALSE)</f>
        <v>Charge-offs</v>
      </c>
      <c r="AF5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7" spans="18:32" x14ac:dyDescent="0.2">
      <c r="R5197" t="s">
        <v>39</v>
      </c>
      <c r="S5197" t="s">
        <v>4</v>
      </c>
      <c r="T5197" t="s">
        <v>6</v>
      </c>
      <c r="U5197" s="21">
        <v>2206.08</v>
      </c>
      <c r="V5197" s="21" t="s">
        <v>368</v>
      </c>
      <c r="W5197" t="str">
        <f>VLOOKUP(Table_Query_from_Actuarial___Production[[#This Row],[Kor1]],$AI$3:$AK$105,3,FALSE)</f>
        <v>Misc. Income for Insolvent Companies</v>
      </c>
      <c r="X5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7"/>
      <c r="Z5197" t="s">
        <v>39</v>
      </c>
      <c r="AA5197" t="s">
        <v>230</v>
      </c>
      <c r="AB5197" t="s">
        <v>443</v>
      </c>
      <c r="AC5197" s="21">
        <v>2937.31</v>
      </c>
      <c r="AD5197" s="21" t="s">
        <v>368</v>
      </c>
      <c r="AE5197" t="str">
        <f>VLOOKUP(Table_Query_from_Actuarial___Production3[[#This Row],[Kor1]],$AI$3:$AK$105,3,FALSE)</f>
        <v>Misc. Income for Insolvent Companies</v>
      </c>
      <c r="AF5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8" spans="18:32" x14ac:dyDescent="0.2">
      <c r="R5198" t="s">
        <v>14</v>
      </c>
      <c r="S5198" t="s">
        <v>244</v>
      </c>
      <c r="T5198" t="s">
        <v>433</v>
      </c>
      <c r="U5198" s="21">
        <v>314831.82</v>
      </c>
      <c r="V5198" s="21" t="s">
        <v>368</v>
      </c>
      <c r="W5198" t="str">
        <f>VLOOKUP(Table_Query_from_Actuarial___Production[[#This Row],[Kor1]],$AI$3:$AK$105,3,FALSE)</f>
        <v>Claims Expense</v>
      </c>
      <c r="X5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8"/>
      <c r="Z5198" t="s">
        <v>13</v>
      </c>
      <c r="AA5198" t="s">
        <v>4</v>
      </c>
      <c r="AB5198" t="s">
        <v>433</v>
      </c>
      <c r="AC5198" s="21">
        <v>9939278.2799999993</v>
      </c>
      <c r="AD5198" s="21" t="s">
        <v>368</v>
      </c>
      <c r="AE5198" t="str">
        <f>VLOOKUP(Table_Query_from_Actuarial___Production3[[#This Row],[Kor1]],$AI$3:$AK$105,3,FALSE)</f>
        <v>Operating Service Fees</v>
      </c>
      <c r="AF5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199" spans="18:32" x14ac:dyDescent="0.2">
      <c r="R5199" t="s">
        <v>32</v>
      </c>
      <c r="S5199" t="s">
        <v>232</v>
      </c>
      <c r="T5199" t="s">
        <v>356</v>
      </c>
      <c r="U5199" s="21">
        <v>-14374.9</v>
      </c>
      <c r="V5199" s="21" t="s">
        <v>368</v>
      </c>
      <c r="W5199" t="str">
        <f>VLOOKUP(Table_Query_from_Actuarial___Production[[#This Row],[Kor1]],$AI$3:$AK$105,3,FALSE)</f>
        <v>Misc. Expense</v>
      </c>
      <c r="X5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199"/>
      <c r="Z5199" t="s">
        <v>31</v>
      </c>
      <c r="AA5199" t="s">
        <v>252</v>
      </c>
      <c r="AB5199" t="s">
        <v>9</v>
      </c>
      <c r="AC5199" s="21">
        <v>-434.9</v>
      </c>
      <c r="AD5199" s="21" t="s">
        <v>368</v>
      </c>
      <c r="AE5199" t="str">
        <f>VLOOKUP(Table_Query_from_Actuarial___Production3[[#This Row],[Kor1]],$AI$3:$AK$105,3,FALSE)</f>
        <v>Misc. Expense</v>
      </c>
      <c r="AF5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0" spans="18:32" x14ac:dyDescent="0.2">
      <c r="R5200" t="s">
        <v>34</v>
      </c>
      <c r="S5200" t="s">
        <v>249</v>
      </c>
      <c r="T5200" t="s">
        <v>8</v>
      </c>
      <c r="U5200" s="21">
        <v>0.19</v>
      </c>
      <c r="V5200" s="21" t="s">
        <v>368</v>
      </c>
      <c r="W5200" t="str">
        <f>VLOOKUP(Table_Query_from_Actuarial___Production[[#This Row],[Kor1]],$AI$3:$AK$105,3,FALSE)</f>
        <v>Misc. Expense</v>
      </c>
      <c r="X5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0"/>
      <c r="Z5200" t="s">
        <v>41</v>
      </c>
      <c r="AA5200" t="s">
        <v>266</v>
      </c>
      <c r="AB5200" t="s">
        <v>5</v>
      </c>
      <c r="AC5200" s="21">
        <v>50</v>
      </c>
      <c r="AD5200" s="21" t="s">
        <v>368</v>
      </c>
      <c r="AE5200" t="str">
        <f>VLOOKUP(Table_Query_from_Actuarial___Production3[[#This Row],[Kor1]],$AI$3:$AK$105,3,FALSE)</f>
        <v>Misc. Income</v>
      </c>
      <c r="AF5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1" spans="18:32" x14ac:dyDescent="0.2">
      <c r="R5201" t="s">
        <v>36</v>
      </c>
      <c r="S5201" t="s">
        <v>257</v>
      </c>
      <c r="T5201" t="s">
        <v>8</v>
      </c>
      <c r="U5201" s="21">
        <v>-246</v>
      </c>
      <c r="V5201" s="21" t="s">
        <v>368</v>
      </c>
      <c r="W5201" t="str">
        <f>VLOOKUP(Table_Query_from_Actuarial___Production[[#This Row],[Kor1]],$AI$3:$AK$105,3,FALSE)</f>
        <v>Misc. Expense</v>
      </c>
      <c r="X5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1"/>
      <c r="Z5201" t="s">
        <v>31</v>
      </c>
      <c r="AA5201" t="s">
        <v>268</v>
      </c>
      <c r="AB5201" t="s">
        <v>441</v>
      </c>
      <c r="AC5201" s="21">
        <v>1227.19</v>
      </c>
      <c r="AD5201" s="21" t="s">
        <v>368</v>
      </c>
      <c r="AE5201" t="str">
        <f>VLOOKUP(Table_Query_from_Actuarial___Production3[[#This Row],[Kor1]],$AI$3:$AK$105,3,FALSE)</f>
        <v>Misc. Expense</v>
      </c>
      <c r="AF5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2" spans="18:32" x14ac:dyDescent="0.2">
      <c r="R5202" t="s">
        <v>19</v>
      </c>
      <c r="S5202" t="s">
        <v>231</v>
      </c>
      <c r="T5202" t="s">
        <v>6</v>
      </c>
      <c r="U5202" s="21">
        <v>697</v>
      </c>
      <c r="V5202" s="21" t="s">
        <v>368</v>
      </c>
      <c r="W5202" t="str">
        <f>VLOOKUP(Table_Query_from_Actuarial___Production[[#This Row],[Kor1]],$AI$3:$AK$105,3,FALSE)</f>
        <v>Misc. Expense for Insolvent Companies</v>
      </c>
      <c r="X5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2"/>
      <c r="Z5202" t="s">
        <v>49</v>
      </c>
      <c r="AA5202" t="s">
        <v>238</v>
      </c>
      <c r="AB5202" t="s">
        <v>442</v>
      </c>
      <c r="AC5202" s="21">
        <v>9038.5</v>
      </c>
      <c r="AD5202" s="21" t="s">
        <v>368</v>
      </c>
      <c r="AE5202" t="str">
        <f>VLOOKUP(Table_Query_from_Actuarial___Production3[[#This Row],[Kor1]],$AI$3:$AK$105,3,FALSE)</f>
        <v>ALAE Paid</v>
      </c>
      <c r="AF5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3" spans="18:32" x14ac:dyDescent="0.2">
      <c r="R5203" t="s">
        <v>19</v>
      </c>
      <c r="S5203" t="s">
        <v>240</v>
      </c>
      <c r="T5203" t="s">
        <v>9</v>
      </c>
      <c r="U5203" s="21">
        <v>2815</v>
      </c>
      <c r="V5203" s="21" t="s">
        <v>368</v>
      </c>
      <c r="W5203" t="str">
        <f>VLOOKUP(Table_Query_from_Actuarial___Production[[#This Row],[Kor1]],$AI$3:$AK$105,3,FALSE)</f>
        <v>Misc. Expense for Insolvent Companies</v>
      </c>
      <c r="X5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3"/>
      <c r="Z5203" t="s">
        <v>3</v>
      </c>
      <c r="AA5203" t="s">
        <v>263</v>
      </c>
      <c r="AB5203" t="s">
        <v>442</v>
      </c>
      <c r="AC5203" s="21">
        <v>444029</v>
      </c>
      <c r="AD5203" s="21" t="s">
        <v>368</v>
      </c>
      <c r="AE5203" t="str">
        <f>VLOOKUP(Table_Query_from_Actuarial___Production3[[#This Row],[Kor1]],$AI$3:$AK$105,3,FALSE)</f>
        <v>Premiums Written</v>
      </c>
      <c r="AF5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4" spans="18:32" x14ac:dyDescent="0.2">
      <c r="R5204" t="s">
        <v>43</v>
      </c>
      <c r="S5204" t="s">
        <v>242</v>
      </c>
      <c r="T5204" t="s">
        <v>356</v>
      </c>
      <c r="U5204" s="21">
        <v>-3.18</v>
      </c>
      <c r="V5204" s="21" t="s">
        <v>368</v>
      </c>
      <c r="W5204" t="str">
        <f>VLOOKUP(Table_Query_from_Actuarial___Production[[#This Row],[Kor1]],$AI$3:$AK$105,3,FALSE)</f>
        <v>Charge-offs</v>
      </c>
      <c r="X5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4"/>
      <c r="Z5204" t="s">
        <v>21</v>
      </c>
      <c r="AA5204" t="s">
        <v>250</v>
      </c>
      <c r="AB5204" t="s">
        <v>8</v>
      </c>
      <c r="AC5204" s="21">
        <v>1541.99</v>
      </c>
      <c r="AD5204" s="21" t="s">
        <v>368</v>
      </c>
      <c r="AE5204" t="str">
        <f>VLOOKUP(Table_Query_from_Actuarial___Production3[[#This Row],[Kor1]],$AI$3:$AK$105,3,FALSE)</f>
        <v>Misc. Expense</v>
      </c>
      <c r="AF5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5" spans="18:32" x14ac:dyDescent="0.2">
      <c r="R5205" t="s">
        <v>21</v>
      </c>
      <c r="S5205" t="s">
        <v>257</v>
      </c>
      <c r="T5205" t="s">
        <v>443</v>
      </c>
      <c r="U5205" s="21">
        <v>1267.77</v>
      </c>
      <c r="V5205" s="21" t="s">
        <v>368</v>
      </c>
      <c r="W5205" t="str">
        <f>VLOOKUP(Table_Query_from_Actuarial___Production[[#This Row],[Kor1]],$AI$3:$AK$105,3,FALSE)</f>
        <v>Misc. Expense</v>
      </c>
      <c r="X5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5"/>
      <c r="Z5205" t="s">
        <v>44</v>
      </c>
      <c r="AA5205" t="s">
        <v>224</v>
      </c>
      <c r="AB5205" t="s">
        <v>6</v>
      </c>
      <c r="AC5205" s="21">
        <v>1170.74</v>
      </c>
      <c r="AD5205" s="21" t="s">
        <v>368</v>
      </c>
      <c r="AE5205" t="str">
        <f>VLOOKUP(Table_Query_from_Actuarial___Production3[[#This Row],[Kor1]],$AI$3:$AK$105,3,FALSE)</f>
        <v>Charge-offs</v>
      </c>
      <c r="AF5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206" spans="18:32" x14ac:dyDescent="0.2">
      <c r="R5206" t="s">
        <v>31</v>
      </c>
      <c r="S5206" t="s">
        <v>258</v>
      </c>
      <c r="T5206" t="s">
        <v>433</v>
      </c>
      <c r="U5206" s="21">
        <v>777.78</v>
      </c>
      <c r="V5206" s="21" t="s">
        <v>368</v>
      </c>
      <c r="W5206" t="str">
        <f>VLOOKUP(Table_Query_from_Actuarial___Production[[#This Row],[Kor1]],$AI$3:$AK$105,3,FALSE)</f>
        <v>Misc. Expense</v>
      </c>
      <c r="X5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6"/>
      <c r="Z5206" t="s">
        <v>39</v>
      </c>
      <c r="AA5206" t="s">
        <v>236</v>
      </c>
      <c r="AB5206" t="s">
        <v>433</v>
      </c>
      <c r="AC5206" s="21">
        <v>569</v>
      </c>
      <c r="AD5206" s="21" t="s">
        <v>368</v>
      </c>
      <c r="AE5206" t="str">
        <f>VLOOKUP(Table_Query_from_Actuarial___Production3[[#This Row],[Kor1]],$AI$3:$AK$105,3,FALSE)</f>
        <v>Misc. Income for Insolvent Companies</v>
      </c>
      <c r="AF5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7" spans="18:32" x14ac:dyDescent="0.2">
      <c r="R5207" t="s">
        <v>3</v>
      </c>
      <c r="S5207" t="s">
        <v>225</v>
      </c>
      <c r="T5207" t="s">
        <v>6</v>
      </c>
      <c r="U5207" s="21">
        <v>4119104.83</v>
      </c>
      <c r="V5207" s="21" t="s">
        <v>369</v>
      </c>
      <c r="W5207" t="str">
        <f>VLOOKUP(Table_Query_from_Actuarial___Production[[#This Row],[Kor1]],$AI$3:$AK$105,3,FALSE)</f>
        <v>Premiums Written</v>
      </c>
      <c r="X5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207"/>
      <c r="Z5207" t="s">
        <v>21</v>
      </c>
      <c r="AA5207" t="s">
        <v>243</v>
      </c>
      <c r="AB5207" t="s">
        <v>427</v>
      </c>
      <c r="AC5207" s="21">
        <v>1329.51</v>
      </c>
      <c r="AD5207" s="21" t="s">
        <v>368</v>
      </c>
      <c r="AE5207" t="str">
        <f>VLOOKUP(Table_Query_from_Actuarial___Production3[[#This Row],[Kor1]],$AI$3:$AK$105,3,FALSE)</f>
        <v>Misc. Expense</v>
      </c>
      <c r="AF5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8" spans="18:32" x14ac:dyDescent="0.2">
      <c r="R5208" t="s">
        <v>17</v>
      </c>
      <c r="S5208" t="s">
        <v>251</v>
      </c>
      <c r="T5208" t="s">
        <v>441</v>
      </c>
      <c r="U5208" s="21">
        <v>56288.94</v>
      </c>
      <c r="V5208" s="21" t="s">
        <v>368</v>
      </c>
      <c r="W5208" t="str">
        <f>VLOOKUP(Table_Query_from_Actuarial___Production[[#This Row],[Kor1]],$AI$3:$AK$105,3,FALSE)</f>
        <v>IBNR</v>
      </c>
      <c r="X5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8"/>
      <c r="Z5208" t="s">
        <v>44</v>
      </c>
      <c r="AA5208" t="s">
        <v>243</v>
      </c>
      <c r="AB5208" t="s">
        <v>351</v>
      </c>
      <c r="AC5208" s="21">
        <v>491.25</v>
      </c>
      <c r="AD5208" s="21" t="s">
        <v>368</v>
      </c>
      <c r="AE5208" t="str">
        <f>VLOOKUP(Table_Query_from_Actuarial___Production3[[#This Row],[Kor1]],$AI$3:$AK$105,3,FALSE)</f>
        <v>Charge-offs</v>
      </c>
      <c r="AF5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09" spans="18:32" x14ac:dyDescent="0.2">
      <c r="R5209" t="s">
        <v>16</v>
      </c>
      <c r="S5209" t="s">
        <v>235</v>
      </c>
      <c r="T5209" t="s">
        <v>427</v>
      </c>
      <c r="U5209" s="21">
        <v>50000</v>
      </c>
      <c r="V5209" s="21" t="s">
        <v>368</v>
      </c>
      <c r="W5209" t="str">
        <f>VLOOKUP(Table_Query_from_Actuarial___Production[[#This Row],[Kor1]],$AI$3:$AK$105,3,FALSE)</f>
        <v>Losses Outstanding</v>
      </c>
      <c r="X5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09"/>
      <c r="Z5209" t="s">
        <v>12</v>
      </c>
      <c r="AA5209" t="s">
        <v>258</v>
      </c>
      <c r="AB5209" t="s">
        <v>7</v>
      </c>
      <c r="AC5209" s="21">
        <v>49590.14</v>
      </c>
      <c r="AD5209" s="21" t="s">
        <v>368</v>
      </c>
      <c r="AE5209" t="str">
        <f>VLOOKUP(Table_Query_from_Actuarial___Production3[[#This Row],[Kor1]],$AI$3:$AK$105,3,FALSE)</f>
        <v>Premium Tax</v>
      </c>
      <c r="AF5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0" spans="18:32" x14ac:dyDescent="0.2">
      <c r="R5210" t="s">
        <v>18</v>
      </c>
      <c r="S5210" t="s">
        <v>354</v>
      </c>
      <c r="T5210" t="s">
        <v>427</v>
      </c>
      <c r="U5210" s="21">
        <v>740181.42</v>
      </c>
      <c r="V5210" s="21" t="s">
        <v>368</v>
      </c>
      <c r="W5210" t="str">
        <f>VLOOKUP(Table_Query_from_Actuarial___Production[[#This Row],[Kor1]],$AI$3:$AK$105,3,FALSE)</f>
        <v>Misc. Expense</v>
      </c>
      <c r="X5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210"/>
      <c r="Z5210" t="s">
        <v>44</v>
      </c>
      <c r="AA5210" t="s">
        <v>240</v>
      </c>
      <c r="AB5210" t="s">
        <v>6</v>
      </c>
      <c r="AC5210" s="21">
        <v>4</v>
      </c>
      <c r="AD5210" s="21" t="s">
        <v>368</v>
      </c>
      <c r="AE5210" t="str">
        <f>VLOOKUP(Table_Query_from_Actuarial___Production3[[#This Row],[Kor1]],$AI$3:$AK$105,3,FALSE)</f>
        <v>Charge-offs</v>
      </c>
      <c r="AF5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1" spans="18:32" x14ac:dyDescent="0.2">
      <c r="R5211" t="s">
        <v>43</v>
      </c>
      <c r="S5211" t="s">
        <v>230</v>
      </c>
      <c r="T5211" t="s">
        <v>441</v>
      </c>
      <c r="U5211" s="21">
        <v>-2196.33</v>
      </c>
      <c r="V5211" s="21" t="s">
        <v>368</v>
      </c>
      <c r="W5211" t="str">
        <f>VLOOKUP(Table_Query_from_Actuarial___Production[[#This Row],[Kor1]],$AI$3:$AK$105,3,FALSE)</f>
        <v>Charge-offs</v>
      </c>
      <c r="X5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1"/>
      <c r="Z5211" t="s">
        <v>33</v>
      </c>
      <c r="AA5211" t="s">
        <v>239</v>
      </c>
      <c r="AB5211" t="s">
        <v>442</v>
      </c>
      <c r="AC5211" s="21">
        <v>22181.95</v>
      </c>
      <c r="AD5211" s="21" t="s">
        <v>368</v>
      </c>
      <c r="AE5211" t="str">
        <f>VLOOKUP(Table_Query_from_Actuarial___Production3[[#This Row],[Kor1]],$AI$3:$AK$105,3,FALSE)</f>
        <v>Misc. Expense</v>
      </c>
      <c r="AF5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2" spans="18:32" x14ac:dyDescent="0.2">
      <c r="R5212" t="s">
        <v>3</v>
      </c>
      <c r="S5212" t="s">
        <v>256</v>
      </c>
      <c r="T5212" t="s">
        <v>445</v>
      </c>
      <c r="U5212" s="21">
        <v>34555</v>
      </c>
      <c r="V5212" s="21" t="s">
        <v>368</v>
      </c>
      <c r="W5212" t="str">
        <f>VLOOKUP(Table_Query_from_Actuarial___Production[[#This Row],[Kor1]],$AI$3:$AK$105,3,FALSE)</f>
        <v>Premiums Written</v>
      </c>
      <c r="X5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2"/>
      <c r="Z5212" t="s">
        <v>14</v>
      </c>
      <c r="AA5212" t="s">
        <v>231</v>
      </c>
      <c r="AB5212" t="s">
        <v>8</v>
      </c>
      <c r="AC5212" s="21">
        <v>9148.11</v>
      </c>
      <c r="AD5212" s="21" t="s">
        <v>368</v>
      </c>
      <c r="AE5212" t="str">
        <f>VLOOKUP(Table_Query_from_Actuarial___Production3[[#This Row],[Kor1]],$AI$3:$AK$105,3,FALSE)</f>
        <v>Claims Expense</v>
      </c>
      <c r="AF5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3" spans="18:32" x14ac:dyDescent="0.2">
      <c r="R5213" t="s">
        <v>39</v>
      </c>
      <c r="S5213" t="s">
        <v>244</v>
      </c>
      <c r="T5213" t="s">
        <v>445</v>
      </c>
      <c r="U5213" s="21">
        <v>1205.25</v>
      </c>
      <c r="V5213" s="21" t="s">
        <v>368</v>
      </c>
      <c r="W5213" t="str">
        <f>VLOOKUP(Table_Query_from_Actuarial___Production[[#This Row],[Kor1]],$AI$3:$AK$105,3,FALSE)</f>
        <v>Misc. Income for Insolvent Companies</v>
      </c>
      <c r="X5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3"/>
      <c r="Z5213" t="s">
        <v>37</v>
      </c>
      <c r="AA5213" t="s">
        <v>268</v>
      </c>
      <c r="AB5213" t="s">
        <v>433</v>
      </c>
      <c r="AC5213" s="21">
        <v>89.99</v>
      </c>
      <c r="AD5213" s="21" t="s">
        <v>368</v>
      </c>
      <c r="AE5213" t="str">
        <f>VLOOKUP(Table_Query_from_Actuarial___Production3[[#This Row],[Kor1]],$AI$3:$AK$105,3,FALSE)</f>
        <v>Misc. Expense</v>
      </c>
      <c r="AF5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4" spans="18:32" x14ac:dyDescent="0.2">
      <c r="R5214" t="s">
        <v>10</v>
      </c>
      <c r="S5214" t="s">
        <v>242</v>
      </c>
      <c r="T5214" t="s">
        <v>8</v>
      </c>
      <c r="U5214" s="21">
        <v>24771.5</v>
      </c>
      <c r="V5214" s="21" t="s">
        <v>368</v>
      </c>
      <c r="W5214" t="str">
        <f>VLOOKUP(Table_Query_from_Actuarial___Production[[#This Row],[Kor1]],$AI$3:$AK$105,3,FALSE)</f>
        <v>Commissions</v>
      </c>
      <c r="X5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4"/>
      <c r="Z5214" t="s">
        <v>10</v>
      </c>
      <c r="AA5214" t="s">
        <v>229</v>
      </c>
      <c r="AB5214" t="s">
        <v>433</v>
      </c>
      <c r="AC5214" s="21">
        <v>9796</v>
      </c>
      <c r="AD5214" s="21" t="s">
        <v>368</v>
      </c>
      <c r="AE5214" t="str">
        <f>VLOOKUP(Table_Query_from_Actuarial___Production3[[#This Row],[Kor1]],$AI$3:$AK$105,3,FALSE)</f>
        <v>Commissions</v>
      </c>
      <c r="AF5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5" spans="18:32" x14ac:dyDescent="0.2">
      <c r="R5215" t="s">
        <v>38</v>
      </c>
      <c r="S5215" t="s">
        <v>224</v>
      </c>
      <c r="T5215" t="s">
        <v>9</v>
      </c>
      <c r="U5215" s="21">
        <v>4883.5600000000004</v>
      </c>
      <c r="V5215" s="21" t="s">
        <v>425</v>
      </c>
      <c r="W5215" t="str">
        <f>VLOOKUP(Table_Query_from_Actuarial___Production[[#This Row],[Kor1]],$AI$3:$AK$105,3,FALSE)</f>
        <v>Misc. Income</v>
      </c>
      <c r="X5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215"/>
      <c r="Z5215" t="s">
        <v>33</v>
      </c>
      <c r="AA5215" t="s">
        <v>249</v>
      </c>
      <c r="AB5215" t="s">
        <v>7</v>
      </c>
      <c r="AC5215" s="21">
        <v>17027.240000000002</v>
      </c>
      <c r="AD5215" s="21" t="s">
        <v>368</v>
      </c>
      <c r="AE5215" t="str">
        <f>VLOOKUP(Table_Query_from_Actuarial___Production3[[#This Row],[Kor1]],$AI$3:$AK$105,3,FALSE)</f>
        <v>Misc. Expense</v>
      </c>
      <c r="AF5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6" spans="18:32" x14ac:dyDescent="0.2">
      <c r="R5216" t="s">
        <v>14</v>
      </c>
      <c r="S5216" t="s">
        <v>234</v>
      </c>
      <c r="T5216" t="s">
        <v>433</v>
      </c>
      <c r="U5216" s="21">
        <v>47873.120000000003</v>
      </c>
      <c r="V5216" s="21" t="s">
        <v>368</v>
      </c>
      <c r="W5216" t="str">
        <f>VLOOKUP(Table_Query_from_Actuarial___Production[[#This Row],[Kor1]],$AI$3:$AK$105,3,FALSE)</f>
        <v>Claims Expense</v>
      </c>
      <c r="X5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6"/>
      <c r="Z5216" t="s">
        <v>39</v>
      </c>
      <c r="AA5216" t="s">
        <v>4</v>
      </c>
      <c r="AB5216" t="s">
        <v>6</v>
      </c>
      <c r="AC5216" s="21">
        <v>2122.08</v>
      </c>
      <c r="AD5216" s="21" t="s">
        <v>368</v>
      </c>
      <c r="AE5216" t="str">
        <f>VLOOKUP(Table_Query_from_Actuarial___Production3[[#This Row],[Kor1]],$AI$3:$AK$105,3,FALSE)</f>
        <v>Misc. Income for Insolvent Companies</v>
      </c>
      <c r="AF5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7" spans="18:32" x14ac:dyDescent="0.2">
      <c r="R5217" t="s">
        <v>41</v>
      </c>
      <c r="S5217" t="s">
        <v>266</v>
      </c>
      <c r="T5217" t="s">
        <v>351</v>
      </c>
      <c r="U5217" s="21">
        <v>450</v>
      </c>
      <c r="V5217" s="21" t="s">
        <v>368</v>
      </c>
      <c r="W5217" t="str">
        <f>VLOOKUP(Table_Query_from_Actuarial___Production[[#This Row],[Kor1]],$AI$3:$AK$105,3,FALSE)</f>
        <v>Misc. Income</v>
      </c>
      <c r="X5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7"/>
      <c r="Z5217" t="s">
        <v>14</v>
      </c>
      <c r="AA5217" t="s">
        <v>244</v>
      </c>
      <c r="AB5217" t="s">
        <v>433</v>
      </c>
      <c r="AC5217" s="21">
        <v>314831.82</v>
      </c>
      <c r="AD5217" s="21" t="s">
        <v>368</v>
      </c>
      <c r="AE5217" t="str">
        <f>VLOOKUP(Table_Query_from_Actuarial___Production3[[#This Row],[Kor1]],$AI$3:$AK$105,3,FALSE)</f>
        <v>Claims Expense</v>
      </c>
      <c r="AF5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8" spans="18:32" x14ac:dyDescent="0.2">
      <c r="R5218" t="s">
        <v>33</v>
      </c>
      <c r="S5218" t="s">
        <v>237</v>
      </c>
      <c r="T5218" t="s">
        <v>7</v>
      </c>
      <c r="U5218" s="21">
        <v>14161.55</v>
      </c>
      <c r="V5218" s="21" t="s">
        <v>368</v>
      </c>
      <c r="W5218" t="str">
        <f>VLOOKUP(Table_Query_from_Actuarial___Production[[#This Row],[Kor1]],$AI$3:$AK$105,3,FALSE)</f>
        <v>Misc. Expense</v>
      </c>
      <c r="X5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8"/>
      <c r="Z5218" t="s">
        <v>32</v>
      </c>
      <c r="AA5218" t="s">
        <v>232</v>
      </c>
      <c r="AB5218" t="s">
        <v>356</v>
      </c>
      <c r="AC5218" s="21">
        <v>-14374.9</v>
      </c>
      <c r="AD5218" s="21" t="s">
        <v>368</v>
      </c>
      <c r="AE5218" t="str">
        <f>VLOOKUP(Table_Query_from_Actuarial___Production3[[#This Row],[Kor1]],$AI$3:$AK$105,3,FALSE)</f>
        <v>Misc. Expense</v>
      </c>
      <c r="AF5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19" spans="18:32" x14ac:dyDescent="0.2">
      <c r="R5219" t="s">
        <v>41</v>
      </c>
      <c r="S5219" t="s">
        <v>231</v>
      </c>
      <c r="T5219" t="s">
        <v>442</v>
      </c>
      <c r="U5219" s="21">
        <v>1118.8</v>
      </c>
      <c r="V5219" s="21" t="s">
        <v>368</v>
      </c>
      <c r="W5219" t="str">
        <f>VLOOKUP(Table_Query_from_Actuarial___Production[[#This Row],[Kor1]],$AI$3:$AK$105,3,FALSE)</f>
        <v>Misc. Income</v>
      </c>
      <c r="X5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19"/>
      <c r="Z5219" t="s">
        <v>34</v>
      </c>
      <c r="AA5219" t="s">
        <v>249</v>
      </c>
      <c r="AB5219" t="s">
        <v>8</v>
      </c>
      <c r="AC5219" s="21">
        <v>0.19</v>
      </c>
      <c r="AD5219" s="21" t="s">
        <v>368</v>
      </c>
      <c r="AE5219" t="str">
        <f>VLOOKUP(Table_Query_from_Actuarial___Production3[[#This Row],[Kor1]],$AI$3:$AK$105,3,FALSE)</f>
        <v>Misc. Expense</v>
      </c>
      <c r="AF5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0" spans="18:32" x14ac:dyDescent="0.2">
      <c r="R5220" t="s">
        <v>13</v>
      </c>
      <c r="S5220" t="s">
        <v>258</v>
      </c>
      <c r="T5220" t="s">
        <v>351</v>
      </c>
      <c r="U5220" s="21">
        <v>537152.67000000004</v>
      </c>
      <c r="V5220" s="21" t="s">
        <v>368</v>
      </c>
      <c r="W5220" t="str">
        <f>VLOOKUP(Table_Query_from_Actuarial___Production[[#This Row],[Kor1]],$AI$3:$AK$105,3,FALSE)</f>
        <v>Operating Service Fees</v>
      </c>
      <c r="X5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0"/>
      <c r="Z5220" t="s">
        <v>36</v>
      </c>
      <c r="AA5220" t="s">
        <v>257</v>
      </c>
      <c r="AB5220" t="s">
        <v>8</v>
      </c>
      <c r="AC5220" s="21">
        <v>-246</v>
      </c>
      <c r="AD5220" s="21" t="s">
        <v>368</v>
      </c>
      <c r="AE5220" t="str">
        <f>VLOOKUP(Table_Query_from_Actuarial___Production3[[#This Row],[Kor1]],$AI$3:$AK$105,3,FALSE)</f>
        <v>Misc. Expense</v>
      </c>
      <c r="AF5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1" spans="18:32" x14ac:dyDescent="0.2">
      <c r="R5221" t="s">
        <v>29</v>
      </c>
      <c r="S5221" t="s">
        <v>4</v>
      </c>
      <c r="T5221" t="s">
        <v>356</v>
      </c>
      <c r="U5221" s="21">
        <v>5091.3500000000004</v>
      </c>
      <c r="V5221" s="21" t="s">
        <v>368</v>
      </c>
      <c r="W5221" t="str">
        <f>VLOOKUP(Table_Query_from_Actuarial___Production[[#This Row],[Kor1]],$AI$3:$AK$105,3,FALSE)</f>
        <v>Misc. Expense</v>
      </c>
      <c r="X5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1"/>
      <c r="Z5221" t="s">
        <v>19</v>
      </c>
      <c r="AA5221" t="s">
        <v>231</v>
      </c>
      <c r="AB5221" t="s">
        <v>6</v>
      </c>
      <c r="AC5221" s="21">
        <v>697</v>
      </c>
      <c r="AD5221" s="21" t="s">
        <v>368</v>
      </c>
      <c r="AE5221" t="str">
        <f>VLOOKUP(Table_Query_from_Actuarial___Production3[[#This Row],[Kor1]],$AI$3:$AK$105,3,FALSE)</f>
        <v>Misc. Expense for Insolvent Companies</v>
      </c>
      <c r="AF5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2" spans="18:32" x14ac:dyDescent="0.2">
      <c r="R5222" t="s">
        <v>33</v>
      </c>
      <c r="S5222" t="s">
        <v>238</v>
      </c>
      <c r="T5222" t="s">
        <v>9</v>
      </c>
      <c r="U5222" s="21">
        <v>15830.34</v>
      </c>
      <c r="V5222" s="21" t="s">
        <v>368</v>
      </c>
      <c r="W5222" t="str">
        <f>VLOOKUP(Table_Query_from_Actuarial___Production[[#This Row],[Kor1]],$AI$3:$AK$105,3,FALSE)</f>
        <v>Misc. Expense</v>
      </c>
      <c r="X5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2"/>
      <c r="Z5222" t="s">
        <v>19</v>
      </c>
      <c r="AA5222" t="s">
        <v>240</v>
      </c>
      <c r="AB5222" t="s">
        <v>9</v>
      </c>
      <c r="AC5222" s="21">
        <v>2815</v>
      </c>
      <c r="AD5222" s="21" t="s">
        <v>368</v>
      </c>
      <c r="AE5222" t="str">
        <f>VLOOKUP(Table_Query_from_Actuarial___Production3[[#This Row],[Kor1]],$AI$3:$AK$105,3,FALSE)</f>
        <v>Misc. Expense for Insolvent Companies</v>
      </c>
      <c r="AF5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3" spans="18:32" x14ac:dyDescent="0.2">
      <c r="R5223" t="s">
        <v>41</v>
      </c>
      <c r="S5223" t="s">
        <v>232</v>
      </c>
      <c r="T5223" t="s">
        <v>351</v>
      </c>
      <c r="U5223" s="21">
        <v>699.98</v>
      </c>
      <c r="V5223" s="21" t="s">
        <v>368</v>
      </c>
      <c r="W5223" t="str">
        <f>VLOOKUP(Table_Query_from_Actuarial___Production[[#This Row],[Kor1]],$AI$3:$AK$105,3,FALSE)</f>
        <v>Misc. Income</v>
      </c>
      <c r="X5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3"/>
      <c r="Z5223" t="s">
        <v>43</v>
      </c>
      <c r="AA5223" t="s">
        <v>242</v>
      </c>
      <c r="AB5223" t="s">
        <v>356</v>
      </c>
      <c r="AC5223" s="21">
        <v>-3.18</v>
      </c>
      <c r="AD5223" s="21" t="s">
        <v>368</v>
      </c>
      <c r="AE5223" t="str">
        <f>VLOOKUP(Table_Query_from_Actuarial___Production3[[#This Row],[Kor1]],$AI$3:$AK$105,3,FALSE)</f>
        <v>Charge-offs</v>
      </c>
      <c r="AF5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4" spans="18:32" x14ac:dyDescent="0.2">
      <c r="R5224" t="s">
        <v>3</v>
      </c>
      <c r="S5224" t="s">
        <v>235</v>
      </c>
      <c r="T5224" t="s">
        <v>8</v>
      </c>
      <c r="U5224" s="21">
        <v>647966</v>
      </c>
      <c r="V5224" s="21" t="s">
        <v>368</v>
      </c>
      <c r="W5224" t="str">
        <f>VLOOKUP(Table_Query_from_Actuarial___Production[[#This Row],[Kor1]],$AI$3:$AK$105,3,FALSE)</f>
        <v>Premiums Written</v>
      </c>
      <c r="X5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4"/>
      <c r="Z5224" t="s">
        <v>15</v>
      </c>
      <c r="AA5224" t="s">
        <v>254</v>
      </c>
      <c r="AB5224" t="s">
        <v>442</v>
      </c>
      <c r="AC5224" s="21">
        <v>6519121.8600000003</v>
      </c>
      <c r="AD5224" s="21" t="s">
        <v>368</v>
      </c>
      <c r="AE5224" t="str">
        <f>VLOOKUP(Table_Query_from_Actuarial___Production3[[#This Row],[Kor1]],$AI$3:$AK$105,3,FALSE)</f>
        <v>Unearned Premiums</v>
      </c>
      <c r="AF5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5" spans="18:32" x14ac:dyDescent="0.2">
      <c r="R5225" t="s">
        <v>10</v>
      </c>
      <c r="S5225" t="s">
        <v>259</v>
      </c>
      <c r="T5225" t="s">
        <v>8</v>
      </c>
      <c r="U5225" s="21">
        <v>31779.73</v>
      </c>
      <c r="V5225" s="21" t="s">
        <v>368</v>
      </c>
      <c r="W5225" t="str">
        <f>VLOOKUP(Table_Query_from_Actuarial___Production[[#This Row],[Kor1]],$AI$3:$AK$105,3,FALSE)</f>
        <v>Commissions</v>
      </c>
      <c r="X5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5"/>
      <c r="Z5225" t="s">
        <v>21</v>
      </c>
      <c r="AA5225" t="s">
        <v>257</v>
      </c>
      <c r="AB5225" t="s">
        <v>443</v>
      </c>
      <c r="AC5225" s="21">
        <v>1267.77</v>
      </c>
      <c r="AD5225" s="21" t="s">
        <v>368</v>
      </c>
      <c r="AE5225" t="str">
        <f>VLOOKUP(Table_Query_from_Actuarial___Production3[[#This Row],[Kor1]],$AI$3:$AK$105,3,FALSE)</f>
        <v>Misc. Expense</v>
      </c>
      <c r="AF5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6" spans="18:32" x14ac:dyDescent="0.2">
      <c r="R5226" t="s">
        <v>13</v>
      </c>
      <c r="S5226" t="s">
        <v>231</v>
      </c>
      <c r="T5226" t="s">
        <v>356</v>
      </c>
      <c r="U5226" s="21">
        <v>54633.2</v>
      </c>
      <c r="V5226" s="21" t="s">
        <v>368</v>
      </c>
      <c r="W5226" t="str">
        <f>VLOOKUP(Table_Query_from_Actuarial___Production[[#This Row],[Kor1]],$AI$3:$AK$105,3,FALSE)</f>
        <v>Operating Service Fees</v>
      </c>
      <c r="X5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6"/>
      <c r="Z5226" t="s">
        <v>31</v>
      </c>
      <c r="AA5226" t="s">
        <v>258</v>
      </c>
      <c r="AB5226" t="s">
        <v>433</v>
      </c>
      <c r="AC5226" s="21">
        <v>777.78</v>
      </c>
      <c r="AD5226" s="21" t="s">
        <v>368</v>
      </c>
      <c r="AE5226" t="str">
        <f>VLOOKUP(Table_Query_from_Actuarial___Production3[[#This Row],[Kor1]],$AI$3:$AK$105,3,FALSE)</f>
        <v>Misc. Expense</v>
      </c>
      <c r="AF5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7" spans="18:32" x14ac:dyDescent="0.2">
      <c r="R5227" t="s">
        <v>21</v>
      </c>
      <c r="S5227" t="s">
        <v>243</v>
      </c>
      <c r="T5227" t="s">
        <v>443</v>
      </c>
      <c r="U5227" s="21">
        <v>202</v>
      </c>
      <c r="V5227" s="21" t="s">
        <v>368</v>
      </c>
      <c r="W5227" t="str">
        <f>VLOOKUP(Table_Query_from_Actuarial___Production[[#This Row],[Kor1]],$AI$3:$AK$105,3,FALSE)</f>
        <v>Misc. Expense</v>
      </c>
      <c r="X5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7"/>
      <c r="Z5227" t="s">
        <v>3</v>
      </c>
      <c r="AA5227" t="s">
        <v>225</v>
      </c>
      <c r="AB5227" t="s">
        <v>6</v>
      </c>
      <c r="AC5227" s="21">
        <v>4119104.83</v>
      </c>
      <c r="AD5227" s="21" t="s">
        <v>369</v>
      </c>
      <c r="AE5227" t="str">
        <f>VLOOKUP(Table_Query_from_Actuarial___Production3[[#This Row],[Kor1]],$AI$3:$AK$105,3,FALSE)</f>
        <v>Premiums Written</v>
      </c>
      <c r="AF5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228" spans="18:32" x14ac:dyDescent="0.2">
      <c r="R5228" t="s">
        <v>31</v>
      </c>
      <c r="S5228" t="s">
        <v>229</v>
      </c>
      <c r="T5228" t="s">
        <v>445</v>
      </c>
      <c r="U5228" s="21">
        <v>844.09</v>
      </c>
      <c r="V5228" s="21" t="s">
        <v>368</v>
      </c>
      <c r="W5228" t="str">
        <f>VLOOKUP(Table_Query_from_Actuarial___Production[[#This Row],[Kor1]],$AI$3:$AK$105,3,FALSE)</f>
        <v>Misc. Expense</v>
      </c>
      <c r="X5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8"/>
      <c r="Z5228" t="s">
        <v>17</v>
      </c>
      <c r="AA5228" t="s">
        <v>251</v>
      </c>
      <c r="AB5228" t="s">
        <v>441</v>
      </c>
      <c r="AC5228" s="21">
        <v>75563.98</v>
      </c>
      <c r="AD5228" s="21" t="s">
        <v>368</v>
      </c>
      <c r="AE5228" t="str">
        <f>VLOOKUP(Table_Query_from_Actuarial___Production3[[#This Row],[Kor1]],$AI$3:$AK$105,3,FALSE)</f>
        <v>IBNR</v>
      </c>
      <c r="AF5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29" spans="18:32" x14ac:dyDescent="0.2">
      <c r="R5229" t="s">
        <v>47</v>
      </c>
      <c r="S5229" t="s">
        <v>243</v>
      </c>
      <c r="T5229" t="s">
        <v>351</v>
      </c>
      <c r="U5229" s="21">
        <v>364.49</v>
      </c>
      <c r="V5229" s="21" t="s">
        <v>368</v>
      </c>
      <c r="W5229" t="str">
        <f>VLOOKUP(Table_Query_from_Actuarial___Production[[#This Row],[Kor1]],$AI$3:$AK$105,3,FALSE)</f>
        <v>Investment Income</v>
      </c>
      <c r="X5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29"/>
      <c r="Z5229" t="s">
        <v>16</v>
      </c>
      <c r="AA5229" t="s">
        <v>235</v>
      </c>
      <c r="AB5229" t="s">
        <v>427</v>
      </c>
      <c r="AC5229" s="21">
        <v>49802.17</v>
      </c>
      <c r="AD5229" s="21" t="s">
        <v>368</v>
      </c>
      <c r="AE5229" t="str">
        <f>VLOOKUP(Table_Query_from_Actuarial___Production3[[#This Row],[Kor1]],$AI$3:$AK$105,3,FALSE)</f>
        <v>Losses Outstanding</v>
      </c>
      <c r="AF5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0" spans="18:32" x14ac:dyDescent="0.2">
      <c r="R5230" t="s">
        <v>19</v>
      </c>
      <c r="S5230" t="s">
        <v>251</v>
      </c>
      <c r="T5230" t="s">
        <v>427</v>
      </c>
      <c r="U5230" s="21">
        <v>3880</v>
      </c>
      <c r="V5230" s="21" t="s">
        <v>368</v>
      </c>
      <c r="W5230" t="str">
        <f>VLOOKUP(Table_Query_from_Actuarial___Production[[#This Row],[Kor1]],$AI$3:$AK$105,3,FALSE)</f>
        <v>Misc. Expense for Insolvent Companies</v>
      </c>
      <c r="X5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0"/>
      <c r="Z5230" t="s">
        <v>18</v>
      </c>
      <c r="AA5230" t="s">
        <v>354</v>
      </c>
      <c r="AB5230" t="s">
        <v>427</v>
      </c>
      <c r="AC5230" s="21">
        <v>740181.42</v>
      </c>
      <c r="AD5230" s="21" t="s">
        <v>368</v>
      </c>
      <c r="AE5230" t="str">
        <f>VLOOKUP(Table_Query_from_Actuarial___Production3[[#This Row],[Kor1]],$AI$3:$AK$105,3,FALSE)</f>
        <v>Misc. Expense</v>
      </c>
      <c r="AF5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231" spans="18:32" x14ac:dyDescent="0.2">
      <c r="R5231" t="s">
        <v>50</v>
      </c>
      <c r="S5231" t="s">
        <v>257</v>
      </c>
      <c r="T5231" t="s">
        <v>427</v>
      </c>
      <c r="U5231" s="21">
        <v>22888.91</v>
      </c>
      <c r="V5231" s="21" t="s">
        <v>368</v>
      </c>
      <c r="W5231" t="str">
        <f>VLOOKUP(Table_Query_from_Actuarial___Production[[#This Row],[Kor1]],$AI$3:$AK$105,3,FALSE)</f>
        <v>ALAE Reserve</v>
      </c>
      <c r="X5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1"/>
      <c r="Z5231" t="s">
        <v>43</v>
      </c>
      <c r="AA5231" t="s">
        <v>230</v>
      </c>
      <c r="AB5231" t="s">
        <v>441</v>
      </c>
      <c r="AC5231" s="21">
        <v>-2196.33</v>
      </c>
      <c r="AD5231" s="21" t="s">
        <v>368</v>
      </c>
      <c r="AE5231" t="str">
        <f>VLOOKUP(Table_Query_from_Actuarial___Production3[[#This Row],[Kor1]],$AI$3:$AK$105,3,FALSE)</f>
        <v>Charge-offs</v>
      </c>
      <c r="AF5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2" spans="18:32" x14ac:dyDescent="0.2">
      <c r="R5232" t="s">
        <v>14</v>
      </c>
      <c r="S5232" t="s">
        <v>253</v>
      </c>
      <c r="T5232" t="s">
        <v>7</v>
      </c>
      <c r="U5232" s="21">
        <v>338.91</v>
      </c>
      <c r="V5232" s="21" t="s">
        <v>368</v>
      </c>
      <c r="W5232" t="str">
        <f>VLOOKUP(Table_Query_from_Actuarial___Production[[#This Row],[Kor1]],$AI$3:$AK$105,3,FALSE)</f>
        <v>Claims Expense</v>
      </c>
      <c r="X5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2"/>
      <c r="Z5232" t="s">
        <v>10</v>
      </c>
      <c r="AA5232" t="s">
        <v>242</v>
      </c>
      <c r="AB5232" t="s">
        <v>8</v>
      </c>
      <c r="AC5232" s="21">
        <v>24771.5</v>
      </c>
      <c r="AD5232" s="21" t="s">
        <v>368</v>
      </c>
      <c r="AE5232" t="str">
        <f>VLOOKUP(Table_Query_from_Actuarial___Production3[[#This Row],[Kor1]],$AI$3:$AK$105,3,FALSE)</f>
        <v>Commissions</v>
      </c>
      <c r="AF5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3" spans="18:32" x14ac:dyDescent="0.2">
      <c r="R5233" t="s">
        <v>49</v>
      </c>
      <c r="S5233" t="s">
        <v>264</v>
      </c>
      <c r="T5233" t="s">
        <v>442</v>
      </c>
      <c r="U5233" s="21">
        <v>1206.5</v>
      </c>
      <c r="V5233" s="21" t="s">
        <v>368</v>
      </c>
      <c r="W5233" t="str">
        <f>VLOOKUP(Table_Query_from_Actuarial___Production[[#This Row],[Kor1]],$AI$3:$AK$105,3,FALSE)</f>
        <v>ALAE Paid</v>
      </c>
      <c r="X5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3"/>
      <c r="Z5233" t="s">
        <v>38</v>
      </c>
      <c r="AA5233" t="s">
        <v>224</v>
      </c>
      <c r="AB5233" t="s">
        <v>9</v>
      </c>
      <c r="AC5233" s="21">
        <v>4883.5600000000004</v>
      </c>
      <c r="AD5233" s="21" t="s">
        <v>425</v>
      </c>
      <c r="AE5233" t="str">
        <f>VLOOKUP(Table_Query_from_Actuarial___Production3[[#This Row],[Kor1]],$AI$3:$AK$105,3,FALSE)</f>
        <v>Misc. Income</v>
      </c>
      <c r="AF5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234" spans="18:32" x14ac:dyDescent="0.2">
      <c r="R5234" t="s">
        <v>29</v>
      </c>
      <c r="S5234" t="s">
        <v>230</v>
      </c>
      <c r="T5234" t="s">
        <v>433</v>
      </c>
      <c r="U5234" s="21">
        <v>-44104.14</v>
      </c>
      <c r="V5234" s="21" t="s">
        <v>368</v>
      </c>
      <c r="W5234" t="str">
        <f>VLOOKUP(Table_Query_from_Actuarial___Production[[#This Row],[Kor1]],$AI$3:$AK$105,3,FALSE)</f>
        <v>Misc. Expense</v>
      </c>
      <c r="X5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4"/>
      <c r="Z5234" t="s">
        <v>14</v>
      </c>
      <c r="AA5234" t="s">
        <v>234</v>
      </c>
      <c r="AB5234" t="s">
        <v>433</v>
      </c>
      <c r="AC5234" s="21">
        <v>47873.120000000003</v>
      </c>
      <c r="AD5234" s="21" t="s">
        <v>368</v>
      </c>
      <c r="AE5234" t="str">
        <f>VLOOKUP(Table_Query_from_Actuarial___Production3[[#This Row],[Kor1]],$AI$3:$AK$105,3,FALSE)</f>
        <v>Claims Expense</v>
      </c>
      <c r="AF5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5" spans="18:32" x14ac:dyDescent="0.2">
      <c r="R5235" t="s">
        <v>37</v>
      </c>
      <c r="S5235" t="s">
        <v>267</v>
      </c>
      <c r="T5235" t="s">
        <v>443</v>
      </c>
      <c r="U5235" s="21">
        <v>25.84</v>
      </c>
      <c r="V5235" s="21" t="s">
        <v>368</v>
      </c>
      <c r="W5235" t="str">
        <f>VLOOKUP(Table_Query_from_Actuarial___Production[[#This Row],[Kor1]],$AI$3:$AK$105,3,FALSE)</f>
        <v>Misc. Expense</v>
      </c>
      <c r="X5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5"/>
      <c r="Z5235" t="s">
        <v>19</v>
      </c>
      <c r="AA5235" t="s">
        <v>253</v>
      </c>
      <c r="AB5235" t="s">
        <v>5</v>
      </c>
      <c r="AC5235" s="21">
        <v>12</v>
      </c>
      <c r="AD5235" s="21" t="s">
        <v>368</v>
      </c>
      <c r="AE5235" t="str">
        <f>VLOOKUP(Table_Query_from_Actuarial___Production3[[#This Row],[Kor1]],$AI$3:$AK$105,3,FALSE)</f>
        <v>Misc. Expense for Insolvent Companies</v>
      </c>
      <c r="AF5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6" spans="18:32" x14ac:dyDescent="0.2">
      <c r="R5236" t="s">
        <v>39</v>
      </c>
      <c r="S5236" t="s">
        <v>237</v>
      </c>
      <c r="T5236" t="s">
        <v>9</v>
      </c>
      <c r="U5236" s="21">
        <v>91023.06</v>
      </c>
      <c r="V5236" s="21" t="s">
        <v>368</v>
      </c>
      <c r="W5236" t="str">
        <f>VLOOKUP(Table_Query_from_Actuarial___Production[[#This Row],[Kor1]],$AI$3:$AK$105,3,FALSE)</f>
        <v>Misc. Income for Insolvent Companies</v>
      </c>
      <c r="X5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6"/>
      <c r="Z5236" t="s">
        <v>41</v>
      </c>
      <c r="AA5236" t="s">
        <v>266</v>
      </c>
      <c r="AB5236" t="s">
        <v>351</v>
      </c>
      <c r="AC5236" s="21">
        <v>450</v>
      </c>
      <c r="AD5236" s="21" t="s">
        <v>368</v>
      </c>
      <c r="AE5236" t="str">
        <f>VLOOKUP(Table_Query_from_Actuarial___Production3[[#This Row],[Kor1]],$AI$3:$AK$105,3,FALSE)</f>
        <v>Misc. Income</v>
      </c>
      <c r="AF5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7" spans="18:32" x14ac:dyDescent="0.2">
      <c r="R5237" t="s">
        <v>14</v>
      </c>
      <c r="S5237" t="s">
        <v>247</v>
      </c>
      <c r="T5237" t="s">
        <v>6</v>
      </c>
      <c r="U5237" s="21">
        <v>371.64</v>
      </c>
      <c r="V5237" s="21" t="s">
        <v>368</v>
      </c>
      <c r="W5237" t="str">
        <f>VLOOKUP(Table_Query_from_Actuarial___Production[[#This Row],[Kor1]],$AI$3:$AK$105,3,FALSE)</f>
        <v>Claims Expense</v>
      </c>
      <c r="X5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7"/>
      <c r="Z5237" t="s">
        <v>33</v>
      </c>
      <c r="AA5237" t="s">
        <v>237</v>
      </c>
      <c r="AB5237" t="s">
        <v>7</v>
      </c>
      <c r="AC5237" s="21">
        <v>14161.55</v>
      </c>
      <c r="AD5237" s="21" t="s">
        <v>368</v>
      </c>
      <c r="AE5237" t="str">
        <f>VLOOKUP(Table_Query_from_Actuarial___Production3[[#This Row],[Kor1]],$AI$3:$AK$105,3,FALSE)</f>
        <v>Misc. Expense</v>
      </c>
      <c r="AF5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8" spans="18:32" x14ac:dyDescent="0.2">
      <c r="R5238" t="s">
        <v>31</v>
      </c>
      <c r="S5238" t="s">
        <v>267</v>
      </c>
      <c r="T5238" t="s">
        <v>427</v>
      </c>
      <c r="U5238" s="21">
        <v>694.46</v>
      </c>
      <c r="V5238" s="21" t="s">
        <v>368</v>
      </c>
      <c r="W5238" t="str">
        <f>VLOOKUP(Table_Query_from_Actuarial___Production[[#This Row],[Kor1]],$AI$3:$AK$105,3,FALSE)</f>
        <v>Misc. Expense</v>
      </c>
      <c r="X5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8"/>
      <c r="Z5238" t="s">
        <v>41</v>
      </c>
      <c r="AA5238" t="s">
        <v>231</v>
      </c>
      <c r="AB5238" t="s">
        <v>442</v>
      </c>
      <c r="AC5238" s="21">
        <v>1118.8</v>
      </c>
      <c r="AD5238" s="21" t="s">
        <v>368</v>
      </c>
      <c r="AE5238" t="str">
        <f>VLOOKUP(Table_Query_from_Actuarial___Production3[[#This Row],[Kor1]],$AI$3:$AK$105,3,FALSE)</f>
        <v>Misc. Income</v>
      </c>
      <c r="AF5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39" spans="18:32" x14ac:dyDescent="0.2">
      <c r="R5239" t="s">
        <v>47</v>
      </c>
      <c r="S5239" t="s">
        <v>255</v>
      </c>
      <c r="T5239" t="s">
        <v>8</v>
      </c>
      <c r="U5239" s="21">
        <v>0.24</v>
      </c>
      <c r="V5239" s="21" t="s">
        <v>368</v>
      </c>
      <c r="W5239" t="str">
        <f>VLOOKUP(Table_Query_from_Actuarial___Production[[#This Row],[Kor1]],$AI$3:$AK$105,3,FALSE)</f>
        <v>Investment Income</v>
      </c>
      <c r="X5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39"/>
      <c r="Z5239" t="s">
        <v>13</v>
      </c>
      <c r="AA5239" t="s">
        <v>258</v>
      </c>
      <c r="AB5239" t="s">
        <v>351</v>
      </c>
      <c r="AC5239" s="21">
        <v>537152.67000000004</v>
      </c>
      <c r="AD5239" s="21" t="s">
        <v>368</v>
      </c>
      <c r="AE5239" t="str">
        <f>VLOOKUP(Table_Query_from_Actuarial___Production3[[#This Row],[Kor1]],$AI$3:$AK$105,3,FALSE)</f>
        <v>Operating Service Fees</v>
      </c>
      <c r="AF5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0" spans="18:32" x14ac:dyDescent="0.2">
      <c r="R5240" t="s">
        <v>18</v>
      </c>
      <c r="S5240" t="s">
        <v>224</v>
      </c>
      <c r="T5240" t="s">
        <v>443</v>
      </c>
      <c r="U5240" s="21">
        <v>8156.4</v>
      </c>
      <c r="V5240" s="21" t="s">
        <v>369</v>
      </c>
      <c r="W5240" t="str">
        <f>VLOOKUP(Table_Query_from_Actuarial___Production[[#This Row],[Kor1]],$AI$3:$AK$105,3,FALSE)</f>
        <v>Misc. Expense</v>
      </c>
      <c r="X5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240"/>
      <c r="Z5240" t="s">
        <v>29</v>
      </c>
      <c r="AA5240" t="s">
        <v>4</v>
      </c>
      <c r="AB5240" t="s">
        <v>356</v>
      </c>
      <c r="AC5240" s="21">
        <v>5091.3500000000004</v>
      </c>
      <c r="AD5240" s="21" t="s">
        <v>368</v>
      </c>
      <c r="AE5240" t="str">
        <f>VLOOKUP(Table_Query_from_Actuarial___Production3[[#This Row],[Kor1]],$AI$3:$AK$105,3,FALSE)</f>
        <v>Misc. Expense</v>
      </c>
      <c r="AF5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1" spans="18:32" x14ac:dyDescent="0.2">
      <c r="R5241" t="s">
        <v>3</v>
      </c>
      <c r="S5241" t="s">
        <v>261</v>
      </c>
      <c r="T5241" t="s">
        <v>442</v>
      </c>
      <c r="U5241" s="21">
        <v>289550</v>
      </c>
      <c r="V5241" s="21" t="s">
        <v>368</v>
      </c>
      <c r="W5241" t="str">
        <f>VLOOKUP(Table_Query_from_Actuarial___Production[[#This Row],[Kor1]],$AI$3:$AK$105,3,FALSE)</f>
        <v>Premiums Written</v>
      </c>
      <c r="X5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1"/>
      <c r="Z5241" t="s">
        <v>33</v>
      </c>
      <c r="AA5241" t="s">
        <v>238</v>
      </c>
      <c r="AB5241" t="s">
        <v>9</v>
      </c>
      <c r="AC5241" s="21">
        <v>15830.34</v>
      </c>
      <c r="AD5241" s="21" t="s">
        <v>368</v>
      </c>
      <c r="AE5241" t="str">
        <f>VLOOKUP(Table_Query_from_Actuarial___Production3[[#This Row],[Kor1]],$AI$3:$AK$105,3,FALSE)</f>
        <v>Misc. Expense</v>
      </c>
      <c r="AF5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2" spans="18:32" x14ac:dyDescent="0.2">
      <c r="R5242" t="s">
        <v>13</v>
      </c>
      <c r="S5242" t="s">
        <v>266</v>
      </c>
      <c r="T5242" t="s">
        <v>445</v>
      </c>
      <c r="U5242" s="21">
        <v>107468.51</v>
      </c>
      <c r="V5242" s="21" t="s">
        <v>368</v>
      </c>
      <c r="W5242" t="str">
        <f>VLOOKUP(Table_Query_from_Actuarial___Production[[#This Row],[Kor1]],$AI$3:$AK$105,3,FALSE)</f>
        <v>Operating Service Fees</v>
      </c>
      <c r="X5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2"/>
      <c r="Z5242" t="s">
        <v>41</v>
      </c>
      <c r="AA5242" t="s">
        <v>232</v>
      </c>
      <c r="AB5242" t="s">
        <v>351</v>
      </c>
      <c r="AC5242" s="21">
        <v>699.98</v>
      </c>
      <c r="AD5242" s="21" t="s">
        <v>368</v>
      </c>
      <c r="AE5242" t="str">
        <f>VLOOKUP(Table_Query_from_Actuarial___Production3[[#This Row],[Kor1]],$AI$3:$AK$105,3,FALSE)</f>
        <v>Misc. Income</v>
      </c>
      <c r="AF5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3" spans="18:32" x14ac:dyDescent="0.2">
      <c r="R5243" t="s">
        <v>16</v>
      </c>
      <c r="S5243" t="s">
        <v>237</v>
      </c>
      <c r="T5243" t="s">
        <v>7</v>
      </c>
      <c r="U5243" s="21">
        <v>10684.65</v>
      </c>
      <c r="V5243" s="21" t="s">
        <v>368</v>
      </c>
      <c r="W5243" t="str">
        <f>VLOOKUP(Table_Query_from_Actuarial___Production[[#This Row],[Kor1]],$AI$3:$AK$105,3,FALSE)</f>
        <v>Losses Outstanding</v>
      </c>
      <c r="X5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3"/>
      <c r="Z5243" t="s">
        <v>3</v>
      </c>
      <c r="AA5243" t="s">
        <v>235</v>
      </c>
      <c r="AB5243" t="s">
        <v>8</v>
      </c>
      <c r="AC5243" s="21">
        <v>647966</v>
      </c>
      <c r="AD5243" s="21" t="s">
        <v>368</v>
      </c>
      <c r="AE5243" t="str">
        <f>VLOOKUP(Table_Query_from_Actuarial___Production3[[#This Row],[Kor1]],$AI$3:$AK$105,3,FALSE)</f>
        <v>Premiums Written</v>
      </c>
      <c r="AF5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4" spans="18:32" x14ac:dyDescent="0.2">
      <c r="R5244" t="s">
        <v>33</v>
      </c>
      <c r="S5244" t="s">
        <v>230</v>
      </c>
      <c r="T5244" t="s">
        <v>427</v>
      </c>
      <c r="U5244" s="21">
        <v>27379.75</v>
      </c>
      <c r="V5244" s="21" t="s">
        <v>368</v>
      </c>
      <c r="W5244" t="str">
        <f>VLOOKUP(Table_Query_from_Actuarial___Production[[#This Row],[Kor1]],$AI$3:$AK$105,3,FALSE)</f>
        <v>Misc. Expense</v>
      </c>
      <c r="X5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4"/>
      <c r="Z5244" t="s">
        <v>10</v>
      </c>
      <c r="AA5244" t="s">
        <v>259</v>
      </c>
      <c r="AB5244" t="s">
        <v>8</v>
      </c>
      <c r="AC5244" s="21">
        <v>31779.73</v>
      </c>
      <c r="AD5244" s="21" t="s">
        <v>368</v>
      </c>
      <c r="AE5244" t="str">
        <f>VLOOKUP(Table_Query_from_Actuarial___Production3[[#This Row],[Kor1]],$AI$3:$AK$105,3,FALSE)</f>
        <v>Commissions</v>
      </c>
      <c r="AF5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5" spans="18:32" x14ac:dyDescent="0.2">
      <c r="R5245" t="s">
        <v>33</v>
      </c>
      <c r="S5245" t="s">
        <v>244</v>
      </c>
      <c r="T5245" t="s">
        <v>6</v>
      </c>
      <c r="U5245" s="21">
        <v>16177.99</v>
      </c>
      <c r="V5245" s="21" t="s">
        <v>368</v>
      </c>
      <c r="W5245" t="str">
        <f>VLOOKUP(Table_Query_from_Actuarial___Production[[#This Row],[Kor1]],$AI$3:$AK$105,3,FALSE)</f>
        <v>Misc. Expense</v>
      </c>
      <c r="X5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5"/>
      <c r="Z5245" t="s">
        <v>13</v>
      </c>
      <c r="AA5245" t="s">
        <v>231</v>
      </c>
      <c r="AB5245" t="s">
        <v>356</v>
      </c>
      <c r="AC5245" s="21">
        <v>54633.2</v>
      </c>
      <c r="AD5245" s="21" t="s">
        <v>368</v>
      </c>
      <c r="AE5245" t="str">
        <f>VLOOKUP(Table_Query_from_Actuarial___Production3[[#This Row],[Kor1]],$AI$3:$AK$105,3,FALSE)</f>
        <v>Operating Service Fees</v>
      </c>
      <c r="AF5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6" spans="18:32" x14ac:dyDescent="0.2">
      <c r="R5246" t="s">
        <v>44</v>
      </c>
      <c r="S5246" t="s">
        <v>259</v>
      </c>
      <c r="T5246" t="s">
        <v>356</v>
      </c>
      <c r="U5246" s="21">
        <v>-5</v>
      </c>
      <c r="V5246" s="21" t="s">
        <v>368</v>
      </c>
      <c r="W5246" t="str">
        <f>VLOOKUP(Table_Query_from_Actuarial___Production[[#This Row],[Kor1]],$AI$3:$AK$105,3,FALSE)</f>
        <v>Charge-offs</v>
      </c>
      <c r="X5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6"/>
      <c r="Z5246" t="s">
        <v>21</v>
      </c>
      <c r="AA5246" t="s">
        <v>243</v>
      </c>
      <c r="AB5246" t="s">
        <v>443</v>
      </c>
      <c r="AC5246" s="21">
        <v>202</v>
      </c>
      <c r="AD5246" s="21" t="s">
        <v>368</v>
      </c>
      <c r="AE5246" t="str">
        <f>VLOOKUP(Table_Query_from_Actuarial___Production3[[#This Row],[Kor1]],$AI$3:$AK$105,3,FALSE)</f>
        <v>Misc. Expense</v>
      </c>
      <c r="AF5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7" spans="18:32" x14ac:dyDescent="0.2">
      <c r="R5247" t="s">
        <v>3</v>
      </c>
      <c r="S5247" t="s">
        <v>236</v>
      </c>
      <c r="T5247" t="s">
        <v>433</v>
      </c>
      <c r="U5247" s="21">
        <v>40355</v>
      </c>
      <c r="V5247" s="21" t="s">
        <v>368</v>
      </c>
      <c r="W5247" t="str">
        <f>VLOOKUP(Table_Query_from_Actuarial___Production[[#This Row],[Kor1]],$AI$3:$AK$105,3,FALSE)</f>
        <v>Premiums Written</v>
      </c>
      <c r="X5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7"/>
      <c r="Z5247" t="s">
        <v>47</v>
      </c>
      <c r="AA5247" t="s">
        <v>243</v>
      </c>
      <c r="AB5247" t="s">
        <v>351</v>
      </c>
      <c r="AC5247" s="21">
        <v>364.49</v>
      </c>
      <c r="AD5247" s="21" t="s">
        <v>368</v>
      </c>
      <c r="AE5247" t="str">
        <f>VLOOKUP(Table_Query_from_Actuarial___Production3[[#This Row],[Kor1]],$AI$3:$AK$105,3,FALSE)</f>
        <v>Investment Income</v>
      </c>
      <c r="AF5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8" spans="18:32" x14ac:dyDescent="0.2">
      <c r="R5248" t="s">
        <v>11</v>
      </c>
      <c r="S5248" t="s">
        <v>232</v>
      </c>
      <c r="T5248" t="s">
        <v>9</v>
      </c>
      <c r="U5248" s="21">
        <v>590137.98</v>
      </c>
      <c r="V5248" s="21" t="s">
        <v>368</v>
      </c>
      <c r="W5248" t="str">
        <f>VLOOKUP(Table_Query_from_Actuarial___Production[[#This Row],[Kor1]],$AI$3:$AK$105,3,FALSE)</f>
        <v>Losses Paid</v>
      </c>
      <c r="X5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8"/>
      <c r="Z5248" t="s">
        <v>19</v>
      </c>
      <c r="AA5248" t="s">
        <v>251</v>
      </c>
      <c r="AB5248" t="s">
        <v>427</v>
      </c>
      <c r="AC5248" s="21">
        <v>3880</v>
      </c>
      <c r="AD5248" s="21" t="s">
        <v>368</v>
      </c>
      <c r="AE5248" t="str">
        <f>VLOOKUP(Table_Query_from_Actuarial___Production3[[#This Row],[Kor1]],$AI$3:$AK$105,3,FALSE)</f>
        <v>Misc. Expense for Insolvent Companies</v>
      </c>
      <c r="AF5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49" spans="18:32" x14ac:dyDescent="0.2">
      <c r="R5249" t="s">
        <v>41</v>
      </c>
      <c r="S5249" t="s">
        <v>257</v>
      </c>
      <c r="T5249" t="s">
        <v>356</v>
      </c>
      <c r="U5249" s="21">
        <v>499.99</v>
      </c>
      <c r="V5249" s="21" t="s">
        <v>368</v>
      </c>
      <c r="W5249" t="str">
        <f>VLOOKUP(Table_Query_from_Actuarial___Production[[#This Row],[Kor1]],$AI$3:$AK$105,3,FALSE)</f>
        <v>Misc. Income</v>
      </c>
      <c r="X5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49"/>
      <c r="Z5249" t="s">
        <v>50</v>
      </c>
      <c r="AA5249" t="s">
        <v>257</v>
      </c>
      <c r="AB5249" t="s">
        <v>427</v>
      </c>
      <c r="AC5249" s="21">
        <v>53431.49</v>
      </c>
      <c r="AD5249" s="21" t="s">
        <v>368</v>
      </c>
      <c r="AE5249" t="str">
        <f>VLOOKUP(Table_Query_from_Actuarial___Production3[[#This Row],[Kor1]],$AI$3:$AK$105,3,FALSE)</f>
        <v>ALAE Reserve</v>
      </c>
      <c r="AF5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0" spans="18:32" x14ac:dyDescent="0.2">
      <c r="R5250" t="s">
        <v>33</v>
      </c>
      <c r="S5250" t="s">
        <v>234</v>
      </c>
      <c r="T5250" t="s">
        <v>445</v>
      </c>
      <c r="U5250" s="21">
        <v>8752.4699999999993</v>
      </c>
      <c r="V5250" s="21" t="s">
        <v>368</v>
      </c>
      <c r="W5250" t="str">
        <f>VLOOKUP(Table_Query_from_Actuarial___Production[[#This Row],[Kor1]],$AI$3:$AK$105,3,FALSE)</f>
        <v>Misc. Expense</v>
      </c>
      <c r="X5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0"/>
      <c r="Z5250" t="s">
        <v>14</v>
      </c>
      <c r="AA5250" t="s">
        <v>253</v>
      </c>
      <c r="AB5250" t="s">
        <v>7</v>
      </c>
      <c r="AC5250" s="21">
        <v>338.91</v>
      </c>
      <c r="AD5250" s="21" t="s">
        <v>368</v>
      </c>
      <c r="AE5250" t="str">
        <f>VLOOKUP(Table_Query_from_Actuarial___Production3[[#This Row],[Kor1]],$AI$3:$AK$105,3,FALSE)</f>
        <v>Claims Expense</v>
      </c>
      <c r="AF5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1" spans="18:32" x14ac:dyDescent="0.2">
      <c r="R5251" t="s">
        <v>39</v>
      </c>
      <c r="S5251" t="s">
        <v>233</v>
      </c>
      <c r="T5251" t="s">
        <v>9</v>
      </c>
      <c r="U5251" s="21">
        <v>185.98</v>
      </c>
      <c r="V5251" s="21" t="s">
        <v>368</v>
      </c>
      <c r="W5251" t="str">
        <f>VLOOKUP(Table_Query_from_Actuarial___Production[[#This Row],[Kor1]],$AI$3:$AK$105,3,FALSE)</f>
        <v>Misc. Income for Insolvent Companies</v>
      </c>
      <c r="X5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1"/>
      <c r="Z5251" t="s">
        <v>75</v>
      </c>
      <c r="AA5251" t="s">
        <v>255</v>
      </c>
      <c r="AB5251" t="s">
        <v>441</v>
      </c>
      <c r="AC5251" s="21">
        <v>4243</v>
      </c>
      <c r="AD5251" s="21" t="s">
        <v>368</v>
      </c>
      <c r="AE5251" t="str">
        <f>VLOOKUP(Table_Query_from_Actuarial___Production3[[#This Row],[Kor1]],$AI$3:$AK$105,3,FALSE)</f>
        <v>EBUB</v>
      </c>
      <c r="AF5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2" spans="18:32" x14ac:dyDescent="0.2">
      <c r="R5252" t="s">
        <v>439</v>
      </c>
      <c r="S5252" t="s">
        <v>241</v>
      </c>
      <c r="T5252" t="s">
        <v>443</v>
      </c>
      <c r="U5252" s="21">
        <v>-10801.22</v>
      </c>
      <c r="V5252" s="21" t="s">
        <v>368</v>
      </c>
      <c r="W5252" t="str">
        <f>VLOOKUP(Table_Query_from_Actuarial___Production[[#This Row],[Kor1]],$AI$3:$AK$105,3,FALSE)</f>
        <v>Operating Service Fees</v>
      </c>
      <c r="X5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2"/>
      <c r="Z5252" t="s">
        <v>29</v>
      </c>
      <c r="AA5252" t="s">
        <v>230</v>
      </c>
      <c r="AB5252" t="s">
        <v>433</v>
      </c>
      <c r="AC5252" s="21">
        <v>-44104.14</v>
      </c>
      <c r="AD5252" s="21" t="s">
        <v>368</v>
      </c>
      <c r="AE5252" t="str">
        <f>VLOOKUP(Table_Query_from_Actuarial___Production3[[#This Row],[Kor1]],$AI$3:$AK$105,3,FALSE)</f>
        <v>Misc. Expense</v>
      </c>
      <c r="AF5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3" spans="18:32" x14ac:dyDescent="0.2">
      <c r="R5253" t="s">
        <v>13</v>
      </c>
      <c r="S5253" t="s">
        <v>354</v>
      </c>
      <c r="T5253" t="s">
        <v>7</v>
      </c>
      <c r="U5253" s="21">
        <v>18019992.539999999</v>
      </c>
      <c r="V5253" s="21" t="s">
        <v>368</v>
      </c>
      <c r="W5253" t="str">
        <f>VLOOKUP(Table_Query_from_Actuarial___Production[[#This Row],[Kor1]],$AI$3:$AK$105,3,FALSE)</f>
        <v>Operating Service Fees</v>
      </c>
      <c r="X5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253"/>
      <c r="Z5253" t="s">
        <v>37</v>
      </c>
      <c r="AA5253" t="s">
        <v>267</v>
      </c>
      <c r="AB5253" t="s">
        <v>443</v>
      </c>
      <c r="AC5253" s="21">
        <v>25.84</v>
      </c>
      <c r="AD5253" s="21" t="s">
        <v>368</v>
      </c>
      <c r="AE5253" t="str">
        <f>VLOOKUP(Table_Query_from_Actuarial___Production3[[#This Row],[Kor1]],$AI$3:$AK$105,3,FALSE)</f>
        <v>Misc. Expense</v>
      </c>
      <c r="AF5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4" spans="18:32" x14ac:dyDescent="0.2">
      <c r="R5254" t="s">
        <v>14</v>
      </c>
      <c r="S5254" t="s">
        <v>354</v>
      </c>
      <c r="T5254" t="s">
        <v>351</v>
      </c>
      <c r="U5254" s="21">
        <v>126156843.91</v>
      </c>
      <c r="V5254" s="21" t="s">
        <v>369</v>
      </c>
      <c r="W5254" t="str">
        <f>VLOOKUP(Table_Query_from_Actuarial___Production[[#This Row],[Kor1]],$AI$3:$AK$105,3,FALSE)</f>
        <v>Claims Expense</v>
      </c>
      <c r="X5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254"/>
      <c r="Z5254" t="s">
        <v>39</v>
      </c>
      <c r="AA5254" t="s">
        <v>237</v>
      </c>
      <c r="AB5254" t="s">
        <v>9</v>
      </c>
      <c r="AC5254" s="21">
        <v>90633.06</v>
      </c>
      <c r="AD5254" s="21" t="s">
        <v>368</v>
      </c>
      <c r="AE5254" t="str">
        <f>VLOOKUP(Table_Query_from_Actuarial___Production3[[#This Row],[Kor1]],$AI$3:$AK$105,3,FALSE)</f>
        <v>Misc. Income for Insolvent Companies</v>
      </c>
      <c r="AF5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5" spans="18:32" x14ac:dyDescent="0.2">
      <c r="R5255" t="s">
        <v>3</v>
      </c>
      <c r="S5255" t="s">
        <v>254</v>
      </c>
      <c r="T5255" t="s">
        <v>441</v>
      </c>
      <c r="U5255" s="21">
        <v>32446151</v>
      </c>
      <c r="V5255" s="21" t="s">
        <v>368</v>
      </c>
      <c r="W5255" t="str">
        <f>VLOOKUP(Table_Query_from_Actuarial___Production[[#This Row],[Kor1]],$AI$3:$AK$105,3,FALSE)</f>
        <v>Premiums Written</v>
      </c>
      <c r="X5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5"/>
      <c r="Z5255" t="s">
        <v>14</v>
      </c>
      <c r="AA5255" t="s">
        <v>247</v>
      </c>
      <c r="AB5255" t="s">
        <v>6</v>
      </c>
      <c r="AC5255" s="21">
        <v>371.64</v>
      </c>
      <c r="AD5255" s="21" t="s">
        <v>368</v>
      </c>
      <c r="AE5255" t="str">
        <f>VLOOKUP(Table_Query_from_Actuarial___Production3[[#This Row],[Kor1]],$AI$3:$AK$105,3,FALSE)</f>
        <v>Claims Expense</v>
      </c>
      <c r="AF5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6" spans="18:32" x14ac:dyDescent="0.2">
      <c r="R5256" t="s">
        <v>15</v>
      </c>
      <c r="S5256" t="s">
        <v>233</v>
      </c>
      <c r="T5256" t="s">
        <v>445</v>
      </c>
      <c r="U5256" s="21">
        <v>344628.76</v>
      </c>
      <c r="V5256" s="21" t="s">
        <v>368</v>
      </c>
      <c r="W5256" t="str">
        <f>VLOOKUP(Table_Query_from_Actuarial___Production[[#This Row],[Kor1]],$AI$3:$AK$105,3,FALSE)</f>
        <v>Unearned Premiums</v>
      </c>
      <c r="X5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6"/>
      <c r="Z5256" t="s">
        <v>49</v>
      </c>
      <c r="AA5256" t="s">
        <v>225</v>
      </c>
      <c r="AB5256" t="s">
        <v>5</v>
      </c>
      <c r="AC5256" s="21">
        <v>379460.19</v>
      </c>
      <c r="AD5256" s="21" t="s">
        <v>369</v>
      </c>
      <c r="AE5256" t="str">
        <f>VLOOKUP(Table_Query_from_Actuarial___Production3[[#This Row],[Kor1]],$AI$3:$AK$105,3,FALSE)</f>
        <v>ALAE Paid</v>
      </c>
      <c r="AF5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257" spans="18:32" x14ac:dyDescent="0.2">
      <c r="R5257" t="s">
        <v>33</v>
      </c>
      <c r="S5257" t="s">
        <v>235</v>
      </c>
      <c r="T5257" t="s">
        <v>445</v>
      </c>
      <c r="U5257" s="21">
        <v>8871.2800000000007</v>
      </c>
      <c r="V5257" s="21" t="s">
        <v>368</v>
      </c>
      <c r="W5257" t="str">
        <f>VLOOKUP(Table_Query_from_Actuarial___Production[[#This Row],[Kor1]],$AI$3:$AK$105,3,FALSE)</f>
        <v>Misc. Expense</v>
      </c>
      <c r="X5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7"/>
      <c r="Z5257" t="s">
        <v>21</v>
      </c>
      <c r="AA5257" t="s">
        <v>228</v>
      </c>
      <c r="AB5257" t="s">
        <v>5</v>
      </c>
      <c r="AC5257" s="21">
        <v>1189.3399999999999</v>
      </c>
      <c r="AD5257" s="21" t="s">
        <v>368</v>
      </c>
      <c r="AE5257" t="str">
        <f>VLOOKUP(Table_Query_from_Actuarial___Production3[[#This Row],[Kor1]],$AI$3:$AK$105,3,FALSE)</f>
        <v>Misc. Expense</v>
      </c>
      <c r="AF5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8" spans="18:32" x14ac:dyDescent="0.2">
      <c r="R5258" t="s">
        <v>47</v>
      </c>
      <c r="S5258" t="s">
        <v>236</v>
      </c>
      <c r="T5258" t="s">
        <v>9</v>
      </c>
      <c r="U5258" s="21">
        <v>130.19999999999999</v>
      </c>
      <c r="V5258" s="21" t="s">
        <v>368</v>
      </c>
      <c r="W5258" t="str">
        <f>VLOOKUP(Table_Query_from_Actuarial___Production[[#This Row],[Kor1]],$AI$3:$AK$105,3,FALSE)</f>
        <v>Investment Income</v>
      </c>
      <c r="X5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8"/>
      <c r="Z5258" t="s">
        <v>31</v>
      </c>
      <c r="AA5258" t="s">
        <v>267</v>
      </c>
      <c r="AB5258" t="s">
        <v>427</v>
      </c>
      <c r="AC5258" s="21">
        <v>694.46</v>
      </c>
      <c r="AD5258" s="21" t="s">
        <v>368</v>
      </c>
      <c r="AE5258" t="str">
        <f>VLOOKUP(Table_Query_from_Actuarial___Production3[[#This Row],[Kor1]],$AI$3:$AK$105,3,FALSE)</f>
        <v>Misc. Expense</v>
      </c>
      <c r="AF5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59" spans="18:32" x14ac:dyDescent="0.2">
      <c r="R5259" t="s">
        <v>48</v>
      </c>
      <c r="S5259" t="s">
        <v>231</v>
      </c>
      <c r="T5259" t="s">
        <v>445</v>
      </c>
      <c r="U5259" s="21">
        <v>1657.94</v>
      </c>
      <c r="V5259" s="21" t="s">
        <v>368</v>
      </c>
      <c r="W5259" t="str">
        <f>VLOOKUP(Table_Query_from_Actuarial___Production[[#This Row],[Kor1]],$AI$3:$AK$105,3,FALSE)</f>
        <v>Anticipated Salvage</v>
      </c>
      <c r="X5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59"/>
      <c r="Z5259" t="s">
        <v>47</v>
      </c>
      <c r="AA5259" t="s">
        <v>255</v>
      </c>
      <c r="AB5259" t="s">
        <v>8</v>
      </c>
      <c r="AC5259" s="21">
        <v>0.24</v>
      </c>
      <c r="AD5259" s="21" t="s">
        <v>368</v>
      </c>
      <c r="AE5259" t="str">
        <f>VLOOKUP(Table_Query_from_Actuarial___Production3[[#This Row],[Kor1]],$AI$3:$AK$105,3,FALSE)</f>
        <v>Investment Income</v>
      </c>
      <c r="AF5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0" spans="18:32" x14ac:dyDescent="0.2">
      <c r="R5260" t="s">
        <v>12</v>
      </c>
      <c r="S5260" t="s">
        <v>254</v>
      </c>
      <c r="T5260" t="s">
        <v>433</v>
      </c>
      <c r="U5260" s="21">
        <v>362676.74</v>
      </c>
      <c r="V5260" s="21" t="s">
        <v>368</v>
      </c>
      <c r="W5260" t="str">
        <f>VLOOKUP(Table_Query_from_Actuarial___Production[[#This Row],[Kor1]],$AI$3:$AK$105,3,FALSE)</f>
        <v>Premium Tax</v>
      </c>
      <c r="X5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0"/>
      <c r="Z5260" t="s">
        <v>18</v>
      </c>
      <c r="AA5260" t="s">
        <v>224</v>
      </c>
      <c r="AB5260" t="s">
        <v>443</v>
      </c>
      <c r="AC5260" s="21">
        <v>1213.8499999999999</v>
      </c>
      <c r="AD5260" s="21" t="s">
        <v>369</v>
      </c>
      <c r="AE5260" t="str">
        <f>VLOOKUP(Table_Query_from_Actuarial___Production3[[#This Row],[Kor1]],$AI$3:$AK$105,3,FALSE)</f>
        <v>Misc. Expense</v>
      </c>
      <c r="AF5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261" spans="18:32" x14ac:dyDescent="0.2">
      <c r="R5261" t="s">
        <v>18</v>
      </c>
      <c r="S5261" t="s">
        <v>354</v>
      </c>
      <c r="T5261" t="s">
        <v>443</v>
      </c>
      <c r="U5261" s="21">
        <v>777659.24</v>
      </c>
      <c r="V5261" s="21" t="s">
        <v>368</v>
      </c>
      <c r="W5261" t="str">
        <f>VLOOKUP(Table_Query_from_Actuarial___Production[[#This Row],[Kor1]],$AI$3:$AK$105,3,FALSE)</f>
        <v>Misc. Expense</v>
      </c>
      <c r="X5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261"/>
      <c r="Z5261" t="s">
        <v>3</v>
      </c>
      <c r="AA5261" t="s">
        <v>261</v>
      </c>
      <c r="AB5261" t="s">
        <v>442</v>
      </c>
      <c r="AC5261" s="21">
        <v>287383</v>
      </c>
      <c r="AD5261" s="21" t="s">
        <v>368</v>
      </c>
      <c r="AE5261" t="str">
        <f>VLOOKUP(Table_Query_from_Actuarial___Production3[[#This Row],[Kor1]],$AI$3:$AK$105,3,FALSE)</f>
        <v>Premiums Written</v>
      </c>
      <c r="AF5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2" spans="18:32" x14ac:dyDescent="0.2">
      <c r="R5262" t="s">
        <v>31</v>
      </c>
      <c r="S5262" t="s">
        <v>255</v>
      </c>
      <c r="T5262" t="s">
        <v>356</v>
      </c>
      <c r="U5262" s="21">
        <v>623.36</v>
      </c>
      <c r="V5262" s="21" t="s">
        <v>368</v>
      </c>
      <c r="W5262" t="str">
        <f>VLOOKUP(Table_Query_from_Actuarial___Production[[#This Row],[Kor1]],$AI$3:$AK$105,3,FALSE)</f>
        <v>Misc. Expense</v>
      </c>
      <c r="X5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2"/>
      <c r="Z5262" t="s">
        <v>33</v>
      </c>
      <c r="AA5262" t="s">
        <v>230</v>
      </c>
      <c r="AB5262" t="s">
        <v>427</v>
      </c>
      <c r="AC5262" s="21">
        <v>27379.75</v>
      </c>
      <c r="AD5262" s="21" t="s">
        <v>368</v>
      </c>
      <c r="AE5262" t="str">
        <f>VLOOKUP(Table_Query_from_Actuarial___Production3[[#This Row],[Kor1]],$AI$3:$AK$105,3,FALSE)</f>
        <v>Misc. Expense</v>
      </c>
      <c r="AF5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3" spans="18:32" x14ac:dyDescent="0.2">
      <c r="R5263" t="s">
        <v>17</v>
      </c>
      <c r="S5263" t="s">
        <v>227</v>
      </c>
      <c r="T5263" t="s">
        <v>442</v>
      </c>
      <c r="U5263" s="21">
        <v>1096.8900000000001</v>
      </c>
      <c r="V5263" s="21" t="s">
        <v>368</v>
      </c>
      <c r="W5263" t="str">
        <f>VLOOKUP(Table_Query_from_Actuarial___Production[[#This Row],[Kor1]],$AI$3:$AK$105,3,FALSE)</f>
        <v>IBNR</v>
      </c>
      <c r="X5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3"/>
      <c r="Z5263" t="s">
        <v>33</v>
      </c>
      <c r="AA5263" t="s">
        <v>244</v>
      </c>
      <c r="AB5263" t="s">
        <v>6</v>
      </c>
      <c r="AC5263" s="21">
        <v>16177.99</v>
      </c>
      <c r="AD5263" s="21" t="s">
        <v>368</v>
      </c>
      <c r="AE5263" t="str">
        <f>VLOOKUP(Table_Query_from_Actuarial___Production3[[#This Row],[Kor1]],$AI$3:$AK$105,3,FALSE)</f>
        <v>Misc. Expense</v>
      </c>
      <c r="AF5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4" spans="18:32" x14ac:dyDescent="0.2">
      <c r="R5264" t="s">
        <v>31</v>
      </c>
      <c r="S5264" t="s">
        <v>243</v>
      </c>
      <c r="T5264" t="s">
        <v>445</v>
      </c>
      <c r="U5264" s="21">
        <v>310.41000000000003</v>
      </c>
      <c r="V5264" s="21" t="s">
        <v>368</v>
      </c>
      <c r="W5264" t="str">
        <f>VLOOKUP(Table_Query_from_Actuarial___Production[[#This Row],[Kor1]],$AI$3:$AK$105,3,FALSE)</f>
        <v>Misc. Expense</v>
      </c>
      <c r="X5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4"/>
      <c r="Z5264" t="s">
        <v>44</v>
      </c>
      <c r="AA5264" t="s">
        <v>259</v>
      </c>
      <c r="AB5264" t="s">
        <v>356</v>
      </c>
      <c r="AC5264" s="21">
        <v>-5</v>
      </c>
      <c r="AD5264" s="21" t="s">
        <v>368</v>
      </c>
      <c r="AE5264" t="str">
        <f>VLOOKUP(Table_Query_from_Actuarial___Production3[[#This Row],[Kor1]],$AI$3:$AK$105,3,FALSE)</f>
        <v>Charge-offs</v>
      </c>
      <c r="AF5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5" spans="18:32" x14ac:dyDescent="0.2">
      <c r="R5265" t="s">
        <v>43</v>
      </c>
      <c r="S5265" t="s">
        <v>238</v>
      </c>
      <c r="T5265" t="s">
        <v>351</v>
      </c>
      <c r="U5265" s="21">
        <v>0.05</v>
      </c>
      <c r="V5265" s="21" t="s">
        <v>368</v>
      </c>
      <c r="W5265" t="str">
        <f>VLOOKUP(Table_Query_from_Actuarial___Production[[#This Row],[Kor1]],$AI$3:$AK$105,3,FALSE)</f>
        <v>Charge-offs</v>
      </c>
      <c r="X5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5"/>
      <c r="Z5265" t="s">
        <v>3</v>
      </c>
      <c r="AA5265" t="s">
        <v>236</v>
      </c>
      <c r="AB5265" t="s">
        <v>433</v>
      </c>
      <c r="AC5265" s="21">
        <v>40355</v>
      </c>
      <c r="AD5265" s="21" t="s">
        <v>368</v>
      </c>
      <c r="AE5265" t="str">
        <f>VLOOKUP(Table_Query_from_Actuarial___Production3[[#This Row],[Kor1]],$AI$3:$AK$105,3,FALSE)</f>
        <v>Premiums Written</v>
      </c>
      <c r="AF5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6" spans="18:32" x14ac:dyDescent="0.2">
      <c r="R5266" t="s">
        <v>16</v>
      </c>
      <c r="S5266" t="s">
        <v>264</v>
      </c>
      <c r="T5266" t="s">
        <v>442</v>
      </c>
      <c r="U5266" s="21">
        <v>3195161.63</v>
      </c>
      <c r="V5266" s="21" t="s">
        <v>368</v>
      </c>
      <c r="W5266" t="str">
        <f>VLOOKUP(Table_Query_from_Actuarial___Production[[#This Row],[Kor1]],$AI$3:$AK$105,3,FALSE)</f>
        <v>Losses Outstanding</v>
      </c>
      <c r="X5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6"/>
      <c r="Z5266" t="s">
        <v>11</v>
      </c>
      <c r="AA5266" t="s">
        <v>232</v>
      </c>
      <c r="AB5266" t="s">
        <v>9</v>
      </c>
      <c r="AC5266" s="21">
        <v>590137.98</v>
      </c>
      <c r="AD5266" s="21" t="s">
        <v>368</v>
      </c>
      <c r="AE5266" t="str">
        <f>VLOOKUP(Table_Query_from_Actuarial___Production3[[#This Row],[Kor1]],$AI$3:$AK$105,3,FALSE)</f>
        <v>Losses Paid</v>
      </c>
      <c r="AF5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7" spans="18:32" x14ac:dyDescent="0.2">
      <c r="R5267" t="s">
        <v>11</v>
      </c>
      <c r="S5267" t="s">
        <v>263</v>
      </c>
      <c r="T5267" t="s">
        <v>433</v>
      </c>
      <c r="U5267" s="21">
        <v>388483.17</v>
      </c>
      <c r="V5267" s="21" t="s">
        <v>368</v>
      </c>
      <c r="W5267" t="str">
        <f>VLOOKUP(Table_Query_from_Actuarial___Production[[#This Row],[Kor1]],$AI$3:$AK$105,3,FALSE)</f>
        <v>Losses Paid</v>
      </c>
      <c r="X5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7"/>
      <c r="Z5267" t="s">
        <v>41</v>
      </c>
      <c r="AA5267" t="s">
        <v>257</v>
      </c>
      <c r="AB5267" t="s">
        <v>356</v>
      </c>
      <c r="AC5267" s="21">
        <v>499.99</v>
      </c>
      <c r="AD5267" s="21" t="s">
        <v>368</v>
      </c>
      <c r="AE5267" t="str">
        <f>VLOOKUP(Table_Query_from_Actuarial___Production3[[#This Row],[Kor1]],$AI$3:$AK$105,3,FALSE)</f>
        <v>Misc. Income</v>
      </c>
      <c r="AF5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8" spans="18:32" x14ac:dyDescent="0.2">
      <c r="R5268" t="s">
        <v>19</v>
      </c>
      <c r="S5268" t="s">
        <v>267</v>
      </c>
      <c r="T5268" t="s">
        <v>6</v>
      </c>
      <c r="U5268" s="21">
        <v>75</v>
      </c>
      <c r="V5268" s="21" t="s">
        <v>368</v>
      </c>
      <c r="W5268" t="str">
        <f>VLOOKUP(Table_Query_from_Actuarial___Production[[#This Row],[Kor1]],$AI$3:$AK$105,3,FALSE)</f>
        <v>Misc. Expense for Insolvent Companies</v>
      </c>
      <c r="X5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8"/>
      <c r="Z5268" t="s">
        <v>39</v>
      </c>
      <c r="AA5268" t="s">
        <v>233</v>
      </c>
      <c r="AB5268" t="s">
        <v>9</v>
      </c>
      <c r="AC5268" s="21">
        <v>185.98</v>
      </c>
      <c r="AD5268" s="21" t="s">
        <v>368</v>
      </c>
      <c r="AE5268" t="str">
        <f>VLOOKUP(Table_Query_from_Actuarial___Production3[[#This Row],[Kor1]],$AI$3:$AK$105,3,FALSE)</f>
        <v>Misc. Income for Insolvent Companies</v>
      </c>
      <c r="AF5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69" spans="18:32" x14ac:dyDescent="0.2">
      <c r="R5269" t="s">
        <v>10</v>
      </c>
      <c r="S5269" t="s">
        <v>246</v>
      </c>
      <c r="T5269" t="s">
        <v>445</v>
      </c>
      <c r="U5269" s="21">
        <v>17660.45</v>
      </c>
      <c r="V5269" s="21" t="s">
        <v>368</v>
      </c>
      <c r="W5269" t="str">
        <f>VLOOKUP(Table_Query_from_Actuarial___Production[[#This Row],[Kor1]],$AI$3:$AK$105,3,FALSE)</f>
        <v>Commissions</v>
      </c>
      <c r="X5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69"/>
      <c r="Z5269" t="s">
        <v>439</v>
      </c>
      <c r="AA5269" t="s">
        <v>241</v>
      </c>
      <c r="AB5269" t="s">
        <v>443</v>
      </c>
      <c r="AC5269" s="21">
        <v>-10801.22</v>
      </c>
      <c r="AD5269" s="21" t="s">
        <v>368</v>
      </c>
      <c r="AE5269" t="str">
        <f>VLOOKUP(Table_Query_from_Actuarial___Production3[[#This Row],[Kor1]],$AI$3:$AK$105,3,FALSE)</f>
        <v>Operating Service Fees</v>
      </c>
      <c r="AF5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0" spans="18:32" x14ac:dyDescent="0.2">
      <c r="R5270" t="s">
        <v>10</v>
      </c>
      <c r="S5270" t="s">
        <v>254</v>
      </c>
      <c r="T5270" t="s">
        <v>442</v>
      </c>
      <c r="U5270" s="21">
        <v>1454756.9</v>
      </c>
      <c r="V5270" s="21" t="s">
        <v>368</v>
      </c>
      <c r="W5270" t="str">
        <f>VLOOKUP(Table_Query_from_Actuarial___Production[[#This Row],[Kor1]],$AI$3:$AK$105,3,FALSE)</f>
        <v>Commissions</v>
      </c>
      <c r="X5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0"/>
      <c r="Z5270" t="s">
        <v>13</v>
      </c>
      <c r="AA5270" t="s">
        <v>354</v>
      </c>
      <c r="AB5270" t="s">
        <v>7</v>
      </c>
      <c r="AC5270" s="21">
        <v>18019992.390000001</v>
      </c>
      <c r="AD5270" s="21" t="s">
        <v>368</v>
      </c>
      <c r="AE5270" t="str">
        <f>VLOOKUP(Table_Query_from_Actuarial___Production3[[#This Row],[Kor1]],$AI$3:$AK$105,3,FALSE)</f>
        <v>Operating Service Fees</v>
      </c>
      <c r="AF5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271" spans="18:32" x14ac:dyDescent="0.2">
      <c r="R5271" t="s">
        <v>10</v>
      </c>
      <c r="S5271" t="s">
        <v>230</v>
      </c>
      <c r="T5271" t="s">
        <v>427</v>
      </c>
      <c r="U5271" s="21">
        <v>1506774.85</v>
      </c>
      <c r="V5271" s="21" t="s">
        <v>368</v>
      </c>
      <c r="W5271" t="str">
        <f>VLOOKUP(Table_Query_from_Actuarial___Production[[#This Row],[Kor1]],$AI$3:$AK$105,3,FALSE)</f>
        <v>Commissions</v>
      </c>
      <c r="X5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1"/>
      <c r="Z5271" t="s">
        <v>14</v>
      </c>
      <c r="AA5271" t="s">
        <v>354</v>
      </c>
      <c r="AB5271" t="s">
        <v>351</v>
      </c>
      <c r="AC5271" s="21">
        <v>126155812.28</v>
      </c>
      <c r="AD5271" s="21" t="s">
        <v>369</v>
      </c>
      <c r="AE5271" t="str">
        <f>VLOOKUP(Table_Query_from_Actuarial___Production3[[#This Row],[Kor1]],$AI$3:$AK$105,3,FALSE)</f>
        <v>Claims Expense</v>
      </c>
      <c r="AF5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272" spans="18:32" x14ac:dyDescent="0.2">
      <c r="R5272" t="s">
        <v>11</v>
      </c>
      <c r="S5272" t="s">
        <v>266</v>
      </c>
      <c r="T5272" t="s">
        <v>356</v>
      </c>
      <c r="U5272" s="21">
        <v>161568.04</v>
      </c>
      <c r="V5272" s="21" t="s">
        <v>368</v>
      </c>
      <c r="W5272" t="str">
        <f>VLOOKUP(Table_Query_from_Actuarial___Production[[#This Row],[Kor1]],$AI$3:$AK$105,3,FALSE)</f>
        <v>Losses Paid</v>
      </c>
      <c r="X5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2"/>
      <c r="Z5272" t="s">
        <v>3</v>
      </c>
      <c r="AA5272" t="s">
        <v>254</v>
      </c>
      <c r="AB5272" t="s">
        <v>441</v>
      </c>
      <c r="AC5272" s="21">
        <v>32447527</v>
      </c>
      <c r="AD5272" s="21" t="s">
        <v>368</v>
      </c>
      <c r="AE5272" t="str">
        <f>VLOOKUP(Table_Query_from_Actuarial___Production3[[#This Row],[Kor1]],$AI$3:$AK$105,3,FALSE)</f>
        <v>Premiums Written</v>
      </c>
      <c r="AF5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3" spans="18:32" x14ac:dyDescent="0.2">
      <c r="R5273" t="s">
        <v>44</v>
      </c>
      <c r="S5273" t="s">
        <v>255</v>
      </c>
      <c r="T5273" t="s">
        <v>9</v>
      </c>
      <c r="U5273" s="21">
        <v>-4</v>
      </c>
      <c r="V5273" s="21" t="s">
        <v>368</v>
      </c>
      <c r="W5273" t="str">
        <f>VLOOKUP(Table_Query_from_Actuarial___Production[[#This Row],[Kor1]],$AI$3:$AK$105,3,FALSE)</f>
        <v>Charge-offs</v>
      </c>
      <c r="X5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3"/>
      <c r="Z5273" t="s">
        <v>47</v>
      </c>
      <c r="AA5273" t="s">
        <v>236</v>
      </c>
      <c r="AB5273" t="s">
        <v>9</v>
      </c>
      <c r="AC5273" s="21">
        <v>130.19999999999999</v>
      </c>
      <c r="AD5273" s="21" t="s">
        <v>368</v>
      </c>
      <c r="AE5273" t="str">
        <f>VLOOKUP(Table_Query_from_Actuarial___Production3[[#This Row],[Kor1]],$AI$3:$AK$105,3,FALSE)</f>
        <v>Investment Income</v>
      </c>
      <c r="AF5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4" spans="18:32" x14ac:dyDescent="0.2">
      <c r="R5274" t="s">
        <v>39</v>
      </c>
      <c r="S5274" t="s">
        <v>4</v>
      </c>
      <c r="T5274" t="s">
        <v>445</v>
      </c>
      <c r="U5274" s="21">
        <v>106699.23</v>
      </c>
      <c r="V5274" s="21" t="s">
        <v>368</v>
      </c>
      <c r="W5274" t="str">
        <f>VLOOKUP(Table_Query_from_Actuarial___Production[[#This Row],[Kor1]],$AI$3:$AK$105,3,FALSE)</f>
        <v>Misc. Income for Insolvent Companies</v>
      </c>
      <c r="X5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4"/>
      <c r="Z5274" t="s">
        <v>12</v>
      </c>
      <c r="AA5274" t="s">
        <v>254</v>
      </c>
      <c r="AB5274" t="s">
        <v>433</v>
      </c>
      <c r="AC5274" s="21">
        <v>362676.74</v>
      </c>
      <c r="AD5274" s="21" t="s">
        <v>368</v>
      </c>
      <c r="AE5274" t="str">
        <f>VLOOKUP(Table_Query_from_Actuarial___Production3[[#This Row],[Kor1]],$AI$3:$AK$105,3,FALSE)</f>
        <v>Premium Tax</v>
      </c>
      <c r="AF5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5" spans="18:32" x14ac:dyDescent="0.2">
      <c r="R5275" t="s">
        <v>49</v>
      </c>
      <c r="S5275" t="s">
        <v>244</v>
      </c>
      <c r="T5275" t="s">
        <v>351</v>
      </c>
      <c r="U5275" s="21">
        <v>56406.63</v>
      </c>
      <c r="V5275" s="21" t="s">
        <v>368</v>
      </c>
      <c r="W5275" t="str">
        <f>VLOOKUP(Table_Query_from_Actuarial___Production[[#This Row],[Kor1]],$AI$3:$AK$105,3,FALSE)</f>
        <v>ALAE Paid</v>
      </c>
      <c r="X5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5"/>
      <c r="Z5275" t="s">
        <v>18</v>
      </c>
      <c r="AA5275" t="s">
        <v>354</v>
      </c>
      <c r="AB5275" t="s">
        <v>443</v>
      </c>
      <c r="AC5275" s="21">
        <v>431909.95</v>
      </c>
      <c r="AD5275" s="21" t="s">
        <v>368</v>
      </c>
      <c r="AE5275" t="str">
        <f>VLOOKUP(Table_Query_from_Actuarial___Production3[[#This Row],[Kor1]],$AI$3:$AK$105,3,FALSE)</f>
        <v>Misc. Expense</v>
      </c>
      <c r="AF5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276" spans="18:32" x14ac:dyDescent="0.2">
      <c r="R5276" t="s">
        <v>39</v>
      </c>
      <c r="S5276" t="s">
        <v>251</v>
      </c>
      <c r="T5276" t="s">
        <v>351</v>
      </c>
      <c r="U5276" s="21">
        <v>66</v>
      </c>
      <c r="V5276" s="21" t="s">
        <v>368</v>
      </c>
      <c r="W5276" t="str">
        <f>VLOOKUP(Table_Query_from_Actuarial___Production[[#This Row],[Kor1]],$AI$3:$AK$105,3,FALSE)</f>
        <v>Misc. Income for Insolvent Companies</v>
      </c>
      <c r="X5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6"/>
      <c r="Z5276" t="s">
        <v>31</v>
      </c>
      <c r="AA5276" t="s">
        <v>255</v>
      </c>
      <c r="AB5276" t="s">
        <v>356</v>
      </c>
      <c r="AC5276" s="21">
        <v>623.36</v>
      </c>
      <c r="AD5276" s="21" t="s">
        <v>368</v>
      </c>
      <c r="AE5276" t="str">
        <f>VLOOKUP(Table_Query_from_Actuarial___Production3[[#This Row],[Kor1]],$AI$3:$AK$105,3,FALSE)</f>
        <v>Misc. Expense</v>
      </c>
      <c r="AF5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7" spans="18:32" x14ac:dyDescent="0.2">
      <c r="R5277" t="s">
        <v>44</v>
      </c>
      <c r="S5277" t="s">
        <v>250</v>
      </c>
      <c r="T5277" t="s">
        <v>442</v>
      </c>
      <c r="U5277" s="21">
        <v>0.03</v>
      </c>
      <c r="V5277" s="21" t="s">
        <v>368</v>
      </c>
      <c r="W5277" t="str">
        <f>VLOOKUP(Table_Query_from_Actuarial___Production[[#This Row],[Kor1]],$AI$3:$AK$105,3,FALSE)</f>
        <v>Charge-offs</v>
      </c>
      <c r="X5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7"/>
      <c r="Z5277" t="s">
        <v>17</v>
      </c>
      <c r="AA5277" t="s">
        <v>227</v>
      </c>
      <c r="AB5277" t="s">
        <v>442</v>
      </c>
      <c r="AC5277" s="21">
        <v>1066.02</v>
      </c>
      <c r="AD5277" s="21" t="s">
        <v>368</v>
      </c>
      <c r="AE5277" t="str">
        <f>VLOOKUP(Table_Query_from_Actuarial___Production3[[#This Row],[Kor1]],$AI$3:$AK$105,3,FALSE)</f>
        <v>IBNR</v>
      </c>
      <c r="AF5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8" spans="18:32" x14ac:dyDescent="0.2">
      <c r="R5278" t="s">
        <v>44</v>
      </c>
      <c r="S5278" t="s">
        <v>224</v>
      </c>
      <c r="T5278" t="s">
        <v>445</v>
      </c>
      <c r="U5278" s="21">
        <v>647.23</v>
      </c>
      <c r="V5278" s="21" t="s">
        <v>368</v>
      </c>
      <c r="W5278" t="str">
        <f>VLOOKUP(Table_Query_from_Actuarial___Production[[#This Row],[Kor1]],$AI$3:$AK$105,3,FALSE)</f>
        <v>Charge-offs</v>
      </c>
      <c r="X5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278"/>
      <c r="Z5278" t="s">
        <v>43</v>
      </c>
      <c r="AA5278" t="s">
        <v>238</v>
      </c>
      <c r="AB5278" t="s">
        <v>351</v>
      </c>
      <c r="AC5278" s="21">
        <v>0.05</v>
      </c>
      <c r="AD5278" s="21" t="s">
        <v>368</v>
      </c>
      <c r="AE5278" t="str">
        <f>VLOOKUP(Table_Query_from_Actuarial___Production3[[#This Row],[Kor1]],$AI$3:$AK$105,3,FALSE)</f>
        <v>Charge-offs</v>
      </c>
      <c r="AF5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79" spans="18:32" x14ac:dyDescent="0.2">
      <c r="R5279" t="s">
        <v>10</v>
      </c>
      <c r="S5279" t="s">
        <v>246</v>
      </c>
      <c r="T5279" t="s">
        <v>6</v>
      </c>
      <c r="U5279" s="21">
        <v>6819.1</v>
      </c>
      <c r="V5279" s="21" t="s">
        <v>368</v>
      </c>
      <c r="W5279" t="str">
        <f>VLOOKUP(Table_Query_from_Actuarial___Production[[#This Row],[Kor1]],$AI$3:$AK$105,3,FALSE)</f>
        <v>Commissions</v>
      </c>
      <c r="X5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79"/>
      <c r="Z5279" t="s">
        <v>16</v>
      </c>
      <c r="AA5279" t="s">
        <v>264</v>
      </c>
      <c r="AB5279" t="s">
        <v>442</v>
      </c>
      <c r="AC5279" s="21">
        <v>1912807.8</v>
      </c>
      <c r="AD5279" s="21" t="s">
        <v>368</v>
      </c>
      <c r="AE5279" t="str">
        <f>VLOOKUP(Table_Query_from_Actuarial___Production3[[#This Row],[Kor1]],$AI$3:$AK$105,3,FALSE)</f>
        <v>Losses Outstanding</v>
      </c>
      <c r="AF5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0" spans="18:32" x14ac:dyDescent="0.2">
      <c r="R5280" t="s">
        <v>37</v>
      </c>
      <c r="S5280" t="s">
        <v>264</v>
      </c>
      <c r="T5280" t="s">
        <v>356</v>
      </c>
      <c r="U5280" s="21">
        <v>378.62</v>
      </c>
      <c r="V5280" s="21" t="s">
        <v>368</v>
      </c>
      <c r="W5280" t="str">
        <f>VLOOKUP(Table_Query_from_Actuarial___Production[[#This Row],[Kor1]],$AI$3:$AK$105,3,FALSE)</f>
        <v>Misc. Expense</v>
      </c>
      <c r="X5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0"/>
      <c r="Z5280" t="s">
        <v>11</v>
      </c>
      <c r="AA5280" t="s">
        <v>263</v>
      </c>
      <c r="AB5280" t="s">
        <v>433</v>
      </c>
      <c r="AC5280" s="21">
        <v>297369.28000000003</v>
      </c>
      <c r="AD5280" s="21" t="s">
        <v>368</v>
      </c>
      <c r="AE5280" t="str">
        <f>VLOOKUP(Table_Query_from_Actuarial___Production3[[#This Row],[Kor1]],$AI$3:$AK$105,3,FALSE)</f>
        <v>Losses Paid</v>
      </c>
      <c r="AF5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1" spans="18:32" x14ac:dyDescent="0.2">
      <c r="R5281" t="s">
        <v>41</v>
      </c>
      <c r="S5281" t="s">
        <v>258</v>
      </c>
      <c r="T5281" t="s">
        <v>442</v>
      </c>
      <c r="U5281" s="21">
        <v>249.96</v>
      </c>
      <c r="V5281" s="21" t="s">
        <v>368</v>
      </c>
      <c r="W5281" t="str">
        <f>VLOOKUP(Table_Query_from_Actuarial___Production[[#This Row],[Kor1]],$AI$3:$AK$105,3,FALSE)</f>
        <v>Misc. Income</v>
      </c>
      <c r="X5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1"/>
      <c r="Z5281" t="s">
        <v>19</v>
      </c>
      <c r="AA5281" t="s">
        <v>267</v>
      </c>
      <c r="AB5281" t="s">
        <v>6</v>
      </c>
      <c r="AC5281" s="21">
        <v>75</v>
      </c>
      <c r="AD5281" s="21" t="s">
        <v>368</v>
      </c>
      <c r="AE5281" t="str">
        <f>VLOOKUP(Table_Query_from_Actuarial___Production3[[#This Row],[Kor1]],$AI$3:$AK$105,3,FALSE)</f>
        <v>Misc. Expense for Insolvent Companies</v>
      </c>
      <c r="AF5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2" spans="18:32" x14ac:dyDescent="0.2">
      <c r="R5282" t="s">
        <v>16</v>
      </c>
      <c r="S5282" t="s">
        <v>254</v>
      </c>
      <c r="T5282" t="s">
        <v>442</v>
      </c>
      <c r="U5282" s="21">
        <v>24562446.010000002</v>
      </c>
      <c r="V5282" s="21" t="s">
        <v>368</v>
      </c>
      <c r="W5282" t="str">
        <f>VLOOKUP(Table_Query_from_Actuarial___Production[[#This Row],[Kor1]],$AI$3:$AK$105,3,FALSE)</f>
        <v>Losses Outstanding</v>
      </c>
      <c r="X5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2"/>
      <c r="Z5282" t="s">
        <v>14</v>
      </c>
      <c r="AA5282" t="s">
        <v>249</v>
      </c>
      <c r="AB5282" t="s">
        <v>5</v>
      </c>
      <c r="AC5282" s="21">
        <v>5716.58</v>
      </c>
      <c r="AD5282" s="21" t="s">
        <v>368</v>
      </c>
      <c r="AE5282" t="str">
        <f>VLOOKUP(Table_Query_from_Actuarial___Production3[[#This Row],[Kor1]],$AI$3:$AK$105,3,FALSE)</f>
        <v>Claims Expense</v>
      </c>
      <c r="AF5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3" spans="18:32" x14ac:dyDescent="0.2">
      <c r="R5283" t="s">
        <v>21</v>
      </c>
      <c r="S5283" t="s">
        <v>228</v>
      </c>
      <c r="T5283" t="s">
        <v>351</v>
      </c>
      <c r="U5283" s="21">
        <v>1689</v>
      </c>
      <c r="V5283" s="21" t="s">
        <v>368</v>
      </c>
      <c r="W5283" t="str">
        <f>VLOOKUP(Table_Query_from_Actuarial___Production[[#This Row],[Kor1]],$AI$3:$AK$105,3,FALSE)</f>
        <v>Misc. Expense</v>
      </c>
      <c r="X5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3"/>
      <c r="Z5283" t="s">
        <v>10</v>
      </c>
      <c r="AA5283" t="s">
        <v>254</v>
      </c>
      <c r="AB5283" t="s">
        <v>442</v>
      </c>
      <c r="AC5283" s="21">
        <v>1649690.3</v>
      </c>
      <c r="AD5283" s="21" t="s">
        <v>368</v>
      </c>
      <c r="AE5283" t="str">
        <f>VLOOKUP(Table_Query_from_Actuarial___Production3[[#This Row],[Kor1]],$AI$3:$AK$105,3,FALSE)</f>
        <v>Commissions</v>
      </c>
      <c r="AF5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4" spans="18:32" x14ac:dyDescent="0.2">
      <c r="R5284" t="s">
        <v>50</v>
      </c>
      <c r="S5284" t="s">
        <v>228</v>
      </c>
      <c r="T5284" t="s">
        <v>433</v>
      </c>
      <c r="U5284" s="21">
        <v>4834.1499999999996</v>
      </c>
      <c r="V5284" s="21" t="s">
        <v>368</v>
      </c>
      <c r="W5284" t="str">
        <f>VLOOKUP(Table_Query_from_Actuarial___Production[[#This Row],[Kor1]],$AI$3:$AK$105,3,FALSE)</f>
        <v>ALAE Reserve</v>
      </c>
      <c r="X5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4"/>
      <c r="Z5284" t="s">
        <v>10</v>
      </c>
      <c r="AA5284" t="s">
        <v>230</v>
      </c>
      <c r="AB5284" t="s">
        <v>427</v>
      </c>
      <c r="AC5284" s="21">
        <v>1506649.85</v>
      </c>
      <c r="AD5284" s="21" t="s">
        <v>368</v>
      </c>
      <c r="AE5284" t="str">
        <f>VLOOKUP(Table_Query_from_Actuarial___Production3[[#This Row],[Kor1]],$AI$3:$AK$105,3,FALSE)</f>
        <v>Commissions</v>
      </c>
      <c r="AF5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5" spans="18:32" x14ac:dyDescent="0.2">
      <c r="R5285" t="s">
        <v>12</v>
      </c>
      <c r="S5285" t="s">
        <v>249</v>
      </c>
      <c r="T5285" t="s">
        <v>442</v>
      </c>
      <c r="U5285" s="21">
        <v>29132.27</v>
      </c>
      <c r="V5285" s="21" t="s">
        <v>368</v>
      </c>
      <c r="W5285" t="str">
        <f>VLOOKUP(Table_Query_from_Actuarial___Production[[#This Row],[Kor1]],$AI$3:$AK$105,3,FALSE)</f>
        <v>Premium Tax</v>
      </c>
      <c r="X5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5"/>
      <c r="Z5285" t="s">
        <v>11</v>
      </c>
      <c r="AA5285" t="s">
        <v>266</v>
      </c>
      <c r="AB5285" t="s">
        <v>356</v>
      </c>
      <c r="AC5285" s="21">
        <v>161568.04</v>
      </c>
      <c r="AD5285" s="21" t="s">
        <v>368</v>
      </c>
      <c r="AE5285" t="str">
        <f>VLOOKUP(Table_Query_from_Actuarial___Production3[[#This Row],[Kor1]],$AI$3:$AK$105,3,FALSE)</f>
        <v>Losses Paid</v>
      </c>
      <c r="AF5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6" spans="18:32" x14ac:dyDescent="0.2">
      <c r="R5286" t="s">
        <v>14</v>
      </c>
      <c r="S5286" t="s">
        <v>225</v>
      </c>
      <c r="T5286" t="s">
        <v>9</v>
      </c>
      <c r="U5286" s="21">
        <v>122557</v>
      </c>
      <c r="V5286" s="21" t="s">
        <v>368</v>
      </c>
      <c r="W5286" t="str">
        <f>VLOOKUP(Table_Query_from_Actuarial___Production[[#This Row],[Kor1]],$AI$3:$AK$105,3,FALSE)</f>
        <v>Claims Expense</v>
      </c>
      <c r="X5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286"/>
      <c r="Z5286" t="s">
        <v>44</v>
      </c>
      <c r="AA5286" t="s">
        <v>255</v>
      </c>
      <c r="AB5286" t="s">
        <v>9</v>
      </c>
      <c r="AC5286" s="21">
        <v>-4</v>
      </c>
      <c r="AD5286" s="21" t="s">
        <v>368</v>
      </c>
      <c r="AE5286" t="str">
        <f>VLOOKUP(Table_Query_from_Actuarial___Production3[[#This Row],[Kor1]],$AI$3:$AK$105,3,FALSE)</f>
        <v>Charge-offs</v>
      </c>
      <c r="AF5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7" spans="18:32" x14ac:dyDescent="0.2">
      <c r="R5287" t="s">
        <v>31</v>
      </c>
      <c r="S5287" t="s">
        <v>267</v>
      </c>
      <c r="T5287" t="s">
        <v>443</v>
      </c>
      <c r="U5287" s="21">
        <v>1417.14</v>
      </c>
      <c r="V5287" s="21" t="s">
        <v>368</v>
      </c>
      <c r="W5287" t="str">
        <f>VLOOKUP(Table_Query_from_Actuarial___Production[[#This Row],[Kor1]],$AI$3:$AK$105,3,FALSE)</f>
        <v>Misc. Expense</v>
      </c>
      <c r="X5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7"/>
      <c r="Z5287" t="s">
        <v>49</v>
      </c>
      <c r="AA5287" t="s">
        <v>244</v>
      </c>
      <c r="AB5287" t="s">
        <v>351</v>
      </c>
      <c r="AC5287" s="21">
        <v>56406.63</v>
      </c>
      <c r="AD5287" s="21" t="s">
        <v>368</v>
      </c>
      <c r="AE5287" t="str">
        <f>VLOOKUP(Table_Query_from_Actuarial___Production3[[#This Row],[Kor1]],$AI$3:$AK$105,3,FALSE)</f>
        <v>ALAE Paid</v>
      </c>
      <c r="AF5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8" spans="18:32" x14ac:dyDescent="0.2">
      <c r="R5288" t="s">
        <v>20</v>
      </c>
      <c r="S5288" t="s">
        <v>266</v>
      </c>
      <c r="T5288" t="s">
        <v>445</v>
      </c>
      <c r="U5288" s="21">
        <v>28.48</v>
      </c>
      <c r="V5288" s="21" t="s">
        <v>368</v>
      </c>
      <c r="W5288" t="str">
        <f>VLOOKUP(Table_Query_from_Actuarial___Production[[#This Row],[Kor1]],$AI$3:$AK$105,3,FALSE)</f>
        <v>Misc. Expense</v>
      </c>
      <c r="X5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8"/>
      <c r="Z5288" t="s">
        <v>39</v>
      </c>
      <c r="AA5288" t="s">
        <v>251</v>
      </c>
      <c r="AB5288" t="s">
        <v>351</v>
      </c>
      <c r="AC5288" s="21">
        <v>66</v>
      </c>
      <c r="AD5288" s="21" t="s">
        <v>368</v>
      </c>
      <c r="AE5288" t="str">
        <f>VLOOKUP(Table_Query_from_Actuarial___Production3[[#This Row],[Kor1]],$AI$3:$AK$105,3,FALSE)</f>
        <v>Misc. Income for Insolvent Companies</v>
      </c>
      <c r="AF5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89" spans="18:32" x14ac:dyDescent="0.2">
      <c r="R5289" t="s">
        <v>36</v>
      </c>
      <c r="S5289" t="s">
        <v>252</v>
      </c>
      <c r="T5289" t="s">
        <v>9</v>
      </c>
      <c r="U5289" s="21">
        <v>273268.01</v>
      </c>
      <c r="V5289" s="21" t="s">
        <v>368</v>
      </c>
      <c r="W5289" t="str">
        <f>VLOOKUP(Table_Query_from_Actuarial___Production[[#This Row],[Kor1]],$AI$3:$AK$105,3,FALSE)</f>
        <v>Misc. Expense</v>
      </c>
      <c r="X5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89"/>
      <c r="Z5289" t="s">
        <v>10</v>
      </c>
      <c r="AA5289" t="s">
        <v>246</v>
      </c>
      <c r="AB5289" t="s">
        <v>6</v>
      </c>
      <c r="AC5289" s="21">
        <v>6819.1</v>
      </c>
      <c r="AD5289" s="21" t="s">
        <v>368</v>
      </c>
      <c r="AE5289" t="str">
        <f>VLOOKUP(Table_Query_from_Actuarial___Production3[[#This Row],[Kor1]],$AI$3:$AK$105,3,FALSE)</f>
        <v>Commissions</v>
      </c>
      <c r="AF5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0" spans="18:32" x14ac:dyDescent="0.2">
      <c r="R5290" t="s">
        <v>13</v>
      </c>
      <c r="S5290" t="s">
        <v>241</v>
      </c>
      <c r="T5290" t="s">
        <v>442</v>
      </c>
      <c r="U5290" s="21">
        <v>38972.9</v>
      </c>
      <c r="V5290" s="21" t="s">
        <v>368</v>
      </c>
      <c r="W5290" t="str">
        <f>VLOOKUP(Table_Query_from_Actuarial___Production[[#This Row],[Kor1]],$AI$3:$AK$105,3,FALSE)</f>
        <v>Operating Service Fees</v>
      </c>
      <c r="X5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0"/>
      <c r="Z5290" t="s">
        <v>37</v>
      </c>
      <c r="AA5290" t="s">
        <v>264</v>
      </c>
      <c r="AB5290" t="s">
        <v>356</v>
      </c>
      <c r="AC5290" s="21">
        <v>378.62</v>
      </c>
      <c r="AD5290" s="21" t="s">
        <v>368</v>
      </c>
      <c r="AE5290" t="str">
        <f>VLOOKUP(Table_Query_from_Actuarial___Production3[[#This Row],[Kor1]],$AI$3:$AK$105,3,FALSE)</f>
        <v>Misc. Expense</v>
      </c>
      <c r="AF5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1" spans="18:32" x14ac:dyDescent="0.2">
      <c r="R5291" t="s">
        <v>33</v>
      </c>
      <c r="S5291" t="s">
        <v>263</v>
      </c>
      <c r="T5291" t="s">
        <v>7</v>
      </c>
      <c r="U5291" s="21">
        <v>13439.05</v>
      </c>
      <c r="V5291" s="21" t="s">
        <v>368</v>
      </c>
      <c r="W5291" t="str">
        <f>VLOOKUP(Table_Query_from_Actuarial___Production[[#This Row],[Kor1]],$AI$3:$AK$105,3,FALSE)</f>
        <v>Misc. Expense</v>
      </c>
      <c r="X5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1"/>
      <c r="Z5291" t="s">
        <v>41</v>
      </c>
      <c r="AA5291" t="s">
        <v>258</v>
      </c>
      <c r="AB5291" t="s">
        <v>442</v>
      </c>
      <c r="AC5291" s="21">
        <v>249.96</v>
      </c>
      <c r="AD5291" s="21" t="s">
        <v>368</v>
      </c>
      <c r="AE5291" t="str">
        <f>VLOOKUP(Table_Query_from_Actuarial___Production3[[#This Row],[Kor1]],$AI$3:$AK$105,3,FALSE)</f>
        <v>Misc. Income</v>
      </c>
      <c r="AF5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2" spans="18:32" x14ac:dyDescent="0.2">
      <c r="R5292" t="s">
        <v>33</v>
      </c>
      <c r="S5292" t="s">
        <v>248</v>
      </c>
      <c r="T5292" t="s">
        <v>442</v>
      </c>
      <c r="U5292" s="21">
        <v>16050.56</v>
      </c>
      <c r="V5292" s="21" t="s">
        <v>368</v>
      </c>
      <c r="W5292" t="str">
        <f>VLOOKUP(Table_Query_from_Actuarial___Production[[#This Row],[Kor1]],$AI$3:$AK$105,3,FALSE)</f>
        <v>Misc. Expense</v>
      </c>
      <c r="X5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2"/>
      <c r="Z5292" t="s">
        <v>44</v>
      </c>
      <c r="AA5292" t="s">
        <v>242</v>
      </c>
      <c r="AB5292" t="s">
        <v>5</v>
      </c>
      <c r="AC5292" s="21">
        <v>-73</v>
      </c>
      <c r="AD5292" s="21" t="s">
        <v>368</v>
      </c>
      <c r="AE5292" t="str">
        <f>VLOOKUP(Table_Query_from_Actuarial___Production3[[#This Row],[Kor1]],$AI$3:$AK$105,3,FALSE)</f>
        <v>Charge-offs</v>
      </c>
      <c r="AF5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3" spans="18:32" x14ac:dyDescent="0.2">
      <c r="R5293" t="s">
        <v>39</v>
      </c>
      <c r="S5293" t="s">
        <v>254</v>
      </c>
      <c r="T5293" t="s">
        <v>443</v>
      </c>
      <c r="U5293" s="21">
        <v>818.68</v>
      </c>
      <c r="V5293" s="21" t="s">
        <v>368</v>
      </c>
      <c r="W5293" t="str">
        <f>VLOOKUP(Table_Query_from_Actuarial___Production[[#This Row],[Kor1]],$AI$3:$AK$105,3,FALSE)</f>
        <v>Misc. Income for Insolvent Companies</v>
      </c>
      <c r="X5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3"/>
      <c r="Z5293" t="s">
        <v>16</v>
      </c>
      <c r="AA5293" t="s">
        <v>254</v>
      </c>
      <c r="AB5293" t="s">
        <v>442</v>
      </c>
      <c r="AC5293" s="21">
        <v>24444416.670000002</v>
      </c>
      <c r="AD5293" s="21" t="s">
        <v>368</v>
      </c>
      <c r="AE5293" t="str">
        <f>VLOOKUP(Table_Query_from_Actuarial___Production3[[#This Row],[Kor1]],$AI$3:$AK$105,3,FALSE)</f>
        <v>Losses Outstanding</v>
      </c>
      <c r="AF5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4" spans="18:32" x14ac:dyDescent="0.2">
      <c r="R5294" t="s">
        <v>47</v>
      </c>
      <c r="S5294" t="s">
        <v>240</v>
      </c>
      <c r="T5294" t="s">
        <v>356</v>
      </c>
      <c r="U5294" s="21">
        <v>7308.29</v>
      </c>
      <c r="V5294" s="21" t="s">
        <v>368</v>
      </c>
      <c r="W5294" t="str">
        <f>VLOOKUP(Table_Query_from_Actuarial___Production[[#This Row],[Kor1]],$AI$3:$AK$105,3,FALSE)</f>
        <v>Investment Income</v>
      </c>
      <c r="X5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4"/>
      <c r="Z5294" t="s">
        <v>21</v>
      </c>
      <c r="AA5294" t="s">
        <v>228</v>
      </c>
      <c r="AB5294" t="s">
        <v>351</v>
      </c>
      <c r="AC5294" s="21">
        <v>1689</v>
      </c>
      <c r="AD5294" s="21" t="s">
        <v>368</v>
      </c>
      <c r="AE5294" t="str">
        <f>VLOOKUP(Table_Query_from_Actuarial___Production3[[#This Row],[Kor1]],$AI$3:$AK$105,3,FALSE)</f>
        <v>Misc. Expense</v>
      </c>
      <c r="AF5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5" spans="18:32" x14ac:dyDescent="0.2">
      <c r="R5295" t="s">
        <v>18</v>
      </c>
      <c r="S5295" t="s">
        <v>226</v>
      </c>
      <c r="T5295" t="s">
        <v>8</v>
      </c>
      <c r="U5295" s="21">
        <v>227233.89</v>
      </c>
      <c r="V5295" s="21" t="s">
        <v>368</v>
      </c>
      <c r="W5295" t="str">
        <f>VLOOKUP(Table_Query_from_Actuarial___Production[[#This Row],[Kor1]],$AI$3:$AK$105,3,FALSE)</f>
        <v>Misc. Expense</v>
      </c>
      <c r="X5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295"/>
      <c r="Z5295" t="s">
        <v>44</v>
      </c>
      <c r="AA5295" t="s">
        <v>267</v>
      </c>
      <c r="AB5295" t="s">
        <v>5</v>
      </c>
      <c r="AC5295" s="21">
        <v>1742</v>
      </c>
      <c r="AD5295" s="21" t="s">
        <v>368</v>
      </c>
      <c r="AE5295" t="str">
        <f>VLOOKUP(Table_Query_from_Actuarial___Production3[[#This Row],[Kor1]],$AI$3:$AK$105,3,FALSE)</f>
        <v>Charge-offs</v>
      </c>
      <c r="AF5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6" spans="18:32" x14ac:dyDescent="0.2">
      <c r="R5296" t="s">
        <v>12</v>
      </c>
      <c r="S5296" t="s">
        <v>254</v>
      </c>
      <c r="T5296" t="s">
        <v>351</v>
      </c>
      <c r="U5296" s="21">
        <v>4920.0200000000004</v>
      </c>
      <c r="V5296" s="21" t="s">
        <v>368</v>
      </c>
      <c r="W5296" t="str">
        <f>VLOOKUP(Table_Query_from_Actuarial___Production[[#This Row],[Kor1]],$AI$3:$AK$105,3,FALSE)</f>
        <v>Premium Tax</v>
      </c>
      <c r="X5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6"/>
      <c r="Z5296" t="s">
        <v>50</v>
      </c>
      <c r="AA5296" t="s">
        <v>228</v>
      </c>
      <c r="AB5296" t="s">
        <v>433</v>
      </c>
      <c r="AC5296" s="21">
        <v>125.62</v>
      </c>
      <c r="AD5296" s="21" t="s">
        <v>368</v>
      </c>
      <c r="AE5296" t="str">
        <f>VLOOKUP(Table_Query_from_Actuarial___Production3[[#This Row],[Kor1]],$AI$3:$AK$105,3,FALSE)</f>
        <v>ALAE Reserve</v>
      </c>
      <c r="AF5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7" spans="18:32" x14ac:dyDescent="0.2">
      <c r="R5297" t="s">
        <v>14</v>
      </c>
      <c r="S5297" t="s">
        <v>354</v>
      </c>
      <c r="T5297" t="s">
        <v>356</v>
      </c>
      <c r="U5297" s="21">
        <v>16748624.880000001</v>
      </c>
      <c r="V5297" s="21" t="s">
        <v>368</v>
      </c>
      <c r="W5297" t="str">
        <f>VLOOKUP(Table_Query_from_Actuarial___Production[[#This Row],[Kor1]],$AI$3:$AK$105,3,FALSE)</f>
        <v>Claims Expense</v>
      </c>
      <c r="X5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297"/>
      <c r="Z5297" t="s">
        <v>12</v>
      </c>
      <c r="AA5297" t="s">
        <v>249</v>
      </c>
      <c r="AB5297" t="s">
        <v>442</v>
      </c>
      <c r="AC5297" s="21">
        <v>28840.29</v>
      </c>
      <c r="AD5297" s="21" t="s">
        <v>368</v>
      </c>
      <c r="AE5297" t="str">
        <f>VLOOKUP(Table_Query_from_Actuarial___Production3[[#This Row],[Kor1]],$AI$3:$AK$105,3,FALSE)</f>
        <v>Premium Tax</v>
      </c>
      <c r="AF5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298" spans="18:32" x14ac:dyDescent="0.2">
      <c r="R5298" t="s">
        <v>10</v>
      </c>
      <c r="S5298" t="s">
        <v>264</v>
      </c>
      <c r="T5298" t="s">
        <v>8</v>
      </c>
      <c r="U5298" s="21">
        <v>142726.73000000001</v>
      </c>
      <c r="V5298" s="21" t="s">
        <v>368</v>
      </c>
      <c r="W5298" t="str">
        <f>VLOOKUP(Table_Query_from_Actuarial___Production[[#This Row],[Kor1]],$AI$3:$AK$105,3,FALSE)</f>
        <v>Commissions</v>
      </c>
      <c r="X5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8"/>
      <c r="Z5298" t="s">
        <v>14</v>
      </c>
      <c r="AA5298" t="s">
        <v>225</v>
      </c>
      <c r="AB5298" t="s">
        <v>9</v>
      </c>
      <c r="AC5298" s="21">
        <v>122633</v>
      </c>
      <c r="AD5298" s="21" t="s">
        <v>368</v>
      </c>
      <c r="AE5298" t="str">
        <f>VLOOKUP(Table_Query_from_Actuarial___Production3[[#This Row],[Kor1]],$AI$3:$AK$105,3,FALSE)</f>
        <v>Claims Expense</v>
      </c>
      <c r="AF5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299" spans="18:32" x14ac:dyDescent="0.2">
      <c r="R5299" t="s">
        <v>44</v>
      </c>
      <c r="S5299" t="s">
        <v>252</v>
      </c>
      <c r="T5299" t="s">
        <v>443</v>
      </c>
      <c r="U5299" s="21">
        <v>886981.82</v>
      </c>
      <c r="V5299" s="21" t="s">
        <v>368</v>
      </c>
      <c r="W5299" t="str">
        <f>VLOOKUP(Table_Query_from_Actuarial___Production[[#This Row],[Kor1]],$AI$3:$AK$105,3,FALSE)</f>
        <v>Charge-offs</v>
      </c>
      <c r="X5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299"/>
      <c r="Z5299" t="s">
        <v>31</v>
      </c>
      <c r="AA5299" t="s">
        <v>267</v>
      </c>
      <c r="AB5299" t="s">
        <v>443</v>
      </c>
      <c r="AC5299" s="21">
        <v>647.74</v>
      </c>
      <c r="AD5299" s="21" t="s">
        <v>368</v>
      </c>
      <c r="AE5299" t="str">
        <f>VLOOKUP(Table_Query_from_Actuarial___Production3[[#This Row],[Kor1]],$AI$3:$AK$105,3,FALSE)</f>
        <v>Misc. Expense</v>
      </c>
      <c r="AF5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0" spans="18:32" x14ac:dyDescent="0.2">
      <c r="R5300" t="s">
        <v>44</v>
      </c>
      <c r="S5300" t="s">
        <v>243</v>
      </c>
      <c r="T5300" t="s">
        <v>441</v>
      </c>
      <c r="U5300" s="21">
        <v>11745</v>
      </c>
      <c r="V5300" s="21" t="s">
        <v>368</v>
      </c>
      <c r="W5300" t="str">
        <f>VLOOKUP(Table_Query_from_Actuarial___Production[[#This Row],[Kor1]],$AI$3:$AK$105,3,FALSE)</f>
        <v>Charge-offs</v>
      </c>
      <c r="X5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0"/>
      <c r="Z5300" t="s">
        <v>36</v>
      </c>
      <c r="AA5300" t="s">
        <v>252</v>
      </c>
      <c r="AB5300" t="s">
        <v>9</v>
      </c>
      <c r="AC5300" s="21">
        <v>273268.01</v>
      </c>
      <c r="AD5300" s="21" t="s">
        <v>368</v>
      </c>
      <c r="AE5300" t="str">
        <f>VLOOKUP(Table_Query_from_Actuarial___Production3[[#This Row],[Kor1]],$AI$3:$AK$105,3,FALSE)</f>
        <v>Misc. Expense</v>
      </c>
      <c r="AF5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1" spans="18:32" x14ac:dyDescent="0.2">
      <c r="R5301" t="s">
        <v>17</v>
      </c>
      <c r="S5301" t="s">
        <v>225</v>
      </c>
      <c r="T5301" t="s">
        <v>351</v>
      </c>
      <c r="U5301" s="21">
        <v>1774</v>
      </c>
      <c r="V5301" s="21" t="s">
        <v>368</v>
      </c>
      <c r="W5301" t="str">
        <f>VLOOKUP(Table_Query_from_Actuarial___Production[[#This Row],[Kor1]],$AI$3:$AK$105,3,FALSE)</f>
        <v>IBNR</v>
      </c>
      <c r="X5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301"/>
      <c r="Z5301" t="s">
        <v>13</v>
      </c>
      <c r="AA5301" t="s">
        <v>241</v>
      </c>
      <c r="AB5301" t="s">
        <v>442</v>
      </c>
      <c r="AC5301" s="21">
        <v>39508.04</v>
      </c>
      <c r="AD5301" s="21" t="s">
        <v>368</v>
      </c>
      <c r="AE5301" t="str">
        <f>VLOOKUP(Table_Query_from_Actuarial___Production3[[#This Row],[Kor1]],$AI$3:$AK$105,3,FALSE)</f>
        <v>Operating Service Fees</v>
      </c>
      <c r="AF5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2" spans="18:32" x14ac:dyDescent="0.2">
      <c r="R5302" t="s">
        <v>39</v>
      </c>
      <c r="S5302" t="s">
        <v>265</v>
      </c>
      <c r="T5302" t="s">
        <v>445</v>
      </c>
      <c r="U5302" s="21">
        <v>1081.29</v>
      </c>
      <c r="V5302" s="21" t="s">
        <v>368</v>
      </c>
      <c r="W5302" t="str">
        <f>VLOOKUP(Table_Query_from_Actuarial___Production[[#This Row],[Kor1]],$AI$3:$AK$105,3,FALSE)</f>
        <v>Misc. Income for Insolvent Companies</v>
      </c>
      <c r="X5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2"/>
      <c r="Z5302" t="s">
        <v>33</v>
      </c>
      <c r="AA5302" t="s">
        <v>263</v>
      </c>
      <c r="AB5302" t="s">
        <v>7</v>
      </c>
      <c r="AC5302" s="21">
        <v>13439.05</v>
      </c>
      <c r="AD5302" s="21" t="s">
        <v>368</v>
      </c>
      <c r="AE5302" t="str">
        <f>VLOOKUP(Table_Query_from_Actuarial___Production3[[#This Row],[Kor1]],$AI$3:$AK$105,3,FALSE)</f>
        <v>Misc. Expense</v>
      </c>
      <c r="AF5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3" spans="18:32" x14ac:dyDescent="0.2">
      <c r="R5303" t="s">
        <v>13</v>
      </c>
      <c r="S5303" t="s">
        <v>253</v>
      </c>
      <c r="T5303" t="s">
        <v>6</v>
      </c>
      <c r="U5303" s="21">
        <v>3418.53</v>
      </c>
      <c r="V5303" s="21" t="s">
        <v>368</v>
      </c>
      <c r="W5303" t="str">
        <f>VLOOKUP(Table_Query_from_Actuarial___Production[[#This Row],[Kor1]],$AI$3:$AK$105,3,FALSE)</f>
        <v>Operating Service Fees</v>
      </c>
      <c r="X5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3"/>
      <c r="Z5303" t="s">
        <v>43</v>
      </c>
      <c r="AA5303" t="s">
        <v>230</v>
      </c>
      <c r="AB5303" t="s">
        <v>5</v>
      </c>
      <c r="AC5303" s="21">
        <v>3019.57</v>
      </c>
      <c r="AD5303" s="21" t="s">
        <v>368</v>
      </c>
      <c r="AE5303" t="str">
        <f>VLOOKUP(Table_Query_from_Actuarial___Production3[[#This Row],[Kor1]],$AI$3:$AK$105,3,FALSE)</f>
        <v>Charge-offs</v>
      </c>
      <c r="AF5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4" spans="18:32" x14ac:dyDescent="0.2">
      <c r="R5304" t="s">
        <v>11</v>
      </c>
      <c r="S5304" t="s">
        <v>258</v>
      </c>
      <c r="T5304" t="s">
        <v>9</v>
      </c>
      <c r="U5304" s="21">
        <v>2432184.14</v>
      </c>
      <c r="V5304" s="21" t="s">
        <v>368</v>
      </c>
      <c r="W5304" t="str">
        <f>VLOOKUP(Table_Query_from_Actuarial___Production[[#This Row],[Kor1]],$AI$3:$AK$105,3,FALSE)</f>
        <v>Losses Paid</v>
      </c>
      <c r="X5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4"/>
      <c r="Z5304" t="s">
        <v>33</v>
      </c>
      <c r="AA5304" t="s">
        <v>248</v>
      </c>
      <c r="AB5304" t="s">
        <v>442</v>
      </c>
      <c r="AC5304" s="21">
        <v>16050.56</v>
      </c>
      <c r="AD5304" s="21" t="s">
        <v>368</v>
      </c>
      <c r="AE5304" t="str">
        <f>VLOOKUP(Table_Query_from_Actuarial___Production3[[#This Row],[Kor1]],$AI$3:$AK$105,3,FALSE)</f>
        <v>Misc. Expense</v>
      </c>
      <c r="AF5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5" spans="18:32" x14ac:dyDescent="0.2">
      <c r="R5305" t="s">
        <v>31</v>
      </c>
      <c r="S5305" t="s">
        <v>247</v>
      </c>
      <c r="T5305" t="s">
        <v>9</v>
      </c>
      <c r="U5305" s="21">
        <v>850.94</v>
      </c>
      <c r="V5305" s="21" t="s">
        <v>368</v>
      </c>
      <c r="W5305" t="str">
        <f>VLOOKUP(Table_Query_from_Actuarial___Production[[#This Row],[Kor1]],$AI$3:$AK$105,3,FALSE)</f>
        <v>Misc. Expense</v>
      </c>
      <c r="X5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5"/>
      <c r="Z5305" t="s">
        <v>39</v>
      </c>
      <c r="AA5305" t="s">
        <v>254</v>
      </c>
      <c r="AB5305" t="s">
        <v>443</v>
      </c>
      <c r="AC5305" s="21">
        <v>818.68</v>
      </c>
      <c r="AD5305" s="21" t="s">
        <v>368</v>
      </c>
      <c r="AE5305" t="str">
        <f>VLOOKUP(Table_Query_from_Actuarial___Production3[[#This Row],[Kor1]],$AI$3:$AK$105,3,FALSE)</f>
        <v>Misc. Income for Insolvent Companies</v>
      </c>
      <c r="AF5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6" spans="18:32" x14ac:dyDescent="0.2">
      <c r="R5306" t="s">
        <v>10</v>
      </c>
      <c r="S5306" t="s">
        <v>256</v>
      </c>
      <c r="T5306" t="s">
        <v>445</v>
      </c>
      <c r="U5306" s="21">
        <v>1974.15</v>
      </c>
      <c r="V5306" s="21" t="s">
        <v>368</v>
      </c>
      <c r="W5306" t="str">
        <f>VLOOKUP(Table_Query_from_Actuarial___Production[[#This Row],[Kor1]],$AI$3:$AK$105,3,FALSE)</f>
        <v>Commissions</v>
      </c>
      <c r="X5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6"/>
      <c r="Z5306" t="s">
        <v>47</v>
      </c>
      <c r="AA5306" t="s">
        <v>240</v>
      </c>
      <c r="AB5306" t="s">
        <v>356</v>
      </c>
      <c r="AC5306" s="21">
        <v>7308.29</v>
      </c>
      <c r="AD5306" s="21" t="s">
        <v>368</v>
      </c>
      <c r="AE5306" t="str">
        <f>VLOOKUP(Table_Query_from_Actuarial___Production3[[#This Row],[Kor1]],$AI$3:$AK$105,3,FALSE)</f>
        <v>Investment Income</v>
      </c>
      <c r="AF5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7" spans="18:32" x14ac:dyDescent="0.2">
      <c r="R5307" t="s">
        <v>31</v>
      </c>
      <c r="S5307" t="s">
        <v>229</v>
      </c>
      <c r="T5307" t="s">
        <v>6</v>
      </c>
      <c r="U5307" s="21">
        <v>618.41</v>
      </c>
      <c r="V5307" s="21" t="s">
        <v>368</v>
      </c>
      <c r="W5307" t="str">
        <f>VLOOKUP(Table_Query_from_Actuarial___Production[[#This Row],[Kor1]],$AI$3:$AK$105,3,FALSE)</f>
        <v>Misc. Expense</v>
      </c>
      <c r="X5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7"/>
      <c r="Z5307" t="s">
        <v>18</v>
      </c>
      <c r="AA5307" t="s">
        <v>226</v>
      </c>
      <c r="AB5307" t="s">
        <v>8</v>
      </c>
      <c r="AC5307" s="21">
        <v>227233.89</v>
      </c>
      <c r="AD5307" s="21" t="s">
        <v>368</v>
      </c>
      <c r="AE5307" t="str">
        <f>VLOOKUP(Table_Query_from_Actuarial___Production3[[#This Row],[Kor1]],$AI$3:$AK$105,3,FALSE)</f>
        <v>Misc. Expense</v>
      </c>
      <c r="AF5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308" spans="18:32" x14ac:dyDescent="0.2">
      <c r="R5308" t="s">
        <v>34</v>
      </c>
      <c r="S5308" t="s">
        <v>235</v>
      </c>
      <c r="T5308" t="s">
        <v>442</v>
      </c>
      <c r="U5308" s="21">
        <v>2099.35</v>
      </c>
      <c r="V5308" s="21" t="s">
        <v>368</v>
      </c>
      <c r="W5308" t="str">
        <f>VLOOKUP(Table_Query_from_Actuarial___Production[[#This Row],[Kor1]],$AI$3:$AK$105,3,FALSE)</f>
        <v>Misc. Expense</v>
      </c>
      <c r="X5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8"/>
      <c r="Z5308" t="s">
        <v>12</v>
      </c>
      <c r="AA5308" t="s">
        <v>254</v>
      </c>
      <c r="AB5308" t="s">
        <v>351</v>
      </c>
      <c r="AC5308" s="21">
        <v>4920.0200000000004</v>
      </c>
      <c r="AD5308" s="21" t="s">
        <v>368</v>
      </c>
      <c r="AE5308" t="str">
        <f>VLOOKUP(Table_Query_from_Actuarial___Production3[[#This Row],[Kor1]],$AI$3:$AK$105,3,FALSE)</f>
        <v>Premium Tax</v>
      </c>
      <c r="AF5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09" spans="18:32" x14ac:dyDescent="0.2">
      <c r="R5309" t="s">
        <v>50</v>
      </c>
      <c r="S5309" t="s">
        <v>247</v>
      </c>
      <c r="T5309" t="s">
        <v>433</v>
      </c>
      <c r="U5309" s="21">
        <v>36.29</v>
      </c>
      <c r="V5309" s="21" t="s">
        <v>368</v>
      </c>
      <c r="W5309" t="str">
        <f>VLOOKUP(Table_Query_from_Actuarial___Production[[#This Row],[Kor1]],$AI$3:$AK$105,3,FALSE)</f>
        <v>ALAE Reserve</v>
      </c>
      <c r="X5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09"/>
      <c r="Z5309" t="s">
        <v>14</v>
      </c>
      <c r="AA5309" t="s">
        <v>354</v>
      </c>
      <c r="AB5309" t="s">
        <v>356</v>
      </c>
      <c r="AC5309" s="21">
        <v>16749737.539999999</v>
      </c>
      <c r="AD5309" s="21" t="s">
        <v>368</v>
      </c>
      <c r="AE5309" t="str">
        <f>VLOOKUP(Table_Query_from_Actuarial___Production3[[#This Row],[Kor1]],$AI$3:$AK$105,3,FALSE)</f>
        <v>Claims Expense</v>
      </c>
      <c r="AF5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310" spans="18:32" x14ac:dyDescent="0.2">
      <c r="R5310" t="s">
        <v>3</v>
      </c>
      <c r="S5310" t="s">
        <v>239</v>
      </c>
      <c r="T5310" t="s">
        <v>442</v>
      </c>
      <c r="U5310" s="21">
        <v>8824308</v>
      </c>
      <c r="V5310" s="21" t="s">
        <v>368</v>
      </c>
      <c r="W5310" t="str">
        <f>VLOOKUP(Table_Query_from_Actuarial___Production[[#This Row],[Kor1]],$AI$3:$AK$105,3,FALSE)</f>
        <v>Premiums Written</v>
      </c>
      <c r="X5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0"/>
      <c r="Z5310" t="s">
        <v>10</v>
      </c>
      <c r="AA5310" t="s">
        <v>264</v>
      </c>
      <c r="AB5310" t="s">
        <v>8</v>
      </c>
      <c r="AC5310" s="21">
        <v>142726.73000000001</v>
      </c>
      <c r="AD5310" s="21" t="s">
        <v>368</v>
      </c>
      <c r="AE5310" t="str">
        <f>VLOOKUP(Table_Query_from_Actuarial___Production3[[#This Row],[Kor1]],$AI$3:$AK$105,3,FALSE)</f>
        <v>Commissions</v>
      </c>
      <c r="AF5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1" spans="18:32" x14ac:dyDescent="0.2">
      <c r="R5311" t="s">
        <v>14</v>
      </c>
      <c r="S5311" t="s">
        <v>258</v>
      </c>
      <c r="T5311" t="s">
        <v>356</v>
      </c>
      <c r="U5311" s="21">
        <v>249616.47</v>
      </c>
      <c r="V5311" s="21" t="s">
        <v>368</v>
      </c>
      <c r="W5311" t="str">
        <f>VLOOKUP(Table_Query_from_Actuarial___Production[[#This Row],[Kor1]],$AI$3:$AK$105,3,FALSE)</f>
        <v>Claims Expense</v>
      </c>
      <c r="X5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1"/>
      <c r="Z5311" t="s">
        <v>44</v>
      </c>
      <c r="AA5311" t="s">
        <v>252</v>
      </c>
      <c r="AB5311" t="s">
        <v>443</v>
      </c>
      <c r="AC5311" s="21">
        <v>638</v>
      </c>
      <c r="AD5311" s="21" t="s">
        <v>368</v>
      </c>
      <c r="AE5311" t="str">
        <f>VLOOKUP(Table_Query_from_Actuarial___Production3[[#This Row],[Kor1]],$AI$3:$AK$105,3,FALSE)</f>
        <v>Charge-offs</v>
      </c>
      <c r="AF5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2" spans="18:32" x14ac:dyDescent="0.2">
      <c r="R5312" t="s">
        <v>13</v>
      </c>
      <c r="S5312" t="s">
        <v>352</v>
      </c>
      <c r="T5312" t="s">
        <v>442</v>
      </c>
      <c r="U5312" s="21">
        <v>10877.25</v>
      </c>
      <c r="V5312" s="21" t="s">
        <v>369</v>
      </c>
      <c r="W5312" t="str">
        <f>VLOOKUP(Table_Query_from_Actuarial___Production[[#This Row],[Kor1]],$AI$3:$AK$105,3,FALSE)</f>
        <v>Operating Service Fees</v>
      </c>
      <c r="X5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312"/>
      <c r="Z5312" t="s">
        <v>44</v>
      </c>
      <c r="AA5312" t="s">
        <v>243</v>
      </c>
      <c r="AB5312" t="s">
        <v>441</v>
      </c>
      <c r="AC5312" s="21">
        <v>11745</v>
      </c>
      <c r="AD5312" s="21" t="s">
        <v>368</v>
      </c>
      <c r="AE5312" t="str">
        <f>VLOOKUP(Table_Query_from_Actuarial___Production3[[#This Row],[Kor1]],$AI$3:$AK$105,3,FALSE)</f>
        <v>Charge-offs</v>
      </c>
      <c r="AF5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3" spans="18:32" x14ac:dyDescent="0.2">
      <c r="R5313" t="s">
        <v>10</v>
      </c>
      <c r="S5313" t="s">
        <v>244</v>
      </c>
      <c r="T5313" t="s">
        <v>6</v>
      </c>
      <c r="U5313" s="21">
        <v>55260.2</v>
      </c>
      <c r="V5313" s="21" t="s">
        <v>368</v>
      </c>
      <c r="W5313" t="str">
        <f>VLOOKUP(Table_Query_from_Actuarial___Production[[#This Row],[Kor1]],$AI$3:$AK$105,3,FALSE)</f>
        <v>Commissions</v>
      </c>
      <c r="X5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3"/>
      <c r="Z5313" t="s">
        <v>17</v>
      </c>
      <c r="AA5313" t="s">
        <v>225</v>
      </c>
      <c r="AB5313" t="s">
        <v>351</v>
      </c>
      <c r="AC5313" s="21">
        <v>7993</v>
      </c>
      <c r="AD5313" s="21" t="s">
        <v>368</v>
      </c>
      <c r="AE5313" t="str">
        <f>VLOOKUP(Table_Query_from_Actuarial___Production3[[#This Row],[Kor1]],$AI$3:$AK$105,3,FALSE)</f>
        <v>IBNR</v>
      </c>
      <c r="AF5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314" spans="18:32" x14ac:dyDescent="0.2">
      <c r="R5314" t="s">
        <v>13</v>
      </c>
      <c r="S5314" t="s">
        <v>266</v>
      </c>
      <c r="T5314" t="s">
        <v>6</v>
      </c>
      <c r="U5314" s="21">
        <v>44947.05</v>
      </c>
      <c r="V5314" s="21" t="s">
        <v>368</v>
      </c>
      <c r="W5314" t="str">
        <f>VLOOKUP(Table_Query_from_Actuarial___Production[[#This Row],[Kor1]],$AI$3:$AK$105,3,FALSE)</f>
        <v>Operating Service Fees</v>
      </c>
      <c r="X5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4"/>
      <c r="Z5314" t="s">
        <v>13</v>
      </c>
      <c r="AA5314" t="s">
        <v>253</v>
      </c>
      <c r="AB5314" t="s">
        <v>6</v>
      </c>
      <c r="AC5314" s="21">
        <v>3418.53</v>
      </c>
      <c r="AD5314" s="21" t="s">
        <v>368</v>
      </c>
      <c r="AE5314" t="str">
        <f>VLOOKUP(Table_Query_from_Actuarial___Production3[[#This Row],[Kor1]],$AI$3:$AK$105,3,FALSE)</f>
        <v>Operating Service Fees</v>
      </c>
      <c r="AF5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5" spans="18:32" x14ac:dyDescent="0.2">
      <c r="R5315" t="s">
        <v>10</v>
      </c>
      <c r="S5315" t="s">
        <v>4</v>
      </c>
      <c r="T5315" t="s">
        <v>427</v>
      </c>
      <c r="U5315" s="21">
        <v>4672099.79</v>
      </c>
      <c r="V5315" s="21" t="s">
        <v>368</v>
      </c>
      <c r="W5315" t="str">
        <f>VLOOKUP(Table_Query_from_Actuarial___Production[[#This Row],[Kor1]],$AI$3:$AK$105,3,FALSE)</f>
        <v>Commissions</v>
      </c>
      <c r="X5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5"/>
      <c r="Z5315" t="s">
        <v>11</v>
      </c>
      <c r="AA5315" t="s">
        <v>258</v>
      </c>
      <c r="AB5315" t="s">
        <v>9</v>
      </c>
      <c r="AC5315" s="21">
        <v>2432184.14</v>
      </c>
      <c r="AD5315" s="21" t="s">
        <v>368</v>
      </c>
      <c r="AE5315" t="str">
        <f>VLOOKUP(Table_Query_from_Actuarial___Production3[[#This Row],[Kor1]],$AI$3:$AK$105,3,FALSE)</f>
        <v>Losses Paid</v>
      </c>
      <c r="AF5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6" spans="18:32" x14ac:dyDescent="0.2">
      <c r="R5316" t="s">
        <v>11</v>
      </c>
      <c r="S5316" t="s">
        <v>354</v>
      </c>
      <c r="T5316" t="s">
        <v>445</v>
      </c>
      <c r="U5316" s="21">
        <v>3183150.34</v>
      </c>
      <c r="V5316" s="21" t="s">
        <v>368</v>
      </c>
      <c r="W5316" t="str">
        <f>VLOOKUP(Table_Query_from_Actuarial___Production[[#This Row],[Kor1]],$AI$3:$AK$105,3,FALSE)</f>
        <v>Losses Paid</v>
      </c>
      <c r="X5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316"/>
      <c r="Z5316" t="s">
        <v>31</v>
      </c>
      <c r="AA5316" t="s">
        <v>247</v>
      </c>
      <c r="AB5316" t="s">
        <v>9</v>
      </c>
      <c r="AC5316" s="21">
        <v>850.94</v>
      </c>
      <c r="AD5316" s="21" t="s">
        <v>368</v>
      </c>
      <c r="AE5316" t="str">
        <f>VLOOKUP(Table_Query_from_Actuarial___Production3[[#This Row],[Kor1]],$AI$3:$AK$105,3,FALSE)</f>
        <v>Misc. Expense</v>
      </c>
      <c r="AF5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7" spans="18:32" x14ac:dyDescent="0.2">
      <c r="R5317" t="s">
        <v>14</v>
      </c>
      <c r="S5317" t="s">
        <v>354</v>
      </c>
      <c r="T5317" t="s">
        <v>433</v>
      </c>
      <c r="U5317" s="21">
        <v>126399848.94</v>
      </c>
      <c r="V5317" s="21" t="s">
        <v>369</v>
      </c>
      <c r="W5317" t="str">
        <f>VLOOKUP(Table_Query_from_Actuarial___Production[[#This Row],[Kor1]],$AI$3:$AK$105,3,FALSE)</f>
        <v>Claims Expense</v>
      </c>
      <c r="X5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317"/>
      <c r="Z5317" t="s">
        <v>31</v>
      </c>
      <c r="AA5317" t="s">
        <v>229</v>
      </c>
      <c r="AB5317" t="s">
        <v>6</v>
      </c>
      <c r="AC5317" s="21">
        <v>618.41</v>
      </c>
      <c r="AD5317" s="21" t="s">
        <v>368</v>
      </c>
      <c r="AE5317" t="str">
        <f>VLOOKUP(Table_Query_from_Actuarial___Production3[[#This Row],[Kor1]],$AI$3:$AK$105,3,FALSE)</f>
        <v>Misc. Expense</v>
      </c>
      <c r="AF5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8" spans="18:32" x14ac:dyDescent="0.2">
      <c r="R5318" t="s">
        <v>18</v>
      </c>
      <c r="S5318" t="s">
        <v>224</v>
      </c>
      <c r="T5318" t="s">
        <v>7</v>
      </c>
      <c r="U5318" s="21">
        <v>6596.94</v>
      </c>
      <c r="V5318" s="21" t="s">
        <v>369</v>
      </c>
      <c r="W5318" t="str">
        <f>VLOOKUP(Table_Query_from_Actuarial___Production[[#This Row],[Kor1]],$AI$3:$AK$105,3,FALSE)</f>
        <v>Misc. Expense</v>
      </c>
      <c r="X5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318"/>
      <c r="Z5318" t="s">
        <v>34</v>
      </c>
      <c r="AA5318" t="s">
        <v>235</v>
      </c>
      <c r="AB5318" t="s">
        <v>442</v>
      </c>
      <c r="AC5318" s="21">
        <v>2099.35</v>
      </c>
      <c r="AD5318" s="21" t="s">
        <v>368</v>
      </c>
      <c r="AE5318" t="str">
        <f>VLOOKUP(Table_Query_from_Actuarial___Production3[[#This Row],[Kor1]],$AI$3:$AK$105,3,FALSE)</f>
        <v>Misc. Expense</v>
      </c>
      <c r="AF5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19" spans="18:32" x14ac:dyDescent="0.2">
      <c r="R5319" t="s">
        <v>14</v>
      </c>
      <c r="S5319" t="s">
        <v>241</v>
      </c>
      <c r="T5319" t="s">
        <v>442</v>
      </c>
      <c r="U5319" s="21">
        <v>18254.55</v>
      </c>
      <c r="V5319" s="21" t="s">
        <v>368</v>
      </c>
      <c r="W5319" t="str">
        <f>VLOOKUP(Table_Query_from_Actuarial___Production[[#This Row],[Kor1]],$AI$3:$AK$105,3,FALSE)</f>
        <v>Claims Expense</v>
      </c>
      <c r="X5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19"/>
      <c r="Z5319" t="s">
        <v>50</v>
      </c>
      <c r="AA5319" t="s">
        <v>247</v>
      </c>
      <c r="AB5319" t="s">
        <v>433</v>
      </c>
      <c r="AC5319" s="21">
        <v>18.93</v>
      </c>
      <c r="AD5319" s="21" t="s">
        <v>368</v>
      </c>
      <c r="AE5319" t="str">
        <f>VLOOKUP(Table_Query_from_Actuarial___Production3[[#This Row],[Kor1]],$AI$3:$AK$105,3,FALSE)</f>
        <v>ALAE Reserve</v>
      </c>
      <c r="AF5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0" spans="18:32" x14ac:dyDescent="0.2">
      <c r="R5320" t="s">
        <v>16</v>
      </c>
      <c r="S5320" t="s">
        <v>237</v>
      </c>
      <c r="T5320" t="s">
        <v>443</v>
      </c>
      <c r="U5320" s="21">
        <v>24857297.77</v>
      </c>
      <c r="V5320" s="21" t="s">
        <v>368</v>
      </c>
      <c r="W5320" t="str">
        <f>VLOOKUP(Table_Query_from_Actuarial___Production[[#This Row],[Kor1]],$AI$3:$AK$105,3,FALSE)</f>
        <v>Losses Outstanding</v>
      </c>
      <c r="X5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0"/>
      <c r="Z5320" t="s">
        <v>3</v>
      </c>
      <c r="AA5320" t="s">
        <v>239</v>
      </c>
      <c r="AB5320" t="s">
        <v>442</v>
      </c>
      <c r="AC5320" s="21">
        <v>9624311</v>
      </c>
      <c r="AD5320" s="21" t="s">
        <v>368</v>
      </c>
      <c r="AE5320" t="str">
        <f>VLOOKUP(Table_Query_from_Actuarial___Production3[[#This Row],[Kor1]],$AI$3:$AK$105,3,FALSE)</f>
        <v>Premiums Written</v>
      </c>
      <c r="AF5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1" spans="18:32" x14ac:dyDescent="0.2">
      <c r="R5321" t="s">
        <v>34</v>
      </c>
      <c r="S5321" t="s">
        <v>244</v>
      </c>
      <c r="T5321" t="s">
        <v>8</v>
      </c>
      <c r="U5321" s="21">
        <v>8.92</v>
      </c>
      <c r="V5321" s="21" t="s">
        <v>368</v>
      </c>
      <c r="W5321" t="str">
        <f>VLOOKUP(Table_Query_from_Actuarial___Production[[#This Row],[Kor1]],$AI$3:$AK$105,3,FALSE)</f>
        <v>Misc. Expense</v>
      </c>
      <c r="X5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1"/>
      <c r="Z5321" t="s">
        <v>14</v>
      </c>
      <c r="AA5321" t="s">
        <v>258</v>
      </c>
      <c r="AB5321" t="s">
        <v>356</v>
      </c>
      <c r="AC5321" s="21">
        <v>249616.47</v>
      </c>
      <c r="AD5321" s="21" t="s">
        <v>368</v>
      </c>
      <c r="AE5321" t="str">
        <f>VLOOKUP(Table_Query_from_Actuarial___Production3[[#This Row],[Kor1]],$AI$3:$AK$105,3,FALSE)</f>
        <v>Claims Expense</v>
      </c>
      <c r="AF5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2" spans="18:32" x14ac:dyDescent="0.2">
      <c r="R5322" t="s">
        <v>13</v>
      </c>
      <c r="S5322" t="s">
        <v>228</v>
      </c>
      <c r="T5322" t="s">
        <v>9</v>
      </c>
      <c r="U5322" s="21">
        <v>7677.2</v>
      </c>
      <c r="V5322" s="21" t="s">
        <v>368</v>
      </c>
      <c r="W5322" t="str">
        <f>VLOOKUP(Table_Query_from_Actuarial___Production[[#This Row],[Kor1]],$AI$3:$AK$105,3,FALSE)</f>
        <v>Operating Service Fees</v>
      </c>
      <c r="X5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2"/>
      <c r="Z5322" t="s">
        <v>13</v>
      </c>
      <c r="AA5322" t="s">
        <v>352</v>
      </c>
      <c r="AB5322" t="s">
        <v>442</v>
      </c>
      <c r="AC5322" s="21">
        <v>11373.15</v>
      </c>
      <c r="AD5322" s="21" t="s">
        <v>369</v>
      </c>
      <c r="AE5322" t="str">
        <f>VLOOKUP(Table_Query_from_Actuarial___Production3[[#This Row],[Kor1]],$AI$3:$AK$105,3,FALSE)</f>
        <v>Operating Service Fees</v>
      </c>
      <c r="AF5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323" spans="18:32" x14ac:dyDescent="0.2">
      <c r="R5323" t="s">
        <v>33</v>
      </c>
      <c r="S5323" t="s">
        <v>263</v>
      </c>
      <c r="T5323" t="s">
        <v>443</v>
      </c>
      <c r="U5323" s="21">
        <v>16277.35</v>
      </c>
      <c r="V5323" s="21" t="s">
        <v>368</v>
      </c>
      <c r="W5323" t="str">
        <f>VLOOKUP(Table_Query_from_Actuarial___Production[[#This Row],[Kor1]],$AI$3:$AK$105,3,FALSE)</f>
        <v>Misc. Expense</v>
      </c>
      <c r="X5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3"/>
      <c r="Z5323" t="s">
        <v>10</v>
      </c>
      <c r="AA5323" t="s">
        <v>244</v>
      </c>
      <c r="AB5323" t="s">
        <v>6</v>
      </c>
      <c r="AC5323" s="21">
        <v>55260.2</v>
      </c>
      <c r="AD5323" s="21" t="s">
        <v>368</v>
      </c>
      <c r="AE5323" t="str">
        <f>VLOOKUP(Table_Query_from_Actuarial___Production3[[#This Row],[Kor1]],$AI$3:$AK$105,3,FALSE)</f>
        <v>Commissions</v>
      </c>
      <c r="AF5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4" spans="18:32" x14ac:dyDescent="0.2">
      <c r="R5324" t="s">
        <v>31</v>
      </c>
      <c r="S5324" t="s">
        <v>250</v>
      </c>
      <c r="T5324" t="s">
        <v>9</v>
      </c>
      <c r="U5324" s="21">
        <v>423.44</v>
      </c>
      <c r="V5324" s="21" t="s">
        <v>368</v>
      </c>
      <c r="W5324" t="str">
        <f>VLOOKUP(Table_Query_from_Actuarial___Production[[#This Row],[Kor1]],$AI$3:$AK$105,3,FALSE)</f>
        <v>Misc. Expense</v>
      </c>
      <c r="X5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4"/>
      <c r="Z5324" t="s">
        <v>13</v>
      </c>
      <c r="AA5324" t="s">
        <v>266</v>
      </c>
      <c r="AB5324" t="s">
        <v>6</v>
      </c>
      <c r="AC5324" s="21">
        <v>44947.05</v>
      </c>
      <c r="AD5324" s="21" t="s">
        <v>368</v>
      </c>
      <c r="AE5324" t="str">
        <f>VLOOKUP(Table_Query_from_Actuarial___Production3[[#This Row],[Kor1]],$AI$3:$AK$105,3,FALSE)</f>
        <v>Operating Service Fees</v>
      </c>
      <c r="AF5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5" spans="18:32" x14ac:dyDescent="0.2">
      <c r="R5325" t="s">
        <v>40</v>
      </c>
      <c r="S5325" t="s">
        <v>240</v>
      </c>
      <c r="T5325" t="s">
        <v>442</v>
      </c>
      <c r="U5325" s="21">
        <v>110.01</v>
      </c>
      <c r="V5325" s="21" t="s">
        <v>368</v>
      </c>
      <c r="W5325" t="str">
        <f>VLOOKUP(Table_Query_from_Actuarial___Production[[#This Row],[Kor1]],$AI$3:$AK$105,3,FALSE)</f>
        <v>Misc. Income</v>
      </c>
      <c r="X5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5"/>
      <c r="Z5325" t="s">
        <v>10</v>
      </c>
      <c r="AA5325" t="s">
        <v>4</v>
      </c>
      <c r="AB5325" t="s">
        <v>427</v>
      </c>
      <c r="AC5325" s="21">
        <v>4672099.79</v>
      </c>
      <c r="AD5325" s="21" t="s">
        <v>368</v>
      </c>
      <c r="AE5325" t="str">
        <f>VLOOKUP(Table_Query_from_Actuarial___Production3[[#This Row],[Kor1]],$AI$3:$AK$105,3,FALSE)</f>
        <v>Commissions</v>
      </c>
      <c r="AF5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6" spans="18:32" x14ac:dyDescent="0.2">
      <c r="R5326" t="s">
        <v>17</v>
      </c>
      <c r="S5326" t="s">
        <v>258</v>
      </c>
      <c r="T5326" t="s">
        <v>442</v>
      </c>
      <c r="U5326" s="21">
        <v>701519.15</v>
      </c>
      <c r="V5326" s="21" t="s">
        <v>368</v>
      </c>
      <c r="W5326" t="str">
        <f>VLOOKUP(Table_Query_from_Actuarial___Production[[#This Row],[Kor1]],$AI$3:$AK$105,3,FALSE)</f>
        <v>IBNR</v>
      </c>
      <c r="X5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6"/>
      <c r="Z5326" t="s">
        <v>14</v>
      </c>
      <c r="AA5326" t="s">
        <v>354</v>
      </c>
      <c r="AB5326" t="s">
        <v>433</v>
      </c>
      <c r="AC5326" s="21">
        <v>126278767.28</v>
      </c>
      <c r="AD5326" s="21" t="s">
        <v>369</v>
      </c>
      <c r="AE5326" t="str">
        <f>VLOOKUP(Table_Query_from_Actuarial___Production3[[#This Row],[Kor1]],$AI$3:$AK$105,3,FALSE)</f>
        <v>Claims Expense</v>
      </c>
      <c r="AF5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327" spans="18:32" x14ac:dyDescent="0.2">
      <c r="R5327" t="s">
        <v>47</v>
      </c>
      <c r="S5327" t="s">
        <v>257</v>
      </c>
      <c r="T5327" t="s">
        <v>8</v>
      </c>
      <c r="U5327" s="21">
        <v>1289.48</v>
      </c>
      <c r="V5327" s="21" t="s">
        <v>368</v>
      </c>
      <c r="W5327" t="str">
        <f>VLOOKUP(Table_Query_from_Actuarial___Production[[#This Row],[Kor1]],$AI$3:$AK$105,3,FALSE)</f>
        <v>Investment Income</v>
      </c>
      <c r="X5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7"/>
      <c r="Z5327" t="s">
        <v>18</v>
      </c>
      <c r="AA5327" t="s">
        <v>224</v>
      </c>
      <c r="AB5327" t="s">
        <v>7</v>
      </c>
      <c r="AC5327" s="21">
        <v>6596.94</v>
      </c>
      <c r="AD5327" s="21" t="s">
        <v>369</v>
      </c>
      <c r="AE5327" t="str">
        <f>VLOOKUP(Table_Query_from_Actuarial___Production3[[#This Row],[Kor1]],$AI$3:$AK$105,3,FALSE)</f>
        <v>Misc. Expense</v>
      </c>
      <c r="AF5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328" spans="18:32" x14ac:dyDescent="0.2">
      <c r="R5328" t="s">
        <v>18</v>
      </c>
      <c r="S5328" t="s">
        <v>354</v>
      </c>
      <c r="T5328" t="s">
        <v>7</v>
      </c>
      <c r="U5328" s="21">
        <v>424295.66</v>
      </c>
      <c r="V5328" s="21" t="s">
        <v>368</v>
      </c>
      <c r="W5328" t="str">
        <f>VLOOKUP(Table_Query_from_Actuarial___Production[[#This Row],[Kor1]],$AI$3:$AK$105,3,FALSE)</f>
        <v>Misc. Expense</v>
      </c>
      <c r="X5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328"/>
      <c r="Z5328" t="s">
        <v>14</v>
      </c>
      <c r="AA5328" t="s">
        <v>241</v>
      </c>
      <c r="AB5328" t="s">
        <v>442</v>
      </c>
      <c r="AC5328" s="21">
        <v>14863.09</v>
      </c>
      <c r="AD5328" s="21" t="s">
        <v>368</v>
      </c>
      <c r="AE5328" t="str">
        <f>VLOOKUP(Table_Query_from_Actuarial___Production3[[#This Row],[Kor1]],$AI$3:$AK$105,3,FALSE)</f>
        <v>Claims Expense</v>
      </c>
      <c r="AF5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29" spans="18:32" x14ac:dyDescent="0.2">
      <c r="R5329" t="s">
        <v>33</v>
      </c>
      <c r="S5329" t="s">
        <v>264</v>
      </c>
      <c r="T5329" t="s">
        <v>442</v>
      </c>
      <c r="U5329" s="21">
        <v>17113.669999999998</v>
      </c>
      <c r="V5329" s="21" t="s">
        <v>368</v>
      </c>
      <c r="W5329" t="str">
        <f>VLOOKUP(Table_Query_from_Actuarial___Production[[#This Row],[Kor1]],$AI$3:$AK$105,3,FALSE)</f>
        <v>Misc. Expense</v>
      </c>
      <c r="X5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29"/>
      <c r="Z5329" t="s">
        <v>16</v>
      </c>
      <c r="AA5329" t="s">
        <v>237</v>
      </c>
      <c r="AB5329" t="s">
        <v>443</v>
      </c>
      <c r="AC5329" s="21">
        <v>1963635.88</v>
      </c>
      <c r="AD5329" s="21" t="s">
        <v>368</v>
      </c>
      <c r="AE5329" t="str">
        <f>VLOOKUP(Table_Query_from_Actuarial___Production3[[#This Row],[Kor1]],$AI$3:$AK$105,3,FALSE)</f>
        <v>Losses Outstanding</v>
      </c>
      <c r="AF5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0" spans="18:32" x14ac:dyDescent="0.2">
      <c r="R5330" t="s">
        <v>13</v>
      </c>
      <c r="S5330" t="s">
        <v>254</v>
      </c>
      <c r="T5330" t="s">
        <v>433</v>
      </c>
      <c r="U5330" s="21">
        <v>3252788.28</v>
      </c>
      <c r="V5330" s="21" t="s">
        <v>368</v>
      </c>
      <c r="W5330" t="str">
        <f>VLOOKUP(Table_Query_from_Actuarial___Production[[#This Row],[Kor1]],$AI$3:$AK$105,3,FALSE)</f>
        <v>Operating Service Fees</v>
      </c>
      <c r="X5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0"/>
      <c r="Z5330" t="s">
        <v>34</v>
      </c>
      <c r="AA5330" t="s">
        <v>244</v>
      </c>
      <c r="AB5330" t="s">
        <v>8</v>
      </c>
      <c r="AC5330" s="21">
        <v>8.92</v>
      </c>
      <c r="AD5330" s="21" t="s">
        <v>368</v>
      </c>
      <c r="AE5330" t="str">
        <f>VLOOKUP(Table_Query_from_Actuarial___Production3[[#This Row],[Kor1]],$AI$3:$AK$105,3,FALSE)</f>
        <v>Misc. Expense</v>
      </c>
      <c r="AF5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1" spans="18:32" x14ac:dyDescent="0.2">
      <c r="R5331" t="s">
        <v>21</v>
      </c>
      <c r="S5331" t="s">
        <v>252</v>
      </c>
      <c r="T5331" t="s">
        <v>442</v>
      </c>
      <c r="U5331" s="21">
        <v>55929.36</v>
      </c>
      <c r="V5331" s="21" t="s">
        <v>368</v>
      </c>
      <c r="W5331" t="str">
        <f>VLOOKUP(Table_Query_from_Actuarial___Production[[#This Row],[Kor1]],$AI$3:$AK$105,3,FALSE)</f>
        <v>Misc. Expense</v>
      </c>
      <c r="X5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1"/>
      <c r="Z5331" t="s">
        <v>13</v>
      </c>
      <c r="AA5331" t="s">
        <v>228</v>
      </c>
      <c r="AB5331" t="s">
        <v>9</v>
      </c>
      <c r="AC5331" s="21">
        <v>7677.2</v>
      </c>
      <c r="AD5331" s="21" t="s">
        <v>368</v>
      </c>
      <c r="AE5331" t="str">
        <f>VLOOKUP(Table_Query_from_Actuarial___Production3[[#This Row],[Kor1]],$AI$3:$AK$105,3,FALSE)</f>
        <v>Operating Service Fees</v>
      </c>
      <c r="AF5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2" spans="18:32" x14ac:dyDescent="0.2">
      <c r="R5332" t="s">
        <v>41</v>
      </c>
      <c r="S5332" t="s">
        <v>245</v>
      </c>
      <c r="T5332" t="s">
        <v>356</v>
      </c>
      <c r="U5332" s="21">
        <v>150</v>
      </c>
      <c r="V5332" s="21" t="s">
        <v>368</v>
      </c>
      <c r="W5332" t="str">
        <f>VLOOKUP(Table_Query_from_Actuarial___Production[[#This Row],[Kor1]],$AI$3:$AK$105,3,FALSE)</f>
        <v>Misc. Income</v>
      </c>
      <c r="X5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2"/>
      <c r="Z5332" t="s">
        <v>33</v>
      </c>
      <c r="AA5332" t="s">
        <v>263</v>
      </c>
      <c r="AB5332" t="s">
        <v>443</v>
      </c>
      <c r="AC5332" s="21">
        <v>8347.25</v>
      </c>
      <c r="AD5332" s="21" t="s">
        <v>368</v>
      </c>
      <c r="AE5332" t="str">
        <f>VLOOKUP(Table_Query_from_Actuarial___Production3[[#This Row],[Kor1]],$AI$3:$AK$105,3,FALSE)</f>
        <v>Misc. Expense</v>
      </c>
      <c r="AF5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3" spans="18:32" x14ac:dyDescent="0.2">
      <c r="R5333" t="s">
        <v>33</v>
      </c>
      <c r="S5333" t="s">
        <v>244</v>
      </c>
      <c r="T5333" t="s">
        <v>445</v>
      </c>
      <c r="U5333" s="21">
        <v>8658.2000000000007</v>
      </c>
      <c r="V5333" s="21" t="s">
        <v>368</v>
      </c>
      <c r="W5333" t="str">
        <f>VLOOKUP(Table_Query_from_Actuarial___Production[[#This Row],[Kor1]],$AI$3:$AK$105,3,FALSE)</f>
        <v>Misc. Expense</v>
      </c>
      <c r="X5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3"/>
      <c r="Z5333" t="s">
        <v>48</v>
      </c>
      <c r="AA5333" t="s">
        <v>258</v>
      </c>
      <c r="AB5333" t="s">
        <v>356</v>
      </c>
      <c r="AC5333" s="21">
        <v>613.49</v>
      </c>
      <c r="AD5333" s="21" t="s">
        <v>368</v>
      </c>
      <c r="AE5333" t="str">
        <f>VLOOKUP(Table_Query_from_Actuarial___Production3[[#This Row],[Kor1]],$AI$3:$AK$105,3,FALSE)</f>
        <v>Anticipated Salvage</v>
      </c>
      <c r="AF5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4" spans="18:32" x14ac:dyDescent="0.2">
      <c r="R5334" t="s">
        <v>47</v>
      </c>
      <c r="S5334" t="s">
        <v>268</v>
      </c>
      <c r="T5334" t="s">
        <v>9</v>
      </c>
      <c r="U5334" s="21">
        <v>44.6</v>
      </c>
      <c r="V5334" s="21" t="s">
        <v>368</v>
      </c>
      <c r="W5334" t="str">
        <f>VLOOKUP(Table_Query_from_Actuarial___Production[[#This Row],[Kor1]],$AI$3:$AK$105,3,FALSE)</f>
        <v>Investment Income</v>
      </c>
      <c r="X5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4"/>
      <c r="Z5334" t="s">
        <v>49</v>
      </c>
      <c r="AA5334" t="s">
        <v>4</v>
      </c>
      <c r="AB5334" t="s">
        <v>5</v>
      </c>
      <c r="AC5334" s="21">
        <v>142331.47</v>
      </c>
      <c r="AD5334" s="21" t="s">
        <v>368</v>
      </c>
      <c r="AE5334" t="str">
        <f>VLOOKUP(Table_Query_from_Actuarial___Production3[[#This Row],[Kor1]],$AI$3:$AK$105,3,FALSE)</f>
        <v>ALAE Paid</v>
      </c>
      <c r="AF5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5" spans="18:32" x14ac:dyDescent="0.2">
      <c r="R5335" t="s">
        <v>17</v>
      </c>
      <c r="S5335" t="s">
        <v>225</v>
      </c>
      <c r="T5335" t="s">
        <v>441</v>
      </c>
      <c r="U5335" s="21">
        <v>129700.31</v>
      </c>
      <c r="V5335" s="21" t="s">
        <v>368</v>
      </c>
      <c r="W5335" t="str">
        <f>VLOOKUP(Table_Query_from_Actuarial___Production[[#This Row],[Kor1]],$AI$3:$AK$105,3,FALSE)</f>
        <v>IBNR</v>
      </c>
      <c r="X5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335"/>
      <c r="Z5335" t="s">
        <v>31</v>
      </c>
      <c r="AA5335" t="s">
        <v>250</v>
      </c>
      <c r="AB5335" t="s">
        <v>9</v>
      </c>
      <c r="AC5335" s="21">
        <v>423.44</v>
      </c>
      <c r="AD5335" s="21" t="s">
        <v>368</v>
      </c>
      <c r="AE5335" t="str">
        <f>VLOOKUP(Table_Query_from_Actuarial___Production3[[#This Row],[Kor1]],$AI$3:$AK$105,3,FALSE)</f>
        <v>Misc. Expense</v>
      </c>
      <c r="AF5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6" spans="18:32" x14ac:dyDescent="0.2">
      <c r="R5336" t="s">
        <v>21</v>
      </c>
      <c r="S5336" t="s">
        <v>250</v>
      </c>
      <c r="T5336" t="s">
        <v>441</v>
      </c>
      <c r="U5336" s="21">
        <v>353.21</v>
      </c>
      <c r="V5336" s="21" t="s">
        <v>368</v>
      </c>
      <c r="W5336" t="str">
        <f>VLOOKUP(Table_Query_from_Actuarial___Production[[#This Row],[Kor1]],$AI$3:$AK$105,3,FALSE)</f>
        <v>Misc. Expense</v>
      </c>
      <c r="X5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6"/>
      <c r="Z5336" t="s">
        <v>40</v>
      </c>
      <c r="AA5336" t="s">
        <v>240</v>
      </c>
      <c r="AB5336" t="s">
        <v>442</v>
      </c>
      <c r="AC5336" s="21">
        <v>110.01</v>
      </c>
      <c r="AD5336" s="21" t="s">
        <v>368</v>
      </c>
      <c r="AE5336" t="str">
        <f>VLOOKUP(Table_Query_from_Actuarial___Production3[[#This Row],[Kor1]],$AI$3:$AK$105,3,FALSE)</f>
        <v>Misc. Income</v>
      </c>
      <c r="AF5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7" spans="18:32" x14ac:dyDescent="0.2">
      <c r="R5337" t="s">
        <v>41</v>
      </c>
      <c r="S5337" t="s">
        <v>227</v>
      </c>
      <c r="T5337" t="s">
        <v>442</v>
      </c>
      <c r="U5337" s="21">
        <v>250</v>
      </c>
      <c r="V5337" s="21" t="s">
        <v>368</v>
      </c>
      <c r="W5337" t="str">
        <f>VLOOKUP(Table_Query_from_Actuarial___Production[[#This Row],[Kor1]],$AI$3:$AK$105,3,FALSE)</f>
        <v>Misc. Income</v>
      </c>
      <c r="X5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7"/>
      <c r="Z5337" t="s">
        <v>17</v>
      </c>
      <c r="AA5337" t="s">
        <v>258</v>
      </c>
      <c r="AB5337" t="s">
        <v>442</v>
      </c>
      <c r="AC5337" s="21">
        <v>762962.63</v>
      </c>
      <c r="AD5337" s="21" t="s">
        <v>368</v>
      </c>
      <c r="AE5337" t="str">
        <f>VLOOKUP(Table_Query_from_Actuarial___Production3[[#This Row],[Kor1]],$AI$3:$AK$105,3,FALSE)</f>
        <v>IBNR</v>
      </c>
      <c r="AF5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8" spans="18:32" x14ac:dyDescent="0.2">
      <c r="R5338" t="s">
        <v>33</v>
      </c>
      <c r="S5338" t="s">
        <v>265</v>
      </c>
      <c r="T5338" t="s">
        <v>356</v>
      </c>
      <c r="U5338" s="21">
        <v>15723.69</v>
      </c>
      <c r="V5338" s="21" t="s">
        <v>368</v>
      </c>
      <c r="W5338" t="str">
        <f>VLOOKUP(Table_Query_from_Actuarial___Production[[#This Row],[Kor1]],$AI$3:$AK$105,3,FALSE)</f>
        <v>Misc. Expense</v>
      </c>
      <c r="X5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8"/>
      <c r="Z5338" t="s">
        <v>47</v>
      </c>
      <c r="AA5338" t="s">
        <v>257</v>
      </c>
      <c r="AB5338" t="s">
        <v>8</v>
      </c>
      <c r="AC5338" s="21">
        <v>1289.48</v>
      </c>
      <c r="AD5338" s="21" t="s">
        <v>368</v>
      </c>
      <c r="AE5338" t="str">
        <f>VLOOKUP(Table_Query_from_Actuarial___Production3[[#This Row],[Kor1]],$AI$3:$AK$105,3,FALSE)</f>
        <v>Investment Income</v>
      </c>
      <c r="AF5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39" spans="18:32" x14ac:dyDescent="0.2">
      <c r="R5339" t="s">
        <v>13</v>
      </c>
      <c r="S5339" t="s">
        <v>233</v>
      </c>
      <c r="T5339" t="s">
        <v>443</v>
      </c>
      <c r="U5339" s="21">
        <v>248038.91</v>
      </c>
      <c r="V5339" s="21" t="s">
        <v>368</v>
      </c>
      <c r="W5339" t="str">
        <f>VLOOKUP(Table_Query_from_Actuarial___Production[[#This Row],[Kor1]],$AI$3:$AK$105,3,FALSE)</f>
        <v>Operating Service Fees</v>
      </c>
      <c r="X5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39"/>
      <c r="Z5339" t="s">
        <v>18</v>
      </c>
      <c r="AA5339" t="s">
        <v>354</v>
      </c>
      <c r="AB5339" t="s">
        <v>7</v>
      </c>
      <c r="AC5339" s="21">
        <v>424295.66</v>
      </c>
      <c r="AD5339" s="21" t="s">
        <v>368</v>
      </c>
      <c r="AE5339" t="str">
        <f>VLOOKUP(Table_Query_from_Actuarial___Production3[[#This Row],[Kor1]],$AI$3:$AK$105,3,FALSE)</f>
        <v>Misc. Expense</v>
      </c>
      <c r="AF5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340" spans="18:32" x14ac:dyDescent="0.2">
      <c r="R5340" t="s">
        <v>439</v>
      </c>
      <c r="S5340" t="s">
        <v>258</v>
      </c>
      <c r="T5340" t="s">
        <v>443</v>
      </c>
      <c r="U5340" s="21">
        <v>-75662.289999999994</v>
      </c>
      <c r="V5340" s="21" t="s">
        <v>368</v>
      </c>
      <c r="W5340" t="str">
        <f>VLOOKUP(Table_Query_from_Actuarial___Production[[#This Row],[Kor1]],$AI$3:$AK$105,3,FALSE)</f>
        <v>Operating Service Fees</v>
      </c>
      <c r="X5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0"/>
      <c r="Z5340" t="s">
        <v>33</v>
      </c>
      <c r="AA5340" t="s">
        <v>264</v>
      </c>
      <c r="AB5340" t="s">
        <v>442</v>
      </c>
      <c r="AC5340" s="21">
        <v>17113.669999999998</v>
      </c>
      <c r="AD5340" s="21" t="s">
        <v>368</v>
      </c>
      <c r="AE5340" t="str">
        <f>VLOOKUP(Table_Query_from_Actuarial___Production3[[#This Row],[Kor1]],$AI$3:$AK$105,3,FALSE)</f>
        <v>Misc. Expense</v>
      </c>
      <c r="AF5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1" spans="18:32" x14ac:dyDescent="0.2">
      <c r="R5341" t="s">
        <v>44</v>
      </c>
      <c r="S5341" t="s">
        <v>252</v>
      </c>
      <c r="T5341" t="s">
        <v>427</v>
      </c>
      <c r="U5341" s="21">
        <v>844409.5</v>
      </c>
      <c r="V5341" s="21" t="s">
        <v>368</v>
      </c>
      <c r="W5341" t="str">
        <f>VLOOKUP(Table_Query_from_Actuarial___Production[[#This Row],[Kor1]],$AI$3:$AK$105,3,FALSE)</f>
        <v>Charge-offs</v>
      </c>
      <c r="X5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1"/>
      <c r="Z5341" t="s">
        <v>13</v>
      </c>
      <c r="AA5341" t="s">
        <v>254</v>
      </c>
      <c r="AB5341" t="s">
        <v>433</v>
      </c>
      <c r="AC5341" s="21">
        <v>3252788.28</v>
      </c>
      <c r="AD5341" s="21" t="s">
        <v>368</v>
      </c>
      <c r="AE5341" t="str">
        <f>VLOOKUP(Table_Query_from_Actuarial___Production3[[#This Row],[Kor1]],$AI$3:$AK$105,3,FALSE)</f>
        <v>Operating Service Fees</v>
      </c>
      <c r="AF5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2" spans="18:32" x14ac:dyDescent="0.2">
      <c r="R5342" t="s">
        <v>10</v>
      </c>
      <c r="S5342" t="s">
        <v>236</v>
      </c>
      <c r="T5342" t="s">
        <v>433</v>
      </c>
      <c r="U5342" s="21">
        <v>4035.5</v>
      </c>
      <c r="V5342" s="21" t="s">
        <v>368</v>
      </c>
      <c r="W5342" t="str">
        <f>VLOOKUP(Table_Query_from_Actuarial___Production[[#This Row],[Kor1]],$AI$3:$AK$105,3,FALSE)</f>
        <v>Commissions</v>
      </c>
      <c r="X5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2"/>
      <c r="Z5342" t="s">
        <v>21</v>
      </c>
      <c r="AA5342" t="s">
        <v>252</v>
      </c>
      <c r="AB5342" t="s">
        <v>442</v>
      </c>
      <c r="AC5342" s="21">
        <v>55929.36</v>
      </c>
      <c r="AD5342" s="21" t="s">
        <v>368</v>
      </c>
      <c r="AE5342" t="str">
        <f>VLOOKUP(Table_Query_from_Actuarial___Production3[[#This Row],[Kor1]],$AI$3:$AK$105,3,FALSE)</f>
        <v>Misc. Expense</v>
      </c>
      <c r="AF5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3" spans="18:32" x14ac:dyDescent="0.2">
      <c r="R5343" t="s">
        <v>14</v>
      </c>
      <c r="S5343" t="s">
        <v>237</v>
      </c>
      <c r="T5343" t="s">
        <v>433</v>
      </c>
      <c r="U5343" s="21">
        <v>5484307.8700000001</v>
      </c>
      <c r="V5343" s="21" t="s">
        <v>368</v>
      </c>
      <c r="W5343" t="str">
        <f>VLOOKUP(Table_Query_from_Actuarial___Production[[#This Row],[Kor1]],$AI$3:$AK$105,3,FALSE)</f>
        <v>Claims Expense</v>
      </c>
      <c r="X5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3"/>
      <c r="Z5343" t="s">
        <v>41</v>
      </c>
      <c r="AA5343" t="s">
        <v>245</v>
      </c>
      <c r="AB5343" t="s">
        <v>356</v>
      </c>
      <c r="AC5343" s="21">
        <v>150</v>
      </c>
      <c r="AD5343" s="21" t="s">
        <v>368</v>
      </c>
      <c r="AE5343" t="str">
        <f>VLOOKUP(Table_Query_from_Actuarial___Production3[[#This Row],[Kor1]],$AI$3:$AK$105,3,FALSE)</f>
        <v>Misc. Income</v>
      </c>
      <c r="AF5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4" spans="18:32" x14ac:dyDescent="0.2">
      <c r="R5344" t="s">
        <v>34</v>
      </c>
      <c r="S5344" t="s">
        <v>265</v>
      </c>
      <c r="T5344" t="s">
        <v>443</v>
      </c>
      <c r="U5344" s="21">
        <v>8868.0499999999993</v>
      </c>
      <c r="V5344" s="21" t="s">
        <v>368</v>
      </c>
      <c r="W5344" t="str">
        <f>VLOOKUP(Table_Query_from_Actuarial___Production[[#This Row],[Kor1]],$AI$3:$AK$105,3,FALSE)</f>
        <v>Misc. Expense</v>
      </c>
      <c r="X5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4"/>
      <c r="Z5344" t="s">
        <v>47</v>
      </c>
      <c r="AA5344" t="s">
        <v>268</v>
      </c>
      <c r="AB5344" t="s">
        <v>9</v>
      </c>
      <c r="AC5344" s="21">
        <v>44.6</v>
      </c>
      <c r="AD5344" s="21" t="s">
        <v>368</v>
      </c>
      <c r="AE5344" t="str">
        <f>VLOOKUP(Table_Query_from_Actuarial___Production3[[#This Row],[Kor1]],$AI$3:$AK$105,3,FALSE)</f>
        <v>Investment Income</v>
      </c>
      <c r="AF5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5" spans="18:32" x14ac:dyDescent="0.2">
      <c r="R5345" t="s">
        <v>16</v>
      </c>
      <c r="S5345" t="s">
        <v>354</v>
      </c>
      <c r="T5345" t="s">
        <v>351</v>
      </c>
      <c r="U5345" s="21">
        <v>176836.25</v>
      </c>
      <c r="V5345" s="21" t="s">
        <v>368</v>
      </c>
      <c r="W5345" t="str">
        <f>VLOOKUP(Table_Query_from_Actuarial___Production[[#This Row],[Kor1]],$AI$3:$AK$105,3,FALSE)</f>
        <v>Losses Outstanding</v>
      </c>
      <c r="X5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345"/>
      <c r="Z5345" t="s">
        <v>17</v>
      </c>
      <c r="AA5345" t="s">
        <v>225</v>
      </c>
      <c r="AB5345" t="s">
        <v>441</v>
      </c>
      <c r="AC5345" s="21">
        <v>364940.15</v>
      </c>
      <c r="AD5345" s="21" t="s">
        <v>368</v>
      </c>
      <c r="AE5345" t="str">
        <f>VLOOKUP(Table_Query_from_Actuarial___Production3[[#This Row],[Kor1]],$AI$3:$AK$105,3,FALSE)</f>
        <v>IBNR</v>
      </c>
      <c r="AF5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346" spans="18:32" x14ac:dyDescent="0.2">
      <c r="R5346" t="s">
        <v>13</v>
      </c>
      <c r="S5346" t="s">
        <v>232</v>
      </c>
      <c r="T5346" t="s">
        <v>351</v>
      </c>
      <c r="U5346" s="21">
        <v>205672.01</v>
      </c>
      <c r="V5346" s="21" t="s">
        <v>368</v>
      </c>
      <c r="W5346" t="str">
        <f>VLOOKUP(Table_Query_from_Actuarial___Production[[#This Row],[Kor1]],$AI$3:$AK$105,3,FALSE)</f>
        <v>Operating Service Fees</v>
      </c>
      <c r="X5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6"/>
      <c r="Z5346" t="s">
        <v>21</v>
      </c>
      <c r="AA5346" t="s">
        <v>250</v>
      </c>
      <c r="AB5346" t="s">
        <v>441</v>
      </c>
      <c r="AC5346" s="21">
        <v>353.21</v>
      </c>
      <c r="AD5346" s="21" t="s">
        <v>368</v>
      </c>
      <c r="AE5346" t="str">
        <f>VLOOKUP(Table_Query_from_Actuarial___Production3[[#This Row],[Kor1]],$AI$3:$AK$105,3,FALSE)</f>
        <v>Misc. Expense</v>
      </c>
      <c r="AF5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7" spans="18:32" x14ac:dyDescent="0.2">
      <c r="R5347" t="s">
        <v>37</v>
      </c>
      <c r="S5347" t="s">
        <v>238</v>
      </c>
      <c r="T5347" t="s">
        <v>8</v>
      </c>
      <c r="U5347" s="21">
        <v>507.21</v>
      </c>
      <c r="V5347" s="21" t="s">
        <v>368</v>
      </c>
      <c r="W5347" t="str">
        <f>VLOOKUP(Table_Query_from_Actuarial___Production[[#This Row],[Kor1]],$AI$3:$AK$105,3,FALSE)</f>
        <v>Misc. Expense</v>
      </c>
      <c r="X5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7"/>
      <c r="Z5347" t="s">
        <v>33</v>
      </c>
      <c r="AA5347" t="s">
        <v>229</v>
      </c>
      <c r="AB5347" t="s">
        <v>5</v>
      </c>
      <c r="AC5347" s="21">
        <v>15291.18</v>
      </c>
      <c r="AD5347" s="21" t="s">
        <v>368</v>
      </c>
      <c r="AE5347" t="str">
        <f>VLOOKUP(Table_Query_from_Actuarial___Production3[[#This Row],[Kor1]],$AI$3:$AK$105,3,FALSE)</f>
        <v>Misc. Expense</v>
      </c>
      <c r="AF5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8" spans="18:32" x14ac:dyDescent="0.2">
      <c r="R5348" t="s">
        <v>34</v>
      </c>
      <c r="S5348" t="s">
        <v>267</v>
      </c>
      <c r="T5348" t="s">
        <v>443</v>
      </c>
      <c r="U5348" s="21">
        <v>17304.11</v>
      </c>
      <c r="V5348" s="21" t="s">
        <v>368</v>
      </c>
      <c r="W5348" t="str">
        <f>VLOOKUP(Table_Query_from_Actuarial___Production[[#This Row],[Kor1]],$AI$3:$AK$105,3,FALSE)</f>
        <v>Misc. Expense</v>
      </c>
      <c r="X5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8"/>
      <c r="Z5348" t="s">
        <v>41</v>
      </c>
      <c r="AA5348" t="s">
        <v>227</v>
      </c>
      <c r="AB5348" t="s">
        <v>442</v>
      </c>
      <c r="AC5348" s="21">
        <v>250</v>
      </c>
      <c r="AD5348" s="21" t="s">
        <v>368</v>
      </c>
      <c r="AE5348" t="str">
        <f>VLOOKUP(Table_Query_from_Actuarial___Production3[[#This Row],[Kor1]],$AI$3:$AK$105,3,FALSE)</f>
        <v>Misc. Income</v>
      </c>
      <c r="AF5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49" spans="18:32" x14ac:dyDescent="0.2">
      <c r="R5349" t="s">
        <v>47</v>
      </c>
      <c r="S5349" t="s">
        <v>241</v>
      </c>
      <c r="T5349" t="s">
        <v>356</v>
      </c>
      <c r="U5349" s="21">
        <v>3688.1</v>
      </c>
      <c r="V5349" s="21" t="s">
        <v>368</v>
      </c>
      <c r="W5349" t="str">
        <f>VLOOKUP(Table_Query_from_Actuarial___Production[[#This Row],[Kor1]],$AI$3:$AK$105,3,FALSE)</f>
        <v>Investment Income</v>
      </c>
      <c r="X5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49"/>
      <c r="Z5349" t="s">
        <v>33</v>
      </c>
      <c r="AA5349" t="s">
        <v>265</v>
      </c>
      <c r="AB5349" t="s">
        <v>356</v>
      </c>
      <c r="AC5349" s="21">
        <v>15723.69</v>
      </c>
      <c r="AD5349" s="21" t="s">
        <v>368</v>
      </c>
      <c r="AE5349" t="str">
        <f>VLOOKUP(Table_Query_from_Actuarial___Production3[[#This Row],[Kor1]],$AI$3:$AK$105,3,FALSE)</f>
        <v>Misc. Expense</v>
      </c>
      <c r="AF5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0" spans="18:32" x14ac:dyDescent="0.2">
      <c r="R5350" t="s">
        <v>10</v>
      </c>
      <c r="S5350" t="s">
        <v>238</v>
      </c>
      <c r="T5350" t="s">
        <v>8</v>
      </c>
      <c r="U5350" s="21">
        <v>13818.95</v>
      </c>
      <c r="V5350" s="21" t="s">
        <v>368</v>
      </c>
      <c r="W5350" t="str">
        <f>VLOOKUP(Table_Query_from_Actuarial___Production[[#This Row],[Kor1]],$AI$3:$AK$105,3,FALSE)</f>
        <v>Commissions</v>
      </c>
      <c r="X5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0"/>
      <c r="Z5350" t="s">
        <v>13</v>
      </c>
      <c r="AA5350" t="s">
        <v>233</v>
      </c>
      <c r="AB5350" t="s">
        <v>443</v>
      </c>
      <c r="AC5350" s="21">
        <v>72073.3</v>
      </c>
      <c r="AD5350" s="21" t="s">
        <v>368</v>
      </c>
      <c r="AE5350" t="str">
        <f>VLOOKUP(Table_Query_from_Actuarial___Production3[[#This Row],[Kor1]],$AI$3:$AK$105,3,FALSE)</f>
        <v>Operating Service Fees</v>
      </c>
      <c r="AF5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1" spans="18:32" x14ac:dyDescent="0.2">
      <c r="R5351" t="s">
        <v>3</v>
      </c>
      <c r="S5351" t="s">
        <v>262</v>
      </c>
      <c r="T5351" t="s">
        <v>7</v>
      </c>
      <c r="U5351" s="21">
        <v>307944</v>
      </c>
      <c r="V5351" s="21" t="s">
        <v>368</v>
      </c>
      <c r="W5351" t="str">
        <f>VLOOKUP(Table_Query_from_Actuarial___Production[[#This Row],[Kor1]],$AI$3:$AK$105,3,FALSE)</f>
        <v>Premiums Written</v>
      </c>
      <c r="X5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1"/>
      <c r="Z5351" t="s">
        <v>47</v>
      </c>
      <c r="AA5351" t="s">
        <v>255</v>
      </c>
      <c r="AB5351" t="s">
        <v>5</v>
      </c>
      <c r="AC5351" s="21">
        <v>0.01</v>
      </c>
      <c r="AD5351" s="21" t="s">
        <v>368</v>
      </c>
      <c r="AE5351" t="str">
        <f>VLOOKUP(Table_Query_from_Actuarial___Production3[[#This Row],[Kor1]],$AI$3:$AK$105,3,FALSE)</f>
        <v>Investment Income</v>
      </c>
      <c r="AF5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2" spans="18:32" x14ac:dyDescent="0.2">
      <c r="R5352" t="s">
        <v>13</v>
      </c>
      <c r="S5352" t="s">
        <v>352</v>
      </c>
      <c r="T5352" t="s">
        <v>433</v>
      </c>
      <c r="U5352" s="21">
        <v>13635.45</v>
      </c>
      <c r="V5352" s="21" t="s">
        <v>369</v>
      </c>
      <c r="W5352" t="str">
        <f>VLOOKUP(Table_Query_from_Actuarial___Production[[#This Row],[Kor1]],$AI$3:$AK$105,3,FALSE)</f>
        <v>Operating Service Fees</v>
      </c>
      <c r="X5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352"/>
      <c r="Z5352" t="s">
        <v>439</v>
      </c>
      <c r="AA5352" t="s">
        <v>258</v>
      </c>
      <c r="AB5352" t="s">
        <v>443</v>
      </c>
      <c r="AC5352" s="21">
        <v>-75662.289999999994</v>
      </c>
      <c r="AD5352" s="21" t="s">
        <v>368</v>
      </c>
      <c r="AE5352" t="str">
        <f>VLOOKUP(Table_Query_from_Actuarial___Production3[[#This Row],[Kor1]],$AI$3:$AK$105,3,FALSE)</f>
        <v>Operating Service Fees</v>
      </c>
      <c r="AF5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3" spans="18:32" x14ac:dyDescent="0.2">
      <c r="R5353" t="s">
        <v>32</v>
      </c>
      <c r="S5353" t="s">
        <v>241</v>
      </c>
      <c r="T5353" t="s">
        <v>443</v>
      </c>
      <c r="U5353" s="21">
        <v>540.5</v>
      </c>
      <c r="V5353" s="21" t="s">
        <v>368</v>
      </c>
      <c r="W5353" t="str">
        <f>VLOOKUP(Table_Query_from_Actuarial___Production[[#This Row],[Kor1]],$AI$3:$AK$105,3,FALSE)</f>
        <v>Misc. Expense</v>
      </c>
      <c r="X5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3"/>
      <c r="Z5353" t="s">
        <v>44</v>
      </c>
      <c r="AA5353" t="s">
        <v>252</v>
      </c>
      <c r="AB5353" t="s">
        <v>427</v>
      </c>
      <c r="AC5353" s="21">
        <v>801911.1</v>
      </c>
      <c r="AD5353" s="21" t="s">
        <v>368</v>
      </c>
      <c r="AE5353" t="str">
        <f>VLOOKUP(Table_Query_from_Actuarial___Production3[[#This Row],[Kor1]],$AI$3:$AK$105,3,FALSE)</f>
        <v>Charge-offs</v>
      </c>
      <c r="AF5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4" spans="18:32" x14ac:dyDescent="0.2">
      <c r="R5354" t="s">
        <v>40</v>
      </c>
      <c r="S5354" t="s">
        <v>248</v>
      </c>
      <c r="T5354" t="s">
        <v>441</v>
      </c>
      <c r="U5354" s="21">
        <v>104</v>
      </c>
      <c r="V5354" s="21" t="s">
        <v>368</v>
      </c>
      <c r="W5354" t="str">
        <f>VLOOKUP(Table_Query_from_Actuarial___Production[[#This Row],[Kor1]],$AI$3:$AK$105,3,FALSE)</f>
        <v>Misc. Income</v>
      </c>
      <c r="X5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4"/>
      <c r="Z5354" t="s">
        <v>10</v>
      </c>
      <c r="AA5354" t="s">
        <v>236</v>
      </c>
      <c r="AB5354" t="s">
        <v>433</v>
      </c>
      <c r="AC5354" s="21">
        <v>4035.5</v>
      </c>
      <c r="AD5354" s="21" t="s">
        <v>368</v>
      </c>
      <c r="AE5354" t="str">
        <f>VLOOKUP(Table_Query_from_Actuarial___Production3[[#This Row],[Kor1]],$AI$3:$AK$105,3,FALSE)</f>
        <v>Commissions</v>
      </c>
      <c r="AF5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5" spans="18:32" x14ac:dyDescent="0.2">
      <c r="R5355" t="s">
        <v>12</v>
      </c>
      <c r="S5355" t="s">
        <v>259</v>
      </c>
      <c r="T5355" t="s">
        <v>443</v>
      </c>
      <c r="U5355" s="21">
        <v>5953.4</v>
      </c>
      <c r="V5355" s="21" t="s">
        <v>368</v>
      </c>
      <c r="W5355" t="str">
        <f>VLOOKUP(Table_Query_from_Actuarial___Production[[#This Row],[Kor1]],$AI$3:$AK$105,3,FALSE)</f>
        <v>Premium Tax</v>
      </c>
      <c r="X5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5"/>
      <c r="Z5355" t="s">
        <v>14</v>
      </c>
      <c r="AA5355" t="s">
        <v>237</v>
      </c>
      <c r="AB5355" t="s">
        <v>433</v>
      </c>
      <c r="AC5355" s="21">
        <v>5484307.8700000001</v>
      </c>
      <c r="AD5355" s="21" t="s">
        <v>368</v>
      </c>
      <c r="AE5355" t="str">
        <f>VLOOKUP(Table_Query_from_Actuarial___Production3[[#This Row],[Kor1]],$AI$3:$AK$105,3,FALSE)</f>
        <v>Claims Expense</v>
      </c>
      <c r="AF5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6" spans="18:32" x14ac:dyDescent="0.2">
      <c r="R5356" t="s">
        <v>39</v>
      </c>
      <c r="S5356" t="s">
        <v>241</v>
      </c>
      <c r="T5356" t="s">
        <v>441</v>
      </c>
      <c r="U5356" s="21">
        <v>1619.42</v>
      </c>
      <c r="V5356" s="21" t="s">
        <v>368</v>
      </c>
      <c r="W5356" t="str">
        <f>VLOOKUP(Table_Query_from_Actuarial___Production[[#This Row],[Kor1]],$AI$3:$AK$105,3,FALSE)</f>
        <v>Misc. Income for Insolvent Companies</v>
      </c>
      <c r="X5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6"/>
      <c r="Z5356" t="s">
        <v>16</v>
      </c>
      <c r="AA5356" t="s">
        <v>354</v>
      </c>
      <c r="AB5356" t="s">
        <v>351</v>
      </c>
      <c r="AC5356" s="21">
        <v>2207217.1</v>
      </c>
      <c r="AD5356" s="21" t="s">
        <v>368</v>
      </c>
      <c r="AE5356" t="str">
        <f>VLOOKUP(Table_Query_from_Actuarial___Production3[[#This Row],[Kor1]],$AI$3:$AK$105,3,FALSE)</f>
        <v>Losses Outstanding</v>
      </c>
      <c r="AF5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357" spans="18:32" x14ac:dyDescent="0.2">
      <c r="R5357" t="s">
        <v>37</v>
      </c>
      <c r="S5357" t="s">
        <v>231</v>
      </c>
      <c r="T5357" t="s">
        <v>441</v>
      </c>
      <c r="U5357" s="21">
        <v>-133.82</v>
      </c>
      <c r="V5357" s="21" t="s">
        <v>368</v>
      </c>
      <c r="W5357" t="str">
        <f>VLOOKUP(Table_Query_from_Actuarial___Production[[#This Row],[Kor1]],$AI$3:$AK$105,3,FALSE)</f>
        <v>Misc. Expense</v>
      </c>
      <c r="X5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7"/>
      <c r="Z5357" t="s">
        <v>13</v>
      </c>
      <c r="AA5357" t="s">
        <v>232</v>
      </c>
      <c r="AB5357" t="s">
        <v>351</v>
      </c>
      <c r="AC5357" s="21">
        <v>205672.01</v>
      </c>
      <c r="AD5357" s="21" t="s">
        <v>368</v>
      </c>
      <c r="AE5357" t="str">
        <f>VLOOKUP(Table_Query_from_Actuarial___Production3[[#This Row],[Kor1]],$AI$3:$AK$105,3,FALSE)</f>
        <v>Operating Service Fees</v>
      </c>
      <c r="AF5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8" spans="18:32" x14ac:dyDescent="0.2">
      <c r="R5358" t="s">
        <v>13</v>
      </c>
      <c r="S5358" t="s">
        <v>245</v>
      </c>
      <c r="T5358" t="s">
        <v>7</v>
      </c>
      <c r="U5358" s="21">
        <v>5357.78</v>
      </c>
      <c r="V5358" s="21" t="s">
        <v>368</v>
      </c>
      <c r="W5358" t="str">
        <f>VLOOKUP(Table_Query_from_Actuarial___Production[[#This Row],[Kor1]],$AI$3:$AK$105,3,FALSE)</f>
        <v>Operating Service Fees</v>
      </c>
      <c r="X5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8"/>
      <c r="Z5358" t="s">
        <v>49</v>
      </c>
      <c r="AA5358" t="s">
        <v>230</v>
      </c>
      <c r="AB5358" t="s">
        <v>5</v>
      </c>
      <c r="AC5358" s="21">
        <v>919184.02</v>
      </c>
      <c r="AD5358" s="21" t="s">
        <v>368</v>
      </c>
      <c r="AE5358" t="str">
        <f>VLOOKUP(Table_Query_from_Actuarial___Production3[[#This Row],[Kor1]],$AI$3:$AK$105,3,FALSE)</f>
        <v>ALAE Paid</v>
      </c>
      <c r="AF5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59" spans="18:32" x14ac:dyDescent="0.2">
      <c r="R5359" t="s">
        <v>34</v>
      </c>
      <c r="S5359" t="s">
        <v>235</v>
      </c>
      <c r="T5359" t="s">
        <v>443</v>
      </c>
      <c r="U5359" s="21">
        <v>2209.21</v>
      </c>
      <c r="V5359" s="21" t="s">
        <v>368</v>
      </c>
      <c r="W5359" t="str">
        <f>VLOOKUP(Table_Query_from_Actuarial___Production[[#This Row],[Kor1]],$AI$3:$AK$105,3,FALSE)</f>
        <v>Misc. Expense</v>
      </c>
      <c r="X5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59"/>
      <c r="Z5359" t="s">
        <v>37</v>
      </c>
      <c r="AA5359" t="s">
        <v>238</v>
      </c>
      <c r="AB5359" t="s">
        <v>8</v>
      </c>
      <c r="AC5359" s="21">
        <v>507.21</v>
      </c>
      <c r="AD5359" s="21" t="s">
        <v>368</v>
      </c>
      <c r="AE5359" t="str">
        <f>VLOOKUP(Table_Query_from_Actuarial___Production3[[#This Row],[Kor1]],$AI$3:$AK$105,3,FALSE)</f>
        <v>Misc. Expense</v>
      </c>
      <c r="AF5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0" spans="18:32" x14ac:dyDescent="0.2">
      <c r="R5360" t="s">
        <v>12</v>
      </c>
      <c r="S5360" t="s">
        <v>244</v>
      </c>
      <c r="T5360" t="s">
        <v>433</v>
      </c>
      <c r="U5360" s="21">
        <v>50630.82</v>
      </c>
      <c r="V5360" s="21" t="s">
        <v>368</v>
      </c>
      <c r="W5360" t="str">
        <f>VLOOKUP(Table_Query_from_Actuarial___Production[[#This Row],[Kor1]],$AI$3:$AK$105,3,FALSE)</f>
        <v>Premium Tax</v>
      </c>
      <c r="X5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0"/>
      <c r="Z5360" t="s">
        <v>34</v>
      </c>
      <c r="AA5360" t="s">
        <v>267</v>
      </c>
      <c r="AB5360" t="s">
        <v>443</v>
      </c>
      <c r="AC5360" s="21">
        <v>3423.17</v>
      </c>
      <c r="AD5360" s="21" t="s">
        <v>368</v>
      </c>
      <c r="AE5360" t="str">
        <f>VLOOKUP(Table_Query_from_Actuarial___Production3[[#This Row],[Kor1]],$AI$3:$AK$105,3,FALSE)</f>
        <v>Misc. Expense</v>
      </c>
      <c r="AF5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1" spans="18:32" x14ac:dyDescent="0.2">
      <c r="R5361" t="s">
        <v>13</v>
      </c>
      <c r="S5361" t="s">
        <v>230</v>
      </c>
      <c r="T5361" t="s">
        <v>442</v>
      </c>
      <c r="U5361" s="21">
        <v>2298131.31</v>
      </c>
      <c r="V5361" s="21" t="s">
        <v>368</v>
      </c>
      <c r="W5361" t="str">
        <f>VLOOKUP(Table_Query_from_Actuarial___Production[[#This Row],[Kor1]],$AI$3:$AK$105,3,FALSE)</f>
        <v>Operating Service Fees</v>
      </c>
      <c r="X5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1"/>
      <c r="Z5361" t="s">
        <v>47</v>
      </c>
      <c r="AA5361" t="s">
        <v>241</v>
      </c>
      <c r="AB5361" t="s">
        <v>356</v>
      </c>
      <c r="AC5361" s="21">
        <v>3688.1</v>
      </c>
      <c r="AD5361" s="21" t="s">
        <v>368</v>
      </c>
      <c r="AE5361" t="str">
        <f>VLOOKUP(Table_Query_from_Actuarial___Production3[[#This Row],[Kor1]],$AI$3:$AK$105,3,FALSE)</f>
        <v>Investment Income</v>
      </c>
      <c r="AF5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2" spans="18:32" x14ac:dyDescent="0.2">
      <c r="R5362" t="s">
        <v>13</v>
      </c>
      <c r="S5362" t="s">
        <v>4</v>
      </c>
      <c r="T5362" t="s">
        <v>356</v>
      </c>
      <c r="U5362" s="21">
        <v>6917141.6500000004</v>
      </c>
      <c r="V5362" s="21" t="s">
        <v>368</v>
      </c>
      <c r="W5362" t="str">
        <f>VLOOKUP(Table_Query_from_Actuarial___Production[[#This Row],[Kor1]],$AI$3:$AK$105,3,FALSE)</f>
        <v>Operating Service Fees</v>
      </c>
      <c r="X5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2"/>
      <c r="Z5362" t="s">
        <v>33</v>
      </c>
      <c r="AA5362" t="s">
        <v>253</v>
      </c>
      <c r="AB5362" t="s">
        <v>5</v>
      </c>
      <c r="AC5362" s="21">
        <v>12863.42</v>
      </c>
      <c r="AD5362" s="21" t="s">
        <v>368</v>
      </c>
      <c r="AE5362" t="str">
        <f>VLOOKUP(Table_Query_from_Actuarial___Production3[[#This Row],[Kor1]],$AI$3:$AK$105,3,FALSE)</f>
        <v>Misc. Expense</v>
      </c>
      <c r="AF5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3" spans="18:32" x14ac:dyDescent="0.2">
      <c r="R5363" t="s">
        <v>21</v>
      </c>
      <c r="S5363" t="s">
        <v>263</v>
      </c>
      <c r="T5363" t="s">
        <v>442</v>
      </c>
      <c r="U5363" s="21">
        <v>599.73</v>
      </c>
      <c r="V5363" s="21" t="s">
        <v>368</v>
      </c>
      <c r="W5363" t="str">
        <f>VLOOKUP(Table_Query_from_Actuarial___Production[[#This Row],[Kor1]],$AI$3:$AK$105,3,FALSE)</f>
        <v>Misc. Expense</v>
      </c>
      <c r="X5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3"/>
      <c r="Z5363" t="s">
        <v>39</v>
      </c>
      <c r="AA5363" t="s">
        <v>237</v>
      </c>
      <c r="AB5363" t="s">
        <v>5</v>
      </c>
      <c r="AC5363" s="21">
        <v>15546.7</v>
      </c>
      <c r="AD5363" s="21" t="s">
        <v>368</v>
      </c>
      <c r="AE5363" t="str">
        <f>VLOOKUP(Table_Query_from_Actuarial___Production3[[#This Row],[Kor1]],$AI$3:$AK$105,3,FALSE)</f>
        <v>Misc. Income for Insolvent Companies</v>
      </c>
      <c r="AF5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4" spans="18:32" x14ac:dyDescent="0.2">
      <c r="R5364" t="s">
        <v>3</v>
      </c>
      <c r="S5364" t="s">
        <v>352</v>
      </c>
      <c r="T5364" t="s">
        <v>9</v>
      </c>
      <c r="U5364" s="21">
        <v>13667</v>
      </c>
      <c r="V5364" s="21" t="s">
        <v>368</v>
      </c>
      <c r="W5364" t="str">
        <f>VLOOKUP(Table_Query_from_Actuarial___Production[[#This Row],[Kor1]],$AI$3:$AK$105,3,FALSE)</f>
        <v>Premiums Written</v>
      </c>
      <c r="X5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364"/>
      <c r="Z5364" t="s">
        <v>10</v>
      </c>
      <c r="AA5364" t="s">
        <v>238</v>
      </c>
      <c r="AB5364" t="s">
        <v>8</v>
      </c>
      <c r="AC5364" s="21">
        <v>13818.95</v>
      </c>
      <c r="AD5364" s="21" t="s">
        <v>368</v>
      </c>
      <c r="AE5364" t="str">
        <f>VLOOKUP(Table_Query_from_Actuarial___Production3[[#This Row],[Kor1]],$AI$3:$AK$105,3,FALSE)</f>
        <v>Commissions</v>
      </c>
      <c r="AF5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5" spans="18:32" x14ac:dyDescent="0.2">
      <c r="R5365" t="s">
        <v>39</v>
      </c>
      <c r="S5365" t="s">
        <v>233</v>
      </c>
      <c r="T5365" t="s">
        <v>6</v>
      </c>
      <c r="U5365" s="21">
        <v>68</v>
      </c>
      <c r="V5365" s="21" t="s">
        <v>368</v>
      </c>
      <c r="W5365" t="str">
        <f>VLOOKUP(Table_Query_from_Actuarial___Production[[#This Row],[Kor1]],$AI$3:$AK$105,3,FALSE)</f>
        <v>Misc. Income for Insolvent Companies</v>
      </c>
      <c r="X5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5"/>
      <c r="Z5365" t="s">
        <v>50</v>
      </c>
      <c r="AA5365" t="s">
        <v>263</v>
      </c>
      <c r="AB5365" t="s">
        <v>427</v>
      </c>
      <c r="AC5365" s="21">
        <v>2437.9299999999998</v>
      </c>
      <c r="AD5365" s="21" t="s">
        <v>368</v>
      </c>
      <c r="AE5365" t="str">
        <f>VLOOKUP(Table_Query_from_Actuarial___Production3[[#This Row],[Kor1]],$AI$3:$AK$105,3,FALSE)</f>
        <v>ALAE Reserve</v>
      </c>
      <c r="AF5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6" spans="18:32" x14ac:dyDescent="0.2">
      <c r="R5366" t="s">
        <v>44</v>
      </c>
      <c r="S5366" t="s">
        <v>230</v>
      </c>
      <c r="T5366" t="s">
        <v>443</v>
      </c>
      <c r="U5366" s="21">
        <v>241213.51</v>
      </c>
      <c r="V5366" s="21" t="s">
        <v>368</v>
      </c>
      <c r="W5366" t="str">
        <f>VLOOKUP(Table_Query_from_Actuarial___Production[[#This Row],[Kor1]],$AI$3:$AK$105,3,FALSE)</f>
        <v>Charge-offs</v>
      </c>
      <c r="X5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6"/>
      <c r="Z5366" t="s">
        <v>50</v>
      </c>
      <c r="AA5366" t="s">
        <v>256</v>
      </c>
      <c r="AB5366" t="s">
        <v>427</v>
      </c>
      <c r="AC5366" s="21">
        <v>495.44</v>
      </c>
      <c r="AD5366" s="21" t="s">
        <v>368</v>
      </c>
      <c r="AE5366" t="str">
        <f>VLOOKUP(Table_Query_from_Actuarial___Production3[[#This Row],[Kor1]],$AI$3:$AK$105,3,FALSE)</f>
        <v>ALAE Reserve</v>
      </c>
      <c r="AF5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7" spans="18:32" x14ac:dyDescent="0.2">
      <c r="R5367" t="s">
        <v>11</v>
      </c>
      <c r="S5367" t="s">
        <v>238</v>
      </c>
      <c r="T5367" t="s">
        <v>442</v>
      </c>
      <c r="U5367" s="21">
        <v>545526.53</v>
      </c>
      <c r="V5367" s="21" t="s">
        <v>368</v>
      </c>
      <c r="W5367" t="str">
        <f>VLOOKUP(Table_Query_from_Actuarial___Production[[#This Row],[Kor1]],$AI$3:$AK$105,3,FALSE)</f>
        <v>Losses Paid</v>
      </c>
      <c r="X5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7"/>
      <c r="Z5367" t="s">
        <v>3</v>
      </c>
      <c r="AA5367" t="s">
        <v>262</v>
      </c>
      <c r="AB5367" t="s">
        <v>7</v>
      </c>
      <c r="AC5367" s="21">
        <v>307944</v>
      </c>
      <c r="AD5367" s="21" t="s">
        <v>368</v>
      </c>
      <c r="AE5367" t="str">
        <f>VLOOKUP(Table_Query_from_Actuarial___Production3[[#This Row],[Kor1]],$AI$3:$AK$105,3,FALSE)</f>
        <v>Premiums Written</v>
      </c>
      <c r="AF5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68" spans="18:32" x14ac:dyDescent="0.2">
      <c r="R5368" t="s">
        <v>12</v>
      </c>
      <c r="S5368" t="s">
        <v>262</v>
      </c>
      <c r="T5368" t="s">
        <v>8</v>
      </c>
      <c r="U5368" s="21">
        <v>3042.7</v>
      </c>
      <c r="V5368" s="21" t="s">
        <v>368</v>
      </c>
      <c r="W5368" t="str">
        <f>VLOOKUP(Table_Query_from_Actuarial___Production[[#This Row],[Kor1]],$AI$3:$AK$105,3,FALSE)</f>
        <v>Premium Tax</v>
      </c>
      <c r="X5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8"/>
      <c r="Z5368" t="s">
        <v>13</v>
      </c>
      <c r="AA5368" t="s">
        <v>352</v>
      </c>
      <c r="AB5368" t="s">
        <v>433</v>
      </c>
      <c r="AC5368" s="21">
        <v>13635.45</v>
      </c>
      <c r="AD5368" s="21" t="s">
        <v>369</v>
      </c>
      <c r="AE5368" t="str">
        <f>VLOOKUP(Table_Query_from_Actuarial___Production3[[#This Row],[Kor1]],$AI$3:$AK$105,3,FALSE)</f>
        <v>Operating Service Fees</v>
      </c>
      <c r="AF5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369" spans="18:32" x14ac:dyDescent="0.2">
      <c r="R5369" t="s">
        <v>14</v>
      </c>
      <c r="S5369" t="s">
        <v>233</v>
      </c>
      <c r="T5369" t="s">
        <v>351</v>
      </c>
      <c r="U5369" s="21">
        <v>51565.73</v>
      </c>
      <c r="V5369" s="21" t="s">
        <v>368</v>
      </c>
      <c r="W5369" t="str">
        <f>VLOOKUP(Table_Query_from_Actuarial___Production[[#This Row],[Kor1]],$AI$3:$AK$105,3,FALSE)</f>
        <v>Claims Expense</v>
      </c>
      <c r="X5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69"/>
      <c r="Z5369" t="s">
        <v>40</v>
      </c>
      <c r="AA5369" t="s">
        <v>248</v>
      </c>
      <c r="AB5369" t="s">
        <v>441</v>
      </c>
      <c r="AC5369" s="21">
        <v>104</v>
      </c>
      <c r="AD5369" s="21" t="s">
        <v>368</v>
      </c>
      <c r="AE5369" t="str">
        <f>VLOOKUP(Table_Query_from_Actuarial___Production3[[#This Row],[Kor1]],$AI$3:$AK$105,3,FALSE)</f>
        <v>Misc. Income</v>
      </c>
      <c r="AF5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0" spans="18:32" x14ac:dyDescent="0.2">
      <c r="R5370" t="s">
        <v>33</v>
      </c>
      <c r="S5370" t="s">
        <v>265</v>
      </c>
      <c r="T5370" t="s">
        <v>8</v>
      </c>
      <c r="U5370" s="21">
        <v>15037.22</v>
      </c>
      <c r="V5370" s="21" t="s">
        <v>368</v>
      </c>
      <c r="W5370" t="str">
        <f>VLOOKUP(Table_Query_from_Actuarial___Production[[#This Row],[Kor1]],$AI$3:$AK$105,3,FALSE)</f>
        <v>Misc. Expense</v>
      </c>
      <c r="X5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0"/>
      <c r="Z5370" t="s">
        <v>12</v>
      </c>
      <c r="AA5370" t="s">
        <v>259</v>
      </c>
      <c r="AB5370" t="s">
        <v>443</v>
      </c>
      <c r="AC5370" s="21">
        <v>3391.5</v>
      </c>
      <c r="AD5370" s="21" t="s">
        <v>368</v>
      </c>
      <c r="AE5370" t="str">
        <f>VLOOKUP(Table_Query_from_Actuarial___Production3[[#This Row],[Kor1]],$AI$3:$AK$105,3,FALSE)</f>
        <v>Premium Tax</v>
      </c>
      <c r="AF5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1" spans="18:32" x14ac:dyDescent="0.2">
      <c r="R5371" t="s">
        <v>12</v>
      </c>
      <c r="S5371" t="s">
        <v>235</v>
      </c>
      <c r="T5371" t="s">
        <v>351</v>
      </c>
      <c r="U5371" s="21">
        <v>25825.26</v>
      </c>
      <c r="V5371" s="21" t="s">
        <v>368</v>
      </c>
      <c r="W5371" t="str">
        <f>VLOOKUP(Table_Query_from_Actuarial___Production[[#This Row],[Kor1]],$AI$3:$AK$105,3,FALSE)</f>
        <v>Premium Tax</v>
      </c>
      <c r="X5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1"/>
      <c r="Z5371" t="s">
        <v>39</v>
      </c>
      <c r="AA5371" t="s">
        <v>241</v>
      </c>
      <c r="AB5371" t="s">
        <v>441</v>
      </c>
      <c r="AC5371" s="21">
        <v>1619.42</v>
      </c>
      <c r="AD5371" s="21" t="s">
        <v>368</v>
      </c>
      <c r="AE5371" t="str">
        <f>VLOOKUP(Table_Query_from_Actuarial___Production3[[#This Row],[Kor1]],$AI$3:$AK$105,3,FALSE)</f>
        <v>Misc. Income for Insolvent Companies</v>
      </c>
      <c r="AF5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2" spans="18:32" x14ac:dyDescent="0.2">
      <c r="R5372" t="s">
        <v>17</v>
      </c>
      <c r="S5372" t="s">
        <v>240</v>
      </c>
      <c r="T5372" t="s">
        <v>441</v>
      </c>
      <c r="U5372" s="21">
        <v>405477.67</v>
      </c>
      <c r="V5372" s="21" t="s">
        <v>368</v>
      </c>
      <c r="W5372" t="str">
        <f>VLOOKUP(Table_Query_from_Actuarial___Production[[#This Row],[Kor1]],$AI$3:$AK$105,3,FALSE)</f>
        <v>IBNR</v>
      </c>
      <c r="X5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2"/>
      <c r="Z5372" t="s">
        <v>37</v>
      </c>
      <c r="AA5372" t="s">
        <v>231</v>
      </c>
      <c r="AB5372" t="s">
        <v>441</v>
      </c>
      <c r="AC5372" s="21">
        <v>-133.82</v>
      </c>
      <c r="AD5372" s="21" t="s">
        <v>368</v>
      </c>
      <c r="AE5372" t="str">
        <f>VLOOKUP(Table_Query_from_Actuarial___Production3[[#This Row],[Kor1]],$AI$3:$AK$105,3,FALSE)</f>
        <v>Misc. Expense</v>
      </c>
      <c r="AF5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3" spans="18:32" x14ac:dyDescent="0.2">
      <c r="R5373" t="s">
        <v>19</v>
      </c>
      <c r="S5373" t="s">
        <v>241</v>
      </c>
      <c r="T5373" t="s">
        <v>356</v>
      </c>
      <c r="U5373" s="21">
        <v>2280</v>
      </c>
      <c r="V5373" s="21" t="s">
        <v>368</v>
      </c>
      <c r="W5373" t="str">
        <f>VLOOKUP(Table_Query_from_Actuarial___Production[[#This Row],[Kor1]],$AI$3:$AK$105,3,FALSE)</f>
        <v>Misc. Expense for Insolvent Companies</v>
      </c>
      <c r="X5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3"/>
      <c r="Z5373" t="s">
        <v>13</v>
      </c>
      <c r="AA5373" t="s">
        <v>245</v>
      </c>
      <c r="AB5373" t="s">
        <v>7</v>
      </c>
      <c r="AC5373" s="21">
        <v>5357.78</v>
      </c>
      <c r="AD5373" s="21" t="s">
        <v>368</v>
      </c>
      <c r="AE5373" t="str">
        <f>VLOOKUP(Table_Query_from_Actuarial___Production3[[#This Row],[Kor1]],$AI$3:$AK$105,3,FALSE)</f>
        <v>Operating Service Fees</v>
      </c>
      <c r="AF5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4" spans="18:32" x14ac:dyDescent="0.2">
      <c r="R5374" t="s">
        <v>13</v>
      </c>
      <c r="S5374" t="s">
        <v>260</v>
      </c>
      <c r="T5374" t="s">
        <v>427</v>
      </c>
      <c r="U5374" s="21">
        <v>1027.1500000000001</v>
      </c>
      <c r="V5374" s="21" t="s">
        <v>368</v>
      </c>
      <c r="W5374" t="str">
        <f>VLOOKUP(Table_Query_from_Actuarial___Production[[#This Row],[Kor1]],$AI$3:$AK$105,3,FALSE)</f>
        <v>Operating Service Fees</v>
      </c>
      <c r="X5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4"/>
      <c r="Z5374" t="s">
        <v>34</v>
      </c>
      <c r="AA5374" t="s">
        <v>235</v>
      </c>
      <c r="AB5374" t="s">
        <v>443</v>
      </c>
      <c r="AC5374" s="21">
        <v>2209.21</v>
      </c>
      <c r="AD5374" s="21" t="s">
        <v>368</v>
      </c>
      <c r="AE5374" t="str">
        <f>VLOOKUP(Table_Query_from_Actuarial___Production3[[#This Row],[Kor1]],$AI$3:$AK$105,3,FALSE)</f>
        <v>Misc. Expense</v>
      </c>
      <c r="AF5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5" spans="18:32" x14ac:dyDescent="0.2">
      <c r="R5375" t="s">
        <v>43</v>
      </c>
      <c r="S5375" t="s">
        <v>256</v>
      </c>
      <c r="T5375" t="s">
        <v>8</v>
      </c>
      <c r="U5375" s="21">
        <v>541.12</v>
      </c>
      <c r="V5375" s="21" t="s">
        <v>368</v>
      </c>
      <c r="W5375" t="str">
        <f>VLOOKUP(Table_Query_from_Actuarial___Production[[#This Row],[Kor1]],$AI$3:$AK$105,3,FALSE)</f>
        <v>Charge-offs</v>
      </c>
      <c r="X5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5"/>
      <c r="Z5375" t="s">
        <v>12</v>
      </c>
      <c r="AA5375" t="s">
        <v>244</v>
      </c>
      <c r="AB5375" t="s">
        <v>433</v>
      </c>
      <c r="AC5375" s="21">
        <v>50630.82</v>
      </c>
      <c r="AD5375" s="21" t="s">
        <v>368</v>
      </c>
      <c r="AE5375" t="str">
        <f>VLOOKUP(Table_Query_from_Actuarial___Production3[[#This Row],[Kor1]],$AI$3:$AK$105,3,FALSE)</f>
        <v>Premium Tax</v>
      </c>
      <c r="AF5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6" spans="18:32" x14ac:dyDescent="0.2">
      <c r="R5376" t="s">
        <v>3</v>
      </c>
      <c r="S5376" t="s">
        <v>243</v>
      </c>
      <c r="T5376" t="s">
        <v>356</v>
      </c>
      <c r="U5376" s="21">
        <v>368026</v>
      </c>
      <c r="V5376" s="21" t="s">
        <v>368</v>
      </c>
      <c r="W5376" t="str">
        <f>VLOOKUP(Table_Query_from_Actuarial___Production[[#This Row],[Kor1]],$AI$3:$AK$105,3,FALSE)</f>
        <v>Premiums Written</v>
      </c>
      <c r="X5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6"/>
      <c r="Z5376" t="s">
        <v>13</v>
      </c>
      <c r="AA5376" t="s">
        <v>230</v>
      </c>
      <c r="AB5376" t="s">
        <v>442</v>
      </c>
      <c r="AC5376" s="21">
        <v>2261144.64</v>
      </c>
      <c r="AD5376" s="21" t="s">
        <v>368</v>
      </c>
      <c r="AE5376" t="str">
        <f>VLOOKUP(Table_Query_from_Actuarial___Production3[[#This Row],[Kor1]],$AI$3:$AK$105,3,FALSE)</f>
        <v>Operating Service Fees</v>
      </c>
      <c r="AF5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7" spans="18:32" x14ac:dyDescent="0.2">
      <c r="R5377" t="s">
        <v>17</v>
      </c>
      <c r="S5377" t="s">
        <v>259</v>
      </c>
      <c r="T5377" t="s">
        <v>443</v>
      </c>
      <c r="U5377" s="21">
        <v>33841.919999999998</v>
      </c>
      <c r="V5377" s="21" t="s">
        <v>368</v>
      </c>
      <c r="W5377" t="str">
        <f>VLOOKUP(Table_Query_from_Actuarial___Production[[#This Row],[Kor1]],$AI$3:$AK$105,3,FALSE)</f>
        <v>IBNR</v>
      </c>
      <c r="X5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7"/>
      <c r="Z5377" t="s">
        <v>13</v>
      </c>
      <c r="AA5377" t="s">
        <v>4</v>
      </c>
      <c r="AB5377" t="s">
        <v>356</v>
      </c>
      <c r="AC5377" s="21">
        <v>6917141.6500000004</v>
      </c>
      <c r="AD5377" s="21" t="s">
        <v>368</v>
      </c>
      <c r="AE5377" t="str">
        <f>VLOOKUP(Table_Query_from_Actuarial___Production3[[#This Row],[Kor1]],$AI$3:$AK$105,3,FALSE)</f>
        <v>Operating Service Fees</v>
      </c>
      <c r="AF5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8" spans="18:32" x14ac:dyDescent="0.2">
      <c r="R5378" t="s">
        <v>20</v>
      </c>
      <c r="S5378" t="s">
        <v>237</v>
      </c>
      <c r="T5378" t="s">
        <v>6</v>
      </c>
      <c r="U5378" s="21">
        <v>242.01</v>
      </c>
      <c r="V5378" s="21" t="s">
        <v>368</v>
      </c>
      <c r="W5378" t="str">
        <f>VLOOKUP(Table_Query_from_Actuarial___Production[[#This Row],[Kor1]],$AI$3:$AK$105,3,FALSE)</f>
        <v>Misc. Expense</v>
      </c>
      <c r="X5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8"/>
      <c r="Z5378" t="s">
        <v>21</v>
      </c>
      <c r="AA5378" t="s">
        <v>263</v>
      </c>
      <c r="AB5378" t="s">
        <v>442</v>
      </c>
      <c r="AC5378" s="21">
        <v>599.73</v>
      </c>
      <c r="AD5378" s="21" t="s">
        <v>368</v>
      </c>
      <c r="AE5378" t="str">
        <f>VLOOKUP(Table_Query_from_Actuarial___Production3[[#This Row],[Kor1]],$AI$3:$AK$105,3,FALSE)</f>
        <v>Misc. Expense</v>
      </c>
      <c r="AF5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79" spans="18:32" x14ac:dyDescent="0.2">
      <c r="R5379" t="s">
        <v>31</v>
      </c>
      <c r="S5379" t="s">
        <v>264</v>
      </c>
      <c r="T5379" t="s">
        <v>433</v>
      </c>
      <c r="U5379" s="21">
        <v>737.15</v>
      </c>
      <c r="V5379" s="21" t="s">
        <v>368</v>
      </c>
      <c r="W5379" t="str">
        <f>VLOOKUP(Table_Query_from_Actuarial___Production[[#This Row],[Kor1]],$AI$3:$AK$105,3,FALSE)</f>
        <v>Misc. Expense</v>
      </c>
      <c r="X5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79"/>
      <c r="Z5379" t="s">
        <v>16</v>
      </c>
      <c r="AA5379" t="s">
        <v>354</v>
      </c>
      <c r="AB5379" t="s">
        <v>5</v>
      </c>
      <c r="AC5379" s="21">
        <v>839110.46</v>
      </c>
      <c r="AD5379" s="21" t="s">
        <v>369</v>
      </c>
      <c r="AE5379" t="str">
        <f>VLOOKUP(Table_Query_from_Actuarial___Production3[[#This Row],[Kor1]],$AI$3:$AK$105,3,FALSE)</f>
        <v>Losses Outstanding</v>
      </c>
      <c r="AF5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380" spans="18:32" x14ac:dyDescent="0.2">
      <c r="R5380" t="s">
        <v>39</v>
      </c>
      <c r="S5380" t="s">
        <v>257</v>
      </c>
      <c r="T5380" t="s">
        <v>442</v>
      </c>
      <c r="U5380" s="21">
        <v>8</v>
      </c>
      <c r="V5380" s="21" t="s">
        <v>368</v>
      </c>
      <c r="W5380" t="str">
        <f>VLOOKUP(Table_Query_from_Actuarial___Production[[#This Row],[Kor1]],$AI$3:$AK$105,3,FALSE)</f>
        <v>Misc. Income for Insolvent Companies</v>
      </c>
      <c r="X5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0"/>
      <c r="Z5380" t="s">
        <v>3</v>
      </c>
      <c r="AA5380" t="s">
        <v>352</v>
      </c>
      <c r="AB5380" t="s">
        <v>9</v>
      </c>
      <c r="AC5380" s="21">
        <v>13667</v>
      </c>
      <c r="AD5380" s="21" t="s">
        <v>368</v>
      </c>
      <c r="AE5380" t="str">
        <f>VLOOKUP(Table_Query_from_Actuarial___Production3[[#This Row],[Kor1]],$AI$3:$AK$105,3,FALSE)</f>
        <v>Premiums Written</v>
      </c>
      <c r="AF5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381" spans="18:32" x14ac:dyDescent="0.2">
      <c r="R5381" t="s">
        <v>14</v>
      </c>
      <c r="S5381" t="s">
        <v>237</v>
      </c>
      <c r="T5381" t="s">
        <v>9</v>
      </c>
      <c r="U5381" s="21">
        <v>2128308.08</v>
      </c>
      <c r="V5381" s="21" t="s">
        <v>368</v>
      </c>
      <c r="W5381" t="str">
        <f>VLOOKUP(Table_Query_from_Actuarial___Production[[#This Row],[Kor1]],$AI$3:$AK$105,3,FALSE)</f>
        <v>Claims Expense</v>
      </c>
      <c r="X5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1"/>
      <c r="Z5381" t="s">
        <v>39</v>
      </c>
      <c r="AA5381" t="s">
        <v>233</v>
      </c>
      <c r="AB5381" t="s">
        <v>6</v>
      </c>
      <c r="AC5381" s="21">
        <v>68</v>
      </c>
      <c r="AD5381" s="21" t="s">
        <v>368</v>
      </c>
      <c r="AE5381" t="str">
        <f>VLOOKUP(Table_Query_from_Actuarial___Production3[[#This Row],[Kor1]],$AI$3:$AK$105,3,FALSE)</f>
        <v>Misc. Income for Insolvent Companies</v>
      </c>
      <c r="AF5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2" spans="18:32" x14ac:dyDescent="0.2">
      <c r="R5382" t="s">
        <v>12</v>
      </c>
      <c r="S5382" t="s">
        <v>244</v>
      </c>
      <c r="T5382" t="s">
        <v>7</v>
      </c>
      <c r="U5382" s="21">
        <v>20955.939999999999</v>
      </c>
      <c r="V5382" s="21" t="s">
        <v>368</v>
      </c>
      <c r="W5382" t="str">
        <f>VLOOKUP(Table_Query_from_Actuarial___Production[[#This Row],[Kor1]],$AI$3:$AK$105,3,FALSE)</f>
        <v>Premium Tax</v>
      </c>
      <c r="X5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2"/>
      <c r="Z5382" t="s">
        <v>11</v>
      </c>
      <c r="AA5382" t="s">
        <v>238</v>
      </c>
      <c r="AB5382" t="s">
        <v>442</v>
      </c>
      <c r="AC5382" s="21">
        <v>345173.08</v>
      </c>
      <c r="AD5382" s="21" t="s">
        <v>368</v>
      </c>
      <c r="AE5382" t="str">
        <f>VLOOKUP(Table_Query_from_Actuarial___Production3[[#This Row],[Kor1]],$AI$3:$AK$105,3,FALSE)</f>
        <v>Losses Paid</v>
      </c>
      <c r="AF5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3" spans="18:32" x14ac:dyDescent="0.2">
      <c r="R5383" t="s">
        <v>39</v>
      </c>
      <c r="S5383" t="s">
        <v>252</v>
      </c>
      <c r="T5383" t="s">
        <v>445</v>
      </c>
      <c r="U5383" s="21">
        <v>821.84</v>
      </c>
      <c r="V5383" s="21" t="s">
        <v>368</v>
      </c>
      <c r="W5383" t="str">
        <f>VLOOKUP(Table_Query_from_Actuarial___Production[[#This Row],[Kor1]],$AI$3:$AK$105,3,FALSE)</f>
        <v>Misc. Income for Insolvent Companies</v>
      </c>
      <c r="X5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3"/>
      <c r="Z5383" t="s">
        <v>12</v>
      </c>
      <c r="AA5383" t="s">
        <v>262</v>
      </c>
      <c r="AB5383" t="s">
        <v>8</v>
      </c>
      <c r="AC5383" s="21">
        <v>3042.7</v>
      </c>
      <c r="AD5383" s="21" t="s">
        <v>368</v>
      </c>
      <c r="AE5383" t="str">
        <f>VLOOKUP(Table_Query_from_Actuarial___Production3[[#This Row],[Kor1]],$AI$3:$AK$105,3,FALSE)</f>
        <v>Premium Tax</v>
      </c>
      <c r="AF5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4" spans="18:32" x14ac:dyDescent="0.2">
      <c r="R5384" t="s">
        <v>39</v>
      </c>
      <c r="S5384" t="s">
        <v>258</v>
      </c>
      <c r="T5384" t="s">
        <v>445</v>
      </c>
      <c r="U5384" s="21">
        <v>3474.91</v>
      </c>
      <c r="V5384" s="21" t="s">
        <v>368</v>
      </c>
      <c r="W5384" t="str">
        <f>VLOOKUP(Table_Query_from_Actuarial___Production[[#This Row],[Kor1]],$AI$3:$AK$105,3,FALSE)</f>
        <v>Misc. Income for Insolvent Companies</v>
      </c>
      <c r="X5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4"/>
      <c r="Z5384" t="s">
        <v>14</v>
      </c>
      <c r="AA5384" t="s">
        <v>233</v>
      </c>
      <c r="AB5384" t="s">
        <v>351</v>
      </c>
      <c r="AC5384" s="21">
        <v>51565.73</v>
      </c>
      <c r="AD5384" s="21" t="s">
        <v>368</v>
      </c>
      <c r="AE5384" t="str">
        <f>VLOOKUP(Table_Query_from_Actuarial___Production3[[#This Row],[Kor1]],$AI$3:$AK$105,3,FALSE)</f>
        <v>Claims Expense</v>
      </c>
      <c r="AF5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5" spans="18:32" x14ac:dyDescent="0.2">
      <c r="R5385" t="s">
        <v>11</v>
      </c>
      <c r="S5385" t="s">
        <v>236</v>
      </c>
      <c r="T5385" t="s">
        <v>433</v>
      </c>
      <c r="U5385" s="21">
        <v>6392.66</v>
      </c>
      <c r="V5385" s="21" t="s">
        <v>368</v>
      </c>
      <c r="W5385" t="str">
        <f>VLOOKUP(Table_Query_from_Actuarial___Production[[#This Row],[Kor1]],$AI$3:$AK$105,3,FALSE)</f>
        <v>Losses Paid</v>
      </c>
      <c r="X5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5"/>
      <c r="Z5385" t="s">
        <v>33</v>
      </c>
      <c r="AA5385" t="s">
        <v>265</v>
      </c>
      <c r="AB5385" t="s">
        <v>8</v>
      </c>
      <c r="AC5385" s="21">
        <v>15037.22</v>
      </c>
      <c r="AD5385" s="21" t="s">
        <v>368</v>
      </c>
      <c r="AE5385" t="str">
        <f>VLOOKUP(Table_Query_from_Actuarial___Production3[[#This Row],[Kor1]],$AI$3:$AK$105,3,FALSE)</f>
        <v>Misc. Expense</v>
      </c>
      <c r="AF5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6" spans="18:32" x14ac:dyDescent="0.2">
      <c r="R5386" t="s">
        <v>33</v>
      </c>
      <c r="S5386" t="s">
        <v>249</v>
      </c>
      <c r="T5386" t="s">
        <v>441</v>
      </c>
      <c r="U5386" s="21">
        <v>18578.28</v>
      </c>
      <c r="V5386" s="21" t="s">
        <v>368</v>
      </c>
      <c r="W5386" t="str">
        <f>VLOOKUP(Table_Query_from_Actuarial___Production[[#This Row],[Kor1]],$AI$3:$AK$105,3,FALSE)</f>
        <v>Misc. Expense</v>
      </c>
      <c r="X5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6"/>
      <c r="Z5386" t="s">
        <v>12</v>
      </c>
      <c r="AA5386" t="s">
        <v>235</v>
      </c>
      <c r="AB5386" t="s">
        <v>351</v>
      </c>
      <c r="AC5386" s="21">
        <v>25825.26</v>
      </c>
      <c r="AD5386" s="21" t="s">
        <v>368</v>
      </c>
      <c r="AE5386" t="str">
        <f>VLOOKUP(Table_Query_from_Actuarial___Production3[[#This Row],[Kor1]],$AI$3:$AK$105,3,FALSE)</f>
        <v>Premium Tax</v>
      </c>
      <c r="AF5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7" spans="18:32" x14ac:dyDescent="0.2">
      <c r="R5387" t="s">
        <v>13</v>
      </c>
      <c r="S5387" t="s">
        <v>264</v>
      </c>
      <c r="T5387" t="s">
        <v>441</v>
      </c>
      <c r="U5387" s="21">
        <v>795440.95</v>
      </c>
      <c r="V5387" s="21" t="s">
        <v>368</v>
      </c>
      <c r="W5387" t="str">
        <f>VLOOKUP(Table_Query_from_Actuarial___Production[[#This Row],[Kor1]],$AI$3:$AK$105,3,FALSE)</f>
        <v>Operating Service Fees</v>
      </c>
      <c r="X5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7"/>
      <c r="Z5387" t="s">
        <v>17</v>
      </c>
      <c r="AA5387" t="s">
        <v>240</v>
      </c>
      <c r="AB5387" t="s">
        <v>441</v>
      </c>
      <c r="AC5387" s="21">
        <v>565422.56000000006</v>
      </c>
      <c r="AD5387" s="21" t="s">
        <v>368</v>
      </c>
      <c r="AE5387" t="str">
        <f>VLOOKUP(Table_Query_from_Actuarial___Production3[[#This Row],[Kor1]],$AI$3:$AK$105,3,FALSE)</f>
        <v>IBNR</v>
      </c>
      <c r="AF5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8" spans="18:32" x14ac:dyDescent="0.2">
      <c r="R5388" t="s">
        <v>43</v>
      </c>
      <c r="S5388" t="s">
        <v>246</v>
      </c>
      <c r="T5388" t="s">
        <v>351</v>
      </c>
      <c r="U5388" s="21">
        <v>6.28</v>
      </c>
      <c r="V5388" s="21" t="s">
        <v>368</v>
      </c>
      <c r="W5388" t="str">
        <f>VLOOKUP(Table_Query_from_Actuarial___Production[[#This Row],[Kor1]],$AI$3:$AK$105,3,FALSE)</f>
        <v>Charge-offs</v>
      </c>
      <c r="X5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88"/>
      <c r="Z5388" t="s">
        <v>19</v>
      </c>
      <c r="AA5388" t="s">
        <v>241</v>
      </c>
      <c r="AB5388" t="s">
        <v>356</v>
      </c>
      <c r="AC5388" s="21">
        <v>2280</v>
      </c>
      <c r="AD5388" s="21" t="s">
        <v>368</v>
      </c>
      <c r="AE5388" t="str">
        <f>VLOOKUP(Table_Query_from_Actuarial___Production3[[#This Row],[Kor1]],$AI$3:$AK$105,3,FALSE)</f>
        <v>Misc. Expense for Insolvent Companies</v>
      </c>
      <c r="AF5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89" spans="18:32" x14ac:dyDescent="0.2">
      <c r="R5389" t="s">
        <v>44</v>
      </c>
      <c r="S5389" t="s">
        <v>224</v>
      </c>
      <c r="T5389" t="s">
        <v>433</v>
      </c>
      <c r="U5389" s="21">
        <v>3579.24</v>
      </c>
      <c r="V5389" s="21" t="s">
        <v>369</v>
      </c>
      <c r="W5389" t="str">
        <f>VLOOKUP(Table_Query_from_Actuarial___Production[[#This Row],[Kor1]],$AI$3:$AK$105,3,FALSE)</f>
        <v>Charge-offs</v>
      </c>
      <c r="X5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389"/>
      <c r="Z5389" t="s">
        <v>13</v>
      </c>
      <c r="AA5389" t="s">
        <v>260</v>
      </c>
      <c r="AB5389" t="s">
        <v>427</v>
      </c>
      <c r="AC5389" s="21">
        <v>1027.1500000000001</v>
      </c>
      <c r="AD5389" s="21" t="s">
        <v>368</v>
      </c>
      <c r="AE5389" t="str">
        <f>VLOOKUP(Table_Query_from_Actuarial___Production3[[#This Row],[Kor1]],$AI$3:$AK$105,3,FALSE)</f>
        <v>Operating Service Fees</v>
      </c>
      <c r="AF5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0" spans="18:32" x14ac:dyDescent="0.2">
      <c r="R5390" t="s">
        <v>44</v>
      </c>
      <c r="S5390" t="s">
        <v>248</v>
      </c>
      <c r="T5390" t="s">
        <v>433</v>
      </c>
      <c r="U5390" s="21">
        <v>-7.96</v>
      </c>
      <c r="V5390" s="21" t="s">
        <v>368</v>
      </c>
      <c r="W5390" t="str">
        <f>VLOOKUP(Table_Query_from_Actuarial___Production[[#This Row],[Kor1]],$AI$3:$AK$105,3,FALSE)</f>
        <v>Charge-offs</v>
      </c>
      <c r="X5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0"/>
      <c r="Z5390" t="s">
        <v>43</v>
      </c>
      <c r="AA5390" t="s">
        <v>256</v>
      </c>
      <c r="AB5390" t="s">
        <v>8</v>
      </c>
      <c r="AC5390" s="21">
        <v>541.12</v>
      </c>
      <c r="AD5390" s="21" t="s">
        <v>368</v>
      </c>
      <c r="AE5390" t="str">
        <f>VLOOKUP(Table_Query_from_Actuarial___Production3[[#This Row],[Kor1]],$AI$3:$AK$105,3,FALSE)</f>
        <v>Charge-offs</v>
      </c>
      <c r="AF5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1" spans="18:32" x14ac:dyDescent="0.2">
      <c r="R5391" t="s">
        <v>48</v>
      </c>
      <c r="S5391" t="s">
        <v>242</v>
      </c>
      <c r="T5391" t="s">
        <v>445</v>
      </c>
      <c r="U5391" s="21">
        <v>472.35</v>
      </c>
      <c r="V5391" s="21" t="s">
        <v>368</v>
      </c>
      <c r="W5391" t="str">
        <f>VLOOKUP(Table_Query_from_Actuarial___Production[[#This Row],[Kor1]],$AI$3:$AK$105,3,FALSE)</f>
        <v>Anticipated Salvage</v>
      </c>
      <c r="X5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1"/>
      <c r="Z5391" t="s">
        <v>3</v>
      </c>
      <c r="AA5391" t="s">
        <v>243</v>
      </c>
      <c r="AB5391" t="s">
        <v>356</v>
      </c>
      <c r="AC5391" s="21">
        <v>368026</v>
      </c>
      <c r="AD5391" s="21" t="s">
        <v>368</v>
      </c>
      <c r="AE5391" t="str">
        <f>VLOOKUP(Table_Query_from_Actuarial___Production3[[#This Row],[Kor1]],$AI$3:$AK$105,3,FALSE)</f>
        <v>Premiums Written</v>
      </c>
      <c r="AF5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2" spans="18:32" x14ac:dyDescent="0.2">
      <c r="R5392" t="s">
        <v>444</v>
      </c>
      <c r="S5392" t="s">
        <v>231</v>
      </c>
      <c r="T5392" t="s">
        <v>443</v>
      </c>
      <c r="U5392" s="21">
        <v>23464.2</v>
      </c>
      <c r="V5392" s="21" t="s">
        <v>368</v>
      </c>
      <c r="W5392" t="str">
        <f>VLOOKUP(Table_Query_from_Actuarial___Production[[#This Row],[Kor1]],$AI$3:$AK$105,3,FALSE)</f>
        <v>Misc. Expense</v>
      </c>
      <c r="X5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2"/>
      <c r="Z5392" t="s">
        <v>20</v>
      </c>
      <c r="AA5392" t="s">
        <v>237</v>
      </c>
      <c r="AB5392" t="s">
        <v>6</v>
      </c>
      <c r="AC5392" s="21">
        <v>242.01</v>
      </c>
      <c r="AD5392" s="21" t="s">
        <v>368</v>
      </c>
      <c r="AE5392" t="str">
        <f>VLOOKUP(Table_Query_from_Actuarial___Production3[[#This Row],[Kor1]],$AI$3:$AK$105,3,FALSE)</f>
        <v>Misc. Expense</v>
      </c>
      <c r="AF5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3" spans="18:32" x14ac:dyDescent="0.2">
      <c r="R5393" t="s">
        <v>32</v>
      </c>
      <c r="S5393" t="s">
        <v>241</v>
      </c>
      <c r="T5393" t="s">
        <v>427</v>
      </c>
      <c r="U5393" s="21">
        <v>22613</v>
      </c>
      <c r="V5393" s="21" t="s">
        <v>368</v>
      </c>
      <c r="W5393" t="str">
        <f>VLOOKUP(Table_Query_from_Actuarial___Production[[#This Row],[Kor1]],$AI$3:$AK$105,3,FALSE)</f>
        <v>Misc. Expense</v>
      </c>
      <c r="X5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3"/>
      <c r="Z5393" t="s">
        <v>31</v>
      </c>
      <c r="AA5393" t="s">
        <v>264</v>
      </c>
      <c r="AB5393" t="s">
        <v>433</v>
      </c>
      <c r="AC5393" s="21">
        <v>737.15</v>
      </c>
      <c r="AD5393" s="21" t="s">
        <v>368</v>
      </c>
      <c r="AE5393" t="str">
        <f>VLOOKUP(Table_Query_from_Actuarial___Production3[[#This Row],[Kor1]],$AI$3:$AK$105,3,FALSE)</f>
        <v>Misc. Expense</v>
      </c>
      <c r="AF5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4" spans="18:32" x14ac:dyDescent="0.2">
      <c r="R5394" t="s">
        <v>12</v>
      </c>
      <c r="S5394" t="s">
        <v>259</v>
      </c>
      <c r="T5394" t="s">
        <v>427</v>
      </c>
      <c r="U5394" s="21">
        <v>20058.12</v>
      </c>
      <c r="V5394" s="21" t="s">
        <v>368</v>
      </c>
      <c r="W5394" t="str">
        <f>VLOOKUP(Table_Query_from_Actuarial___Production[[#This Row],[Kor1]],$AI$3:$AK$105,3,FALSE)</f>
        <v>Premium Tax</v>
      </c>
      <c r="X5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4"/>
      <c r="Z5394" t="s">
        <v>39</v>
      </c>
      <c r="AA5394" t="s">
        <v>257</v>
      </c>
      <c r="AB5394" t="s">
        <v>442</v>
      </c>
      <c r="AC5394" s="21">
        <v>8</v>
      </c>
      <c r="AD5394" s="21" t="s">
        <v>368</v>
      </c>
      <c r="AE5394" t="str">
        <f>VLOOKUP(Table_Query_from_Actuarial___Production3[[#This Row],[Kor1]],$AI$3:$AK$105,3,FALSE)</f>
        <v>Misc. Income for Insolvent Companies</v>
      </c>
      <c r="AF5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5" spans="18:32" x14ac:dyDescent="0.2">
      <c r="R5395" t="s">
        <v>31</v>
      </c>
      <c r="S5395" t="s">
        <v>251</v>
      </c>
      <c r="T5395" t="s">
        <v>442</v>
      </c>
      <c r="U5395" s="21">
        <v>1167.1600000000001</v>
      </c>
      <c r="V5395" s="21" t="s">
        <v>368</v>
      </c>
      <c r="W5395" t="str">
        <f>VLOOKUP(Table_Query_from_Actuarial___Production[[#This Row],[Kor1]],$AI$3:$AK$105,3,FALSE)</f>
        <v>Misc. Expense</v>
      </c>
      <c r="X5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5"/>
      <c r="Z5395" t="s">
        <v>14</v>
      </c>
      <c r="AA5395" t="s">
        <v>237</v>
      </c>
      <c r="AB5395" t="s">
        <v>9</v>
      </c>
      <c r="AC5395" s="21">
        <v>2128308.08</v>
      </c>
      <c r="AD5395" s="21" t="s">
        <v>368</v>
      </c>
      <c r="AE5395" t="str">
        <f>VLOOKUP(Table_Query_from_Actuarial___Production3[[#This Row],[Kor1]],$AI$3:$AK$105,3,FALSE)</f>
        <v>Claims Expense</v>
      </c>
      <c r="AF5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6" spans="18:32" x14ac:dyDescent="0.2">
      <c r="R5396" t="s">
        <v>3</v>
      </c>
      <c r="S5396" t="s">
        <v>261</v>
      </c>
      <c r="T5396" t="s">
        <v>356</v>
      </c>
      <c r="U5396" s="21">
        <v>587173</v>
      </c>
      <c r="V5396" s="21" t="s">
        <v>368</v>
      </c>
      <c r="W5396" t="str">
        <f>VLOOKUP(Table_Query_from_Actuarial___Production[[#This Row],[Kor1]],$AI$3:$AK$105,3,FALSE)</f>
        <v>Premiums Written</v>
      </c>
      <c r="X5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6"/>
      <c r="Z5396" t="s">
        <v>12</v>
      </c>
      <c r="AA5396" t="s">
        <v>244</v>
      </c>
      <c r="AB5396" t="s">
        <v>7</v>
      </c>
      <c r="AC5396" s="21">
        <v>20955.939999999999</v>
      </c>
      <c r="AD5396" s="21" t="s">
        <v>368</v>
      </c>
      <c r="AE5396" t="str">
        <f>VLOOKUP(Table_Query_from_Actuarial___Production3[[#This Row],[Kor1]],$AI$3:$AK$105,3,FALSE)</f>
        <v>Premium Tax</v>
      </c>
      <c r="AF5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7" spans="18:32" x14ac:dyDescent="0.2">
      <c r="R5397" t="s">
        <v>11</v>
      </c>
      <c r="S5397" t="s">
        <v>252</v>
      </c>
      <c r="T5397" t="s">
        <v>442</v>
      </c>
      <c r="U5397" s="21">
        <v>10142159.689999999</v>
      </c>
      <c r="V5397" s="21" t="s">
        <v>368</v>
      </c>
      <c r="W5397" t="str">
        <f>VLOOKUP(Table_Query_from_Actuarial___Production[[#This Row],[Kor1]],$AI$3:$AK$105,3,FALSE)</f>
        <v>Losses Paid</v>
      </c>
      <c r="X5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7"/>
      <c r="Z5397" t="s">
        <v>11</v>
      </c>
      <c r="AA5397" t="s">
        <v>236</v>
      </c>
      <c r="AB5397" t="s">
        <v>433</v>
      </c>
      <c r="AC5397" s="21">
        <v>6392.66</v>
      </c>
      <c r="AD5397" s="21" t="s">
        <v>368</v>
      </c>
      <c r="AE5397" t="str">
        <f>VLOOKUP(Table_Query_from_Actuarial___Production3[[#This Row],[Kor1]],$AI$3:$AK$105,3,FALSE)</f>
        <v>Losses Paid</v>
      </c>
      <c r="AF5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8" spans="18:32" x14ac:dyDescent="0.2">
      <c r="R5398" t="s">
        <v>12</v>
      </c>
      <c r="S5398" t="s">
        <v>261</v>
      </c>
      <c r="T5398" t="s">
        <v>427</v>
      </c>
      <c r="U5398" s="21">
        <v>10835.01</v>
      </c>
      <c r="V5398" s="21" t="s">
        <v>368</v>
      </c>
      <c r="W5398" t="str">
        <f>VLOOKUP(Table_Query_from_Actuarial___Production[[#This Row],[Kor1]],$AI$3:$AK$105,3,FALSE)</f>
        <v>Premium Tax</v>
      </c>
      <c r="X5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8"/>
      <c r="Z5398" t="s">
        <v>17</v>
      </c>
      <c r="AA5398" t="s">
        <v>267</v>
      </c>
      <c r="AB5398" t="s">
        <v>427</v>
      </c>
      <c r="AC5398" s="21">
        <v>34833.24</v>
      </c>
      <c r="AD5398" s="21" t="s">
        <v>368</v>
      </c>
      <c r="AE5398" t="str">
        <f>VLOOKUP(Table_Query_from_Actuarial___Production3[[#This Row],[Kor1]],$AI$3:$AK$105,3,FALSE)</f>
        <v>IBNR</v>
      </c>
      <c r="AF5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399" spans="18:32" x14ac:dyDescent="0.2">
      <c r="R5399" t="s">
        <v>34</v>
      </c>
      <c r="S5399" t="s">
        <v>229</v>
      </c>
      <c r="T5399" t="s">
        <v>445</v>
      </c>
      <c r="U5399" s="21">
        <v>5648.93</v>
      </c>
      <c r="V5399" s="21" t="s">
        <v>368</v>
      </c>
      <c r="W5399" t="str">
        <f>VLOOKUP(Table_Query_from_Actuarial___Production[[#This Row],[Kor1]],$AI$3:$AK$105,3,FALSE)</f>
        <v>Misc. Expense</v>
      </c>
      <c r="X5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399"/>
      <c r="Z5399" t="s">
        <v>33</v>
      </c>
      <c r="AA5399" t="s">
        <v>249</v>
      </c>
      <c r="AB5399" t="s">
        <v>441</v>
      </c>
      <c r="AC5399" s="21">
        <v>18578.28</v>
      </c>
      <c r="AD5399" s="21" t="s">
        <v>368</v>
      </c>
      <c r="AE5399" t="str">
        <f>VLOOKUP(Table_Query_from_Actuarial___Production3[[#This Row],[Kor1]],$AI$3:$AK$105,3,FALSE)</f>
        <v>Misc. Expense</v>
      </c>
      <c r="AF5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0" spans="18:32" x14ac:dyDescent="0.2">
      <c r="R5400" t="s">
        <v>47</v>
      </c>
      <c r="S5400" t="s">
        <v>254</v>
      </c>
      <c r="T5400" t="s">
        <v>427</v>
      </c>
      <c r="U5400" s="21">
        <v>10490.39</v>
      </c>
      <c r="V5400" s="21" t="s">
        <v>368</v>
      </c>
      <c r="W5400" t="str">
        <f>VLOOKUP(Table_Query_from_Actuarial___Production[[#This Row],[Kor1]],$AI$3:$AK$105,3,FALSE)</f>
        <v>Investment Income</v>
      </c>
      <c r="X5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0"/>
      <c r="Z5400" t="s">
        <v>13</v>
      </c>
      <c r="AA5400" t="s">
        <v>264</v>
      </c>
      <c r="AB5400" t="s">
        <v>441</v>
      </c>
      <c r="AC5400" s="21">
        <v>795440.95</v>
      </c>
      <c r="AD5400" s="21" t="s">
        <v>368</v>
      </c>
      <c r="AE5400" t="str">
        <f>VLOOKUP(Table_Query_from_Actuarial___Production3[[#This Row],[Kor1]],$AI$3:$AK$105,3,FALSE)</f>
        <v>Operating Service Fees</v>
      </c>
      <c r="AF5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1" spans="18:32" x14ac:dyDescent="0.2">
      <c r="R5401" t="s">
        <v>11</v>
      </c>
      <c r="S5401" t="s">
        <v>234</v>
      </c>
      <c r="T5401" t="s">
        <v>442</v>
      </c>
      <c r="U5401" s="21">
        <v>384044.94</v>
      </c>
      <c r="V5401" s="21" t="s">
        <v>368</v>
      </c>
      <c r="W5401" t="str">
        <f>VLOOKUP(Table_Query_from_Actuarial___Production[[#This Row],[Kor1]],$AI$3:$AK$105,3,FALSE)</f>
        <v>Losses Paid</v>
      </c>
      <c r="X5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1"/>
      <c r="Z5401" t="s">
        <v>43</v>
      </c>
      <c r="AA5401" t="s">
        <v>246</v>
      </c>
      <c r="AB5401" t="s">
        <v>351</v>
      </c>
      <c r="AC5401" s="21">
        <v>6.28</v>
      </c>
      <c r="AD5401" s="21" t="s">
        <v>368</v>
      </c>
      <c r="AE5401" t="str">
        <f>VLOOKUP(Table_Query_from_Actuarial___Production3[[#This Row],[Kor1]],$AI$3:$AK$105,3,FALSE)</f>
        <v>Charge-offs</v>
      </c>
      <c r="AF5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2" spans="18:32" x14ac:dyDescent="0.2">
      <c r="R5402" t="s">
        <v>47</v>
      </c>
      <c r="S5402" t="s">
        <v>252</v>
      </c>
      <c r="T5402" t="s">
        <v>443</v>
      </c>
      <c r="U5402" s="21">
        <v>188824.3</v>
      </c>
      <c r="V5402" s="21" t="s">
        <v>368</v>
      </c>
      <c r="W5402" t="str">
        <f>VLOOKUP(Table_Query_from_Actuarial___Production[[#This Row],[Kor1]],$AI$3:$AK$105,3,FALSE)</f>
        <v>Investment Income</v>
      </c>
      <c r="X5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2"/>
      <c r="Z5402" t="s">
        <v>44</v>
      </c>
      <c r="AA5402" t="s">
        <v>224</v>
      </c>
      <c r="AB5402" t="s">
        <v>433</v>
      </c>
      <c r="AC5402" s="21">
        <v>3579.24</v>
      </c>
      <c r="AD5402" s="21" t="s">
        <v>369</v>
      </c>
      <c r="AE5402" t="str">
        <f>VLOOKUP(Table_Query_from_Actuarial___Production3[[#This Row],[Kor1]],$AI$3:$AK$105,3,FALSE)</f>
        <v>Charge-offs</v>
      </c>
      <c r="AF5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403" spans="18:32" x14ac:dyDescent="0.2">
      <c r="R5403" t="s">
        <v>17</v>
      </c>
      <c r="S5403" t="s">
        <v>224</v>
      </c>
      <c r="T5403" t="s">
        <v>442</v>
      </c>
      <c r="U5403" s="21">
        <v>721.59</v>
      </c>
      <c r="V5403" s="21" t="s">
        <v>369</v>
      </c>
      <c r="W5403" t="str">
        <f>VLOOKUP(Table_Query_from_Actuarial___Production[[#This Row],[Kor1]],$AI$3:$AK$105,3,FALSE)</f>
        <v>IBNR</v>
      </c>
      <c r="X5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403"/>
      <c r="Z5403" t="s">
        <v>44</v>
      </c>
      <c r="AA5403" t="s">
        <v>248</v>
      </c>
      <c r="AB5403" t="s">
        <v>433</v>
      </c>
      <c r="AC5403" s="21">
        <v>-7.96</v>
      </c>
      <c r="AD5403" s="21" t="s">
        <v>368</v>
      </c>
      <c r="AE5403" t="str">
        <f>VLOOKUP(Table_Query_from_Actuarial___Production3[[#This Row],[Kor1]],$AI$3:$AK$105,3,FALSE)</f>
        <v>Charge-offs</v>
      </c>
      <c r="AF5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4" spans="18:32" x14ac:dyDescent="0.2">
      <c r="R5404" t="s">
        <v>10</v>
      </c>
      <c r="S5404" t="s">
        <v>252</v>
      </c>
      <c r="T5404" t="s">
        <v>9</v>
      </c>
      <c r="U5404" s="21">
        <v>1017263.11</v>
      </c>
      <c r="V5404" s="21" t="s">
        <v>368</v>
      </c>
      <c r="W5404" t="str">
        <f>VLOOKUP(Table_Query_from_Actuarial___Production[[#This Row],[Kor1]],$AI$3:$AK$105,3,FALSE)</f>
        <v>Commissions</v>
      </c>
      <c r="X5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4"/>
      <c r="Z5404" t="s">
        <v>32</v>
      </c>
      <c r="AA5404" t="s">
        <v>241</v>
      </c>
      <c r="AB5404" t="s">
        <v>427</v>
      </c>
      <c r="AC5404" s="21">
        <v>22613</v>
      </c>
      <c r="AD5404" s="21" t="s">
        <v>368</v>
      </c>
      <c r="AE5404" t="str">
        <f>VLOOKUP(Table_Query_from_Actuarial___Production3[[#This Row],[Kor1]],$AI$3:$AK$105,3,FALSE)</f>
        <v>Misc. Expense</v>
      </c>
      <c r="AF5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5" spans="18:32" x14ac:dyDescent="0.2">
      <c r="R5405" t="s">
        <v>21</v>
      </c>
      <c r="S5405" t="s">
        <v>243</v>
      </c>
      <c r="T5405" t="s">
        <v>351</v>
      </c>
      <c r="U5405" s="21">
        <v>487.99</v>
      </c>
      <c r="V5405" s="21" t="s">
        <v>368</v>
      </c>
      <c r="W5405" t="str">
        <f>VLOOKUP(Table_Query_from_Actuarial___Production[[#This Row],[Kor1]],$AI$3:$AK$105,3,FALSE)</f>
        <v>Misc. Expense</v>
      </c>
      <c r="X5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5"/>
      <c r="Z5405" t="s">
        <v>34</v>
      </c>
      <c r="AA5405" t="s">
        <v>240</v>
      </c>
      <c r="AB5405" t="s">
        <v>5</v>
      </c>
      <c r="AC5405" s="21">
        <v>5.98</v>
      </c>
      <c r="AD5405" s="21" t="s">
        <v>368</v>
      </c>
      <c r="AE5405" t="str">
        <f>VLOOKUP(Table_Query_from_Actuarial___Production3[[#This Row],[Kor1]],$AI$3:$AK$105,3,FALSE)</f>
        <v>Misc. Expense</v>
      </c>
      <c r="AF5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6" spans="18:32" x14ac:dyDescent="0.2">
      <c r="R5406" t="s">
        <v>3</v>
      </c>
      <c r="S5406" t="s">
        <v>235</v>
      </c>
      <c r="T5406" t="s">
        <v>445</v>
      </c>
      <c r="U5406" s="21">
        <v>96045</v>
      </c>
      <c r="V5406" s="21" t="s">
        <v>368</v>
      </c>
      <c r="W5406" t="str">
        <f>VLOOKUP(Table_Query_from_Actuarial___Production[[#This Row],[Kor1]],$AI$3:$AK$105,3,FALSE)</f>
        <v>Premiums Written</v>
      </c>
      <c r="X5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6"/>
      <c r="Z5406" t="s">
        <v>12</v>
      </c>
      <c r="AA5406" t="s">
        <v>259</v>
      </c>
      <c r="AB5406" t="s">
        <v>427</v>
      </c>
      <c r="AC5406" s="21">
        <v>20058.12</v>
      </c>
      <c r="AD5406" s="21" t="s">
        <v>368</v>
      </c>
      <c r="AE5406" t="str">
        <f>VLOOKUP(Table_Query_from_Actuarial___Production3[[#This Row],[Kor1]],$AI$3:$AK$105,3,FALSE)</f>
        <v>Premium Tax</v>
      </c>
      <c r="AF5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7" spans="18:32" x14ac:dyDescent="0.2">
      <c r="R5407" t="s">
        <v>33</v>
      </c>
      <c r="S5407" t="s">
        <v>239</v>
      </c>
      <c r="T5407" t="s">
        <v>441</v>
      </c>
      <c r="U5407" s="21">
        <v>15234.71</v>
      </c>
      <c r="V5407" s="21" t="s">
        <v>368</v>
      </c>
      <c r="W5407" t="str">
        <f>VLOOKUP(Table_Query_from_Actuarial___Production[[#This Row],[Kor1]],$AI$3:$AK$105,3,FALSE)</f>
        <v>Misc. Expense</v>
      </c>
      <c r="X5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7"/>
      <c r="Z5407" t="s">
        <v>31</v>
      </c>
      <c r="AA5407" t="s">
        <v>251</v>
      </c>
      <c r="AB5407" t="s">
        <v>442</v>
      </c>
      <c r="AC5407" s="21">
        <v>1167.1600000000001</v>
      </c>
      <c r="AD5407" s="21" t="s">
        <v>368</v>
      </c>
      <c r="AE5407" t="str">
        <f>VLOOKUP(Table_Query_from_Actuarial___Production3[[#This Row],[Kor1]],$AI$3:$AK$105,3,FALSE)</f>
        <v>Misc. Expense</v>
      </c>
      <c r="AF5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8" spans="18:32" x14ac:dyDescent="0.2">
      <c r="R5408" t="s">
        <v>37</v>
      </c>
      <c r="S5408" t="s">
        <v>229</v>
      </c>
      <c r="T5408" t="s">
        <v>356</v>
      </c>
      <c r="U5408" s="21">
        <v>98.22</v>
      </c>
      <c r="V5408" s="21" t="s">
        <v>368</v>
      </c>
      <c r="W5408" t="str">
        <f>VLOOKUP(Table_Query_from_Actuarial___Production[[#This Row],[Kor1]],$AI$3:$AK$105,3,FALSE)</f>
        <v>Misc. Expense</v>
      </c>
      <c r="X5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8"/>
      <c r="Z5408" t="s">
        <v>3</v>
      </c>
      <c r="AA5408" t="s">
        <v>261</v>
      </c>
      <c r="AB5408" t="s">
        <v>356</v>
      </c>
      <c r="AC5408" s="21">
        <v>587173</v>
      </c>
      <c r="AD5408" s="21" t="s">
        <v>368</v>
      </c>
      <c r="AE5408" t="str">
        <f>VLOOKUP(Table_Query_from_Actuarial___Production3[[#This Row],[Kor1]],$AI$3:$AK$105,3,FALSE)</f>
        <v>Premiums Written</v>
      </c>
      <c r="AF5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09" spans="18:32" x14ac:dyDescent="0.2">
      <c r="R5409" t="s">
        <v>43</v>
      </c>
      <c r="S5409" t="s">
        <v>244</v>
      </c>
      <c r="T5409" t="s">
        <v>8</v>
      </c>
      <c r="U5409" s="21">
        <v>3022.11</v>
      </c>
      <c r="V5409" s="21" t="s">
        <v>368</v>
      </c>
      <c r="W5409" t="str">
        <f>VLOOKUP(Table_Query_from_Actuarial___Production[[#This Row],[Kor1]],$AI$3:$AK$105,3,FALSE)</f>
        <v>Charge-offs</v>
      </c>
      <c r="X5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09"/>
      <c r="Z5409" t="s">
        <v>11</v>
      </c>
      <c r="AA5409" t="s">
        <v>252</v>
      </c>
      <c r="AB5409" t="s">
        <v>442</v>
      </c>
      <c r="AC5409" s="21">
        <v>3588118.81</v>
      </c>
      <c r="AD5409" s="21" t="s">
        <v>368</v>
      </c>
      <c r="AE5409" t="str">
        <f>VLOOKUP(Table_Query_from_Actuarial___Production3[[#This Row],[Kor1]],$AI$3:$AK$105,3,FALSE)</f>
        <v>Losses Paid</v>
      </c>
      <c r="AF5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0" spans="18:32" x14ac:dyDescent="0.2">
      <c r="R5410" t="s">
        <v>44</v>
      </c>
      <c r="S5410" t="s">
        <v>249</v>
      </c>
      <c r="T5410" t="s">
        <v>7</v>
      </c>
      <c r="U5410" s="21">
        <v>-2</v>
      </c>
      <c r="V5410" s="21" t="s">
        <v>368</v>
      </c>
      <c r="W5410" t="str">
        <f>VLOOKUP(Table_Query_from_Actuarial___Production[[#This Row],[Kor1]],$AI$3:$AK$105,3,FALSE)</f>
        <v>Charge-offs</v>
      </c>
      <c r="X5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0"/>
      <c r="Z5410" t="s">
        <v>12</v>
      </c>
      <c r="AA5410" t="s">
        <v>261</v>
      </c>
      <c r="AB5410" t="s">
        <v>427</v>
      </c>
      <c r="AC5410" s="21">
        <v>10835.01</v>
      </c>
      <c r="AD5410" s="21" t="s">
        <v>368</v>
      </c>
      <c r="AE5410" t="str">
        <f>VLOOKUP(Table_Query_from_Actuarial___Production3[[#This Row],[Kor1]],$AI$3:$AK$105,3,FALSE)</f>
        <v>Premium Tax</v>
      </c>
      <c r="AF5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1" spans="18:32" x14ac:dyDescent="0.2">
      <c r="R5411" t="s">
        <v>16</v>
      </c>
      <c r="S5411" t="s">
        <v>249</v>
      </c>
      <c r="T5411" t="s">
        <v>441</v>
      </c>
      <c r="U5411" s="21">
        <v>1603959.97</v>
      </c>
      <c r="V5411" s="21" t="s">
        <v>368</v>
      </c>
      <c r="W5411" t="str">
        <f>VLOOKUP(Table_Query_from_Actuarial___Production[[#This Row],[Kor1]],$AI$3:$AK$105,3,FALSE)</f>
        <v>Losses Outstanding</v>
      </c>
      <c r="X5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1"/>
      <c r="Z5411" t="s">
        <v>47</v>
      </c>
      <c r="AA5411" t="s">
        <v>254</v>
      </c>
      <c r="AB5411" t="s">
        <v>427</v>
      </c>
      <c r="AC5411" s="21">
        <v>10490.39</v>
      </c>
      <c r="AD5411" s="21" t="s">
        <v>368</v>
      </c>
      <c r="AE5411" t="str">
        <f>VLOOKUP(Table_Query_from_Actuarial___Production3[[#This Row],[Kor1]],$AI$3:$AK$105,3,FALSE)</f>
        <v>Investment Income</v>
      </c>
      <c r="AF5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2" spans="18:32" x14ac:dyDescent="0.2">
      <c r="R5412" t="s">
        <v>12</v>
      </c>
      <c r="S5412" t="s">
        <v>266</v>
      </c>
      <c r="T5412" t="s">
        <v>6</v>
      </c>
      <c r="U5412" s="21">
        <v>9004.8799999999992</v>
      </c>
      <c r="V5412" s="21" t="s">
        <v>368</v>
      </c>
      <c r="W5412" t="str">
        <f>VLOOKUP(Table_Query_from_Actuarial___Production[[#This Row],[Kor1]],$AI$3:$AK$105,3,FALSE)</f>
        <v>Premium Tax</v>
      </c>
      <c r="X5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2"/>
      <c r="Z5412" t="s">
        <v>11</v>
      </c>
      <c r="AA5412" t="s">
        <v>234</v>
      </c>
      <c r="AB5412" t="s">
        <v>442</v>
      </c>
      <c r="AC5412" s="21">
        <v>234237.2</v>
      </c>
      <c r="AD5412" s="21" t="s">
        <v>368</v>
      </c>
      <c r="AE5412" t="str">
        <f>VLOOKUP(Table_Query_from_Actuarial___Production3[[#This Row],[Kor1]],$AI$3:$AK$105,3,FALSE)</f>
        <v>Losses Paid</v>
      </c>
      <c r="AF5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3" spans="18:32" x14ac:dyDescent="0.2">
      <c r="R5413" t="s">
        <v>44</v>
      </c>
      <c r="S5413" t="s">
        <v>230</v>
      </c>
      <c r="T5413" t="s">
        <v>427</v>
      </c>
      <c r="U5413" s="21">
        <v>1854160.03</v>
      </c>
      <c r="V5413" s="21" t="s">
        <v>368</v>
      </c>
      <c r="W5413" t="str">
        <f>VLOOKUP(Table_Query_from_Actuarial___Production[[#This Row],[Kor1]],$AI$3:$AK$105,3,FALSE)</f>
        <v>Charge-offs</v>
      </c>
      <c r="X5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3"/>
      <c r="Z5413" t="s">
        <v>17</v>
      </c>
      <c r="AA5413" t="s">
        <v>259</v>
      </c>
      <c r="AB5413" t="s">
        <v>427</v>
      </c>
      <c r="AC5413" s="21">
        <v>47800.86</v>
      </c>
      <c r="AD5413" s="21" t="s">
        <v>368</v>
      </c>
      <c r="AE5413" t="str">
        <f>VLOOKUP(Table_Query_from_Actuarial___Production3[[#This Row],[Kor1]],$AI$3:$AK$105,3,FALSE)</f>
        <v>IBNR</v>
      </c>
      <c r="AF5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4" spans="18:32" x14ac:dyDescent="0.2">
      <c r="R5414" t="s">
        <v>34</v>
      </c>
      <c r="S5414" t="s">
        <v>235</v>
      </c>
      <c r="T5414" t="s">
        <v>7</v>
      </c>
      <c r="U5414" s="21">
        <v>3.59</v>
      </c>
      <c r="V5414" s="21" t="s">
        <v>368</v>
      </c>
      <c r="W5414" t="str">
        <f>VLOOKUP(Table_Query_from_Actuarial___Production[[#This Row],[Kor1]],$AI$3:$AK$105,3,FALSE)</f>
        <v>Misc. Expense</v>
      </c>
      <c r="X5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4"/>
      <c r="Z5414" t="s">
        <v>47</v>
      </c>
      <c r="AA5414" t="s">
        <v>252</v>
      </c>
      <c r="AB5414" t="s">
        <v>443</v>
      </c>
      <c r="AC5414" s="21">
        <v>62238.41</v>
      </c>
      <c r="AD5414" s="21" t="s">
        <v>368</v>
      </c>
      <c r="AE5414" t="str">
        <f>VLOOKUP(Table_Query_from_Actuarial___Production3[[#This Row],[Kor1]],$AI$3:$AK$105,3,FALSE)</f>
        <v>Investment Income</v>
      </c>
      <c r="AF5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5" spans="18:32" x14ac:dyDescent="0.2">
      <c r="R5415" t="s">
        <v>43</v>
      </c>
      <c r="S5415" t="s">
        <v>227</v>
      </c>
      <c r="T5415" t="s">
        <v>351</v>
      </c>
      <c r="U5415" s="21">
        <v>-482.19</v>
      </c>
      <c r="V5415" s="21" t="s">
        <v>368</v>
      </c>
      <c r="W5415" t="str">
        <f>VLOOKUP(Table_Query_from_Actuarial___Production[[#This Row],[Kor1]],$AI$3:$AK$105,3,FALSE)</f>
        <v>Charge-offs</v>
      </c>
      <c r="X5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5"/>
      <c r="Z5415" t="s">
        <v>17</v>
      </c>
      <c r="AA5415" t="s">
        <v>224</v>
      </c>
      <c r="AB5415" t="s">
        <v>442</v>
      </c>
      <c r="AC5415" s="21">
        <v>2960</v>
      </c>
      <c r="AD5415" s="21" t="s">
        <v>369</v>
      </c>
      <c r="AE5415" t="str">
        <f>VLOOKUP(Table_Query_from_Actuarial___Production3[[#This Row],[Kor1]],$AI$3:$AK$105,3,FALSE)</f>
        <v>IBNR</v>
      </c>
      <c r="AF5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416" spans="18:32" x14ac:dyDescent="0.2">
      <c r="R5416" t="s">
        <v>40</v>
      </c>
      <c r="S5416" t="s">
        <v>239</v>
      </c>
      <c r="T5416" t="s">
        <v>8</v>
      </c>
      <c r="U5416" s="21">
        <v>186</v>
      </c>
      <c r="V5416" s="21" t="s">
        <v>368</v>
      </c>
      <c r="W5416" t="str">
        <f>VLOOKUP(Table_Query_from_Actuarial___Production[[#This Row],[Kor1]],$AI$3:$AK$105,3,FALSE)</f>
        <v>Misc. Income</v>
      </c>
      <c r="X5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6"/>
      <c r="Z5416" t="s">
        <v>10</v>
      </c>
      <c r="AA5416" t="s">
        <v>252</v>
      </c>
      <c r="AB5416" t="s">
        <v>9</v>
      </c>
      <c r="AC5416" s="21">
        <v>1017263.11</v>
      </c>
      <c r="AD5416" s="21" t="s">
        <v>368</v>
      </c>
      <c r="AE5416" t="str">
        <f>VLOOKUP(Table_Query_from_Actuarial___Production3[[#This Row],[Kor1]],$AI$3:$AK$105,3,FALSE)</f>
        <v>Commissions</v>
      </c>
      <c r="AF5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7" spans="18:32" x14ac:dyDescent="0.2">
      <c r="R5417" t="s">
        <v>13</v>
      </c>
      <c r="S5417" t="s">
        <v>224</v>
      </c>
      <c r="T5417" t="s">
        <v>7</v>
      </c>
      <c r="U5417" s="21">
        <v>177083.9</v>
      </c>
      <c r="V5417" s="21" t="s">
        <v>370</v>
      </c>
      <c r="W5417" t="str">
        <f>VLOOKUP(Table_Query_from_Actuarial___Production[[#This Row],[Kor1]],$AI$3:$AK$105,3,FALSE)</f>
        <v>Operating Service Fees</v>
      </c>
      <c r="X5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417"/>
      <c r="Z5417" t="s">
        <v>21</v>
      </c>
      <c r="AA5417" t="s">
        <v>243</v>
      </c>
      <c r="AB5417" t="s">
        <v>351</v>
      </c>
      <c r="AC5417" s="21">
        <v>487.99</v>
      </c>
      <c r="AD5417" s="21" t="s">
        <v>368</v>
      </c>
      <c r="AE5417" t="str">
        <f>VLOOKUP(Table_Query_from_Actuarial___Production3[[#This Row],[Kor1]],$AI$3:$AK$105,3,FALSE)</f>
        <v>Misc. Expense</v>
      </c>
      <c r="AF5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8" spans="18:32" x14ac:dyDescent="0.2">
      <c r="R5418" t="s">
        <v>13</v>
      </c>
      <c r="S5418" t="s">
        <v>260</v>
      </c>
      <c r="T5418" t="s">
        <v>443</v>
      </c>
      <c r="U5418" s="21">
        <v>18755.04</v>
      </c>
      <c r="V5418" s="21" t="s">
        <v>368</v>
      </c>
      <c r="W5418" t="str">
        <f>VLOOKUP(Table_Query_from_Actuarial___Production[[#This Row],[Kor1]],$AI$3:$AK$105,3,FALSE)</f>
        <v>Operating Service Fees</v>
      </c>
      <c r="X5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8"/>
      <c r="Z5418" t="s">
        <v>33</v>
      </c>
      <c r="AA5418" t="s">
        <v>239</v>
      </c>
      <c r="AB5418" t="s">
        <v>441</v>
      </c>
      <c r="AC5418" s="21">
        <v>15234.71</v>
      </c>
      <c r="AD5418" s="21" t="s">
        <v>368</v>
      </c>
      <c r="AE5418" t="str">
        <f>VLOOKUP(Table_Query_from_Actuarial___Production3[[#This Row],[Kor1]],$AI$3:$AK$105,3,FALSE)</f>
        <v>Misc. Expense</v>
      </c>
      <c r="AF5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19" spans="18:32" x14ac:dyDescent="0.2">
      <c r="R5419" t="s">
        <v>17</v>
      </c>
      <c r="S5419" t="s">
        <v>241</v>
      </c>
      <c r="T5419" t="s">
        <v>433</v>
      </c>
      <c r="U5419" s="21">
        <v>45660.9</v>
      </c>
      <c r="V5419" s="21" t="s">
        <v>368</v>
      </c>
      <c r="W5419" t="str">
        <f>VLOOKUP(Table_Query_from_Actuarial___Production[[#This Row],[Kor1]],$AI$3:$AK$105,3,FALSE)</f>
        <v>IBNR</v>
      </c>
      <c r="X5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19"/>
      <c r="Z5419" t="s">
        <v>37</v>
      </c>
      <c r="AA5419" t="s">
        <v>229</v>
      </c>
      <c r="AB5419" t="s">
        <v>356</v>
      </c>
      <c r="AC5419" s="21">
        <v>98.22</v>
      </c>
      <c r="AD5419" s="21" t="s">
        <v>368</v>
      </c>
      <c r="AE5419" t="str">
        <f>VLOOKUP(Table_Query_from_Actuarial___Production3[[#This Row],[Kor1]],$AI$3:$AK$105,3,FALSE)</f>
        <v>Misc. Expense</v>
      </c>
      <c r="AF5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0" spans="18:32" x14ac:dyDescent="0.2">
      <c r="R5420" t="s">
        <v>47</v>
      </c>
      <c r="S5420" t="s">
        <v>246</v>
      </c>
      <c r="T5420" t="s">
        <v>445</v>
      </c>
      <c r="U5420" s="21">
        <v>13602.08</v>
      </c>
      <c r="V5420" s="21" t="s">
        <v>368</v>
      </c>
      <c r="W5420" t="str">
        <f>VLOOKUP(Table_Query_from_Actuarial___Production[[#This Row],[Kor1]],$AI$3:$AK$105,3,FALSE)</f>
        <v>Investment Income</v>
      </c>
      <c r="X5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0"/>
      <c r="Z5420" t="s">
        <v>43</v>
      </c>
      <c r="AA5420" t="s">
        <v>244</v>
      </c>
      <c r="AB5420" t="s">
        <v>8</v>
      </c>
      <c r="AC5420" s="21">
        <v>3022.11</v>
      </c>
      <c r="AD5420" s="21" t="s">
        <v>368</v>
      </c>
      <c r="AE5420" t="str">
        <f>VLOOKUP(Table_Query_from_Actuarial___Production3[[#This Row],[Kor1]],$AI$3:$AK$105,3,FALSE)</f>
        <v>Charge-offs</v>
      </c>
      <c r="AF5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1" spans="18:32" x14ac:dyDescent="0.2">
      <c r="R5421" t="s">
        <v>48</v>
      </c>
      <c r="S5421" t="s">
        <v>257</v>
      </c>
      <c r="T5421" t="s">
        <v>443</v>
      </c>
      <c r="U5421" s="21">
        <v>21104.71</v>
      </c>
      <c r="V5421" s="21" t="s">
        <v>368</v>
      </c>
      <c r="W5421" t="str">
        <f>VLOOKUP(Table_Query_from_Actuarial___Production[[#This Row],[Kor1]],$AI$3:$AK$105,3,FALSE)</f>
        <v>Anticipated Salvage</v>
      </c>
      <c r="X5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1"/>
      <c r="Z5421" t="s">
        <v>44</v>
      </c>
      <c r="AA5421" t="s">
        <v>249</v>
      </c>
      <c r="AB5421" t="s">
        <v>7</v>
      </c>
      <c r="AC5421" s="21">
        <v>-2</v>
      </c>
      <c r="AD5421" s="21" t="s">
        <v>368</v>
      </c>
      <c r="AE5421" t="str">
        <f>VLOOKUP(Table_Query_from_Actuarial___Production3[[#This Row],[Kor1]],$AI$3:$AK$105,3,FALSE)</f>
        <v>Charge-offs</v>
      </c>
      <c r="AF5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2" spans="18:32" x14ac:dyDescent="0.2">
      <c r="R5422" t="s">
        <v>33</v>
      </c>
      <c r="S5422" t="s">
        <v>245</v>
      </c>
      <c r="T5422" t="s">
        <v>351</v>
      </c>
      <c r="U5422" s="21">
        <v>11312.58</v>
      </c>
      <c r="V5422" s="21" t="s">
        <v>368</v>
      </c>
      <c r="W5422" t="str">
        <f>VLOOKUP(Table_Query_from_Actuarial___Production[[#This Row],[Kor1]],$AI$3:$AK$105,3,FALSE)</f>
        <v>Misc. Expense</v>
      </c>
      <c r="X5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2"/>
      <c r="Z5422" t="s">
        <v>16</v>
      </c>
      <c r="AA5422" t="s">
        <v>249</v>
      </c>
      <c r="AB5422" t="s">
        <v>441</v>
      </c>
      <c r="AC5422" s="21">
        <v>1428342.05</v>
      </c>
      <c r="AD5422" s="21" t="s">
        <v>368</v>
      </c>
      <c r="AE5422" t="str">
        <f>VLOOKUP(Table_Query_from_Actuarial___Production3[[#This Row],[Kor1]],$AI$3:$AK$105,3,FALSE)</f>
        <v>Losses Outstanding</v>
      </c>
      <c r="AF5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3" spans="18:32" x14ac:dyDescent="0.2">
      <c r="R5423" t="s">
        <v>49</v>
      </c>
      <c r="S5423" t="s">
        <v>231</v>
      </c>
      <c r="T5423" t="s">
        <v>442</v>
      </c>
      <c r="U5423" s="21">
        <v>27994.97</v>
      </c>
      <c r="V5423" s="21" t="s">
        <v>368</v>
      </c>
      <c r="W5423" t="str">
        <f>VLOOKUP(Table_Query_from_Actuarial___Production[[#This Row],[Kor1]],$AI$3:$AK$105,3,FALSE)</f>
        <v>ALAE Paid</v>
      </c>
      <c r="X5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3"/>
      <c r="Z5423" t="s">
        <v>12</v>
      </c>
      <c r="AA5423" t="s">
        <v>266</v>
      </c>
      <c r="AB5423" t="s">
        <v>6</v>
      </c>
      <c r="AC5423" s="21">
        <v>9004.8799999999992</v>
      </c>
      <c r="AD5423" s="21" t="s">
        <v>368</v>
      </c>
      <c r="AE5423" t="str">
        <f>VLOOKUP(Table_Query_from_Actuarial___Production3[[#This Row],[Kor1]],$AI$3:$AK$105,3,FALSE)</f>
        <v>Premium Tax</v>
      </c>
      <c r="AF5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4" spans="18:32" x14ac:dyDescent="0.2">
      <c r="R5424" t="s">
        <v>10</v>
      </c>
      <c r="S5424" t="s">
        <v>233</v>
      </c>
      <c r="T5424" t="s">
        <v>443</v>
      </c>
      <c r="U5424" s="21">
        <v>102391.42</v>
      </c>
      <c r="V5424" s="21" t="s">
        <v>368</v>
      </c>
      <c r="W5424" t="str">
        <f>VLOOKUP(Table_Query_from_Actuarial___Production[[#This Row],[Kor1]],$AI$3:$AK$105,3,FALSE)</f>
        <v>Commissions</v>
      </c>
      <c r="X5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4"/>
      <c r="Z5424" t="s">
        <v>44</v>
      </c>
      <c r="AA5424" t="s">
        <v>230</v>
      </c>
      <c r="AB5424" t="s">
        <v>427</v>
      </c>
      <c r="AC5424" s="21">
        <v>1856660.03</v>
      </c>
      <c r="AD5424" s="21" t="s">
        <v>368</v>
      </c>
      <c r="AE5424" t="str">
        <f>VLOOKUP(Table_Query_from_Actuarial___Production3[[#This Row],[Kor1]],$AI$3:$AK$105,3,FALSE)</f>
        <v>Charge-offs</v>
      </c>
      <c r="AF5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5" spans="18:32" x14ac:dyDescent="0.2">
      <c r="R5425" t="s">
        <v>33</v>
      </c>
      <c r="S5425" t="s">
        <v>260</v>
      </c>
      <c r="T5425" t="s">
        <v>442</v>
      </c>
      <c r="U5425" s="21">
        <v>15723.14</v>
      </c>
      <c r="V5425" s="21" t="s">
        <v>368</v>
      </c>
      <c r="W5425" t="str">
        <f>VLOOKUP(Table_Query_from_Actuarial___Production[[#This Row],[Kor1]],$AI$3:$AK$105,3,FALSE)</f>
        <v>Misc. Expense</v>
      </c>
      <c r="X5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5"/>
      <c r="Z5425" t="s">
        <v>34</v>
      </c>
      <c r="AA5425" t="s">
        <v>235</v>
      </c>
      <c r="AB5425" t="s">
        <v>7</v>
      </c>
      <c r="AC5425" s="21">
        <v>3.59</v>
      </c>
      <c r="AD5425" s="21" t="s">
        <v>368</v>
      </c>
      <c r="AE5425" t="str">
        <f>VLOOKUP(Table_Query_from_Actuarial___Production3[[#This Row],[Kor1]],$AI$3:$AK$105,3,FALSE)</f>
        <v>Misc. Expense</v>
      </c>
      <c r="AF5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6" spans="18:32" x14ac:dyDescent="0.2">
      <c r="R5426" t="s">
        <v>44</v>
      </c>
      <c r="S5426" t="s">
        <v>230</v>
      </c>
      <c r="T5426" t="s">
        <v>7</v>
      </c>
      <c r="U5426" s="21">
        <v>1328987.53</v>
      </c>
      <c r="V5426" s="21" t="s">
        <v>368</v>
      </c>
      <c r="W5426" t="str">
        <f>VLOOKUP(Table_Query_from_Actuarial___Production[[#This Row],[Kor1]],$AI$3:$AK$105,3,FALSE)</f>
        <v>Charge-offs</v>
      </c>
      <c r="X5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6"/>
      <c r="Z5426" t="s">
        <v>43</v>
      </c>
      <c r="AA5426" t="s">
        <v>227</v>
      </c>
      <c r="AB5426" t="s">
        <v>351</v>
      </c>
      <c r="AC5426" s="21">
        <v>-482.19</v>
      </c>
      <c r="AD5426" s="21" t="s">
        <v>368</v>
      </c>
      <c r="AE5426" t="str">
        <f>VLOOKUP(Table_Query_from_Actuarial___Production3[[#This Row],[Kor1]],$AI$3:$AK$105,3,FALSE)</f>
        <v>Charge-offs</v>
      </c>
      <c r="AF5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7" spans="18:32" x14ac:dyDescent="0.2">
      <c r="R5427" t="s">
        <v>132</v>
      </c>
      <c r="S5427" t="s">
        <v>354</v>
      </c>
      <c r="T5427" t="s">
        <v>6</v>
      </c>
      <c r="U5427" s="21">
        <v>83140612</v>
      </c>
      <c r="V5427" s="21" t="s">
        <v>369</v>
      </c>
      <c r="W5427" t="str">
        <f>VLOOKUP(Table_Query_from_Actuarial___Production[[#This Row],[Kor1]],$AI$3:$AK$105,3,FALSE)</f>
        <v>Clean Risk Subsidy</v>
      </c>
      <c r="X5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427"/>
      <c r="Z5427" t="s">
        <v>40</v>
      </c>
      <c r="AA5427" t="s">
        <v>239</v>
      </c>
      <c r="AB5427" t="s">
        <v>8</v>
      </c>
      <c r="AC5427" s="21">
        <v>186</v>
      </c>
      <c r="AD5427" s="21" t="s">
        <v>368</v>
      </c>
      <c r="AE5427" t="str">
        <f>VLOOKUP(Table_Query_from_Actuarial___Production3[[#This Row],[Kor1]],$AI$3:$AK$105,3,FALSE)</f>
        <v>Misc. Income</v>
      </c>
      <c r="AF5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28" spans="18:32" x14ac:dyDescent="0.2">
      <c r="R5428" t="s">
        <v>11</v>
      </c>
      <c r="S5428" t="s">
        <v>258</v>
      </c>
      <c r="T5428" t="s">
        <v>443</v>
      </c>
      <c r="U5428" s="21">
        <v>431337.41</v>
      </c>
      <c r="V5428" s="21" t="s">
        <v>368</v>
      </c>
      <c r="W5428" t="str">
        <f>VLOOKUP(Table_Query_from_Actuarial___Production[[#This Row],[Kor1]],$AI$3:$AK$105,3,FALSE)</f>
        <v>Losses Paid</v>
      </c>
      <c r="X5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8"/>
      <c r="Z5428" t="s">
        <v>13</v>
      </c>
      <c r="AA5428" t="s">
        <v>224</v>
      </c>
      <c r="AB5428" t="s">
        <v>7</v>
      </c>
      <c r="AC5428" s="21">
        <v>177083.9</v>
      </c>
      <c r="AD5428" s="21" t="s">
        <v>370</v>
      </c>
      <c r="AE5428" t="str">
        <f>VLOOKUP(Table_Query_from_Actuarial___Production3[[#This Row],[Kor1]],$AI$3:$AK$105,3,FALSE)</f>
        <v>Operating Service Fees</v>
      </c>
      <c r="AF5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429" spans="18:32" x14ac:dyDescent="0.2">
      <c r="R5429" t="s">
        <v>12</v>
      </c>
      <c r="S5429" t="s">
        <v>261</v>
      </c>
      <c r="T5429" t="s">
        <v>443</v>
      </c>
      <c r="U5429" s="21">
        <v>4765.33</v>
      </c>
      <c r="V5429" s="21" t="s">
        <v>368</v>
      </c>
      <c r="W5429" t="str">
        <f>VLOOKUP(Table_Query_from_Actuarial___Production[[#This Row],[Kor1]],$AI$3:$AK$105,3,FALSE)</f>
        <v>Premium Tax</v>
      </c>
      <c r="X5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29"/>
      <c r="Z5429" t="s">
        <v>13</v>
      </c>
      <c r="AA5429" t="s">
        <v>260</v>
      </c>
      <c r="AB5429" t="s">
        <v>443</v>
      </c>
      <c r="AC5429" s="21">
        <v>9060.66</v>
      </c>
      <c r="AD5429" s="21" t="s">
        <v>368</v>
      </c>
      <c r="AE5429" t="str">
        <f>VLOOKUP(Table_Query_from_Actuarial___Production3[[#This Row],[Kor1]],$AI$3:$AK$105,3,FALSE)</f>
        <v>Operating Service Fees</v>
      </c>
      <c r="AF5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0" spans="18:32" x14ac:dyDescent="0.2">
      <c r="R5430" t="s">
        <v>10</v>
      </c>
      <c r="S5430" t="s">
        <v>242</v>
      </c>
      <c r="T5430" t="s">
        <v>443</v>
      </c>
      <c r="U5430" s="21">
        <v>80986.05</v>
      </c>
      <c r="V5430" s="21" t="s">
        <v>368</v>
      </c>
      <c r="W5430" t="str">
        <f>VLOOKUP(Table_Query_from_Actuarial___Production[[#This Row],[Kor1]],$AI$3:$AK$105,3,FALSE)</f>
        <v>Commissions</v>
      </c>
      <c r="X5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0"/>
      <c r="Z5430" t="s">
        <v>17</v>
      </c>
      <c r="AA5430" t="s">
        <v>241</v>
      </c>
      <c r="AB5430" t="s">
        <v>433</v>
      </c>
      <c r="AC5430" s="21">
        <v>27531.43</v>
      </c>
      <c r="AD5430" s="21" t="s">
        <v>368</v>
      </c>
      <c r="AE5430" t="str">
        <f>VLOOKUP(Table_Query_from_Actuarial___Production3[[#This Row],[Kor1]],$AI$3:$AK$105,3,FALSE)</f>
        <v>IBNR</v>
      </c>
      <c r="AF5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1" spans="18:32" x14ac:dyDescent="0.2">
      <c r="R5431" t="s">
        <v>36</v>
      </c>
      <c r="S5431" t="s">
        <v>241</v>
      </c>
      <c r="T5431" t="s">
        <v>6</v>
      </c>
      <c r="U5431" s="21">
        <v>96.68</v>
      </c>
      <c r="V5431" s="21" t="s">
        <v>368</v>
      </c>
      <c r="W5431" t="str">
        <f>VLOOKUP(Table_Query_from_Actuarial___Production[[#This Row],[Kor1]],$AI$3:$AK$105,3,FALSE)</f>
        <v>Misc. Expense</v>
      </c>
      <c r="X5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1"/>
      <c r="Z5431" t="s">
        <v>48</v>
      </c>
      <c r="AA5431" t="s">
        <v>257</v>
      </c>
      <c r="AB5431" t="s">
        <v>443</v>
      </c>
      <c r="AC5431" s="21">
        <v>4313.13</v>
      </c>
      <c r="AD5431" s="21" t="s">
        <v>368</v>
      </c>
      <c r="AE5431" t="str">
        <f>VLOOKUP(Table_Query_from_Actuarial___Production3[[#This Row],[Kor1]],$AI$3:$AK$105,3,FALSE)</f>
        <v>Anticipated Salvage</v>
      </c>
      <c r="AF5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2" spans="18:32" x14ac:dyDescent="0.2">
      <c r="R5432" t="s">
        <v>17</v>
      </c>
      <c r="S5432" t="s">
        <v>354</v>
      </c>
      <c r="T5432" t="s">
        <v>441</v>
      </c>
      <c r="U5432" s="21">
        <v>9396617.1199999992</v>
      </c>
      <c r="V5432" s="21" t="s">
        <v>369</v>
      </c>
      <c r="W5432" t="str">
        <f>VLOOKUP(Table_Query_from_Actuarial___Production[[#This Row],[Kor1]],$AI$3:$AK$105,3,FALSE)</f>
        <v>IBNR</v>
      </c>
      <c r="X5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432"/>
      <c r="Z5432" t="s">
        <v>33</v>
      </c>
      <c r="AA5432" t="s">
        <v>245</v>
      </c>
      <c r="AB5432" t="s">
        <v>351</v>
      </c>
      <c r="AC5432" s="21">
        <v>11312.58</v>
      </c>
      <c r="AD5432" s="21" t="s">
        <v>368</v>
      </c>
      <c r="AE5432" t="str">
        <f>VLOOKUP(Table_Query_from_Actuarial___Production3[[#This Row],[Kor1]],$AI$3:$AK$105,3,FALSE)</f>
        <v>Misc. Expense</v>
      </c>
      <c r="AF5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3" spans="18:32" x14ac:dyDescent="0.2">
      <c r="R5433" t="s">
        <v>46</v>
      </c>
      <c r="S5433" t="s">
        <v>224</v>
      </c>
      <c r="T5433" t="s">
        <v>442</v>
      </c>
      <c r="U5433" s="21">
        <v>255.04</v>
      </c>
      <c r="V5433" s="21" t="s">
        <v>425</v>
      </c>
      <c r="W5433" t="str">
        <f>VLOOKUP(Table_Query_from_Actuarial___Production[[#This Row],[Kor1]],$AI$3:$AK$105,3,FALSE)</f>
        <v>Investment Income</v>
      </c>
      <c r="X5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433"/>
      <c r="Z5433" t="s">
        <v>49</v>
      </c>
      <c r="AA5433" t="s">
        <v>231</v>
      </c>
      <c r="AB5433" t="s">
        <v>442</v>
      </c>
      <c r="AC5433" s="21">
        <v>7516.61</v>
      </c>
      <c r="AD5433" s="21" t="s">
        <v>368</v>
      </c>
      <c r="AE5433" t="str">
        <f>VLOOKUP(Table_Query_from_Actuarial___Production3[[#This Row],[Kor1]],$AI$3:$AK$105,3,FALSE)</f>
        <v>ALAE Paid</v>
      </c>
      <c r="AF5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4" spans="18:32" x14ac:dyDescent="0.2">
      <c r="R5434" t="s">
        <v>32</v>
      </c>
      <c r="S5434" t="s">
        <v>240</v>
      </c>
      <c r="T5434" t="s">
        <v>6</v>
      </c>
      <c r="U5434" s="21">
        <v>75461.62</v>
      </c>
      <c r="V5434" s="21" t="s">
        <v>368</v>
      </c>
      <c r="W5434" t="str">
        <f>VLOOKUP(Table_Query_from_Actuarial___Production[[#This Row],[Kor1]],$AI$3:$AK$105,3,FALSE)</f>
        <v>Misc. Expense</v>
      </c>
      <c r="X5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4"/>
      <c r="Z5434" t="s">
        <v>10</v>
      </c>
      <c r="AA5434" t="s">
        <v>233</v>
      </c>
      <c r="AB5434" t="s">
        <v>443</v>
      </c>
      <c r="AC5434" s="21">
        <v>30159.25</v>
      </c>
      <c r="AD5434" s="21" t="s">
        <v>368</v>
      </c>
      <c r="AE5434" t="str">
        <f>VLOOKUP(Table_Query_from_Actuarial___Production3[[#This Row],[Kor1]],$AI$3:$AK$105,3,FALSE)</f>
        <v>Commissions</v>
      </c>
      <c r="AF5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5" spans="18:32" x14ac:dyDescent="0.2">
      <c r="R5435" t="s">
        <v>19</v>
      </c>
      <c r="S5435" t="s">
        <v>251</v>
      </c>
      <c r="T5435" t="s">
        <v>8</v>
      </c>
      <c r="U5435" s="21">
        <v>14</v>
      </c>
      <c r="V5435" s="21" t="s">
        <v>368</v>
      </c>
      <c r="W5435" t="str">
        <f>VLOOKUP(Table_Query_from_Actuarial___Production[[#This Row],[Kor1]],$AI$3:$AK$105,3,FALSE)</f>
        <v>Misc. Expense for Insolvent Companies</v>
      </c>
      <c r="X5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5"/>
      <c r="Z5435" t="s">
        <v>33</v>
      </c>
      <c r="AA5435" t="s">
        <v>260</v>
      </c>
      <c r="AB5435" t="s">
        <v>442</v>
      </c>
      <c r="AC5435" s="21">
        <v>15723.14</v>
      </c>
      <c r="AD5435" s="21" t="s">
        <v>368</v>
      </c>
      <c r="AE5435" t="str">
        <f>VLOOKUP(Table_Query_from_Actuarial___Production3[[#This Row],[Kor1]],$AI$3:$AK$105,3,FALSE)</f>
        <v>Misc. Expense</v>
      </c>
      <c r="AF5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6" spans="18:32" x14ac:dyDescent="0.2">
      <c r="R5436" t="s">
        <v>11</v>
      </c>
      <c r="S5436" t="s">
        <v>242</v>
      </c>
      <c r="T5436" t="s">
        <v>356</v>
      </c>
      <c r="U5436" s="21">
        <v>2265278.3199999998</v>
      </c>
      <c r="V5436" s="21" t="s">
        <v>368</v>
      </c>
      <c r="W5436" t="str">
        <f>VLOOKUP(Table_Query_from_Actuarial___Production[[#This Row],[Kor1]],$AI$3:$AK$105,3,FALSE)</f>
        <v>Losses Paid</v>
      </c>
      <c r="X5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6"/>
      <c r="Z5436" t="s">
        <v>11</v>
      </c>
      <c r="AA5436" t="s">
        <v>257</v>
      </c>
      <c r="AB5436" t="s">
        <v>5</v>
      </c>
      <c r="AC5436" s="21">
        <v>669126.40000000002</v>
      </c>
      <c r="AD5436" s="21" t="s">
        <v>368</v>
      </c>
      <c r="AE5436" t="str">
        <f>VLOOKUP(Table_Query_from_Actuarial___Production3[[#This Row],[Kor1]],$AI$3:$AK$105,3,FALSE)</f>
        <v>Losses Paid</v>
      </c>
      <c r="AF5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7" spans="18:32" x14ac:dyDescent="0.2">
      <c r="R5437" t="s">
        <v>12</v>
      </c>
      <c r="S5437" t="s">
        <v>240</v>
      </c>
      <c r="T5437" t="s">
        <v>356</v>
      </c>
      <c r="U5437" s="21">
        <v>81292.399999999994</v>
      </c>
      <c r="V5437" s="21" t="s">
        <v>368</v>
      </c>
      <c r="W5437" t="str">
        <f>VLOOKUP(Table_Query_from_Actuarial___Production[[#This Row],[Kor1]],$AI$3:$AK$105,3,FALSE)</f>
        <v>Premium Tax</v>
      </c>
      <c r="X5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7"/>
      <c r="Z5437" t="s">
        <v>44</v>
      </c>
      <c r="AA5437" t="s">
        <v>230</v>
      </c>
      <c r="AB5437" t="s">
        <v>7</v>
      </c>
      <c r="AC5437" s="21">
        <v>1328987.53</v>
      </c>
      <c r="AD5437" s="21" t="s">
        <v>368</v>
      </c>
      <c r="AE5437" t="str">
        <f>VLOOKUP(Table_Query_from_Actuarial___Production3[[#This Row],[Kor1]],$AI$3:$AK$105,3,FALSE)</f>
        <v>Charge-offs</v>
      </c>
      <c r="AF5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38" spans="18:32" x14ac:dyDescent="0.2">
      <c r="R5438" t="s">
        <v>33</v>
      </c>
      <c r="S5438" t="s">
        <v>248</v>
      </c>
      <c r="T5438" t="s">
        <v>427</v>
      </c>
      <c r="U5438" s="21">
        <v>12982.83</v>
      </c>
      <c r="V5438" s="21" t="s">
        <v>368</v>
      </c>
      <c r="W5438" t="str">
        <f>VLOOKUP(Table_Query_from_Actuarial___Production[[#This Row],[Kor1]],$AI$3:$AK$105,3,FALSE)</f>
        <v>Misc. Expense</v>
      </c>
      <c r="X5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8"/>
      <c r="Z5438" t="s">
        <v>132</v>
      </c>
      <c r="AA5438" t="s">
        <v>354</v>
      </c>
      <c r="AB5438" t="s">
        <v>6</v>
      </c>
      <c r="AC5438" s="21">
        <v>83140613.299999997</v>
      </c>
      <c r="AD5438" s="21" t="s">
        <v>369</v>
      </c>
      <c r="AE5438" t="str">
        <f>VLOOKUP(Table_Query_from_Actuarial___Production3[[#This Row],[Kor1]],$AI$3:$AK$105,3,FALSE)</f>
        <v>Clean Risk Subsidy</v>
      </c>
      <c r="AF5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439" spans="18:32" x14ac:dyDescent="0.2">
      <c r="R5439" t="s">
        <v>47</v>
      </c>
      <c r="S5439" t="s">
        <v>255</v>
      </c>
      <c r="T5439" t="s">
        <v>442</v>
      </c>
      <c r="U5439" s="21">
        <v>2920.17</v>
      </c>
      <c r="V5439" s="21" t="s">
        <v>368</v>
      </c>
      <c r="W5439" t="str">
        <f>VLOOKUP(Table_Query_from_Actuarial___Production[[#This Row],[Kor1]],$AI$3:$AK$105,3,FALSE)</f>
        <v>Investment Income</v>
      </c>
      <c r="X5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39"/>
      <c r="Z5439" t="s">
        <v>11</v>
      </c>
      <c r="AA5439" t="s">
        <v>258</v>
      </c>
      <c r="AB5439" t="s">
        <v>443</v>
      </c>
      <c r="AC5439" s="21">
        <v>10937.2</v>
      </c>
      <c r="AD5439" s="21" t="s">
        <v>368</v>
      </c>
      <c r="AE5439" t="str">
        <f>VLOOKUP(Table_Query_from_Actuarial___Production3[[#This Row],[Kor1]],$AI$3:$AK$105,3,FALSE)</f>
        <v>Losses Paid</v>
      </c>
      <c r="AF5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0" spans="18:32" x14ac:dyDescent="0.2">
      <c r="R5440" t="s">
        <v>10</v>
      </c>
      <c r="S5440" t="s">
        <v>258</v>
      </c>
      <c r="T5440" t="s">
        <v>9</v>
      </c>
      <c r="U5440" s="21">
        <v>159232.65</v>
      </c>
      <c r="V5440" s="21" t="s">
        <v>368</v>
      </c>
      <c r="W5440" t="str">
        <f>VLOOKUP(Table_Query_from_Actuarial___Production[[#This Row],[Kor1]],$AI$3:$AK$105,3,FALSE)</f>
        <v>Commissions</v>
      </c>
      <c r="X5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0"/>
      <c r="Z5440" t="s">
        <v>12</v>
      </c>
      <c r="AA5440" t="s">
        <v>261</v>
      </c>
      <c r="AB5440" t="s">
        <v>443</v>
      </c>
      <c r="AC5440" s="21">
        <v>497.41</v>
      </c>
      <c r="AD5440" s="21" t="s">
        <v>368</v>
      </c>
      <c r="AE5440" t="str">
        <f>VLOOKUP(Table_Query_from_Actuarial___Production3[[#This Row],[Kor1]],$AI$3:$AK$105,3,FALSE)</f>
        <v>Premium Tax</v>
      </c>
      <c r="AF5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1" spans="18:32" x14ac:dyDescent="0.2">
      <c r="R5441" t="s">
        <v>48</v>
      </c>
      <c r="S5441" t="s">
        <v>257</v>
      </c>
      <c r="T5441" t="s">
        <v>427</v>
      </c>
      <c r="U5441" s="21">
        <v>3533.53</v>
      </c>
      <c r="V5441" s="21" t="s">
        <v>368</v>
      </c>
      <c r="W5441" t="str">
        <f>VLOOKUP(Table_Query_from_Actuarial___Production[[#This Row],[Kor1]],$AI$3:$AK$105,3,FALSE)</f>
        <v>Anticipated Salvage</v>
      </c>
      <c r="X5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1"/>
      <c r="Z5441" t="s">
        <v>10</v>
      </c>
      <c r="AA5441" t="s">
        <v>242</v>
      </c>
      <c r="AB5441" t="s">
        <v>443</v>
      </c>
      <c r="AC5441" s="21">
        <v>4410.8999999999996</v>
      </c>
      <c r="AD5441" s="21" t="s">
        <v>368</v>
      </c>
      <c r="AE5441" t="str">
        <f>VLOOKUP(Table_Query_from_Actuarial___Production3[[#This Row],[Kor1]],$AI$3:$AK$105,3,FALSE)</f>
        <v>Commissions</v>
      </c>
      <c r="AF5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2" spans="18:32" x14ac:dyDescent="0.2">
      <c r="R5442" t="s">
        <v>19</v>
      </c>
      <c r="S5442" t="s">
        <v>234</v>
      </c>
      <c r="T5442" t="s">
        <v>442</v>
      </c>
      <c r="U5442" s="21">
        <v>605.99</v>
      </c>
      <c r="V5442" s="21" t="s">
        <v>368</v>
      </c>
      <c r="W5442" t="str">
        <f>VLOOKUP(Table_Query_from_Actuarial___Production[[#This Row],[Kor1]],$AI$3:$AK$105,3,FALSE)</f>
        <v>Misc. Expense for Insolvent Companies</v>
      </c>
      <c r="X5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2"/>
      <c r="Z5442" t="s">
        <v>31</v>
      </c>
      <c r="AA5442" t="s">
        <v>242</v>
      </c>
      <c r="AB5442" t="s">
        <v>5</v>
      </c>
      <c r="AC5442" s="21">
        <v>10545.52</v>
      </c>
      <c r="AD5442" s="21" t="s">
        <v>368</v>
      </c>
      <c r="AE5442" t="str">
        <f>VLOOKUP(Table_Query_from_Actuarial___Production3[[#This Row],[Kor1]],$AI$3:$AK$105,3,FALSE)</f>
        <v>Misc. Expense</v>
      </c>
      <c r="AF5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3" spans="18:32" x14ac:dyDescent="0.2">
      <c r="R5443" t="s">
        <v>21</v>
      </c>
      <c r="S5443" t="s">
        <v>232</v>
      </c>
      <c r="T5443" t="s">
        <v>433</v>
      </c>
      <c r="U5443" s="21">
        <v>1701.48</v>
      </c>
      <c r="V5443" s="21" t="s">
        <v>368</v>
      </c>
      <c r="W5443" t="str">
        <f>VLOOKUP(Table_Query_from_Actuarial___Production[[#This Row],[Kor1]],$AI$3:$AK$105,3,FALSE)</f>
        <v>Misc. Expense</v>
      </c>
      <c r="X5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3"/>
      <c r="Z5443" t="s">
        <v>36</v>
      </c>
      <c r="AA5443" t="s">
        <v>241</v>
      </c>
      <c r="AB5443" t="s">
        <v>6</v>
      </c>
      <c r="AC5443" s="21">
        <v>96.68</v>
      </c>
      <c r="AD5443" s="21" t="s">
        <v>368</v>
      </c>
      <c r="AE5443" t="str">
        <f>VLOOKUP(Table_Query_from_Actuarial___Production3[[#This Row],[Kor1]],$AI$3:$AK$105,3,FALSE)</f>
        <v>Misc. Expense</v>
      </c>
      <c r="AF5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4" spans="18:32" x14ac:dyDescent="0.2">
      <c r="R5444" t="s">
        <v>47</v>
      </c>
      <c r="S5444" t="s">
        <v>261</v>
      </c>
      <c r="T5444" t="s">
        <v>445</v>
      </c>
      <c r="U5444" s="21">
        <v>5866.17</v>
      </c>
      <c r="V5444" s="21" t="s">
        <v>368</v>
      </c>
      <c r="W5444" t="str">
        <f>VLOOKUP(Table_Query_from_Actuarial___Production[[#This Row],[Kor1]],$AI$3:$AK$105,3,FALSE)</f>
        <v>Investment Income</v>
      </c>
      <c r="X5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4"/>
      <c r="Z5444" t="s">
        <v>17</v>
      </c>
      <c r="AA5444" t="s">
        <v>354</v>
      </c>
      <c r="AB5444" t="s">
        <v>441</v>
      </c>
      <c r="AC5444" s="21">
        <v>38091258.140000001</v>
      </c>
      <c r="AD5444" s="21" t="s">
        <v>369</v>
      </c>
      <c r="AE5444" t="str">
        <f>VLOOKUP(Table_Query_from_Actuarial___Production3[[#This Row],[Kor1]],$AI$3:$AK$105,3,FALSE)</f>
        <v>IBNR</v>
      </c>
      <c r="AF5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445" spans="18:32" x14ac:dyDescent="0.2">
      <c r="R5445" t="s">
        <v>14</v>
      </c>
      <c r="S5445" t="s">
        <v>258</v>
      </c>
      <c r="T5445" t="s">
        <v>441</v>
      </c>
      <c r="U5445" s="21">
        <v>337532.34</v>
      </c>
      <c r="V5445" s="21" t="s">
        <v>368</v>
      </c>
      <c r="W5445" t="str">
        <f>VLOOKUP(Table_Query_from_Actuarial___Production[[#This Row],[Kor1]],$AI$3:$AK$105,3,FALSE)</f>
        <v>Claims Expense</v>
      </c>
      <c r="X5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5"/>
      <c r="Z5445" t="s">
        <v>46</v>
      </c>
      <c r="AA5445" t="s">
        <v>224</v>
      </c>
      <c r="AB5445" t="s">
        <v>442</v>
      </c>
      <c r="AC5445" s="21">
        <v>255.04</v>
      </c>
      <c r="AD5445" s="21" t="s">
        <v>425</v>
      </c>
      <c r="AE5445" t="str">
        <f>VLOOKUP(Table_Query_from_Actuarial___Production3[[#This Row],[Kor1]],$AI$3:$AK$105,3,FALSE)</f>
        <v>Investment Income</v>
      </c>
      <c r="AF5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446" spans="18:32" x14ac:dyDescent="0.2">
      <c r="R5446" t="s">
        <v>39</v>
      </c>
      <c r="S5446" t="s">
        <v>268</v>
      </c>
      <c r="T5446" t="s">
        <v>7</v>
      </c>
      <c r="U5446" s="21">
        <v>74</v>
      </c>
      <c r="V5446" s="21" t="s">
        <v>368</v>
      </c>
      <c r="W5446" t="str">
        <f>VLOOKUP(Table_Query_from_Actuarial___Production[[#This Row],[Kor1]],$AI$3:$AK$105,3,FALSE)</f>
        <v>Misc. Income for Insolvent Companies</v>
      </c>
      <c r="X5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6"/>
      <c r="Z5446" t="s">
        <v>32</v>
      </c>
      <c r="AA5446" t="s">
        <v>240</v>
      </c>
      <c r="AB5446" t="s">
        <v>6</v>
      </c>
      <c r="AC5446" s="21">
        <v>75461.62</v>
      </c>
      <c r="AD5446" s="21" t="s">
        <v>368</v>
      </c>
      <c r="AE5446" t="str">
        <f>VLOOKUP(Table_Query_from_Actuarial___Production3[[#This Row],[Kor1]],$AI$3:$AK$105,3,FALSE)</f>
        <v>Misc. Expense</v>
      </c>
      <c r="AF5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7" spans="18:32" x14ac:dyDescent="0.2">
      <c r="R5447" t="s">
        <v>12</v>
      </c>
      <c r="S5447" t="s">
        <v>235</v>
      </c>
      <c r="T5447" t="s">
        <v>441</v>
      </c>
      <c r="U5447" s="21">
        <v>16277.95</v>
      </c>
      <c r="V5447" s="21" t="s">
        <v>368</v>
      </c>
      <c r="W5447" t="str">
        <f>VLOOKUP(Table_Query_from_Actuarial___Production[[#This Row],[Kor1]],$AI$3:$AK$105,3,FALSE)</f>
        <v>Premium Tax</v>
      </c>
      <c r="X5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7"/>
      <c r="Z5447" t="s">
        <v>19</v>
      </c>
      <c r="AA5447" t="s">
        <v>251</v>
      </c>
      <c r="AB5447" t="s">
        <v>8</v>
      </c>
      <c r="AC5447" s="21">
        <v>14</v>
      </c>
      <c r="AD5447" s="21" t="s">
        <v>368</v>
      </c>
      <c r="AE5447" t="str">
        <f>VLOOKUP(Table_Query_from_Actuarial___Production3[[#This Row],[Kor1]],$AI$3:$AK$105,3,FALSE)</f>
        <v>Misc. Expense for Insolvent Companies</v>
      </c>
      <c r="AF5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48" spans="18:32" x14ac:dyDescent="0.2">
      <c r="R5448" t="s">
        <v>12</v>
      </c>
      <c r="S5448" t="s">
        <v>231</v>
      </c>
      <c r="T5448" t="s">
        <v>443</v>
      </c>
      <c r="U5448" s="21">
        <v>59507.59</v>
      </c>
      <c r="V5448" s="21" t="s">
        <v>368</v>
      </c>
      <c r="W5448" t="str">
        <f>VLOOKUP(Table_Query_from_Actuarial___Production[[#This Row],[Kor1]],$AI$3:$AK$105,3,FALSE)</f>
        <v>Premium Tax</v>
      </c>
      <c r="X5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8"/>
      <c r="Z5448" t="s">
        <v>17</v>
      </c>
      <c r="AA5448" t="s">
        <v>352</v>
      </c>
      <c r="AB5448" t="s">
        <v>441</v>
      </c>
      <c r="AC5448" s="21">
        <v>2640.69</v>
      </c>
      <c r="AD5448" s="21" t="s">
        <v>369</v>
      </c>
      <c r="AE5448" t="str">
        <f>VLOOKUP(Table_Query_from_Actuarial___Production3[[#This Row],[Kor1]],$AI$3:$AK$105,3,FALSE)</f>
        <v>IBNR</v>
      </c>
      <c r="AF5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449" spans="18:32" x14ac:dyDescent="0.2">
      <c r="R5449" t="s">
        <v>33</v>
      </c>
      <c r="S5449" t="s">
        <v>245</v>
      </c>
      <c r="T5449" t="s">
        <v>433</v>
      </c>
      <c r="U5449" s="21">
        <v>13989.24</v>
      </c>
      <c r="V5449" s="21" t="s">
        <v>368</v>
      </c>
      <c r="W5449" t="str">
        <f>VLOOKUP(Table_Query_from_Actuarial___Production[[#This Row],[Kor1]],$AI$3:$AK$105,3,FALSE)</f>
        <v>Misc. Expense</v>
      </c>
      <c r="X5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49"/>
      <c r="Z5449" t="s">
        <v>11</v>
      </c>
      <c r="AA5449" t="s">
        <v>242</v>
      </c>
      <c r="AB5449" t="s">
        <v>356</v>
      </c>
      <c r="AC5449" s="21">
        <v>1265278.32</v>
      </c>
      <c r="AD5449" s="21" t="s">
        <v>368</v>
      </c>
      <c r="AE5449" t="str">
        <f>VLOOKUP(Table_Query_from_Actuarial___Production3[[#This Row],[Kor1]],$AI$3:$AK$105,3,FALSE)</f>
        <v>Losses Paid</v>
      </c>
      <c r="AF5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0" spans="18:32" x14ac:dyDescent="0.2">
      <c r="R5450" t="s">
        <v>34</v>
      </c>
      <c r="S5450" t="s">
        <v>235</v>
      </c>
      <c r="T5450" t="s">
        <v>427</v>
      </c>
      <c r="U5450" s="21">
        <v>960.3</v>
      </c>
      <c r="V5450" s="21" t="s">
        <v>368</v>
      </c>
      <c r="W5450" t="str">
        <f>VLOOKUP(Table_Query_from_Actuarial___Production[[#This Row],[Kor1]],$AI$3:$AK$105,3,FALSE)</f>
        <v>Misc. Expense</v>
      </c>
      <c r="X5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0"/>
      <c r="Z5450" t="s">
        <v>12</v>
      </c>
      <c r="AA5450" t="s">
        <v>240</v>
      </c>
      <c r="AB5450" t="s">
        <v>356</v>
      </c>
      <c r="AC5450" s="21">
        <v>81292.399999999994</v>
      </c>
      <c r="AD5450" s="21" t="s">
        <v>368</v>
      </c>
      <c r="AE5450" t="str">
        <f>VLOOKUP(Table_Query_from_Actuarial___Production3[[#This Row],[Kor1]],$AI$3:$AK$105,3,FALSE)</f>
        <v>Premium Tax</v>
      </c>
      <c r="AF5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1" spans="18:32" x14ac:dyDescent="0.2">
      <c r="R5451" t="s">
        <v>36</v>
      </c>
      <c r="S5451" t="s">
        <v>235</v>
      </c>
      <c r="T5451" t="s">
        <v>442</v>
      </c>
      <c r="U5451" s="21">
        <v>20</v>
      </c>
      <c r="V5451" s="21" t="s">
        <v>368</v>
      </c>
      <c r="W5451" t="str">
        <f>VLOOKUP(Table_Query_from_Actuarial___Production[[#This Row],[Kor1]],$AI$3:$AK$105,3,FALSE)</f>
        <v>Misc. Expense</v>
      </c>
      <c r="X5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1"/>
      <c r="Z5451" t="s">
        <v>33</v>
      </c>
      <c r="AA5451" t="s">
        <v>248</v>
      </c>
      <c r="AB5451" t="s">
        <v>427</v>
      </c>
      <c r="AC5451" s="21">
        <v>12982.83</v>
      </c>
      <c r="AD5451" s="21" t="s">
        <v>368</v>
      </c>
      <c r="AE5451" t="str">
        <f>VLOOKUP(Table_Query_from_Actuarial___Production3[[#This Row],[Kor1]],$AI$3:$AK$105,3,FALSE)</f>
        <v>Misc. Expense</v>
      </c>
      <c r="AF5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2" spans="18:32" x14ac:dyDescent="0.2">
      <c r="R5452" t="s">
        <v>43</v>
      </c>
      <c r="S5452" t="s">
        <v>243</v>
      </c>
      <c r="T5452" t="s">
        <v>6</v>
      </c>
      <c r="U5452" s="21">
        <v>-5.46</v>
      </c>
      <c r="V5452" s="21" t="s">
        <v>368</v>
      </c>
      <c r="W5452" t="str">
        <f>VLOOKUP(Table_Query_from_Actuarial___Production[[#This Row],[Kor1]],$AI$3:$AK$105,3,FALSE)</f>
        <v>Charge-offs</v>
      </c>
      <c r="X5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2"/>
      <c r="Z5452" t="s">
        <v>47</v>
      </c>
      <c r="AA5452" t="s">
        <v>255</v>
      </c>
      <c r="AB5452" t="s">
        <v>442</v>
      </c>
      <c r="AC5452" s="21">
        <v>2920.17</v>
      </c>
      <c r="AD5452" s="21" t="s">
        <v>368</v>
      </c>
      <c r="AE5452" t="str">
        <f>VLOOKUP(Table_Query_from_Actuarial___Production3[[#This Row],[Kor1]],$AI$3:$AK$105,3,FALSE)</f>
        <v>Investment Income</v>
      </c>
      <c r="AF5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3" spans="18:32" x14ac:dyDescent="0.2">
      <c r="R5453" t="s">
        <v>49</v>
      </c>
      <c r="S5453" t="s">
        <v>265</v>
      </c>
      <c r="T5453" t="s">
        <v>442</v>
      </c>
      <c r="U5453" s="21">
        <v>20292.29</v>
      </c>
      <c r="V5453" s="21" t="s">
        <v>368</v>
      </c>
      <c r="W5453" t="str">
        <f>VLOOKUP(Table_Query_from_Actuarial___Production[[#This Row],[Kor1]],$AI$3:$AK$105,3,FALSE)</f>
        <v>ALAE Paid</v>
      </c>
      <c r="X5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3"/>
      <c r="Z5453" t="s">
        <v>10</v>
      </c>
      <c r="AA5453" t="s">
        <v>258</v>
      </c>
      <c r="AB5453" t="s">
        <v>9</v>
      </c>
      <c r="AC5453" s="21">
        <v>159232.65</v>
      </c>
      <c r="AD5453" s="21" t="s">
        <v>368</v>
      </c>
      <c r="AE5453" t="str">
        <f>VLOOKUP(Table_Query_from_Actuarial___Production3[[#This Row],[Kor1]],$AI$3:$AK$105,3,FALSE)</f>
        <v>Commissions</v>
      </c>
      <c r="AF5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4" spans="18:32" x14ac:dyDescent="0.2">
      <c r="R5454" t="s">
        <v>14</v>
      </c>
      <c r="S5454" t="s">
        <v>242</v>
      </c>
      <c r="T5454" t="s">
        <v>351</v>
      </c>
      <c r="U5454" s="21">
        <v>26228.1</v>
      </c>
      <c r="V5454" s="21" t="s">
        <v>368</v>
      </c>
      <c r="W5454" t="str">
        <f>VLOOKUP(Table_Query_from_Actuarial___Production[[#This Row],[Kor1]],$AI$3:$AK$105,3,FALSE)</f>
        <v>Claims Expense</v>
      </c>
      <c r="X5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4"/>
      <c r="Z5454" t="s">
        <v>48</v>
      </c>
      <c r="AA5454" t="s">
        <v>257</v>
      </c>
      <c r="AB5454" t="s">
        <v>427</v>
      </c>
      <c r="AC5454" s="21">
        <v>3970.26</v>
      </c>
      <c r="AD5454" s="21" t="s">
        <v>368</v>
      </c>
      <c r="AE5454" t="str">
        <f>VLOOKUP(Table_Query_from_Actuarial___Production3[[#This Row],[Kor1]],$AI$3:$AK$105,3,FALSE)</f>
        <v>Anticipated Salvage</v>
      </c>
      <c r="AF5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5" spans="18:32" x14ac:dyDescent="0.2">
      <c r="R5455" t="s">
        <v>21</v>
      </c>
      <c r="S5455" t="s">
        <v>262</v>
      </c>
      <c r="T5455" t="s">
        <v>9</v>
      </c>
      <c r="U5455" s="21">
        <v>1268.51</v>
      </c>
      <c r="V5455" s="21" t="s">
        <v>368</v>
      </c>
      <c r="W5455" t="str">
        <f>VLOOKUP(Table_Query_from_Actuarial___Production[[#This Row],[Kor1]],$AI$3:$AK$105,3,FALSE)</f>
        <v>Misc. Expense</v>
      </c>
      <c r="X5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5"/>
      <c r="Z5455" t="s">
        <v>19</v>
      </c>
      <c r="AA5455" t="s">
        <v>234</v>
      </c>
      <c r="AB5455" t="s">
        <v>442</v>
      </c>
      <c r="AC5455" s="21">
        <v>605.99</v>
      </c>
      <c r="AD5455" s="21" t="s">
        <v>368</v>
      </c>
      <c r="AE5455" t="str">
        <f>VLOOKUP(Table_Query_from_Actuarial___Production3[[#This Row],[Kor1]],$AI$3:$AK$105,3,FALSE)</f>
        <v>Misc. Expense for Insolvent Companies</v>
      </c>
      <c r="AF5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6" spans="18:32" x14ac:dyDescent="0.2">
      <c r="R5456" t="s">
        <v>14</v>
      </c>
      <c r="S5456" t="s">
        <v>252</v>
      </c>
      <c r="T5456" t="s">
        <v>441</v>
      </c>
      <c r="U5456" s="21">
        <v>3305488.79</v>
      </c>
      <c r="V5456" s="21" t="s">
        <v>368</v>
      </c>
      <c r="W5456" t="str">
        <f>VLOOKUP(Table_Query_from_Actuarial___Production[[#This Row],[Kor1]],$AI$3:$AK$105,3,FALSE)</f>
        <v>Claims Expense</v>
      </c>
      <c r="X5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6"/>
      <c r="Z5456" t="s">
        <v>21</v>
      </c>
      <c r="AA5456" t="s">
        <v>232</v>
      </c>
      <c r="AB5456" t="s">
        <v>433</v>
      </c>
      <c r="AC5456" s="21">
        <v>1701.48</v>
      </c>
      <c r="AD5456" s="21" t="s">
        <v>368</v>
      </c>
      <c r="AE5456" t="str">
        <f>VLOOKUP(Table_Query_from_Actuarial___Production3[[#This Row],[Kor1]],$AI$3:$AK$105,3,FALSE)</f>
        <v>Misc. Expense</v>
      </c>
      <c r="AF5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7" spans="18:32" x14ac:dyDescent="0.2">
      <c r="R5457" t="s">
        <v>20</v>
      </c>
      <c r="S5457" t="s">
        <v>250</v>
      </c>
      <c r="T5457" t="s">
        <v>442</v>
      </c>
      <c r="U5457" s="21">
        <v>178.73</v>
      </c>
      <c r="V5457" s="21" t="s">
        <v>368</v>
      </c>
      <c r="W5457" t="str">
        <f>VLOOKUP(Table_Query_from_Actuarial___Production[[#This Row],[Kor1]],$AI$3:$AK$105,3,FALSE)</f>
        <v>Misc. Expense</v>
      </c>
      <c r="X5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7"/>
      <c r="Z5457" t="s">
        <v>40</v>
      </c>
      <c r="AA5457" t="s">
        <v>248</v>
      </c>
      <c r="AB5457" t="s">
        <v>5</v>
      </c>
      <c r="AC5457" s="21">
        <v>83</v>
      </c>
      <c r="AD5457" s="21" t="s">
        <v>368</v>
      </c>
      <c r="AE5457" t="str">
        <f>VLOOKUP(Table_Query_from_Actuarial___Production3[[#This Row],[Kor1]],$AI$3:$AK$105,3,FALSE)</f>
        <v>Misc. Income</v>
      </c>
      <c r="AF5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8" spans="18:32" x14ac:dyDescent="0.2">
      <c r="R5458" t="s">
        <v>34</v>
      </c>
      <c r="S5458" t="s">
        <v>259</v>
      </c>
      <c r="T5458" t="s">
        <v>6</v>
      </c>
      <c r="U5458" s="21">
        <v>7.01</v>
      </c>
      <c r="V5458" s="21" t="s">
        <v>368</v>
      </c>
      <c r="W5458" t="str">
        <f>VLOOKUP(Table_Query_from_Actuarial___Production[[#This Row],[Kor1]],$AI$3:$AK$105,3,FALSE)</f>
        <v>Misc. Expense</v>
      </c>
      <c r="X5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8"/>
      <c r="Z5458" t="s">
        <v>14</v>
      </c>
      <c r="AA5458" t="s">
        <v>258</v>
      </c>
      <c r="AB5458" t="s">
        <v>441</v>
      </c>
      <c r="AC5458" s="21">
        <v>337918.45</v>
      </c>
      <c r="AD5458" s="21" t="s">
        <v>368</v>
      </c>
      <c r="AE5458" t="str">
        <f>VLOOKUP(Table_Query_from_Actuarial___Production3[[#This Row],[Kor1]],$AI$3:$AK$105,3,FALSE)</f>
        <v>Claims Expense</v>
      </c>
      <c r="AF5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59" spans="18:32" x14ac:dyDescent="0.2">
      <c r="R5459" t="s">
        <v>13</v>
      </c>
      <c r="S5459" t="s">
        <v>236</v>
      </c>
      <c r="T5459" t="s">
        <v>445</v>
      </c>
      <c r="U5459" s="21">
        <v>5854.91</v>
      </c>
      <c r="V5459" s="21" t="s">
        <v>368</v>
      </c>
      <c r="W5459" t="str">
        <f>VLOOKUP(Table_Query_from_Actuarial___Production[[#This Row],[Kor1]],$AI$3:$AK$105,3,FALSE)</f>
        <v>Operating Service Fees</v>
      </c>
      <c r="X5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59"/>
      <c r="Z5459" t="s">
        <v>20</v>
      </c>
      <c r="AA5459" t="s">
        <v>242</v>
      </c>
      <c r="AB5459" t="s">
        <v>5</v>
      </c>
      <c r="AC5459" s="21">
        <v>818.35</v>
      </c>
      <c r="AD5459" s="21" t="s">
        <v>368</v>
      </c>
      <c r="AE5459" t="str">
        <f>VLOOKUP(Table_Query_from_Actuarial___Production3[[#This Row],[Kor1]],$AI$3:$AK$105,3,FALSE)</f>
        <v>Misc. Expense</v>
      </c>
      <c r="AF5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0" spans="18:32" x14ac:dyDescent="0.2">
      <c r="R5460" t="s">
        <v>37</v>
      </c>
      <c r="S5460" t="s">
        <v>239</v>
      </c>
      <c r="T5460" t="s">
        <v>442</v>
      </c>
      <c r="U5460" s="21">
        <v>38658.879999999997</v>
      </c>
      <c r="V5460" s="21" t="s">
        <v>368</v>
      </c>
      <c r="W5460" t="str">
        <f>VLOOKUP(Table_Query_from_Actuarial___Production[[#This Row],[Kor1]],$AI$3:$AK$105,3,FALSE)</f>
        <v>Misc. Expense</v>
      </c>
      <c r="X5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0"/>
      <c r="Z5460" t="s">
        <v>39</v>
      </c>
      <c r="AA5460" t="s">
        <v>268</v>
      </c>
      <c r="AB5460" t="s">
        <v>7</v>
      </c>
      <c r="AC5460" s="21">
        <v>74</v>
      </c>
      <c r="AD5460" s="21" t="s">
        <v>368</v>
      </c>
      <c r="AE5460" t="str">
        <f>VLOOKUP(Table_Query_from_Actuarial___Production3[[#This Row],[Kor1]],$AI$3:$AK$105,3,FALSE)</f>
        <v>Misc. Income for Insolvent Companies</v>
      </c>
      <c r="AF5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1" spans="18:32" x14ac:dyDescent="0.2">
      <c r="R5461" t="s">
        <v>41</v>
      </c>
      <c r="S5461" t="s">
        <v>4</v>
      </c>
      <c r="T5461" t="s">
        <v>427</v>
      </c>
      <c r="U5461" s="21">
        <v>50.49</v>
      </c>
      <c r="V5461" s="21" t="s">
        <v>368</v>
      </c>
      <c r="W5461" t="str">
        <f>VLOOKUP(Table_Query_from_Actuarial___Production[[#This Row],[Kor1]],$AI$3:$AK$105,3,FALSE)</f>
        <v>Misc. Income</v>
      </c>
      <c r="X5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1"/>
      <c r="Z5461" t="s">
        <v>12</v>
      </c>
      <c r="AA5461" t="s">
        <v>235</v>
      </c>
      <c r="AB5461" t="s">
        <v>441</v>
      </c>
      <c r="AC5461" s="21">
        <v>16277.95</v>
      </c>
      <c r="AD5461" s="21" t="s">
        <v>368</v>
      </c>
      <c r="AE5461" t="str">
        <f>VLOOKUP(Table_Query_from_Actuarial___Production3[[#This Row],[Kor1]],$AI$3:$AK$105,3,FALSE)</f>
        <v>Premium Tax</v>
      </c>
      <c r="AF5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2" spans="18:32" x14ac:dyDescent="0.2">
      <c r="R5462" t="s">
        <v>10</v>
      </c>
      <c r="S5462" t="s">
        <v>257</v>
      </c>
      <c r="T5462" t="s">
        <v>7</v>
      </c>
      <c r="U5462" s="21">
        <v>79338.38</v>
      </c>
      <c r="V5462" s="21" t="s">
        <v>368</v>
      </c>
      <c r="W5462" t="str">
        <f>VLOOKUP(Table_Query_from_Actuarial___Production[[#This Row],[Kor1]],$AI$3:$AK$105,3,FALSE)</f>
        <v>Commissions</v>
      </c>
      <c r="X5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2"/>
      <c r="Z5462" t="s">
        <v>77</v>
      </c>
      <c r="AA5462" t="s">
        <v>229</v>
      </c>
      <c r="AB5462" t="s">
        <v>443</v>
      </c>
      <c r="AC5462" s="21">
        <v>7202</v>
      </c>
      <c r="AD5462" s="21" t="s">
        <v>368</v>
      </c>
      <c r="AE5462" t="str">
        <f>VLOOKUP(Table_Query_from_Actuarial___Production3[[#This Row],[Kor1]],$AI$3:$AK$105,3,FALSE)</f>
        <v>PDR</v>
      </c>
      <c r="AF5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3" spans="18:32" x14ac:dyDescent="0.2">
      <c r="R5463" t="s">
        <v>3</v>
      </c>
      <c r="S5463" t="s">
        <v>244</v>
      </c>
      <c r="T5463" t="s">
        <v>445</v>
      </c>
      <c r="U5463" s="21">
        <v>2121826</v>
      </c>
      <c r="V5463" s="21" t="s">
        <v>368</v>
      </c>
      <c r="W5463" t="str">
        <f>VLOOKUP(Table_Query_from_Actuarial___Production[[#This Row],[Kor1]],$AI$3:$AK$105,3,FALSE)</f>
        <v>Premiums Written</v>
      </c>
      <c r="X5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3"/>
      <c r="Z5463" t="s">
        <v>12</v>
      </c>
      <c r="AA5463" t="s">
        <v>231</v>
      </c>
      <c r="AB5463" t="s">
        <v>443</v>
      </c>
      <c r="AC5463" s="21">
        <v>16691.03</v>
      </c>
      <c r="AD5463" s="21" t="s">
        <v>368</v>
      </c>
      <c r="AE5463" t="str">
        <f>VLOOKUP(Table_Query_from_Actuarial___Production3[[#This Row],[Kor1]],$AI$3:$AK$105,3,FALSE)</f>
        <v>Premium Tax</v>
      </c>
      <c r="AF5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4" spans="18:32" x14ac:dyDescent="0.2">
      <c r="R5464" t="s">
        <v>47</v>
      </c>
      <c r="S5464" t="s">
        <v>266</v>
      </c>
      <c r="T5464" t="s">
        <v>9</v>
      </c>
      <c r="U5464" s="21">
        <v>185.6</v>
      </c>
      <c r="V5464" s="21" t="s">
        <v>368</v>
      </c>
      <c r="W5464" t="str">
        <f>VLOOKUP(Table_Query_from_Actuarial___Production[[#This Row],[Kor1]],$AI$3:$AK$105,3,FALSE)</f>
        <v>Investment Income</v>
      </c>
      <c r="X5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4"/>
      <c r="Z5464" t="s">
        <v>33</v>
      </c>
      <c r="AA5464" t="s">
        <v>245</v>
      </c>
      <c r="AB5464" t="s">
        <v>433</v>
      </c>
      <c r="AC5464" s="21">
        <v>13989.24</v>
      </c>
      <c r="AD5464" s="21" t="s">
        <v>368</v>
      </c>
      <c r="AE5464" t="str">
        <f>VLOOKUP(Table_Query_from_Actuarial___Production3[[#This Row],[Kor1]],$AI$3:$AK$105,3,FALSE)</f>
        <v>Misc. Expense</v>
      </c>
      <c r="AF5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5" spans="18:32" x14ac:dyDescent="0.2">
      <c r="R5465" t="s">
        <v>29</v>
      </c>
      <c r="S5465" t="s">
        <v>4</v>
      </c>
      <c r="T5465" t="s">
        <v>433</v>
      </c>
      <c r="U5465" s="21">
        <v>1228.3599999999999</v>
      </c>
      <c r="V5465" s="21" t="s">
        <v>368</v>
      </c>
      <c r="W5465" t="str">
        <f>VLOOKUP(Table_Query_from_Actuarial___Production[[#This Row],[Kor1]],$AI$3:$AK$105,3,FALSE)</f>
        <v>Misc. Expense</v>
      </c>
      <c r="X5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5"/>
      <c r="Z5465" t="s">
        <v>34</v>
      </c>
      <c r="AA5465" t="s">
        <v>235</v>
      </c>
      <c r="AB5465" t="s">
        <v>427</v>
      </c>
      <c r="AC5465" s="21">
        <v>960.3</v>
      </c>
      <c r="AD5465" s="21" t="s">
        <v>368</v>
      </c>
      <c r="AE5465" t="str">
        <f>VLOOKUP(Table_Query_from_Actuarial___Production3[[#This Row],[Kor1]],$AI$3:$AK$105,3,FALSE)</f>
        <v>Misc. Expense</v>
      </c>
      <c r="AF5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6" spans="18:32" x14ac:dyDescent="0.2">
      <c r="R5466" t="s">
        <v>41</v>
      </c>
      <c r="S5466" t="s">
        <v>260</v>
      </c>
      <c r="T5466" t="s">
        <v>351</v>
      </c>
      <c r="U5466" s="21">
        <v>500</v>
      </c>
      <c r="V5466" s="21" t="s">
        <v>368</v>
      </c>
      <c r="W5466" t="str">
        <f>VLOOKUP(Table_Query_from_Actuarial___Production[[#This Row],[Kor1]],$AI$3:$AK$105,3,FALSE)</f>
        <v>Misc. Income</v>
      </c>
      <c r="X5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6"/>
      <c r="Z5466" t="s">
        <v>36</v>
      </c>
      <c r="AA5466" t="s">
        <v>235</v>
      </c>
      <c r="AB5466" t="s">
        <v>442</v>
      </c>
      <c r="AC5466" s="21">
        <v>20</v>
      </c>
      <c r="AD5466" s="21" t="s">
        <v>368</v>
      </c>
      <c r="AE5466" t="str">
        <f>VLOOKUP(Table_Query_from_Actuarial___Production3[[#This Row],[Kor1]],$AI$3:$AK$105,3,FALSE)</f>
        <v>Misc. Expense</v>
      </c>
      <c r="AF5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7" spans="18:32" x14ac:dyDescent="0.2">
      <c r="R5467" t="s">
        <v>44</v>
      </c>
      <c r="S5467" t="s">
        <v>4</v>
      </c>
      <c r="T5467" t="s">
        <v>433</v>
      </c>
      <c r="U5467" s="21">
        <v>2078790.67</v>
      </c>
      <c r="V5467" s="21" t="s">
        <v>368</v>
      </c>
      <c r="W5467" t="str">
        <f>VLOOKUP(Table_Query_from_Actuarial___Production[[#This Row],[Kor1]],$AI$3:$AK$105,3,FALSE)</f>
        <v>Charge-offs</v>
      </c>
      <c r="X5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7"/>
      <c r="Z5467" t="s">
        <v>44</v>
      </c>
      <c r="AA5467" t="s">
        <v>264</v>
      </c>
      <c r="AB5467" t="s">
        <v>5</v>
      </c>
      <c r="AC5467" s="21">
        <v>3324.5</v>
      </c>
      <c r="AD5467" s="21" t="s">
        <v>368</v>
      </c>
      <c r="AE5467" t="str">
        <f>VLOOKUP(Table_Query_from_Actuarial___Production3[[#This Row],[Kor1]],$AI$3:$AK$105,3,FALSE)</f>
        <v>Charge-offs</v>
      </c>
      <c r="AF5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8" spans="18:32" x14ac:dyDescent="0.2">
      <c r="R5468" t="s">
        <v>39</v>
      </c>
      <c r="S5468" t="s">
        <v>254</v>
      </c>
      <c r="T5468" t="s">
        <v>445</v>
      </c>
      <c r="U5468" s="21">
        <v>393.51</v>
      </c>
      <c r="V5468" s="21" t="s">
        <v>368</v>
      </c>
      <c r="W5468" t="str">
        <f>VLOOKUP(Table_Query_from_Actuarial___Production[[#This Row],[Kor1]],$AI$3:$AK$105,3,FALSE)</f>
        <v>Misc. Income for Insolvent Companies</v>
      </c>
      <c r="X5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8"/>
      <c r="Z5468" t="s">
        <v>43</v>
      </c>
      <c r="AA5468" t="s">
        <v>243</v>
      </c>
      <c r="AB5468" t="s">
        <v>6</v>
      </c>
      <c r="AC5468" s="21">
        <v>-5.46</v>
      </c>
      <c r="AD5468" s="21" t="s">
        <v>368</v>
      </c>
      <c r="AE5468" t="str">
        <f>VLOOKUP(Table_Query_from_Actuarial___Production3[[#This Row],[Kor1]],$AI$3:$AK$105,3,FALSE)</f>
        <v>Charge-offs</v>
      </c>
      <c r="AF5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69" spans="18:32" x14ac:dyDescent="0.2">
      <c r="R5469" t="s">
        <v>13</v>
      </c>
      <c r="S5469" t="s">
        <v>264</v>
      </c>
      <c r="T5469" t="s">
        <v>433</v>
      </c>
      <c r="U5469" s="21">
        <v>846067.53</v>
      </c>
      <c r="V5469" s="21" t="s">
        <v>368</v>
      </c>
      <c r="W5469" t="str">
        <f>VLOOKUP(Table_Query_from_Actuarial___Production[[#This Row],[Kor1]],$AI$3:$AK$105,3,FALSE)</f>
        <v>Operating Service Fees</v>
      </c>
      <c r="X5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69"/>
      <c r="Z5469" t="s">
        <v>14</v>
      </c>
      <c r="AA5469" t="s">
        <v>242</v>
      </c>
      <c r="AB5469" t="s">
        <v>351</v>
      </c>
      <c r="AC5469" s="21">
        <v>26228.1</v>
      </c>
      <c r="AD5469" s="21" t="s">
        <v>368</v>
      </c>
      <c r="AE5469" t="str">
        <f>VLOOKUP(Table_Query_from_Actuarial___Production3[[#This Row],[Kor1]],$AI$3:$AK$105,3,FALSE)</f>
        <v>Claims Expense</v>
      </c>
      <c r="AF5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0" spans="18:32" x14ac:dyDescent="0.2">
      <c r="R5470" t="s">
        <v>49</v>
      </c>
      <c r="S5470" t="s">
        <v>259</v>
      </c>
      <c r="T5470" t="s">
        <v>351</v>
      </c>
      <c r="U5470" s="21">
        <v>61204.14</v>
      </c>
      <c r="V5470" s="21" t="s">
        <v>368</v>
      </c>
      <c r="W5470" t="str">
        <f>VLOOKUP(Table_Query_from_Actuarial___Production[[#This Row],[Kor1]],$AI$3:$AK$105,3,FALSE)</f>
        <v>ALAE Paid</v>
      </c>
      <c r="X5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0"/>
      <c r="Z5470" t="s">
        <v>21</v>
      </c>
      <c r="AA5470" t="s">
        <v>262</v>
      </c>
      <c r="AB5470" t="s">
        <v>9</v>
      </c>
      <c r="AC5470" s="21">
        <v>1268.51</v>
      </c>
      <c r="AD5470" s="21" t="s">
        <v>368</v>
      </c>
      <c r="AE5470" t="str">
        <f>VLOOKUP(Table_Query_from_Actuarial___Production3[[#This Row],[Kor1]],$AI$3:$AK$105,3,FALSE)</f>
        <v>Misc. Expense</v>
      </c>
      <c r="AF5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1" spans="18:32" x14ac:dyDescent="0.2">
      <c r="R5471" t="s">
        <v>32</v>
      </c>
      <c r="S5471" t="s">
        <v>237</v>
      </c>
      <c r="T5471" t="s">
        <v>351</v>
      </c>
      <c r="U5471" s="21">
        <v>235109.07</v>
      </c>
      <c r="V5471" s="21" t="s">
        <v>368</v>
      </c>
      <c r="W5471" t="str">
        <f>VLOOKUP(Table_Query_from_Actuarial___Production[[#This Row],[Kor1]],$AI$3:$AK$105,3,FALSE)</f>
        <v>Misc. Expense</v>
      </c>
      <c r="X5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1"/>
      <c r="Z5471" t="s">
        <v>14</v>
      </c>
      <c r="AA5471" t="s">
        <v>252</v>
      </c>
      <c r="AB5471" t="s">
        <v>441</v>
      </c>
      <c r="AC5471" s="21">
        <v>3339845.27</v>
      </c>
      <c r="AD5471" s="21" t="s">
        <v>368</v>
      </c>
      <c r="AE5471" t="str">
        <f>VLOOKUP(Table_Query_from_Actuarial___Production3[[#This Row],[Kor1]],$AI$3:$AK$105,3,FALSE)</f>
        <v>Claims Expense</v>
      </c>
      <c r="AF5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2" spans="18:32" x14ac:dyDescent="0.2">
      <c r="R5472" t="s">
        <v>50</v>
      </c>
      <c r="S5472" t="s">
        <v>256</v>
      </c>
      <c r="T5472" t="s">
        <v>442</v>
      </c>
      <c r="U5472" s="21">
        <v>126.87</v>
      </c>
      <c r="V5472" s="21" t="s">
        <v>368</v>
      </c>
      <c r="W5472" t="str">
        <f>VLOOKUP(Table_Query_from_Actuarial___Production[[#This Row],[Kor1]],$AI$3:$AK$105,3,FALSE)</f>
        <v>ALAE Reserve</v>
      </c>
      <c r="X5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2"/>
      <c r="Z5472" t="s">
        <v>20</v>
      </c>
      <c r="AA5472" t="s">
        <v>250</v>
      </c>
      <c r="AB5472" t="s">
        <v>442</v>
      </c>
      <c r="AC5472" s="21">
        <v>178.73</v>
      </c>
      <c r="AD5472" s="21" t="s">
        <v>368</v>
      </c>
      <c r="AE5472" t="str">
        <f>VLOOKUP(Table_Query_from_Actuarial___Production3[[#This Row],[Kor1]],$AI$3:$AK$105,3,FALSE)</f>
        <v>Misc. Expense</v>
      </c>
      <c r="AF5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3" spans="18:32" x14ac:dyDescent="0.2">
      <c r="R5473" t="s">
        <v>3</v>
      </c>
      <c r="S5473" t="s">
        <v>240</v>
      </c>
      <c r="T5473" t="s">
        <v>9</v>
      </c>
      <c r="U5473" s="21">
        <v>2689798</v>
      </c>
      <c r="V5473" s="21" t="s">
        <v>368</v>
      </c>
      <c r="W5473" t="str">
        <f>VLOOKUP(Table_Query_from_Actuarial___Production[[#This Row],[Kor1]],$AI$3:$AK$105,3,FALSE)</f>
        <v>Premiums Written</v>
      </c>
      <c r="X5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3"/>
      <c r="Z5473" t="s">
        <v>33</v>
      </c>
      <c r="AA5473" t="s">
        <v>249</v>
      </c>
      <c r="AB5473" t="s">
        <v>5</v>
      </c>
      <c r="AC5473" s="21">
        <v>13581.47</v>
      </c>
      <c r="AD5473" s="21" t="s">
        <v>368</v>
      </c>
      <c r="AE5473" t="str">
        <f>VLOOKUP(Table_Query_from_Actuarial___Production3[[#This Row],[Kor1]],$AI$3:$AK$105,3,FALSE)</f>
        <v>Misc. Expense</v>
      </c>
      <c r="AF5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4" spans="18:32" x14ac:dyDescent="0.2">
      <c r="R5474" t="s">
        <v>12</v>
      </c>
      <c r="S5474" t="s">
        <v>227</v>
      </c>
      <c r="T5474" t="s">
        <v>9</v>
      </c>
      <c r="U5474" s="21">
        <v>7949.64</v>
      </c>
      <c r="V5474" s="21" t="s">
        <v>368</v>
      </c>
      <c r="W5474" t="str">
        <f>VLOOKUP(Table_Query_from_Actuarial___Production[[#This Row],[Kor1]],$AI$3:$AK$105,3,FALSE)</f>
        <v>Premium Tax</v>
      </c>
      <c r="X5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4"/>
      <c r="Z5474" t="s">
        <v>34</v>
      </c>
      <c r="AA5474" t="s">
        <v>259</v>
      </c>
      <c r="AB5474" t="s">
        <v>6</v>
      </c>
      <c r="AC5474" s="21">
        <v>7.01</v>
      </c>
      <c r="AD5474" s="21" t="s">
        <v>368</v>
      </c>
      <c r="AE5474" t="str">
        <f>VLOOKUP(Table_Query_from_Actuarial___Production3[[#This Row],[Kor1]],$AI$3:$AK$105,3,FALSE)</f>
        <v>Misc. Expense</v>
      </c>
      <c r="AF5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5" spans="18:32" x14ac:dyDescent="0.2">
      <c r="R5475" t="s">
        <v>33</v>
      </c>
      <c r="S5475" t="s">
        <v>248</v>
      </c>
      <c r="T5475" t="s">
        <v>443</v>
      </c>
      <c r="U5475" s="21">
        <v>16409.36</v>
      </c>
      <c r="V5475" s="21" t="s">
        <v>368</v>
      </c>
      <c r="W5475" t="str">
        <f>VLOOKUP(Table_Query_from_Actuarial___Production[[#This Row],[Kor1]],$AI$3:$AK$105,3,FALSE)</f>
        <v>Misc. Expense</v>
      </c>
      <c r="X5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5"/>
      <c r="Z5475" t="s">
        <v>15</v>
      </c>
      <c r="AA5475" t="s">
        <v>250</v>
      </c>
      <c r="AB5475" t="s">
        <v>442</v>
      </c>
      <c r="AC5475" s="21">
        <v>234091.44</v>
      </c>
      <c r="AD5475" s="21" t="s">
        <v>368</v>
      </c>
      <c r="AE5475" t="str">
        <f>VLOOKUP(Table_Query_from_Actuarial___Production3[[#This Row],[Kor1]],$AI$3:$AK$105,3,FALSE)</f>
        <v>Unearned Premiums</v>
      </c>
      <c r="AF5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6" spans="18:32" x14ac:dyDescent="0.2">
      <c r="R5476" t="s">
        <v>10</v>
      </c>
      <c r="S5476" t="s">
        <v>242</v>
      </c>
      <c r="T5476" t="s">
        <v>427</v>
      </c>
      <c r="U5476" s="21">
        <v>48798.85</v>
      </c>
      <c r="V5476" s="21" t="s">
        <v>368</v>
      </c>
      <c r="W5476" t="str">
        <f>VLOOKUP(Table_Query_from_Actuarial___Production[[#This Row],[Kor1]],$AI$3:$AK$105,3,FALSE)</f>
        <v>Commissions</v>
      </c>
      <c r="X5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6"/>
      <c r="Z5476" t="s">
        <v>37</v>
      </c>
      <c r="AA5476" t="s">
        <v>239</v>
      </c>
      <c r="AB5476" t="s">
        <v>442</v>
      </c>
      <c r="AC5476" s="21">
        <v>4010.6</v>
      </c>
      <c r="AD5476" s="21" t="s">
        <v>368</v>
      </c>
      <c r="AE5476" t="str">
        <f>VLOOKUP(Table_Query_from_Actuarial___Production3[[#This Row],[Kor1]],$AI$3:$AK$105,3,FALSE)</f>
        <v>Misc. Expense</v>
      </c>
      <c r="AF5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7" spans="18:32" x14ac:dyDescent="0.2">
      <c r="R5477" t="s">
        <v>13</v>
      </c>
      <c r="S5477" t="s">
        <v>245</v>
      </c>
      <c r="T5477" t="s">
        <v>427</v>
      </c>
      <c r="U5477" s="21">
        <v>391.74</v>
      </c>
      <c r="V5477" s="21" t="s">
        <v>368</v>
      </c>
      <c r="W5477" t="str">
        <f>VLOOKUP(Table_Query_from_Actuarial___Production[[#This Row],[Kor1]],$AI$3:$AK$105,3,FALSE)</f>
        <v>Operating Service Fees</v>
      </c>
      <c r="X5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7"/>
      <c r="Z5477" t="s">
        <v>41</v>
      </c>
      <c r="AA5477" t="s">
        <v>4</v>
      </c>
      <c r="AB5477" t="s">
        <v>427</v>
      </c>
      <c r="AC5477" s="21">
        <v>50.49</v>
      </c>
      <c r="AD5477" s="21" t="s">
        <v>368</v>
      </c>
      <c r="AE5477" t="str">
        <f>VLOOKUP(Table_Query_from_Actuarial___Production3[[#This Row],[Kor1]],$AI$3:$AK$105,3,FALSE)</f>
        <v>Misc. Income</v>
      </c>
      <c r="AF5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8" spans="18:32" x14ac:dyDescent="0.2">
      <c r="R5478" t="s">
        <v>32</v>
      </c>
      <c r="S5478" t="s">
        <v>258</v>
      </c>
      <c r="T5478" t="s">
        <v>8</v>
      </c>
      <c r="U5478" s="21">
        <v>34171.39</v>
      </c>
      <c r="V5478" s="21" t="s">
        <v>368</v>
      </c>
      <c r="W5478" t="str">
        <f>VLOOKUP(Table_Query_from_Actuarial___Production[[#This Row],[Kor1]],$AI$3:$AK$105,3,FALSE)</f>
        <v>Misc. Expense</v>
      </c>
      <c r="X5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8"/>
      <c r="Z5478" t="s">
        <v>10</v>
      </c>
      <c r="AA5478" t="s">
        <v>257</v>
      </c>
      <c r="AB5478" t="s">
        <v>7</v>
      </c>
      <c r="AC5478" s="21">
        <v>79338.38</v>
      </c>
      <c r="AD5478" s="21" t="s">
        <v>368</v>
      </c>
      <c r="AE5478" t="str">
        <f>VLOOKUP(Table_Query_from_Actuarial___Production3[[#This Row],[Kor1]],$AI$3:$AK$105,3,FALSE)</f>
        <v>Commissions</v>
      </c>
      <c r="AF5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79" spans="18:32" x14ac:dyDescent="0.2">
      <c r="R5479" t="s">
        <v>39</v>
      </c>
      <c r="S5479" t="s">
        <v>237</v>
      </c>
      <c r="T5479" t="s">
        <v>8</v>
      </c>
      <c r="U5479" s="21">
        <v>58600.01</v>
      </c>
      <c r="V5479" s="21" t="s">
        <v>368</v>
      </c>
      <c r="W5479" t="str">
        <f>VLOOKUP(Table_Query_from_Actuarial___Production[[#This Row],[Kor1]],$AI$3:$AK$105,3,FALSE)</f>
        <v>Misc. Income for Insolvent Companies</v>
      </c>
      <c r="X5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79"/>
      <c r="Z5479" t="s">
        <v>47</v>
      </c>
      <c r="AA5479" t="s">
        <v>266</v>
      </c>
      <c r="AB5479" t="s">
        <v>9</v>
      </c>
      <c r="AC5479" s="21">
        <v>185.6</v>
      </c>
      <c r="AD5479" s="21" t="s">
        <v>368</v>
      </c>
      <c r="AE5479" t="str">
        <f>VLOOKUP(Table_Query_from_Actuarial___Production3[[#This Row],[Kor1]],$AI$3:$AK$105,3,FALSE)</f>
        <v>Investment Income</v>
      </c>
      <c r="AF5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0" spans="18:32" x14ac:dyDescent="0.2">
      <c r="R5480" t="s">
        <v>19</v>
      </c>
      <c r="S5480" t="s">
        <v>244</v>
      </c>
      <c r="T5480" t="s">
        <v>6</v>
      </c>
      <c r="U5480" s="21">
        <v>3672</v>
      </c>
      <c r="V5480" s="21" t="s">
        <v>368</v>
      </c>
      <c r="W5480" t="str">
        <f>VLOOKUP(Table_Query_from_Actuarial___Production[[#This Row],[Kor1]],$AI$3:$AK$105,3,FALSE)</f>
        <v>Misc. Expense for Insolvent Companies</v>
      </c>
      <c r="X5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0"/>
      <c r="Z5480" t="s">
        <v>14</v>
      </c>
      <c r="AA5480" t="s">
        <v>225</v>
      </c>
      <c r="AB5480" t="s">
        <v>5</v>
      </c>
      <c r="AC5480" s="21">
        <v>161851</v>
      </c>
      <c r="AD5480" s="21" t="s">
        <v>368</v>
      </c>
      <c r="AE5480" t="str">
        <f>VLOOKUP(Table_Query_from_Actuarial___Production3[[#This Row],[Kor1]],$AI$3:$AK$105,3,FALSE)</f>
        <v>Claims Expense</v>
      </c>
      <c r="AF5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481" spans="18:32" x14ac:dyDescent="0.2">
      <c r="R5481" t="s">
        <v>14</v>
      </c>
      <c r="S5481" t="s">
        <v>242</v>
      </c>
      <c r="T5481" t="s">
        <v>441</v>
      </c>
      <c r="U5481" s="21">
        <v>62122.21</v>
      </c>
      <c r="V5481" s="21" t="s">
        <v>368</v>
      </c>
      <c r="W5481" t="str">
        <f>VLOOKUP(Table_Query_from_Actuarial___Production[[#This Row],[Kor1]],$AI$3:$AK$105,3,FALSE)</f>
        <v>Claims Expense</v>
      </c>
      <c r="X5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1"/>
      <c r="Z5481" t="s">
        <v>29</v>
      </c>
      <c r="AA5481" t="s">
        <v>4</v>
      </c>
      <c r="AB5481" t="s">
        <v>433</v>
      </c>
      <c r="AC5481" s="21">
        <v>1228.3599999999999</v>
      </c>
      <c r="AD5481" s="21" t="s">
        <v>368</v>
      </c>
      <c r="AE5481" t="str">
        <f>VLOOKUP(Table_Query_from_Actuarial___Production3[[#This Row],[Kor1]],$AI$3:$AK$105,3,FALSE)</f>
        <v>Misc. Expense</v>
      </c>
      <c r="AF5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2" spans="18:32" x14ac:dyDescent="0.2">
      <c r="R5482" t="s">
        <v>3</v>
      </c>
      <c r="S5482" t="s">
        <v>235</v>
      </c>
      <c r="T5482" t="s">
        <v>6</v>
      </c>
      <c r="U5482" s="21">
        <v>389729</v>
      </c>
      <c r="V5482" s="21" t="s">
        <v>368</v>
      </c>
      <c r="W5482" t="str">
        <f>VLOOKUP(Table_Query_from_Actuarial___Production[[#This Row],[Kor1]],$AI$3:$AK$105,3,FALSE)</f>
        <v>Premiums Written</v>
      </c>
      <c r="X5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2"/>
      <c r="Z5482" t="s">
        <v>41</v>
      </c>
      <c r="AA5482" t="s">
        <v>260</v>
      </c>
      <c r="AB5482" t="s">
        <v>351</v>
      </c>
      <c r="AC5482" s="21">
        <v>500</v>
      </c>
      <c r="AD5482" s="21" t="s">
        <v>368</v>
      </c>
      <c r="AE5482" t="str">
        <f>VLOOKUP(Table_Query_from_Actuarial___Production3[[#This Row],[Kor1]],$AI$3:$AK$105,3,FALSE)</f>
        <v>Misc. Income</v>
      </c>
      <c r="AF5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3" spans="18:32" x14ac:dyDescent="0.2">
      <c r="R5483" t="s">
        <v>11</v>
      </c>
      <c r="S5483" t="s">
        <v>257</v>
      </c>
      <c r="T5483" t="s">
        <v>441</v>
      </c>
      <c r="U5483" s="21">
        <v>1388439.61</v>
      </c>
      <c r="V5483" s="21" t="s">
        <v>368</v>
      </c>
      <c r="W5483" t="str">
        <f>VLOOKUP(Table_Query_from_Actuarial___Production[[#This Row],[Kor1]],$AI$3:$AK$105,3,FALSE)</f>
        <v>Losses Paid</v>
      </c>
      <c r="X5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3"/>
      <c r="Z5483" t="s">
        <v>44</v>
      </c>
      <c r="AA5483" t="s">
        <v>4</v>
      </c>
      <c r="AB5483" t="s">
        <v>433</v>
      </c>
      <c r="AC5483" s="21">
        <v>2168495.85</v>
      </c>
      <c r="AD5483" s="21" t="s">
        <v>368</v>
      </c>
      <c r="AE5483" t="str">
        <f>VLOOKUP(Table_Query_from_Actuarial___Production3[[#This Row],[Kor1]],$AI$3:$AK$105,3,FALSE)</f>
        <v>Charge-offs</v>
      </c>
      <c r="AF5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4" spans="18:32" x14ac:dyDescent="0.2">
      <c r="R5484" t="s">
        <v>13</v>
      </c>
      <c r="S5484" t="s">
        <v>239</v>
      </c>
      <c r="T5484" t="s">
        <v>441</v>
      </c>
      <c r="U5484" s="21">
        <v>2085779.07</v>
      </c>
      <c r="V5484" s="21" t="s">
        <v>368</v>
      </c>
      <c r="W5484" t="str">
        <f>VLOOKUP(Table_Query_from_Actuarial___Production[[#This Row],[Kor1]],$AI$3:$AK$105,3,FALSE)</f>
        <v>Operating Service Fees</v>
      </c>
      <c r="X5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4"/>
      <c r="Z5484" t="s">
        <v>13</v>
      </c>
      <c r="AA5484" t="s">
        <v>264</v>
      </c>
      <c r="AB5484" t="s">
        <v>433</v>
      </c>
      <c r="AC5484" s="21">
        <v>846067.53</v>
      </c>
      <c r="AD5484" s="21" t="s">
        <v>368</v>
      </c>
      <c r="AE5484" t="str">
        <f>VLOOKUP(Table_Query_from_Actuarial___Production3[[#This Row],[Kor1]],$AI$3:$AK$105,3,FALSE)</f>
        <v>Operating Service Fees</v>
      </c>
      <c r="AF5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5" spans="18:32" x14ac:dyDescent="0.2">
      <c r="R5485" t="s">
        <v>47</v>
      </c>
      <c r="S5485" t="s">
        <v>252</v>
      </c>
      <c r="T5485" t="s">
        <v>427</v>
      </c>
      <c r="U5485" s="21">
        <v>107245.45</v>
      </c>
      <c r="V5485" s="21" t="s">
        <v>368</v>
      </c>
      <c r="W5485" t="str">
        <f>VLOOKUP(Table_Query_from_Actuarial___Production[[#This Row],[Kor1]],$AI$3:$AK$105,3,FALSE)</f>
        <v>Investment Income</v>
      </c>
      <c r="X5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5"/>
      <c r="Z5485" t="s">
        <v>49</v>
      </c>
      <c r="AA5485" t="s">
        <v>259</v>
      </c>
      <c r="AB5485" t="s">
        <v>351</v>
      </c>
      <c r="AC5485" s="21">
        <v>61204.14</v>
      </c>
      <c r="AD5485" s="21" t="s">
        <v>368</v>
      </c>
      <c r="AE5485" t="str">
        <f>VLOOKUP(Table_Query_from_Actuarial___Production3[[#This Row],[Kor1]],$AI$3:$AK$105,3,FALSE)</f>
        <v>ALAE Paid</v>
      </c>
      <c r="AF5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6" spans="18:32" x14ac:dyDescent="0.2">
      <c r="R5486" t="s">
        <v>3</v>
      </c>
      <c r="S5486" t="s">
        <v>224</v>
      </c>
      <c r="T5486" t="s">
        <v>9</v>
      </c>
      <c r="U5486" s="21">
        <v>75579.13</v>
      </c>
      <c r="V5486" s="21" t="s">
        <v>425</v>
      </c>
      <c r="W5486" t="str">
        <f>VLOOKUP(Table_Query_from_Actuarial___Production[[#This Row],[Kor1]],$AI$3:$AK$105,3,FALSE)</f>
        <v>Premiums Written</v>
      </c>
      <c r="X5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486"/>
      <c r="Z5486" t="s">
        <v>14</v>
      </c>
      <c r="AA5486" t="s">
        <v>257</v>
      </c>
      <c r="AB5486" t="s">
        <v>5</v>
      </c>
      <c r="AC5486" s="21">
        <v>125295.59</v>
      </c>
      <c r="AD5486" s="21" t="s">
        <v>368</v>
      </c>
      <c r="AE5486" t="str">
        <f>VLOOKUP(Table_Query_from_Actuarial___Production3[[#This Row],[Kor1]],$AI$3:$AK$105,3,FALSE)</f>
        <v>Claims Expense</v>
      </c>
      <c r="AF5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7" spans="18:32" x14ac:dyDescent="0.2">
      <c r="R5487" t="s">
        <v>77</v>
      </c>
      <c r="S5487" t="s">
        <v>240</v>
      </c>
      <c r="T5487" t="s">
        <v>445</v>
      </c>
      <c r="U5487" s="21">
        <v>77322</v>
      </c>
      <c r="V5487" s="21" t="s">
        <v>368</v>
      </c>
      <c r="W5487" t="str">
        <f>VLOOKUP(Table_Query_from_Actuarial___Production[[#This Row],[Kor1]],$AI$3:$AK$105,3,FALSE)</f>
        <v>PDR</v>
      </c>
      <c r="X5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7"/>
      <c r="Z5487" t="s">
        <v>32</v>
      </c>
      <c r="AA5487" t="s">
        <v>237</v>
      </c>
      <c r="AB5487" t="s">
        <v>351</v>
      </c>
      <c r="AC5487" s="21">
        <v>235109.07</v>
      </c>
      <c r="AD5487" s="21" t="s">
        <v>368</v>
      </c>
      <c r="AE5487" t="str">
        <f>VLOOKUP(Table_Query_from_Actuarial___Production3[[#This Row],[Kor1]],$AI$3:$AK$105,3,FALSE)</f>
        <v>Misc. Expense</v>
      </c>
      <c r="AF5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8" spans="18:32" x14ac:dyDescent="0.2">
      <c r="R5488" t="s">
        <v>12</v>
      </c>
      <c r="S5488" t="s">
        <v>266</v>
      </c>
      <c r="T5488" t="s">
        <v>445</v>
      </c>
      <c r="U5488" s="21">
        <v>41352.32</v>
      </c>
      <c r="V5488" s="21" t="s">
        <v>368</v>
      </c>
      <c r="W5488" t="str">
        <f>VLOOKUP(Table_Query_from_Actuarial___Production[[#This Row],[Kor1]],$AI$3:$AK$105,3,FALSE)</f>
        <v>Premium Tax</v>
      </c>
      <c r="X5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8"/>
      <c r="Z5488" t="s">
        <v>50</v>
      </c>
      <c r="AA5488" t="s">
        <v>256</v>
      </c>
      <c r="AB5488" t="s">
        <v>442</v>
      </c>
      <c r="AC5488" s="21">
        <v>100.87</v>
      </c>
      <c r="AD5488" s="21" t="s">
        <v>368</v>
      </c>
      <c r="AE5488" t="str">
        <f>VLOOKUP(Table_Query_from_Actuarial___Production3[[#This Row],[Kor1]],$AI$3:$AK$105,3,FALSE)</f>
        <v>ALAE Reserve</v>
      </c>
      <c r="AF5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89" spans="18:32" x14ac:dyDescent="0.2">
      <c r="R5489" t="s">
        <v>47</v>
      </c>
      <c r="S5489" t="s">
        <v>254</v>
      </c>
      <c r="T5489" t="s">
        <v>9</v>
      </c>
      <c r="U5489" s="21">
        <v>300.44</v>
      </c>
      <c r="V5489" s="21" t="s">
        <v>368</v>
      </c>
      <c r="W5489" t="str">
        <f>VLOOKUP(Table_Query_from_Actuarial___Production[[#This Row],[Kor1]],$AI$3:$AK$105,3,FALSE)</f>
        <v>Investment Income</v>
      </c>
      <c r="X5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89"/>
      <c r="Z5489" t="s">
        <v>3</v>
      </c>
      <c r="AA5489" t="s">
        <v>240</v>
      </c>
      <c r="AB5489" t="s">
        <v>9</v>
      </c>
      <c r="AC5489" s="21">
        <v>2689798</v>
      </c>
      <c r="AD5489" s="21" t="s">
        <v>368</v>
      </c>
      <c r="AE5489" t="str">
        <f>VLOOKUP(Table_Query_from_Actuarial___Production3[[#This Row],[Kor1]],$AI$3:$AK$105,3,FALSE)</f>
        <v>Premiums Written</v>
      </c>
      <c r="AF5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0" spans="18:32" x14ac:dyDescent="0.2">
      <c r="R5490" t="s">
        <v>43</v>
      </c>
      <c r="S5490" t="s">
        <v>240</v>
      </c>
      <c r="T5490" t="s">
        <v>443</v>
      </c>
      <c r="U5490" s="21">
        <v>55.57</v>
      </c>
      <c r="V5490" s="21" t="s">
        <v>368</v>
      </c>
      <c r="W5490" t="str">
        <f>VLOOKUP(Table_Query_from_Actuarial___Production[[#This Row],[Kor1]],$AI$3:$AK$105,3,FALSE)</f>
        <v>Charge-offs</v>
      </c>
      <c r="X5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0"/>
      <c r="Z5490" t="s">
        <v>12</v>
      </c>
      <c r="AA5490" t="s">
        <v>227</v>
      </c>
      <c r="AB5490" t="s">
        <v>9</v>
      </c>
      <c r="AC5490" s="21">
        <v>7949.64</v>
      </c>
      <c r="AD5490" s="21" t="s">
        <v>368</v>
      </c>
      <c r="AE5490" t="str">
        <f>VLOOKUP(Table_Query_from_Actuarial___Production3[[#This Row],[Kor1]],$AI$3:$AK$105,3,FALSE)</f>
        <v>Premium Tax</v>
      </c>
      <c r="AF5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1" spans="18:32" x14ac:dyDescent="0.2">
      <c r="R5491" t="s">
        <v>22</v>
      </c>
      <c r="S5491" t="s">
        <v>250</v>
      </c>
      <c r="T5491" t="s">
        <v>9</v>
      </c>
      <c r="U5491" s="21">
        <v>66.02</v>
      </c>
      <c r="V5491" s="21" t="s">
        <v>368</v>
      </c>
      <c r="W5491" t="str">
        <f>VLOOKUP(Table_Query_from_Actuarial___Production[[#This Row],[Kor1]],$AI$3:$AK$105,3,FALSE)</f>
        <v>Misc. Expense</v>
      </c>
      <c r="X5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1"/>
      <c r="Z5491" t="s">
        <v>33</v>
      </c>
      <c r="AA5491" t="s">
        <v>248</v>
      </c>
      <c r="AB5491" t="s">
        <v>443</v>
      </c>
      <c r="AC5491" s="21">
        <v>8479.25</v>
      </c>
      <c r="AD5491" s="21" t="s">
        <v>368</v>
      </c>
      <c r="AE5491" t="str">
        <f>VLOOKUP(Table_Query_from_Actuarial___Production3[[#This Row],[Kor1]],$AI$3:$AK$105,3,FALSE)</f>
        <v>Misc. Expense</v>
      </c>
      <c r="AF5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2" spans="18:32" x14ac:dyDescent="0.2">
      <c r="R5492" t="s">
        <v>29</v>
      </c>
      <c r="S5492" t="s">
        <v>4</v>
      </c>
      <c r="T5492" t="s">
        <v>7</v>
      </c>
      <c r="U5492" s="21">
        <v>402.63</v>
      </c>
      <c r="V5492" s="21" t="s">
        <v>368</v>
      </c>
      <c r="W5492" t="str">
        <f>VLOOKUP(Table_Query_from_Actuarial___Production[[#This Row],[Kor1]],$AI$3:$AK$105,3,FALSE)</f>
        <v>Misc. Expense</v>
      </c>
      <c r="X5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2"/>
      <c r="Z5492" t="s">
        <v>10</v>
      </c>
      <c r="AA5492" t="s">
        <v>242</v>
      </c>
      <c r="AB5492" t="s">
        <v>427</v>
      </c>
      <c r="AC5492" s="21">
        <v>48798.85</v>
      </c>
      <c r="AD5492" s="21" t="s">
        <v>368</v>
      </c>
      <c r="AE5492" t="str">
        <f>VLOOKUP(Table_Query_from_Actuarial___Production3[[#This Row],[Kor1]],$AI$3:$AK$105,3,FALSE)</f>
        <v>Commissions</v>
      </c>
      <c r="AF5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3" spans="18:32" x14ac:dyDescent="0.2">
      <c r="R5493" t="s">
        <v>41</v>
      </c>
      <c r="S5493" t="s">
        <v>265</v>
      </c>
      <c r="T5493" t="s">
        <v>9</v>
      </c>
      <c r="U5493" s="21">
        <v>499.99</v>
      </c>
      <c r="V5493" s="21" t="s">
        <v>368</v>
      </c>
      <c r="W5493" t="str">
        <f>VLOOKUP(Table_Query_from_Actuarial___Production[[#This Row],[Kor1]],$AI$3:$AK$105,3,FALSE)</f>
        <v>Misc. Income</v>
      </c>
      <c r="X5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3"/>
      <c r="Z5493" t="s">
        <v>13</v>
      </c>
      <c r="AA5493" t="s">
        <v>245</v>
      </c>
      <c r="AB5493" t="s">
        <v>427</v>
      </c>
      <c r="AC5493" s="21">
        <v>391.74</v>
      </c>
      <c r="AD5493" s="21" t="s">
        <v>368</v>
      </c>
      <c r="AE5493" t="str">
        <f>VLOOKUP(Table_Query_from_Actuarial___Production3[[#This Row],[Kor1]],$AI$3:$AK$105,3,FALSE)</f>
        <v>Operating Service Fees</v>
      </c>
      <c r="AF5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4" spans="18:32" x14ac:dyDescent="0.2">
      <c r="R5494" t="s">
        <v>43</v>
      </c>
      <c r="S5494" t="s">
        <v>266</v>
      </c>
      <c r="T5494" t="s">
        <v>356</v>
      </c>
      <c r="U5494" s="21">
        <v>-75.13</v>
      </c>
      <c r="V5494" s="21" t="s">
        <v>368</v>
      </c>
      <c r="W5494" t="str">
        <f>VLOOKUP(Table_Query_from_Actuarial___Production[[#This Row],[Kor1]],$AI$3:$AK$105,3,FALSE)</f>
        <v>Charge-offs</v>
      </c>
      <c r="X5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4"/>
      <c r="Z5494" t="s">
        <v>32</v>
      </c>
      <c r="AA5494" t="s">
        <v>258</v>
      </c>
      <c r="AB5494" t="s">
        <v>8</v>
      </c>
      <c r="AC5494" s="21">
        <v>34171.39</v>
      </c>
      <c r="AD5494" s="21" t="s">
        <v>368</v>
      </c>
      <c r="AE5494" t="str">
        <f>VLOOKUP(Table_Query_from_Actuarial___Production3[[#This Row],[Kor1]],$AI$3:$AK$105,3,FALSE)</f>
        <v>Misc. Expense</v>
      </c>
      <c r="AF5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5" spans="18:32" x14ac:dyDescent="0.2">
      <c r="R5495" t="s">
        <v>14</v>
      </c>
      <c r="S5495" t="s">
        <v>234</v>
      </c>
      <c r="T5495" t="s">
        <v>442</v>
      </c>
      <c r="U5495" s="21">
        <v>58759.1</v>
      </c>
      <c r="V5495" s="21" t="s">
        <v>368</v>
      </c>
      <c r="W5495" t="str">
        <f>VLOOKUP(Table_Query_from_Actuarial___Production[[#This Row],[Kor1]],$AI$3:$AK$105,3,FALSE)</f>
        <v>Claims Expense</v>
      </c>
      <c r="X5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5"/>
      <c r="Z5495" t="s">
        <v>39</v>
      </c>
      <c r="AA5495" t="s">
        <v>237</v>
      </c>
      <c r="AB5495" t="s">
        <v>8</v>
      </c>
      <c r="AC5495" s="21">
        <v>58386.01</v>
      </c>
      <c r="AD5495" s="21" t="s">
        <v>368</v>
      </c>
      <c r="AE5495" t="str">
        <f>VLOOKUP(Table_Query_from_Actuarial___Production3[[#This Row],[Kor1]],$AI$3:$AK$105,3,FALSE)</f>
        <v>Misc. Income for Insolvent Companies</v>
      </c>
      <c r="AF5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6" spans="18:32" x14ac:dyDescent="0.2">
      <c r="R5496" t="s">
        <v>17</v>
      </c>
      <c r="S5496" t="s">
        <v>235</v>
      </c>
      <c r="T5496" t="s">
        <v>442</v>
      </c>
      <c r="U5496" s="21">
        <v>24806.06</v>
      </c>
      <c r="V5496" s="21" t="s">
        <v>368</v>
      </c>
      <c r="W5496" t="str">
        <f>VLOOKUP(Table_Query_from_Actuarial___Production[[#This Row],[Kor1]],$AI$3:$AK$105,3,FALSE)</f>
        <v>IBNR</v>
      </c>
      <c r="X5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6"/>
      <c r="Z5496" t="s">
        <v>19</v>
      </c>
      <c r="AA5496" t="s">
        <v>244</v>
      </c>
      <c r="AB5496" t="s">
        <v>6</v>
      </c>
      <c r="AC5496" s="21">
        <v>3672</v>
      </c>
      <c r="AD5496" s="21" t="s">
        <v>368</v>
      </c>
      <c r="AE5496" t="str">
        <f>VLOOKUP(Table_Query_from_Actuarial___Production3[[#This Row],[Kor1]],$AI$3:$AK$105,3,FALSE)</f>
        <v>Misc. Expense for Insolvent Companies</v>
      </c>
      <c r="AF5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7" spans="18:32" x14ac:dyDescent="0.2">
      <c r="R5497" t="s">
        <v>32</v>
      </c>
      <c r="S5497" t="s">
        <v>252</v>
      </c>
      <c r="T5497" t="s">
        <v>8</v>
      </c>
      <c r="U5497" s="21">
        <v>5060.43</v>
      </c>
      <c r="V5497" s="21" t="s">
        <v>368</v>
      </c>
      <c r="W5497" t="str">
        <f>VLOOKUP(Table_Query_from_Actuarial___Production[[#This Row],[Kor1]],$AI$3:$AK$105,3,FALSE)</f>
        <v>Misc. Expense</v>
      </c>
      <c r="X5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7"/>
      <c r="Z5497" t="s">
        <v>14</v>
      </c>
      <c r="AA5497" t="s">
        <v>242</v>
      </c>
      <c r="AB5497" t="s">
        <v>441</v>
      </c>
      <c r="AC5497" s="21">
        <v>62122.21</v>
      </c>
      <c r="AD5497" s="21" t="s">
        <v>368</v>
      </c>
      <c r="AE5497" t="str">
        <f>VLOOKUP(Table_Query_from_Actuarial___Production3[[#This Row],[Kor1]],$AI$3:$AK$105,3,FALSE)</f>
        <v>Claims Expense</v>
      </c>
      <c r="AF5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8" spans="18:32" x14ac:dyDescent="0.2">
      <c r="R5498" t="s">
        <v>17</v>
      </c>
      <c r="S5498" t="s">
        <v>255</v>
      </c>
      <c r="T5498" t="s">
        <v>433</v>
      </c>
      <c r="U5498" s="21">
        <v>24653.19</v>
      </c>
      <c r="V5498" s="21" t="s">
        <v>368</v>
      </c>
      <c r="W5498" t="str">
        <f>VLOOKUP(Table_Query_from_Actuarial___Production[[#This Row],[Kor1]],$AI$3:$AK$105,3,FALSE)</f>
        <v>IBNR</v>
      </c>
      <c r="X5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8"/>
      <c r="Z5498" t="s">
        <v>3</v>
      </c>
      <c r="AA5498" t="s">
        <v>235</v>
      </c>
      <c r="AB5498" t="s">
        <v>6</v>
      </c>
      <c r="AC5498" s="21">
        <v>389729</v>
      </c>
      <c r="AD5498" s="21" t="s">
        <v>368</v>
      </c>
      <c r="AE5498" t="str">
        <f>VLOOKUP(Table_Query_from_Actuarial___Production3[[#This Row],[Kor1]],$AI$3:$AK$105,3,FALSE)</f>
        <v>Premiums Written</v>
      </c>
      <c r="AF5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499" spans="18:32" x14ac:dyDescent="0.2">
      <c r="R5499" t="s">
        <v>49</v>
      </c>
      <c r="S5499" t="s">
        <v>240</v>
      </c>
      <c r="T5499" t="s">
        <v>427</v>
      </c>
      <c r="U5499" s="21">
        <v>10513.6</v>
      </c>
      <c r="V5499" s="21" t="s">
        <v>368</v>
      </c>
      <c r="W5499" t="str">
        <f>VLOOKUP(Table_Query_from_Actuarial___Production[[#This Row],[Kor1]],$AI$3:$AK$105,3,FALSE)</f>
        <v>ALAE Paid</v>
      </c>
      <c r="X5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499"/>
      <c r="Z5499" t="s">
        <v>11</v>
      </c>
      <c r="AA5499" t="s">
        <v>257</v>
      </c>
      <c r="AB5499" t="s">
        <v>441</v>
      </c>
      <c r="AC5499" s="21">
        <v>1153922.08</v>
      </c>
      <c r="AD5499" s="21" t="s">
        <v>368</v>
      </c>
      <c r="AE5499" t="str">
        <f>VLOOKUP(Table_Query_from_Actuarial___Production3[[#This Row],[Kor1]],$AI$3:$AK$105,3,FALSE)</f>
        <v>Losses Paid</v>
      </c>
      <c r="AF5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0" spans="18:32" x14ac:dyDescent="0.2">
      <c r="R5500" t="s">
        <v>13</v>
      </c>
      <c r="S5500" t="s">
        <v>260</v>
      </c>
      <c r="T5500" t="s">
        <v>7</v>
      </c>
      <c r="U5500" s="21">
        <v>6887.47</v>
      </c>
      <c r="V5500" s="21" t="s">
        <v>368</v>
      </c>
      <c r="W5500" t="str">
        <f>VLOOKUP(Table_Query_from_Actuarial___Production[[#This Row],[Kor1]],$AI$3:$AK$105,3,FALSE)</f>
        <v>Operating Service Fees</v>
      </c>
      <c r="X5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0"/>
      <c r="Z5500" t="s">
        <v>13</v>
      </c>
      <c r="AA5500" t="s">
        <v>239</v>
      </c>
      <c r="AB5500" t="s">
        <v>441</v>
      </c>
      <c r="AC5500" s="21">
        <v>2100267.27</v>
      </c>
      <c r="AD5500" s="21" t="s">
        <v>368</v>
      </c>
      <c r="AE5500" t="str">
        <f>VLOOKUP(Table_Query_from_Actuarial___Production3[[#This Row],[Kor1]],$AI$3:$AK$105,3,FALSE)</f>
        <v>Operating Service Fees</v>
      </c>
      <c r="AF5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1" spans="18:32" x14ac:dyDescent="0.2">
      <c r="R5501" t="s">
        <v>10</v>
      </c>
      <c r="S5501" t="s">
        <v>268</v>
      </c>
      <c r="T5501" t="s">
        <v>442</v>
      </c>
      <c r="U5501" s="21">
        <v>22145.35</v>
      </c>
      <c r="V5501" s="21" t="s">
        <v>368</v>
      </c>
      <c r="W5501" t="str">
        <f>VLOOKUP(Table_Query_from_Actuarial___Production[[#This Row],[Kor1]],$AI$3:$AK$105,3,FALSE)</f>
        <v>Commissions</v>
      </c>
      <c r="X5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1"/>
      <c r="Z5501" t="s">
        <v>47</v>
      </c>
      <c r="AA5501" t="s">
        <v>252</v>
      </c>
      <c r="AB5501" t="s">
        <v>427</v>
      </c>
      <c r="AC5501" s="21">
        <v>107245.45</v>
      </c>
      <c r="AD5501" s="21" t="s">
        <v>368</v>
      </c>
      <c r="AE5501" t="str">
        <f>VLOOKUP(Table_Query_from_Actuarial___Production3[[#This Row],[Kor1]],$AI$3:$AK$105,3,FALSE)</f>
        <v>Investment Income</v>
      </c>
      <c r="AF5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2" spans="18:32" x14ac:dyDescent="0.2">
      <c r="R5502" t="s">
        <v>50</v>
      </c>
      <c r="S5502" t="s">
        <v>227</v>
      </c>
      <c r="T5502" t="s">
        <v>442</v>
      </c>
      <c r="U5502" s="21">
        <v>133.18</v>
      </c>
      <c r="V5502" s="21" t="s">
        <v>368</v>
      </c>
      <c r="W5502" t="str">
        <f>VLOOKUP(Table_Query_from_Actuarial___Production[[#This Row],[Kor1]],$AI$3:$AK$105,3,FALSE)</f>
        <v>ALAE Reserve</v>
      </c>
      <c r="X5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2"/>
      <c r="Z5502" t="s">
        <v>3</v>
      </c>
      <c r="AA5502" t="s">
        <v>224</v>
      </c>
      <c r="AB5502" t="s">
        <v>9</v>
      </c>
      <c r="AC5502" s="21">
        <v>75470.91</v>
      </c>
      <c r="AD5502" s="21" t="s">
        <v>425</v>
      </c>
      <c r="AE5502" t="str">
        <f>VLOOKUP(Table_Query_from_Actuarial___Production3[[#This Row],[Kor1]],$AI$3:$AK$105,3,FALSE)</f>
        <v>Premiums Written</v>
      </c>
      <c r="AF5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503" spans="18:32" x14ac:dyDescent="0.2">
      <c r="R5503" t="s">
        <v>3</v>
      </c>
      <c r="S5503" t="s">
        <v>258</v>
      </c>
      <c r="T5503" t="s">
        <v>9</v>
      </c>
      <c r="U5503" s="21">
        <v>2558365</v>
      </c>
      <c r="V5503" s="21" t="s">
        <v>368</v>
      </c>
      <c r="W5503" t="str">
        <f>VLOOKUP(Table_Query_from_Actuarial___Production[[#This Row],[Kor1]],$AI$3:$AK$105,3,FALSE)</f>
        <v>Premiums Written</v>
      </c>
      <c r="X5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3"/>
      <c r="Z5503" t="s">
        <v>33</v>
      </c>
      <c r="AA5503" t="s">
        <v>239</v>
      </c>
      <c r="AB5503" t="s">
        <v>5</v>
      </c>
      <c r="AC5503" s="21">
        <v>16506.43</v>
      </c>
      <c r="AD5503" s="21" t="s">
        <v>368</v>
      </c>
      <c r="AE5503" t="str">
        <f>VLOOKUP(Table_Query_from_Actuarial___Production3[[#This Row],[Kor1]],$AI$3:$AK$105,3,FALSE)</f>
        <v>Misc. Expense</v>
      </c>
      <c r="AF5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4" spans="18:32" x14ac:dyDescent="0.2">
      <c r="R5504" t="s">
        <v>13</v>
      </c>
      <c r="S5504" t="s">
        <v>247</v>
      </c>
      <c r="T5504" t="s">
        <v>441</v>
      </c>
      <c r="U5504" s="21">
        <v>870.94</v>
      </c>
      <c r="V5504" s="21" t="s">
        <v>368</v>
      </c>
      <c r="W5504" t="str">
        <f>VLOOKUP(Table_Query_from_Actuarial___Production[[#This Row],[Kor1]],$AI$3:$AK$105,3,FALSE)</f>
        <v>Operating Service Fees</v>
      </c>
      <c r="X5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4"/>
      <c r="Z5504" t="s">
        <v>47</v>
      </c>
      <c r="AA5504" t="s">
        <v>254</v>
      </c>
      <c r="AB5504" t="s">
        <v>9</v>
      </c>
      <c r="AC5504" s="21">
        <v>300.44</v>
      </c>
      <c r="AD5504" s="21" t="s">
        <v>368</v>
      </c>
      <c r="AE5504" t="str">
        <f>VLOOKUP(Table_Query_from_Actuarial___Production3[[#This Row],[Kor1]],$AI$3:$AK$105,3,FALSE)</f>
        <v>Investment Income</v>
      </c>
      <c r="AF5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5" spans="18:32" x14ac:dyDescent="0.2">
      <c r="R5505" t="s">
        <v>17</v>
      </c>
      <c r="S5505" t="s">
        <v>231</v>
      </c>
      <c r="T5505" t="s">
        <v>445</v>
      </c>
      <c r="U5505" s="21">
        <v>165182.57</v>
      </c>
      <c r="V5505" s="21" t="s">
        <v>368</v>
      </c>
      <c r="W5505" t="str">
        <f>VLOOKUP(Table_Query_from_Actuarial___Production[[#This Row],[Kor1]],$AI$3:$AK$105,3,FALSE)</f>
        <v>IBNR</v>
      </c>
      <c r="X5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5"/>
      <c r="Z5505" t="s">
        <v>43</v>
      </c>
      <c r="AA5505" t="s">
        <v>240</v>
      </c>
      <c r="AB5505" t="s">
        <v>443</v>
      </c>
      <c r="AC5505" s="21">
        <v>1.31</v>
      </c>
      <c r="AD5505" s="21" t="s">
        <v>368</v>
      </c>
      <c r="AE5505" t="str">
        <f>VLOOKUP(Table_Query_from_Actuarial___Production3[[#This Row],[Kor1]],$AI$3:$AK$105,3,FALSE)</f>
        <v>Charge-offs</v>
      </c>
      <c r="AF5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6" spans="18:32" x14ac:dyDescent="0.2">
      <c r="R5506" t="s">
        <v>13</v>
      </c>
      <c r="S5506" t="s">
        <v>248</v>
      </c>
      <c r="T5506" t="s">
        <v>445</v>
      </c>
      <c r="U5506" s="21">
        <v>70541.02</v>
      </c>
      <c r="V5506" s="21" t="s">
        <v>368</v>
      </c>
      <c r="W5506" t="str">
        <f>VLOOKUP(Table_Query_from_Actuarial___Production[[#This Row],[Kor1]],$AI$3:$AK$105,3,FALSE)</f>
        <v>Operating Service Fees</v>
      </c>
      <c r="X5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6"/>
      <c r="Z5506" t="s">
        <v>22</v>
      </c>
      <c r="AA5506" t="s">
        <v>250</v>
      </c>
      <c r="AB5506" t="s">
        <v>9</v>
      </c>
      <c r="AC5506" s="21">
        <v>66.02</v>
      </c>
      <c r="AD5506" s="21" t="s">
        <v>368</v>
      </c>
      <c r="AE5506" t="str">
        <f>VLOOKUP(Table_Query_from_Actuarial___Production3[[#This Row],[Kor1]],$AI$3:$AK$105,3,FALSE)</f>
        <v>Misc. Expense</v>
      </c>
      <c r="AF5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7" spans="18:32" x14ac:dyDescent="0.2">
      <c r="R5507" t="s">
        <v>10</v>
      </c>
      <c r="S5507" t="s">
        <v>250</v>
      </c>
      <c r="T5507" t="s">
        <v>356</v>
      </c>
      <c r="U5507" s="21">
        <v>114846.6</v>
      </c>
      <c r="V5507" s="21" t="s">
        <v>368</v>
      </c>
      <c r="W5507" t="str">
        <f>VLOOKUP(Table_Query_from_Actuarial___Production[[#This Row],[Kor1]],$AI$3:$AK$105,3,FALSE)</f>
        <v>Commissions</v>
      </c>
      <c r="X5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7"/>
      <c r="Z5507" t="s">
        <v>29</v>
      </c>
      <c r="AA5507" t="s">
        <v>4</v>
      </c>
      <c r="AB5507" t="s">
        <v>7</v>
      </c>
      <c r="AC5507" s="21">
        <v>402.63</v>
      </c>
      <c r="AD5507" s="21" t="s">
        <v>368</v>
      </c>
      <c r="AE5507" t="str">
        <f>VLOOKUP(Table_Query_from_Actuarial___Production3[[#This Row],[Kor1]],$AI$3:$AK$105,3,FALSE)</f>
        <v>Misc. Expense</v>
      </c>
      <c r="AF5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8" spans="18:32" x14ac:dyDescent="0.2">
      <c r="R5508" t="s">
        <v>12</v>
      </c>
      <c r="S5508" t="s">
        <v>244</v>
      </c>
      <c r="T5508" t="s">
        <v>441</v>
      </c>
      <c r="U5508" s="21">
        <v>78357.66</v>
      </c>
      <c r="V5508" s="21" t="s">
        <v>368</v>
      </c>
      <c r="W5508" t="str">
        <f>VLOOKUP(Table_Query_from_Actuarial___Production[[#This Row],[Kor1]],$AI$3:$AK$105,3,FALSE)</f>
        <v>Premium Tax</v>
      </c>
      <c r="X5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8"/>
      <c r="Z5508" t="s">
        <v>41</v>
      </c>
      <c r="AA5508" t="s">
        <v>265</v>
      </c>
      <c r="AB5508" t="s">
        <v>9</v>
      </c>
      <c r="AC5508" s="21">
        <v>499.99</v>
      </c>
      <c r="AD5508" s="21" t="s">
        <v>368</v>
      </c>
      <c r="AE5508" t="str">
        <f>VLOOKUP(Table_Query_from_Actuarial___Production3[[#This Row],[Kor1]],$AI$3:$AK$105,3,FALSE)</f>
        <v>Misc. Income</v>
      </c>
      <c r="AF5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09" spans="18:32" x14ac:dyDescent="0.2">
      <c r="R5509" t="s">
        <v>49</v>
      </c>
      <c r="S5509" t="s">
        <v>4</v>
      </c>
      <c r="T5509" t="s">
        <v>9</v>
      </c>
      <c r="U5509" s="21">
        <v>1921050.53</v>
      </c>
      <c r="V5509" s="21" t="s">
        <v>368</v>
      </c>
      <c r="W5509" t="str">
        <f>VLOOKUP(Table_Query_from_Actuarial___Production[[#This Row],[Kor1]],$AI$3:$AK$105,3,FALSE)</f>
        <v>ALAE Paid</v>
      </c>
      <c r="X5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09"/>
      <c r="Z5509" t="s">
        <v>43</v>
      </c>
      <c r="AA5509" t="s">
        <v>266</v>
      </c>
      <c r="AB5509" t="s">
        <v>356</v>
      </c>
      <c r="AC5509" s="21">
        <v>-75.13</v>
      </c>
      <c r="AD5509" s="21" t="s">
        <v>368</v>
      </c>
      <c r="AE5509" t="str">
        <f>VLOOKUP(Table_Query_from_Actuarial___Production3[[#This Row],[Kor1]],$AI$3:$AK$105,3,FALSE)</f>
        <v>Charge-offs</v>
      </c>
      <c r="AF5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0" spans="18:32" x14ac:dyDescent="0.2">
      <c r="R5510" t="s">
        <v>48</v>
      </c>
      <c r="S5510" t="s">
        <v>225</v>
      </c>
      <c r="T5510" t="s">
        <v>427</v>
      </c>
      <c r="U5510" s="21">
        <v>2213.75</v>
      </c>
      <c r="V5510" s="21" t="s">
        <v>368</v>
      </c>
      <c r="W5510" t="str">
        <f>VLOOKUP(Table_Query_from_Actuarial___Production[[#This Row],[Kor1]],$AI$3:$AK$105,3,FALSE)</f>
        <v>Anticipated Salvage</v>
      </c>
      <c r="X5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510"/>
      <c r="Z5510" t="s">
        <v>14</v>
      </c>
      <c r="AA5510" t="s">
        <v>234</v>
      </c>
      <c r="AB5510" t="s">
        <v>442</v>
      </c>
      <c r="AC5510" s="21">
        <v>44243.86</v>
      </c>
      <c r="AD5510" s="21" t="s">
        <v>368</v>
      </c>
      <c r="AE5510" t="str">
        <f>VLOOKUP(Table_Query_from_Actuarial___Production3[[#This Row],[Kor1]],$AI$3:$AK$105,3,FALSE)</f>
        <v>Claims Expense</v>
      </c>
      <c r="AF5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1" spans="18:32" x14ac:dyDescent="0.2">
      <c r="R5511" t="s">
        <v>33</v>
      </c>
      <c r="S5511" t="s">
        <v>229</v>
      </c>
      <c r="T5511" t="s">
        <v>433</v>
      </c>
      <c r="U5511" s="21">
        <v>13750.74</v>
      </c>
      <c r="V5511" s="21" t="s">
        <v>368</v>
      </c>
      <c r="W5511" t="str">
        <f>VLOOKUP(Table_Query_from_Actuarial___Production[[#This Row],[Kor1]],$AI$3:$AK$105,3,FALSE)</f>
        <v>Misc. Expense</v>
      </c>
      <c r="X5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1"/>
      <c r="Z5511" t="s">
        <v>17</v>
      </c>
      <c r="AA5511" t="s">
        <v>235</v>
      </c>
      <c r="AB5511" t="s">
        <v>442</v>
      </c>
      <c r="AC5511" s="21">
        <v>52518.97</v>
      </c>
      <c r="AD5511" s="21" t="s">
        <v>368</v>
      </c>
      <c r="AE5511" t="str">
        <f>VLOOKUP(Table_Query_from_Actuarial___Production3[[#This Row],[Kor1]],$AI$3:$AK$105,3,FALSE)</f>
        <v>IBNR</v>
      </c>
      <c r="AF5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2" spans="18:32" x14ac:dyDescent="0.2">
      <c r="R5512" t="s">
        <v>44</v>
      </c>
      <c r="S5512" t="s">
        <v>264</v>
      </c>
      <c r="T5512" t="s">
        <v>8</v>
      </c>
      <c r="U5512" s="21">
        <v>9803.11</v>
      </c>
      <c r="V5512" s="21" t="s">
        <v>368</v>
      </c>
      <c r="W5512" t="str">
        <f>VLOOKUP(Table_Query_from_Actuarial___Production[[#This Row],[Kor1]],$AI$3:$AK$105,3,FALSE)</f>
        <v>Charge-offs</v>
      </c>
      <c r="X5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2"/>
      <c r="Z5512" t="s">
        <v>32</v>
      </c>
      <c r="AA5512" t="s">
        <v>252</v>
      </c>
      <c r="AB5512" t="s">
        <v>8</v>
      </c>
      <c r="AC5512" s="21">
        <v>5060.43</v>
      </c>
      <c r="AD5512" s="21" t="s">
        <v>368</v>
      </c>
      <c r="AE5512" t="str">
        <f>VLOOKUP(Table_Query_from_Actuarial___Production3[[#This Row],[Kor1]],$AI$3:$AK$105,3,FALSE)</f>
        <v>Misc. Expense</v>
      </c>
      <c r="AF5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3" spans="18:32" x14ac:dyDescent="0.2">
      <c r="R5513" t="s">
        <v>49</v>
      </c>
      <c r="S5513" t="s">
        <v>264</v>
      </c>
      <c r="T5513" t="s">
        <v>8</v>
      </c>
      <c r="U5513" s="21">
        <v>38069.360000000001</v>
      </c>
      <c r="V5513" s="21" t="s">
        <v>368</v>
      </c>
      <c r="W5513" t="str">
        <f>VLOOKUP(Table_Query_from_Actuarial___Production[[#This Row],[Kor1]],$AI$3:$AK$105,3,FALSE)</f>
        <v>ALAE Paid</v>
      </c>
      <c r="X5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3"/>
      <c r="Z5513" t="s">
        <v>17</v>
      </c>
      <c r="AA5513" t="s">
        <v>255</v>
      </c>
      <c r="AB5513" t="s">
        <v>433</v>
      </c>
      <c r="AC5513" s="21">
        <v>22090.7</v>
      </c>
      <c r="AD5513" s="21" t="s">
        <v>368</v>
      </c>
      <c r="AE5513" t="str">
        <f>VLOOKUP(Table_Query_from_Actuarial___Production3[[#This Row],[Kor1]],$AI$3:$AK$105,3,FALSE)</f>
        <v>IBNR</v>
      </c>
      <c r="AF5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4" spans="18:32" x14ac:dyDescent="0.2">
      <c r="R5514" t="s">
        <v>31</v>
      </c>
      <c r="S5514" t="s">
        <v>257</v>
      </c>
      <c r="T5514" t="s">
        <v>6</v>
      </c>
      <c r="U5514" s="21">
        <v>2.98</v>
      </c>
      <c r="V5514" s="21" t="s">
        <v>368</v>
      </c>
      <c r="W5514" t="str">
        <f>VLOOKUP(Table_Query_from_Actuarial___Production[[#This Row],[Kor1]],$AI$3:$AK$105,3,FALSE)</f>
        <v>Misc. Expense</v>
      </c>
      <c r="X5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4"/>
      <c r="Z5514" t="s">
        <v>49</v>
      </c>
      <c r="AA5514" t="s">
        <v>240</v>
      </c>
      <c r="AB5514" t="s">
        <v>427</v>
      </c>
      <c r="AC5514" s="21">
        <v>10513.6</v>
      </c>
      <c r="AD5514" s="21" t="s">
        <v>368</v>
      </c>
      <c r="AE5514" t="str">
        <f>VLOOKUP(Table_Query_from_Actuarial___Production3[[#This Row],[Kor1]],$AI$3:$AK$105,3,FALSE)</f>
        <v>ALAE Paid</v>
      </c>
      <c r="AF5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5" spans="18:32" x14ac:dyDescent="0.2">
      <c r="R5515" t="s">
        <v>39</v>
      </c>
      <c r="S5515" t="s">
        <v>247</v>
      </c>
      <c r="T5515" t="s">
        <v>433</v>
      </c>
      <c r="U5515" s="21">
        <v>1</v>
      </c>
      <c r="V5515" s="21" t="s">
        <v>368</v>
      </c>
      <c r="W5515" t="str">
        <f>VLOOKUP(Table_Query_from_Actuarial___Production[[#This Row],[Kor1]],$AI$3:$AK$105,3,FALSE)</f>
        <v>Misc. Income for Insolvent Companies</v>
      </c>
      <c r="X5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5"/>
      <c r="Z5515" t="s">
        <v>13</v>
      </c>
      <c r="AA5515" t="s">
        <v>260</v>
      </c>
      <c r="AB5515" t="s">
        <v>7</v>
      </c>
      <c r="AC5515" s="21">
        <v>6887.47</v>
      </c>
      <c r="AD5515" s="21" t="s">
        <v>368</v>
      </c>
      <c r="AE5515" t="str">
        <f>VLOOKUP(Table_Query_from_Actuarial___Production3[[#This Row],[Kor1]],$AI$3:$AK$105,3,FALSE)</f>
        <v>Operating Service Fees</v>
      </c>
      <c r="AF5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6" spans="18:32" x14ac:dyDescent="0.2">
      <c r="R5516" t="s">
        <v>11</v>
      </c>
      <c r="S5516" t="s">
        <v>225</v>
      </c>
      <c r="T5516" t="s">
        <v>441</v>
      </c>
      <c r="U5516" s="21">
        <v>781061.29</v>
      </c>
      <c r="V5516" s="21" t="s">
        <v>368</v>
      </c>
      <c r="W5516" t="str">
        <f>VLOOKUP(Table_Query_from_Actuarial___Production[[#This Row],[Kor1]],$AI$3:$AK$105,3,FALSE)</f>
        <v>Losses Paid</v>
      </c>
      <c r="X5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516"/>
      <c r="Z5516" t="s">
        <v>10</v>
      </c>
      <c r="AA5516" t="s">
        <v>268</v>
      </c>
      <c r="AB5516" t="s">
        <v>442</v>
      </c>
      <c r="AC5516" s="21">
        <v>22188.85</v>
      </c>
      <c r="AD5516" s="21" t="s">
        <v>368</v>
      </c>
      <c r="AE5516" t="str">
        <f>VLOOKUP(Table_Query_from_Actuarial___Production3[[#This Row],[Kor1]],$AI$3:$AK$105,3,FALSE)</f>
        <v>Commissions</v>
      </c>
      <c r="AF5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7" spans="18:32" x14ac:dyDescent="0.2">
      <c r="R5517" t="s">
        <v>21</v>
      </c>
      <c r="S5517" t="s">
        <v>4</v>
      </c>
      <c r="T5517" t="s">
        <v>8</v>
      </c>
      <c r="U5517" s="21">
        <v>15.11</v>
      </c>
      <c r="V5517" s="21" t="s">
        <v>368</v>
      </c>
      <c r="W5517" t="str">
        <f>VLOOKUP(Table_Query_from_Actuarial___Production[[#This Row],[Kor1]],$AI$3:$AK$105,3,FALSE)</f>
        <v>Misc. Expense</v>
      </c>
      <c r="X5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7"/>
      <c r="Z5517" t="s">
        <v>50</v>
      </c>
      <c r="AA5517" t="s">
        <v>227</v>
      </c>
      <c r="AB5517" t="s">
        <v>442</v>
      </c>
      <c r="AC5517" s="21">
        <v>60.47</v>
      </c>
      <c r="AD5517" s="21" t="s">
        <v>368</v>
      </c>
      <c r="AE5517" t="str">
        <f>VLOOKUP(Table_Query_from_Actuarial___Production3[[#This Row],[Kor1]],$AI$3:$AK$105,3,FALSE)</f>
        <v>ALAE Reserve</v>
      </c>
      <c r="AF5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8" spans="18:32" x14ac:dyDescent="0.2">
      <c r="R5518" t="s">
        <v>3</v>
      </c>
      <c r="S5518" t="s">
        <v>246</v>
      </c>
      <c r="T5518" t="s">
        <v>356</v>
      </c>
      <c r="U5518" s="21">
        <v>1818384</v>
      </c>
      <c r="V5518" s="21" t="s">
        <v>368</v>
      </c>
      <c r="W5518" t="str">
        <f>VLOOKUP(Table_Query_from_Actuarial___Production[[#This Row],[Kor1]],$AI$3:$AK$105,3,FALSE)</f>
        <v>Premiums Written</v>
      </c>
      <c r="X5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8"/>
      <c r="Z5518" t="s">
        <v>3</v>
      </c>
      <c r="AA5518" t="s">
        <v>258</v>
      </c>
      <c r="AB5518" t="s">
        <v>9</v>
      </c>
      <c r="AC5518" s="21">
        <v>2558365</v>
      </c>
      <c r="AD5518" s="21" t="s">
        <v>368</v>
      </c>
      <c r="AE5518" t="str">
        <f>VLOOKUP(Table_Query_from_Actuarial___Production3[[#This Row],[Kor1]],$AI$3:$AK$105,3,FALSE)</f>
        <v>Premiums Written</v>
      </c>
      <c r="AF5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19" spans="18:32" x14ac:dyDescent="0.2">
      <c r="R5519" t="s">
        <v>14</v>
      </c>
      <c r="S5519" t="s">
        <v>264</v>
      </c>
      <c r="T5519" t="s">
        <v>7</v>
      </c>
      <c r="U5519" s="21">
        <v>203696.71</v>
      </c>
      <c r="V5519" s="21" t="s">
        <v>368</v>
      </c>
      <c r="W5519" t="str">
        <f>VLOOKUP(Table_Query_from_Actuarial___Production[[#This Row],[Kor1]],$AI$3:$AK$105,3,FALSE)</f>
        <v>Claims Expense</v>
      </c>
      <c r="X5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19"/>
      <c r="Z5519" t="s">
        <v>13</v>
      </c>
      <c r="AA5519" t="s">
        <v>247</v>
      </c>
      <c r="AB5519" t="s">
        <v>441</v>
      </c>
      <c r="AC5519" s="21">
        <v>870.94</v>
      </c>
      <c r="AD5519" s="21" t="s">
        <v>368</v>
      </c>
      <c r="AE5519" t="str">
        <f>VLOOKUP(Table_Query_from_Actuarial___Production3[[#This Row],[Kor1]],$AI$3:$AK$105,3,FALSE)</f>
        <v>Operating Service Fees</v>
      </c>
      <c r="AF5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0" spans="18:32" x14ac:dyDescent="0.2">
      <c r="R5520" t="s">
        <v>34</v>
      </c>
      <c r="S5520" t="s">
        <v>244</v>
      </c>
      <c r="T5520" t="s">
        <v>442</v>
      </c>
      <c r="U5520" s="21">
        <v>2812.72</v>
      </c>
      <c r="V5520" s="21" t="s">
        <v>368</v>
      </c>
      <c r="W5520" t="str">
        <f>VLOOKUP(Table_Query_from_Actuarial___Production[[#This Row],[Kor1]],$AI$3:$AK$105,3,FALSE)</f>
        <v>Misc. Expense</v>
      </c>
      <c r="X5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0"/>
      <c r="Z5520" t="s">
        <v>41</v>
      </c>
      <c r="AA5520" t="s">
        <v>248</v>
      </c>
      <c r="AB5520" t="s">
        <v>5</v>
      </c>
      <c r="AC5520" s="21">
        <v>50</v>
      </c>
      <c r="AD5520" s="21" t="s">
        <v>368</v>
      </c>
      <c r="AE5520" t="str">
        <f>VLOOKUP(Table_Query_from_Actuarial___Production3[[#This Row],[Kor1]],$AI$3:$AK$105,3,FALSE)</f>
        <v>Misc. Income</v>
      </c>
      <c r="AF5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1" spans="18:32" x14ac:dyDescent="0.2">
      <c r="R5521" t="s">
        <v>17</v>
      </c>
      <c r="S5521" t="s">
        <v>244</v>
      </c>
      <c r="T5521" t="s">
        <v>442</v>
      </c>
      <c r="U5521" s="21">
        <v>593632.31000000006</v>
      </c>
      <c r="V5521" s="21" t="s">
        <v>368</v>
      </c>
      <c r="W5521" t="str">
        <f>VLOOKUP(Table_Query_from_Actuarial___Production[[#This Row],[Kor1]],$AI$3:$AK$105,3,FALSE)</f>
        <v>IBNR</v>
      </c>
      <c r="X5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1"/>
      <c r="Z5521" t="s">
        <v>10</v>
      </c>
      <c r="AA5521" t="s">
        <v>250</v>
      </c>
      <c r="AB5521" t="s">
        <v>356</v>
      </c>
      <c r="AC5521" s="21">
        <v>114846.6</v>
      </c>
      <c r="AD5521" s="21" t="s">
        <v>368</v>
      </c>
      <c r="AE5521" t="str">
        <f>VLOOKUP(Table_Query_from_Actuarial___Production3[[#This Row],[Kor1]],$AI$3:$AK$105,3,FALSE)</f>
        <v>Commissions</v>
      </c>
      <c r="AF5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2" spans="18:32" x14ac:dyDescent="0.2">
      <c r="R5522" t="s">
        <v>33</v>
      </c>
      <c r="S5522" t="s">
        <v>231</v>
      </c>
      <c r="T5522" t="s">
        <v>443</v>
      </c>
      <c r="U5522" s="21">
        <v>16277.33</v>
      </c>
      <c r="V5522" s="21" t="s">
        <v>368</v>
      </c>
      <c r="W5522" t="str">
        <f>VLOOKUP(Table_Query_from_Actuarial___Production[[#This Row],[Kor1]],$AI$3:$AK$105,3,FALSE)</f>
        <v>Misc. Expense</v>
      </c>
      <c r="X5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2"/>
      <c r="Z5522" t="s">
        <v>12</v>
      </c>
      <c r="AA5522" t="s">
        <v>244</v>
      </c>
      <c r="AB5522" t="s">
        <v>441</v>
      </c>
      <c r="AC5522" s="21">
        <v>78357.66</v>
      </c>
      <c r="AD5522" s="21" t="s">
        <v>368</v>
      </c>
      <c r="AE5522" t="str">
        <f>VLOOKUP(Table_Query_from_Actuarial___Production3[[#This Row],[Kor1]],$AI$3:$AK$105,3,FALSE)</f>
        <v>Premium Tax</v>
      </c>
      <c r="AF5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3" spans="18:32" x14ac:dyDescent="0.2">
      <c r="R5523" t="s">
        <v>132</v>
      </c>
      <c r="S5523" t="s">
        <v>354</v>
      </c>
      <c r="T5523" t="s">
        <v>445</v>
      </c>
      <c r="U5523" s="21">
        <v>286376793.20999998</v>
      </c>
      <c r="V5523" s="21" t="s">
        <v>369</v>
      </c>
      <c r="W5523" t="str">
        <f>VLOOKUP(Table_Query_from_Actuarial___Production[[#This Row],[Kor1]],$AI$3:$AK$105,3,FALSE)</f>
        <v>Clean Risk Subsidy</v>
      </c>
      <c r="X5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523"/>
      <c r="Z5523" t="s">
        <v>49</v>
      </c>
      <c r="AA5523" t="s">
        <v>4</v>
      </c>
      <c r="AB5523" t="s">
        <v>9</v>
      </c>
      <c r="AC5523" s="21">
        <v>1824118.42</v>
      </c>
      <c r="AD5523" s="21" t="s">
        <v>368</v>
      </c>
      <c r="AE5523" t="str">
        <f>VLOOKUP(Table_Query_from_Actuarial___Production3[[#This Row],[Kor1]],$AI$3:$AK$105,3,FALSE)</f>
        <v>ALAE Paid</v>
      </c>
      <c r="AF5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4" spans="18:32" x14ac:dyDescent="0.2">
      <c r="R5524" t="s">
        <v>47</v>
      </c>
      <c r="S5524" t="s">
        <v>267</v>
      </c>
      <c r="T5524" t="s">
        <v>6</v>
      </c>
      <c r="U5524" s="21">
        <v>0.09</v>
      </c>
      <c r="V5524" s="21" t="s">
        <v>368</v>
      </c>
      <c r="W5524" t="str">
        <f>VLOOKUP(Table_Query_from_Actuarial___Production[[#This Row],[Kor1]],$AI$3:$AK$105,3,FALSE)</f>
        <v>Investment Income</v>
      </c>
      <c r="X5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4"/>
      <c r="Z5524" t="s">
        <v>48</v>
      </c>
      <c r="AA5524" t="s">
        <v>225</v>
      </c>
      <c r="AB5524" t="s">
        <v>427</v>
      </c>
      <c r="AC5524" s="21">
        <v>7033.07</v>
      </c>
      <c r="AD5524" s="21" t="s">
        <v>368</v>
      </c>
      <c r="AE5524" t="str">
        <f>VLOOKUP(Table_Query_from_Actuarial___Production3[[#This Row],[Kor1]],$AI$3:$AK$105,3,FALSE)</f>
        <v>Anticipated Salvage</v>
      </c>
      <c r="AF5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25" spans="18:32" x14ac:dyDescent="0.2">
      <c r="R5525" t="s">
        <v>31</v>
      </c>
      <c r="S5525" t="s">
        <v>234</v>
      </c>
      <c r="T5525" t="s">
        <v>9</v>
      </c>
      <c r="U5525" s="21">
        <v>448.24</v>
      </c>
      <c r="V5525" s="21" t="s">
        <v>368</v>
      </c>
      <c r="W5525" t="str">
        <f>VLOOKUP(Table_Query_from_Actuarial___Production[[#This Row],[Kor1]],$AI$3:$AK$105,3,FALSE)</f>
        <v>Misc. Expense</v>
      </c>
      <c r="X5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5"/>
      <c r="Z5525" t="s">
        <v>33</v>
      </c>
      <c r="AA5525" t="s">
        <v>229</v>
      </c>
      <c r="AB5525" t="s">
        <v>433</v>
      </c>
      <c r="AC5525" s="21">
        <v>13750.74</v>
      </c>
      <c r="AD5525" s="21" t="s">
        <v>368</v>
      </c>
      <c r="AE5525" t="str">
        <f>VLOOKUP(Table_Query_from_Actuarial___Production3[[#This Row],[Kor1]],$AI$3:$AK$105,3,FALSE)</f>
        <v>Misc. Expense</v>
      </c>
      <c r="AF5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6" spans="18:32" x14ac:dyDescent="0.2">
      <c r="R5526" t="s">
        <v>31</v>
      </c>
      <c r="S5526" t="s">
        <v>242</v>
      </c>
      <c r="T5526" t="s">
        <v>441</v>
      </c>
      <c r="U5526" s="21">
        <v>603.5</v>
      </c>
      <c r="V5526" s="21" t="s">
        <v>368</v>
      </c>
      <c r="W5526" t="str">
        <f>VLOOKUP(Table_Query_from_Actuarial___Production[[#This Row],[Kor1]],$AI$3:$AK$105,3,FALSE)</f>
        <v>Misc. Expense</v>
      </c>
      <c r="X5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6"/>
      <c r="Z5526" t="s">
        <v>44</v>
      </c>
      <c r="AA5526" t="s">
        <v>264</v>
      </c>
      <c r="AB5526" t="s">
        <v>8</v>
      </c>
      <c r="AC5526" s="21">
        <v>9803.11</v>
      </c>
      <c r="AD5526" s="21" t="s">
        <v>368</v>
      </c>
      <c r="AE5526" t="str">
        <f>VLOOKUP(Table_Query_from_Actuarial___Production3[[#This Row],[Kor1]],$AI$3:$AK$105,3,FALSE)</f>
        <v>Charge-offs</v>
      </c>
      <c r="AF5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7" spans="18:32" x14ac:dyDescent="0.2">
      <c r="R5527" t="s">
        <v>44</v>
      </c>
      <c r="S5527" t="s">
        <v>228</v>
      </c>
      <c r="T5527" t="s">
        <v>356</v>
      </c>
      <c r="U5527" s="21">
        <v>39472.050000000003</v>
      </c>
      <c r="V5527" s="21" t="s">
        <v>368</v>
      </c>
      <c r="W5527" t="str">
        <f>VLOOKUP(Table_Query_from_Actuarial___Production[[#This Row],[Kor1]],$AI$3:$AK$105,3,FALSE)</f>
        <v>Charge-offs</v>
      </c>
      <c r="X5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7"/>
      <c r="Z5527" t="s">
        <v>49</v>
      </c>
      <c r="AA5527" t="s">
        <v>264</v>
      </c>
      <c r="AB5527" t="s">
        <v>8</v>
      </c>
      <c r="AC5527" s="21">
        <v>38069.360000000001</v>
      </c>
      <c r="AD5527" s="21" t="s">
        <v>368</v>
      </c>
      <c r="AE5527" t="str">
        <f>VLOOKUP(Table_Query_from_Actuarial___Production3[[#This Row],[Kor1]],$AI$3:$AK$105,3,FALSE)</f>
        <v>ALAE Paid</v>
      </c>
      <c r="AF5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8" spans="18:32" x14ac:dyDescent="0.2">
      <c r="R5528" t="s">
        <v>19</v>
      </c>
      <c r="S5528" t="s">
        <v>254</v>
      </c>
      <c r="T5528" t="s">
        <v>9</v>
      </c>
      <c r="U5528" s="21">
        <v>3183</v>
      </c>
      <c r="V5528" s="21" t="s">
        <v>368</v>
      </c>
      <c r="W5528" t="str">
        <f>VLOOKUP(Table_Query_from_Actuarial___Production[[#This Row],[Kor1]],$AI$3:$AK$105,3,FALSE)</f>
        <v>Misc. Expense for Insolvent Companies</v>
      </c>
      <c r="X5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8"/>
      <c r="Z5528" t="s">
        <v>31</v>
      </c>
      <c r="AA5528" t="s">
        <v>257</v>
      </c>
      <c r="AB5528" t="s">
        <v>6</v>
      </c>
      <c r="AC5528" s="21">
        <v>2.98</v>
      </c>
      <c r="AD5528" s="21" t="s">
        <v>368</v>
      </c>
      <c r="AE5528" t="str">
        <f>VLOOKUP(Table_Query_from_Actuarial___Production3[[#This Row],[Kor1]],$AI$3:$AK$105,3,FALSE)</f>
        <v>Misc. Expense</v>
      </c>
      <c r="AF5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29" spans="18:32" x14ac:dyDescent="0.2">
      <c r="R5529" t="s">
        <v>21</v>
      </c>
      <c r="S5529" t="s">
        <v>265</v>
      </c>
      <c r="T5529" t="s">
        <v>8</v>
      </c>
      <c r="U5529" s="21">
        <v>773.74</v>
      </c>
      <c r="V5529" s="21" t="s">
        <v>368</v>
      </c>
      <c r="W5529" t="str">
        <f>VLOOKUP(Table_Query_from_Actuarial___Production[[#This Row],[Kor1]],$AI$3:$AK$105,3,FALSE)</f>
        <v>Misc. Expense</v>
      </c>
      <c r="X5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29"/>
      <c r="Z5529" t="s">
        <v>39</v>
      </c>
      <c r="AA5529" t="s">
        <v>247</v>
      </c>
      <c r="AB5529" t="s">
        <v>433</v>
      </c>
      <c r="AC5529" s="21">
        <v>1</v>
      </c>
      <c r="AD5529" s="21" t="s">
        <v>368</v>
      </c>
      <c r="AE5529" t="str">
        <f>VLOOKUP(Table_Query_from_Actuarial___Production3[[#This Row],[Kor1]],$AI$3:$AK$105,3,FALSE)</f>
        <v>Misc. Income for Insolvent Companies</v>
      </c>
      <c r="AF5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0" spans="18:32" x14ac:dyDescent="0.2">
      <c r="R5530" t="s">
        <v>444</v>
      </c>
      <c r="S5530" t="s">
        <v>245</v>
      </c>
      <c r="T5530" t="s">
        <v>443</v>
      </c>
      <c r="U5530" s="21">
        <v>10167.81</v>
      </c>
      <c r="V5530" s="21" t="s">
        <v>368</v>
      </c>
      <c r="W5530" t="str">
        <f>VLOOKUP(Table_Query_from_Actuarial___Production[[#This Row],[Kor1]],$AI$3:$AK$105,3,FALSE)</f>
        <v>Misc. Expense</v>
      </c>
      <c r="X5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0"/>
      <c r="Z5530" t="s">
        <v>11</v>
      </c>
      <c r="AA5530" t="s">
        <v>225</v>
      </c>
      <c r="AB5530" t="s">
        <v>441</v>
      </c>
      <c r="AC5530" s="21">
        <v>531061.29</v>
      </c>
      <c r="AD5530" s="21" t="s">
        <v>368</v>
      </c>
      <c r="AE5530" t="str">
        <f>VLOOKUP(Table_Query_from_Actuarial___Production3[[#This Row],[Kor1]],$AI$3:$AK$105,3,FALSE)</f>
        <v>Losses Paid</v>
      </c>
      <c r="AF5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31" spans="18:32" x14ac:dyDescent="0.2">
      <c r="R5531" t="s">
        <v>44</v>
      </c>
      <c r="S5531" t="s">
        <v>249</v>
      </c>
      <c r="T5531" t="s">
        <v>427</v>
      </c>
      <c r="U5531" s="21">
        <v>102772.52</v>
      </c>
      <c r="V5531" s="21" t="s">
        <v>368</v>
      </c>
      <c r="W5531" t="str">
        <f>VLOOKUP(Table_Query_from_Actuarial___Production[[#This Row],[Kor1]],$AI$3:$AK$105,3,FALSE)</f>
        <v>Charge-offs</v>
      </c>
      <c r="X5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1"/>
      <c r="Z5531" t="s">
        <v>13</v>
      </c>
      <c r="AA5531" t="s">
        <v>236</v>
      </c>
      <c r="AB5531" t="s">
        <v>5</v>
      </c>
      <c r="AC5531" s="21">
        <v>4013.34</v>
      </c>
      <c r="AD5531" s="21" t="s">
        <v>368</v>
      </c>
      <c r="AE5531" t="str">
        <f>VLOOKUP(Table_Query_from_Actuarial___Production3[[#This Row],[Kor1]],$AI$3:$AK$105,3,FALSE)</f>
        <v>Operating Service Fees</v>
      </c>
      <c r="AF5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2" spans="18:32" x14ac:dyDescent="0.2">
      <c r="R5532" t="s">
        <v>13</v>
      </c>
      <c r="S5532" t="s">
        <v>243</v>
      </c>
      <c r="T5532" t="s">
        <v>445</v>
      </c>
      <c r="U5532" s="21">
        <v>26352.080000000002</v>
      </c>
      <c r="V5532" s="21" t="s">
        <v>368</v>
      </c>
      <c r="W5532" t="str">
        <f>VLOOKUP(Table_Query_from_Actuarial___Production[[#This Row],[Kor1]],$AI$3:$AK$105,3,FALSE)</f>
        <v>Operating Service Fees</v>
      </c>
      <c r="X5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2"/>
      <c r="Z5532" t="s">
        <v>21</v>
      </c>
      <c r="AA5532" t="s">
        <v>4</v>
      </c>
      <c r="AB5532" t="s">
        <v>8</v>
      </c>
      <c r="AC5532" s="21">
        <v>15.11</v>
      </c>
      <c r="AD5532" s="21" t="s">
        <v>368</v>
      </c>
      <c r="AE5532" t="str">
        <f>VLOOKUP(Table_Query_from_Actuarial___Production3[[#This Row],[Kor1]],$AI$3:$AK$105,3,FALSE)</f>
        <v>Misc. Expense</v>
      </c>
      <c r="AF5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3" spans="18:32" x14ac:dyDescent="0.2">
      <c r="R5533" t="s">
        <v>40</v>
      </c>
      <c r="S5533" t="s">
        <v>4</v>
      </c>
      <c r="T5533" t="s">
        <v>427</v>
      </c>
      <c r="U5533" s="21">
        <v>355.19</v>
      </c>
      <c r="V5533" s="21" t="s">
        <v>368</v>
      </c>
      <c r="W5533" t="str">
        <f>VLOOKUP(Table_Query_from_Actuarial___Production[[#This Row],[Kor1]],$AI$3:$AK$105,3,FALSE)</f>
        <v>Misc. Income</v>
      </c>
      <c r="X5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3"/>
      <c r="Z5533" t="s">
        <v>3</v>
      </c>
      <c r="AA5533" t="s">
        <v>246</v>
      </c>
      <c r="AB5533" t="s">
        <v>356</v>
      </c>
      <c r="AC5533" s="21">
        <v>1818384</v>
      </c>
      <c r="AD5533" s="21" t="s">
        <v>368</v>
      </c>
      <c r="AE5533" t="str">
        <f>VLOOKUP(Table_Query_from_Actuarial___Production3[[#This Row],[Kor1]],$AI$3:$AK$105,3,FALSE)</f>
        <v>Premiums Written</v>
      </c>
      <c r="AF5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4" spans="18:32" x14ac:dyDescent="0.2">
      <c r="R5534" t="s">
        <v>439</v>
      </c>
      <c r="S5534" t="s">
        <v>234</v>
      </c>
      <c r="T5534" t="s">
        <v>433</v>
      </c>
      <c r="U5534" s="21">
        <v>13374</v>
      </c>
      <c r="V5534" s="21" t="s">
        <v>368</v>
      </c>
      <c r="W5534" t="str">
        <f>VLOOKUP(Table_Query_from_Actuarial___Production[[#This Row],[Kor1]],$AI$3:$AK$105,3,FALSE)</f>
        <v>Operating Service Fees</v>
      </c>
      <c r="X5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4"/>
      <c r="Z5534" t="s">
        <v>14</v>
      </c>
      <c r="AA5534" t="s">
        <v>264</v>
      </c>
      <c r="AB5534" t="s">
        <v>7</v>
      </c>
      <c r="AC5534" s="21">
        <v>203696.71</v>
      </c>
      <c r="AD5534" s="21" t="s">
        <v>368</v>
      </c>
      <c r="AE5534" t="str">
        <f>VLOOKUP(Table_Query_from_Actuarial___Production3[[#This Row],[Kor1]],$AI$3:$AK$105,3,FALSE)</f>
        <v>Claims Expense</v>
      </c>
      <c r="AF5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5" spans="18:32" x14ac:dyDescent="0.2">
      <c r="R5535" t="s">
        <v>48</v>
      </c>
      <c r="S5535" t="s">
        <v>238</v>
      </c>
      <c r="T5535" t="s">
        <v>441</v>
      </c>
      <c r="U5535" s="21">
        <v>15187.96</v>
      </c>
      <c r="V5535" s="21" t="s">
        <v>368</v>
      </c>
      <c r="W5535" t="str">
        <f>VLOOKUP(Table_Query_from_Actuarial___Production[[#This Row],[Kor1]],$AI$3:$AK$105,3,FALSE)</f>
        <v>Anticipated Salvage</v>
      </c>
      <c r="X5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5"/>
      <c r="Z5535" t="s">
        <v>34</v>
      </c>
      <c r="AA5535" t="s">
        <v>244</v>
      </c>
      <c r="AB5535" t="s">
        <v>442</v>
      </c>
      <c r="AC5535" s="21">
        <v>2812.72</v>
      </c>
      <c r="AD5535" s="21" t="s">
        <v>368</v>
      </c>
      <c r="AE5535" t="str">
        <f>VLOOKUP(Table_Query_from_Actuarial___Production3[[#This Row],[Kor1]],$AI$3:$AK$105,3,FALSE)</f>
        <v>Misc. Expense</v>
      </c>
      <c r="AF5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6" spans="18:32" x14ac:dyDescent="0.2">
      <c r="R5536" t="s">
        <v>50</v>
      </c>
      <c r="S5536" t="s">
        <v>232</v>
      </c>
      <c r="T5536" t="s">
        <v>442</v>
      </c>
      <c r="U5536" s="21">
        <v>5121.25</v>
      </c>
      <c r="V5536" s="21" t="s">
        <v>368</v>
      </c>
      <c r="W5536" t="str">
        <f>VLOOKUP(Table_Query_from_Actuarial___Production[[#This Row],[Kor1]],$AI$3:$AK$105,3,FALSE)</f>
        <v>ALAE Reserve</v>
      </c>
      <c r="X5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6"/>
      <c r="Z5536" t="s">
        <v>17</v>
      </c>
      <c r="AA5536" t="s">
        <v>244</v>
      </c>
      <c r="AB5536" t="s">
        <v>442</v>
      </c>
      <c r="AC5536" s="21">
        <v>678173.28</v>
      </c>
      <c r="AD5536" s="21" t="s">
        <v>368</v>
      </c>
      <c r="AE5536" t="str">
        <f>VLOOKUP(Table_Query_from_Actuarial___Production3[[#This Row],[Kor1]],$AI$3:$AK$105,3,FALSE)</f>
        <v>IBNR</v>
      </c>
      <c r="AF5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7" spans="18:32" x14ac:dyDescent="0.2">
      <c r="R5537" t="s">
        <v>11</v>
      </c>
      <c r="S5537" t="s">
        <v>230</v>
      </c>
      <c r="T5537" t="s">
        <v>427</v>
      </c>
      <c r="U5537" s="21">
        <v>17701346.34</v>
      </c>
      <c r="V5537" s="21" t="s">
        <v>368</v>
      </c>
      <c r="W5537" t="str">
        <f>VLOOKUP(Table_Query_from_Actuarial___Production[[#This Row],[Kor1]],$AI$3:$AK$105,3,FALSE)</f>
        <v>Losses Paid</v>
      </c>
      <c r="X5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7"/>
      <c r="Z5537" t="s">
        <v>33</v>
      </c>
      <c r="AA5537" t="s">
        <v>231</v>
      </c>
      <c r="AB5537" t="s">
        <v>443</v>
      </c>
      <c r="AC5537" s="21">
        <v>8347.2099999999991</v>
      </c>
      <c r="AD5537" s="21" t="s">
        <v>368</v>
      </c>
      <c r="AE5537" t="str">
        <f>VLOOKUP(Table_Query_from_Actuarial___Production3[[#This Row],[Kor1]],$AI$3:$AK$105,3,FALSE)</f>
        <v>Misc. Expense</v>
      </c>
      <c r="AF5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8" spans="18:32" x14ac:dyDescent="0.2">
      <c r="R5538" t="s">
        <v>11</v>
      </c>
      <c r="S5538" t="s">
        <v>250</v>
      </c>
      <c r="T5538" t="s">
        <v>445</v>
      </c>
      <c r="U5538" s="21">
        <v>742</v>
      </c>
      <c r="V5538" s="21" t="s">
        <v>368</v>
      </c>
      <c r="W5538" t="str">
        <f>VLOOKUP(Table_Query_from_Actuarial___Production[[#This Row],[Kor1]],$AI$3:$AK$105,3,FALSE)</f>
        <v>Losses Paid</v>
      </c>
      <c r="X5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8"/>
      <c r="Z5538" t="s">
        <v>47</v>
      </c>
      <c r="AA5538" t="s">
        <v>267</v>
      </c>
      <c r="AB5538" t="s">
        <v>6</v>
      </c>
      <c r="AC5538" s="21">
        <v>0.09</v>
      </c>
      <c r="AD5538" s="21" t="s">
        <v>368</v>
      </c>
      <c r="AE5538" t="str">
        <f>VLOOKUP(Table_Query_from_Actuarial___Production3[[#This Row],[Kor1]],$AI$3:$AK$105,3,FALSE)</f>
        <v>Investment Income</v>
      </c>
      <c r="AF5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39" spans="18:32" x14ac:dyDescent="0.2">
      <c r="R5539" t="s">
        <v>12</v>
      </c>
      <c r="S5539" t="s">
        <v>256</v>
      </c>
      <c r="T5539" t="s">
        <v>351</v>
      </c>
      <c r="U5539" s="21">
        <v>813.72</v>
      </c>
      <c r="V5539" s="21" t="s">
        <v>368</v>
      </c>
      <c r="W5539" t="str">
        <f>VLOOKUP(Table_Query_from_Actuarial___Production[[#This Row],[Kor1]],$AI$3:$AK$105,3,FALSE)</f>
        <v>Premium Tax</v>
      </c>
      <c r="X5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39"/>
      <c r="Z5539" t="s">
        <v>15</v>
      </c>
      <c r="AA5539" t="s">
        <v>245</v>
      </c>
      <c r="AB5539" t="s">
        <v>442</v>
      </c>
      <c r="AC5539" s="21">
        <v>2123.2199999999998</v>
      </c>
      <c r="AD5539" s="21" t="s">
        <v>368</v>
      </c>
      <c r="AE5539" t="str">
        <f>VLOOKUP(Table_Query_from_Actuarial___Production3[[#This Row],[Kor1]],$AI$3:$AK$105,3,FALSE)</f>
        <v>Unearned Premiums</v>
      </c>
      <c r="AF5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0" spans="18:32" x14ac:dyDescent="0.2">
      <c r="R5540" t="s">
        <v>140</v>
      </c>
      <c r="S5540" t="s">
        <v>354</v>
      </c>
      <c r="T5540" t="s">
        <v>445</v>
      </c>
      <c r="U5540" s="21">
        <v>55627.62</v>
      </c>
      <c r="V5540" s="21" t="s">
        <v>369</v>
      </c>
      <c r="W5540" t="str">
        <f>VLOOKUP(Table_Query_from_Actuarial___Production[[#This Row],[Kor1]],$AI$3:$AK$105,3,FALSE)</f>
        <v>Advance Claims Expense</v>
      </c>
      <c r="X5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540"/>
      <c r="Z5540" t="s">
        <v>31</v>
      </c>
      <c r="AA5540" t="s">
        <v>234</v>
      </c>
      <c r="AB5540" t="s">
        <v>9</v>
      </c>
      <c r="AC5540" s="21">
        <v>448.24</v>
      </c>
      <c r="AD5540" s="21" t="s">
        <v>368</v>
      </c>
      <c r="AE5540" t="str">
        <f>VLOOKUP(Table_Query_from_Actuarial___Production3[[#This Row],[Kor1]],$AI$3:$AK$105,3,FALSE)</f>
        <v>Misc. Expense</v>
      </c>
      <c r="AF5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1" spans="18:32" x14ac:dyDescent="0.2">
      <c r="R5541" t="s">
        <v>47</v>
      </c>
      <c r="S5541" t="s">
        <v>262</v>
      </c>
      <c r="T5541" t="s">
        <v>356</v>
      </c>
      <c r="U5541" s="21">
        <v>1584</v>
      </c>
      <c r="V5541" s="21" t="s">
        <v>368</v>
      </c>
      <c r="W5541" t="str">
        <f>VLOOKUP(Table_Query_from_Actuarial___Production[[#This Row],[Kor1]],$AI$3:$AK$105,3,FALSE)</f>
        <v>Investment Income</v>
      </c>
      <c r="X5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1"/>
      <c r="Z5541" t="s">
        <v>31</v>
      </c>
      <c r="AA5541" t="s">
        <v>242</v>
      </c>
      <c r="AB5541" t="s">
        <v>441</v>
      </c>
      <c r="AC5541" s="21">
        <v>603.5</v>
      </c>
      <c r="AD5541" s="21" t="s">
        <v>368</v>
      </c>
      <c r="AE5541" t="str">
        <f>VLOOKUP(Table_Query_from_Actuarial___Production3[[#This Row],[Kor1]],$AI$3:$AK$105,3,FALSE)</f>
        <v>Misc. Expense</v>
      </c>
      <c r="AF5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2" spans="18:32" x14ac:dyDescent="0.2">
      <c r="R5542" t="s">
        <v>12</v>
      </c>
      <c r="S5542" t="s">
        <v>229</v>
      </c>
      <c r="T5542" t="s">
        <v>6</v>
      </c>
      <c r="U5542" s="21">
        <v>626.54</v>
      </c>
      <c r="V5542" s="21" t="s">
        <v>368</v>
      </c>
      <c r="W5542" t="str">
        <f>VLOOKUP(Table_Query_from_Actuarial___Production[[#This Row],[Kor1]],$AI$3:$AK$105,3,FALSE)</f>
        <v>Premium Tax</v>
      </c>
      <c r="X5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2"/>
      <c r="Z5542" t="s">
        <v>44</v>
      </c>
      <c r="AA5542" t="s">
        <v>228</v>
      </c>
      <c r="AB5542" t="s">
        <v>356</v>
      </c>
      <c r="AC5542" s="21">
        <v>39472.050000000003</v>
      </c>
      <c r="AD5542" s="21" t="s">
        <v>368</v>
      </c>
      <c r="AE5542" t="str">
        <f>VLOOKUP(Table_Query_from_Actuarial___Production3[[#This Row],[Kor1]],$AI$3:$AK$105,3,FALSE)</f>
        <v>Charge-offs</v>
      </c>
      <c r="AF5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3" spans="18:32" x14ac:dyDescent="0.2">
      <c r="R5543" t="s">
        <v>3</v>
      </c>
      <c r="S5543" t="s">
        <v>226</v>
      </c>
      <c r="T5543" t="s">
        <v>351</v>
      </c>
      <c r="U5543" s="21">
        <v>5934538</v>
      </c>
      <c r="V5543" s="21" t="s">
        <v>368</v>
      </c>
      <c r="W5543" t="str">
        <f>VLOOKUP(Table_Query_from_Actuarial___Production[[#This Row],[Kor1]],$AI$3:$AK$105,3,FALSE)</f>
        <v>Premiums Written</v>
      </c>
      <c r="X5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543"/>
      <c r="Z5543" t="s">
        <v>19</v>
      </c>
      <c r="AA5543" t="s">
        <v>254</v>
      </c>
      <c r="AB5543" t="s">
        <v>9</v>
      </c>
      <c r="AC5543" s="21">
        <v>3183</v>
      </c>
      <c r="AD5543" s="21" t="s">
        <v>368</v>
      </c>
      <c r="AE5543" t="str">
        <f>VLOOKUP(Table_Query_from_Actuarial___Production3[[#This Row],[Kor1]],$AI$3:$AK$105,3,FALSE)</f>
        <v>Misc. Expense for Insolvent Companies</v>
      </c>
      <c r="AF5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4" spans="18:32" x14ac:dyDescent="0.2">
      <c r="R5544" t="s">
        <v>3</v>
      </c>
      <c r="S5544" t="s">
        <v>244</v>
      </c>
      <c r="T5544" t="s">
        <v>356</v>
      </c>
      <c r="U5544" s="21">
        <v>1683326</v>
      </c>
      <c r="V5544" s="21" t="s">
        <v>368</v>
      </c>
      <c r="W5544" t="str">
        <f>VLOOKUP(Table_Query_from_Actuarial___Production[[#This Row],[Kor1]],$AI$3:$AK$105,3,FALSE)</f>
        <v>Premiums Written</v>
      </c>
      <c r="X5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4"/>
      <c r="Z5544" t="s">
        <v>21</v>
      </c>
      <c r="AA5544" t="s">
        <v>265</v>
      </c>
      <c r="AB5544" t="s">
        <v>8</v>
      </c>
      <c r="AC5544" s="21">
        <v>773.74</v>
      </c>
      <c r="AD5544" s="21" t="s">
        <v>368</v>
      </c>
      <c r="AE5544" t="str">
        <f>VLOOKUP(Table_Query_from_Actuarial___Production3[[#This Row],[Kor1]],$AI$3:$AK$105,3,FALSE)</f>
        <v>Misc. Expense</v>
      </c>
      <c r="AF5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5" spans="18:32" x14ac:dyDescent="0.2">
      <c r="R5545" t="s">
        <v>14</v>
      </c>
      <c r="S5545" t="s">
        <v>248</v>
      </c>
      <c r="T5545" t="s">
        <v>443</v>
      </c>
      <c r="U5545" s="21">
        <v>48963.21</v>
      </c>
      <c r="V5545" s="21" t="s">
        <v>368</v>
      </c>
      <c r="W5545" t="str">
        <f>VLOOKUP(Table_Query_from_Actuarial___Production[[#This Row],[Kor1]],$AI$3:$AK$105,3,FALSE)</f>
        <v>Claims Expense</v>
      </c>
      <c r="X5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5"/>
      <c r="Z5545" t="s">
        <v>44</v>
      </c>
      <c r="AA5545" t="s">
        <v>249</v>
      </c>
      <c r="AB5545" t="s">
        <v>427</v>
      </c>
      <c r="AC5545" s="21">
        <v>102772.52</v>
      </c>
      <c r="AD5545" s="21" t="s">
        <v>368</v>
      </c>
      <c r="AE5545" t="str">
        <f>VLOOKUP(Table_Query_from_Actuarial___Production3[[#This Row],[Kor1]],$AI$3:$AK$105,3,FALSE)</f>
        <v>Charge-offs</v>
      </c>
      <c r="AF5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6" spans="18:32" x14ac:dyDescent="0.2">
      <c r="R5546" t="s">
        <v>39</v>
      </c>
      <c r="S5546" t="s">
        <v>254</v>
      </c>
      <c r="T5546" t="s">
        <v>8</v>
      </c>
      <c r="U5546" s="21">
        <v>2440</v>
      </c>
      <c r="V5546" s="21" t="s">
        <v>368</v>
      </c>
      <c r="W5546" t="str">
        <f>VLOOKUP(Table_Query_from_Actuarial___Production[[#This Row],[Kor1]],$AI$3:$AK$105,3,FALSE)</f>
        <v>Misc. Income for Insolvent Companies</v>
      </c>
      <c r="X5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6"/>
      <c r="Z5546" t="s">
        <v>49</v>
      </c>
      <c r="AA5546" t="s">
        <v>232</v>
      </c>
      <c r="AB5546" t="s">
        <v>5</v>
      </c>
      <c r="AC5546" s="21">
        <v>41085.519999999997</v>
      </c>
      <c r="AD5546" s="21" t="s">
        <v>368</v>
      </c>
      <c r="AE5546" t="str">
        <f>VLOOKUP(Table_Query_from_Actuarial___Production3[[#This Row],[Kor1]],$AI$3:$AK$105,3,FALSE)</f>
        <v>ALAE Paid</v>
      </c>
      <c r="AF5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7" spans="18:32" x14ac:dyDescent="0.2">
      <c r="R5547" t="s">
        <v>43</v>
      </c>
      <c r="S5547" t="s">
        <v>234</v>
      </c>
      <c r="T5547" t="s">
        <v>427</v>
      </c>
      <c r="U5547" s="21">
        <v>-461.08</v>
      </c>
      <c r="V5547" s="21" t="s">
        <v>368</v>
      </c>
      <c r="W5547" t="str">
        <f>VLOOKUP(Table_Query_from_Actuarial___Production[[#This Row],[Kor1]],$AI$3:$AK$105,3,FALSE)</f>
        <v>Charge-offs</v>
      </c>
      <c r="X5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7"/>
      <c r="Z5547" t="s">
        <v>40</v>
      </c>
      <c r="AA5547" t="s">
        <v>4</v>
      </c>
      <c r="AB5547" t="s">
        <v>427</v>
      </c>
      <c r="AC5547" s="21">
        <v>355.19</v>
      </c>
      <c r="AD5547" s="21" t="s">
        <v>368</v>
      </c>
      <c r="AE5547" t="str">
        <f>VLOOKUP(Table_Query_from_Actuarial___Production3[[#This Row],[Kor1]],$AI$3:$AK$105,3,FALSE)</f>
        <v>Misc. Income</v>
      </c>
      <c r="AF5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8" spans="18:32" x14ac:dyDescent="0.2">
      <c r="R5548" t="s">
        <v>77</v>
      </c>
      <c r="S5548" t="s">
        <v>236</v>
      </c>
      <c r="T5548" t="s">
        <v>445</v>
      </c>
      <c r="U5548" s="21">
        <v>7992</v>
      </c>
      <c r="V5548" s="21" t="s">
        <v>368</v>
      </c>
      <c r="W5548" t="str">
        <f>VLOOKUP(Table_Query_from_Actuarial___Production[[#This Row],[Kor1]],$AI$3:$AK$105,3,FALSE)</f>
        <v>PDR</v>
      </c>
      <c r="X5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8"/>
      <c r="Z5548" t="s">
        <v>439</v>
      </c>
      <c r="AA5548" t="s">
        <v>234</v>
      </c>
      <c r="AB5548" t="s">
        <v>433</v>
      </c>
      <c r="AC5548" s="21">
        <v>13374</v>
      </c>
      <c r="AD5548" s="21" t="s">
        <v>368</v>
      </c>
      <c r="AE5548" t="str">
        <f>VLOOKUP(Table_Query_from_Actuarial___Production3[[#This Row],[Kor1]],$AI$3:$AK$105,3,FALSE)</f>
        <v>Operating Service Fees</v>
      </c>
      <c r="AF5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49" spans="18:32" x14ac:dyDescent="0.2">
      <c r="R5549" t="s">
        <v>49</v>
      </c>
      <c r="S5549" t="s">
        <v>262</v>
      </c>
      <c r="T5549" t="s">
        <v>433</v>
      </c>
      <c r="U5549" s="21">
        <v>9611.59</v>
      </c>
      <c r="V5549" s="21" t="s">
        <v>368</v>
      </c>
      <c r="W5549" t="str">
        <f>VLOOKUP(Table_Query_from_Actuarial___Production[[#This Row],[Kor1]],$AI$3:$AK$105,3,FALSE)</f>
        <v>ALAE Paid</v>
      </c>
      <c r="X5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49"/>
      <c r="Z5549" t="s">
        <v>48</v>
      </c>
      <c r="AA5549" t="s">
        <v>238</v>
      </c>
      <c r="AB5549" t="s">
        <v>441</v>
      </c>
      <c r="AC5549" s="21">
        <v>12675.17</v>
      </c>
      <c r="AD5549" s="21" t="s">
        <v>368</v>
      </c>
      <c r="AE5549" t="str">
        <f>VLOOKUP(Table_Query_from_Actuarial___Production3[[#This Row],[Kor1]],$AI$3:$AK$105,3,FALSE)</f>
        <v>Anticipated Salvage</v>
      </c>
      <c r="AF5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0" spans="18:32" x14ac:dyDescent="0.2">
      <c r="R5550" t="s">
        <v>11</v>
      </c>
      <c r="S5550" t="s">
        <v>234</v>
      </c>
      <c r="T5550" t="s">
        <v>6</v>
      </c>
      <c r="U5550" s="21">
        <v>189782.02</v>
      </c>
      <c r="V5550" s="21" t="s">
        <v>368</v>
      </c>
      <c r="W5550" t="str">
        <f>VLOOKUP(Table_Query_from_Actuarial___Production[[#This Row],[Kor1]],$AI$3:$AK$105,3,FALSE)</f>
        <v>Losses Paid</v>
      </c>
      <c r="X5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0"/>
      <c r="Z5550" t="s">
        <v>50</v>
      </c>
      <c r="AA5550" t="s">
        <v>232</v>
      </c>
      <c r="AB5550" t="s">
        <v>442</v>
      </c>
      <c r="AC5550" s="21">
        <v>28028.05</v>
      </c>
      <c r="AD5550" s="21" t="s">
        <v>368</v>
      </c>
      <c r="AE5550" t="str">
        <f>VLOOKUP(Table_Query_from_Actuarial___Production3[[#This Row],[Kor1]],$AI$3:$AK$105,3,FALSE)</f>
        <v>ALAE Reserve</v>
      </c>
      <c r="AF5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1" spans="18:32" x14ac:dyDescent="0.2">
      <c r="R5551" t="s">
        <v>10</v>
      </c>
      <c r="S5551" t="s">
        <v>225</v>
      </c>
      <c r="T5551" t="s">
        <v>6</v>
      </c>
      <c r="U5551" s="21">
        <v>182762.5</v>
      </c>
      <c r="V5551" s="21" t="s">
        <v>368</v>
      </c>
      <c r="W5551" t="str">
        <f>VLOOKUP(Table_Query_from_Actuarial___Production[[#This Row],[Kor1]],$AI$3:$AK$105,3,FALSE)</f>
        <v>Commissions</v>
      </c>
      <c r="X5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551"/>
      <c r="Z5551" t="s">
        <v>11</v>
      </c>
      <c r="AA5551" t="s">
        <v>230</v>
      </c>
      <c r="AB5551" t="s">
        <v>427</v>
      </c>
      <c r="AC5551" s="21">
        <v>14909500</v>
      </c>
      <c r="AD5551" s="21" t="s">
        <v>368</v>
      </c>
      <c r="AE5551" t="str">
        <f>VLOOKUP(Table_Query_from_Actuarial___Production3[[#This Row],[Kor1]],$AI$3:$AK$105,3,FALSE)</f>
        <v>Losses Paid</v>
      </c>
      <c r="AF5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2" spans="18:32" x14ac:dyDescent="0.2">
      <c r="R5552" t="s">
        <v>47</v>
      </c>
      <c r="S5552" t="s">
        <v>251</v>
      </c>
      <c r="T5552" t="s">
        <v>443</v>
      </c>
      <c r="U5552" s="21">
        <v>4626.2</v>
      </c>
      <c r="V5552" s="21" t="s">
        <v>368</v>
      </c>
      <c r="W5552" t="str">
        <f>VLOOKUP(Table_Query_from_Actuarial___Production[[#This Row],[Kor1]],$AI$3:$AK$105,3,FALSE)</f>
        <v>Investment Income</v>
      </c>
      <c r="X5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2"/>
      <c r="Z5552" t="s">
        <v>12</v>
      </c>
      <c r="AA5552" t="s">
        <v>256</v>
      </c>
      <c r="AB5552" t="s">
        <v>351</v>
      </c>
      <c r="AC5552" s="21">
        <v>813.72</v>
      </c>
      <c r="AD5552" s="21" t="s">
        <v>368</v>
      </c>
      <c r="AE5552" t="str">
        <f>VLOOKUP(Table_Query_from_Actuarial___Production3[[#This Row],[Kor1]],$AI$3:$AK$105,3,FALSE)</f>
        <v>Premium Tax</v>
      </c>
      <c r="AF5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3" spans="18:32" x14ac:dyDescent="0.2">
      <c r="R5553" t="s">
        <v>13</v>
      </c>
      <c r="S5553" t="s">
        <v>224</v>
      </c>
      <c r="T5553" t="s">
        <v>433</v>
      </c>
      <c r="U5553" s="21">
        <v>183029.66</v>
      </c>
      <c r="V5553" s="21" t="s">
        <v>368</v>
      </c>
      <c r="W5553" t="str">
        <f>VLOOKUP(Table_Query_from_Actuarial___Production[[#This Row],[Kor1]],$AI$3:$AK$105,3,FALSE)</f>
        <v>Operating Service Fees</v>
      </c>
      <c r="X5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553"/>
      <c r="Z5553" t="s">
        <v>47</v>
      </c>
      <c r="AA5553" t="s">
        <v>262</v>
      </c>
      <c r="AB5553" t="s">
        <v>356</v>
      </c>
      <c r="AC5553" s="21">
        <v>1584</v>
      </c>
      <c r="AD5553" s="21" t="s">
        <v>368</v>
      </c>
      <c r="AE5553" t="str">
        <f>VLOOKUP(Table_Query_from_Actuarial___Production3[[#This Row],[Kor1]],$AI$3:$AK$105,3,FALSE)</f>
        <v>Investment Income</v>
      </c>
      <c r="AF5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4" spans="18:32" x14ac:dyDescent="0.2">
      <c r="R5554" t="s">
        <v>41</v>
      </c>
      <c r="S5554" t="s">
        <v>264</v>
      </c>
      <c r="T5554" t="s">
        <v>8</v>
      </c>
      <c r="U5554" s="21">
        <v>250.02</v>
      </c>
      <c r="V5554" s="21" t="s">
        <v>368</v>
      </c>
      <c r="W5554" t="str">
        <f>VLOOKUP(Table_Query_from_Actuarial___Production[[#This Row],[Kor1]],$AI$3:$AK$105,3,FALSE)</f>
        <v>Misc. Income</v>
      </c>
      <c r="X5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4"/>
      <c r="Z5554" t="s">
        <v>12</v>
      </c>
      <c r="AA5554" t="s">
        <v>229</v>
      </c>
      <c r="AB5554" t="s">
        <v>6</v>
      </c>
      <c r="AC5554" s="21">
        <v>626.54</v>
      </c>
      <c r="AD5554" s="21" t="s">
        <v>368</v>
      </c>
      <c r="AE5554" t="str">
        <f>VLOOKUP(Table_Query_from_Actuarial___Production3[[#This Row],[Kor1]],$AI$3:$AK$105,3,FALSE)</f>
        <v>Premium Tax</v>
      </c>
      <c r="AF5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5" spans="18:32" x14ac:dyDescent="0.2">
      <c r="R5555" t="s">
        <v>50</v>
      </c>
      <c r="S5555" t="s">
        <v>240</v>
      </c>
      <c r="T5555" t="s">
        <v>442</v>
      </c>
      <c r="U5555" s="21">
        <v>72573.210000000006</v>
      </c>
      <c r="V5555" s="21" t="s">
        <v>368</v>
      </c>
      <c r="W5555" t="str">
        <f>VLOOKUP(Table_Query_from_Actuarial___Production[[#This Row],[Kor1]],$AI$3:$AK$105,3,FALSE)</f>
        <v>ALAE Reserve</v>
      </c>
      <c r="X5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5"/>
      <c r="Z5555" t="s">
        <v>3</v>
      </c>
      <c r="AA5555" t="s">
        <v>226</v>
      </c>
      <c r="AB5555" t="s">
        <v>351</v>
      </c>
      <c r="AC5555" s="21">
        <v>5934538</v>
      </c>
      <c r="AD5555" s="21" t="s">
        <v>368</v>
      </c>
      <c r="AE5555" t="str">
        <f>VLOOKUP(Table_Query_from_Actuarial___Production3[[#This Row],[Kor1]],$AI$3:$AK$105,3,FALSE)</f>
        <v>Premiums Written</v>
      </c>
      <c r="AF5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556" spans="18:32" x14ac:dyDescent="0.2">
      <c r="R5556" t="s">
        <v>3</v>
      </c>
      <c r="S5556" t="s">
        <v>352</v>
      </c>
      <c r="T5556" t="s">
        <v>445</v>
      </c>
      <c r="U5556" s="21">
        <v>23426</v>
      </c>
      <c r="V5556" s="21" t="s">
        <v>369</v>
      </c>
      <c r="W5556" t="str">
        <f>VLOOKUP(Table_Query_from_Actuarial___Production[[#This Row],[Kor1]],$AI$3:$AK$105,3,FALSE)</f>
        <v>Premiums Written</v>
      </c>
      <c r="X5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556"/>
      <c r="Z5556" t="s">
        <v>3</v>
      </c>
      <c r="AA5556" t="s">
        <v>244</v>
      </c>
      <c r="AB5556" t="s">
        <v>356</v>
      </c>
      <c r="AC5556" s="21">
        <v>1683326</v>
      </c>
      <c r="AD5556" s="21" t="s">
        <v>368</v>
      </c>
      <c r="AE5556" t="str">
        <f>VLOOKUP(Table_Query_from_Actuarial___Production3[[#This Row],[Kor1]],$AI$3:$AK$105,3,FALSE)</f>
        <v>Premiums Written</v>
      </c>
      <c r="AF5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7" spans="18:32" x14ac:dyDescent="0.2">
      <c r="R5557" t="s">
        <v>48</v>
      </c>
      <c r="S5557" t="s">
        <v>225</v>
      </c>
      <c r="T5557" t="s">
        <v>443</v>
      </c>
      <c r="U5557" s="21">
        <v>2242.66</v>
      </c>
      <c r="V5557" s="21" t="s">
        <v>368</v>
      </c>
      <c r="W5557" t="str">
        <f>VLOOKUP(Table_Query_from_Actuarial___Production[[#This Row],[Kor1]],$AI$3:$AK$105,3,FALSE)</f>
        <v>Anticipated Salvage</v>
      </c>
      <c r="X5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557"/>
      <c r="Z5557" t="s">
        <v>14</v>
      </c>
      <c r="AA5557" t="s">
        <v>248</v>
      </c>
      <c r="AB5557" t="s">
        <v>443</v>
      </c>
      <c r="AC5557" s="21">
        <v>2526.4899999999998</v>
      </c>
      <c r="AD5557" s="21" t="s">
        <v>368</v>
      </c>
      <c r="AE5557" t="str">
        <f>VLOOKUP(Table_Query_from_Actuarial___Production3[[#This Row],[Kor1]],$AI$3:$AK$105,3,FALSE)</f>
        <v>Claims Expense</v>
      </c>
      <c r="AF5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8" spans="18:32" x14ac:dyDescent="0.2">
      <c r="R5558" t="s">
        <v>47</v>
      </c>
      <c r="S5558" t="s">
        <v>238</v>
      </c>
      <c r="T5558" t="s">
        <v>7</v>
      </c>
      <c r="U5558" s="21">
        <v>0.05</v>
      </c>
      <c r="V5558" s="21" t="s">
        <v>368</v>
      </c>
      <c r="W5558" t="str">
        <f>VLOOKUP(Table_Query_from_Actuarial___Production[[#This Row],[Kor1]],$AI$3:$AK$105,3,FALSE)</f>
        <v>Investment Income</v>
      </c>
      <c r="X5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8"/>
      <c r="Z5558" t="s">
        <v>39</v>
      </c>
      <c r="AA5558" t="s">
        <v>254</v>
      </c>
      <c r="AB5558" t="s">
        <v>8</v>
      </c>
      <c r="AC5558" s="21">
        <v>2440</v>
      </c>
      <c r="AD5558" s="21" t="s">
        <v>368</v>
      </c>
      <c r="AE5558" t="str">
        <f>VLOOKUP(Table_Query_from_Actuarial___Production3[[#This Row],[Kor1]],$AI$3:$AK$105,3,FALSE)</f>
        <v>Misc. Income for Insolvent Companies</v>
      </c>
      <c r="AF5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59" spans="18:32" x14ac:dyDescent="0.2">
      <c r="R5559" t="s">
        <v>13</v>
      </c>
      <c r="S5559" t="s">
        <v>247</v>
      </c>
      <c r="T5559" t="s">
        <v>351</v>
      </c>
      <c r="U5559" s="21">
        <v>2089.4899999999998</v>
      </c>
      <c r="V5559" s="21" t="s">
        <v>368</v>
      </c>
      <c r="W5559" t="str">
        <f>VLOOKUP(Table_Query_from_Actuarial___Production[[#This Row],[Kor1]],$AI$3:$AK$105,3,FALSE)</f>
        <v>Operating Service Fees</v>
      </c>
      <c r="X5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59"/>
      <c r="Z5559" t="s">
        <v>43</v>
      </c>
      <c r="AA5559" t="s">
        <v>234</v>
      </c>
      <c r="AB5559" t="s">
        <v>427</v>
      </c>
      <c r="AC5559" s="21">
        <v>-461.08</v>
      </c>
      <c r="AD5559" s="21" t="s">
        <v>368</v>
      </c>
      <c r="AE5559" t="str">
        <f>VLOOKUP(Table_Query_from_Actuarial___Production3[[#This Row],[Kor1]],$AI$3:$AK$105,3,FALSE)</f>
        <v>Charge-offs</v>
      </c>
      <c r="AF5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0" spans="18:32" x14ac:dyDescent="0.2">
      <c r="R5560" t="s">
        <v>34</v>
      </c>
      <c r="S5560" t="s">
        <v>4</v>
      </c>
      <c r="T5560" t="s">
        <v>7</v>
      </c>
      <c r="U5560" s="21">
        <v>11.52</v>
      </c>
      <c r="V5560" s="21" t="s">
        <v>368</v>
      </c>
      <c r="W5560" t="str">
        <f>VLOOKUP(Table_Query_from_Actuarial___Production[[#This Row],[Kor1]],$AI$3:$AK$105,3,FALSE)</f>
        <v>Misc. Expense</v>
      </c>
      <c r="X5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0"/>
      <c r="Z5560" t="s">
        <v>49</v>
      </c>
      <c r="AA5560" t="s">
        <v>262</v>
      </c>
      <c r="AB5560" t="s">
        <v>433</v>
      </c>
      <c r="AC5560" s="21">
        <v>9611.59</v>
      </c>
      <c r="AD5560" s="21" t="s">
        <v>368</v>
      </c>
      <c r="AE5560" t="str">
        <f>VLOOKUP(Table_Query_from_Actuarial___Production3[[#This Row],[Kor1]],$AI$3:$AK$105,3,FALSE)</f>
        <v>ALAE Paid</v>
      </c>
      <c r="AF5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1" spans="18:32" x14ac:dyDescent="0.2">
      <c r="R5561" t="s">
        <v>20</v>
      </c>
      <c r="S5561" t="s">
        <v>250</v>
      </c>
      <c r="T5561" t="s">
        <v>6</v>
      </c>
      <c r="U5561" s="21">
        <v>242.02</v>
      </c>
      <c r="V5561" s="21" t="s">
        <v>368</v>
      </c>
      <c r="W5561" t="str">
        <f>VLOOKUP(Table_Query_from_Actuarial___Production[[#This Row],[Kor1]],$AI$3:$AK$105,3,FALSE)</f>
        <v>Misc. Expense</v>
      </c>
      <c r="X5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1"/>
      <c r="Z5561" t="s">
        <v>11</v>
      </c>
      <c r="AA5561" t="s">
        <v>234</v>
      </c>
      <c r="AB5561" t="s">
        <v>6</v>
      </c>
      <c r="AC5561" s="21">
        <v>189782.02</v>
      </c>
      <c r="AD5561" s="21" t="s">
        <v>368</v>
      </c>
      <c r="AE5561" t="str">
        <f>VLOOKUP(Table_Query_from_Actuarial___Production3[[#This Row],[Kor1]],$AI$3:$AK$105,3,FALSE)</f>
        <v>Losses Paid</v>
      </c>
      <c r="AF5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2" spans="18:32" x14ac:dyDescent="0.2">
      <c r="R5562" t="s">
        <v>31</v>
      </c>
      <c r="S5562" t="s">
        <v>250</v>
      </c>
      <c r="T5562" t="s">
        <v>7</v>
      </c>
      <c r="U5562" s="21">
        <v>427.81</v>
      </c>
      <c r="V5562" s="21" t="s">
        <v>368</v>
      </c>
      <c r="W5562" t="str">
        <f>VLOOKUP(Table_Query_from_Actuarial___Production[[#This Row],[Kor1]],$AI$3:$AK$105,3,FALSE)</f>
        <v>Misc. Expense</v>
      </c>
      <c r="X5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2"/>
      <c r="Z5562" t="s">
        <v>21</v>
      </c>
      <c r="AA5562" t="s">
        <v>232</v>
      </c>
      <c r="AB5562" t="s">
        <v>5</v>
      </c>
      <c r="AC5562" s="21">
        <v>5030.9799999999996</v>
      </c>
      <c r="AD5562" s="21" t="s">
        <v>368</v>
      </c>
      <c r="AE5562" t="str">
        <f>VLOOKUP(Table_Query_from_Actuarial___Production3[[#This Row],[Kor1]],$AI$3:$AK$105,3,FALSE)</f>
        <v>Misc. Expense</v>
      </c>
      <c r="AF5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3" spans="18:32" x14ac:dyDescent="0.2">
      <c r="R5563" t="s">
        <v>31</v>
      </c>
      <c r="S5563" t="s">
        <v>228</v>
      </c>
      <c r="T5563" t="s">
        <v>7</v>
      </c>
      <c r="U5563" s="21">
        <v>587.72</v>
      </c>
      <c r="V5563" s="21" t="s">
        <v>368</v>
      </c>
      <c r="W5563" t="str">
        <f>VLOOKUP(Table_Query_from_Actuarial___Production[[#This Row],[Kor1]],$AI$3:$AK$105,3,FALSE)</f>
        <v>Misc. Expense</v>
      </c>
      <c r="X5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3"/>
      <c r="Z5563" t="s">
        <v>10</v>
      </c>
      <c r="AA5563" t="s">
        <v>225</v>
      </c>
      <c r="AB5563" t="s">
        <v>6</v>
      </c>
      <c r="AC5563" s="21">
        <v>182762.5</v>
      </c>
      <c r="AD5563" s="21" t="s">
        <v>368</v>
      </c>
      <c r="AE5563" t="str">
        <f>VLOOKUP(Table_Query_from_Actuarial___Production3[[#This Row],[Kor1]],$AI$3:$AK$105,3,FALSE)</f>
        <v>Commissions</v>
      </c>
      <c r="AF5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64" spans="18:32" x14ac:dyDescent="0.2">
      <c r="R5564" t="s">
        <v>11</v>
      </c>
      <c r="S5564" t="s">
        <v>248</v>
      </c>
      <c r="T5564" t="s">
        <v>433</v>
      </c>
      <c r="U5564" s="21">
        <v>2046257.94</v>
      </c>
      <c r="V5564" s="21" t="s">
        <v>368</v>
      </c>
      <c r="W5564" t="str">
        <f>VLOOKUP(Table_Query_from_Actuarial___Production[[#This Row],[Kor1]],$AI$3:$AK$105,3,FALSE)</f>
        <v>Losses Paid</v>
      </c>
      <c r="X5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4"/>
      <c r="Z5564" t="s">
        <v>47</v>
      </c>
      <c r="AA5564" t="s">
        <v>251</v>
      </c>
      <c r="AB5564" t="s">
        <v>443</v>
      </c>
      <c r="AC5564" s="21">
        <v>1963.11</v>
      </c>
      <c r="AD5564" s="21" t="s">
        <v>368</v>
      </c>
      <c r="AE5564" t="str">
        <f>VLOOKUP(Table_Query_from_Actuarial___Production3[[#This Row],[Kor1]],$AI$3:$AK$105,3,FALSE)</f>
        <v>Investment Income</v>
      </c>
      <c r="AF5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5" spans="18:32" x14ac:dyDescent="0.2">
      <c r="R5565" t="s">
        <v>47</v>
      </c>
      <c r="S5565" t="s">
        <v>234</v>
      </c>
      <c r="T5565" t="s">
        <v>351</v>
      </c>
      <c r="U5565" s="21">
        <v>1222.18</v>
      </c>
      <c r="V5565" s="21" t="s">
        <v>368</v>
      </c>
      <c r="W5565" t="str">
        <f>VLOOKUP(Table_Query_from_Actuarial___Production[[#This Row],[Kor1]],$AI$3:$AK$105,3,FALSE)</f>
        <v>Investment Income</v>
      </c>
      <c r="X5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5"/>
      <c r="Z5565" t="s">
        <v>13</v>
      </c>
      <c r="AA5565" t="s">
        <v>224</v>
      </c>
      <c r="AB5565" t="s">
        <v>433</v>
      </c>
      <c r="AC5565" s="21">
        <v>183029.66</v>
      </c>
      <c r="AD5565" s="21" t="s">
        <v>368</v>
      </c>
      <c r="AE5565" t="str">
        <f>VLOOKUP(Table_Query_from_Actuarial___Production3[[#This Row],[Kor1]],$AI$3:$AK$105,3,FALSE)</f>
        <v>Operating Service Fees</v>
      </c>
      <c r="AF5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566" spans="18:32" x14ac:dyDescent="0.2">
      <c r="R5566" t="s">
        <v>10</v>
      </c>
      <c r="S5566" t="s">
        <v>230</v>
      </c>
      <c r="T5566" t="s">
        <v>8</v>
      </c>
      <c r="U5566" s="21">
        <v>1306204.02</v>
      </c>
      <c r="V5566" s="21" t="s">
        <v>368</v>
      </c>
      <c r="W5566" t="str">
        <f>VLOOKUP(Table_Query_from_Actuarial___Production[[#This Row],[Kor1]],$AI$3:$AK$105,3,FALSE)</f>
        <v>Commissions</v>
      </c>
      <c r="X5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6"/>
      <c r="Z5566" t="s">
        <v>41</v>
      </c>
      <c r="AA5566" t="s">
        <v>264</v>
      </c>
      <c r="AB5566" t="s">
        <v>8</v>
      </c>
      <c r="AC5566" s="21">
        <v>250.02</v>
      </c>
      <c r="AD5566" s="21" t="s">
        <v>368</v>
      </c>
      <c r="AE5566" t="str">
        <f>VLOOKUP(Table_Query_from_Actuarial___Production3[[#This Row],[Kor1]],$AI$3:$AK$105,3,FALSE)</f>
        <v>Misc. Income</v>
      </c>
      <c r="AF5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7" spans="18:32" x14ac:dyDescent="0.2">
      <c r="R5567" t="s">
        <v>44</v>
      </c>
      <c r="S5567" t="s">
        <v>252</v>
      </c>
      <c r="T5567" t="s">
        <v>441</v>
      </c>
      <c r="U5567" s="21">
        <v>1736697.55</v>
      </c>
      <c r="V5567" s="21" t="s">
        <v>368</v>
      </c>
      <c r="W5567" t="str">
        <f>VLOOKUP(Table_Query_from_Actuarial___Production[[#This Row],[Kor1]],$AI$3:$AK$105,3,FALSE)</f>
        <v>Charge-offs</v>
      </c>
      <c r="X5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7"/>
      <c r="Z5567" t="s">
        <v>50</v>
      </c>
      <c r="AA5567" t="s">
        <v>240</v>
      </c>
      <c r="AB5567" t="s">
        <v>442</v>
      </c>
      <c r="AC5567" s="21">
        <v>47634.53</v>
      </c>
      <c r="AD5567" s="21" t="s">
        <v>368</v>
      </c>
      <c r="AE5567" t="str">
        <f>VLOOKUP(Table_Query_from_Actuarial___Production3[[#This Row],[Kor1]],$AI$3:$AK$105,3,FALSE)</f>
        <v>ALAE Reserve</v>
      </c>
      <c r="AF5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68" spans="18:32" x14ac:dyDescent="0.2">
      <c r="R5568" t="s">
        <v>14</v>
      </c>
      <c r="S5568" t="s">
        <v>225</v>
      </c>
      <c r="T5568" t="s">
        <v>441</v>
      </c>
      <c r="U5568" s="21">
        <v>46868</v>
      </c>
      <c r="V5568" s="21" t="s">
        <v>368</v>
      </c>
      <c r="W5568" t="str">
        <f>VLOOKUP(Table_Query_from_Actuarial___Production[[#This Row],[Kor1]],$AI$3:$AK$105,3,FALSE)</f>
        <v>Claims Expense</v>
      </c>
      <c r="X5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568"/>
      <c r="Z5568" t="s">
        <v>48</v>
      </c>
      <c r="AA5568" t="s">
        <v>225</v>
      </c>
      <c r="AB5568" t="s">
        <v>443</v>
      </c>
      <c r="AC5568" s="21">
        <v>1368.3</v>
      </c>
      <c r="AD5568" s="21" t="s">
        <v>368</v>
      </c>
      <c r="AE5568" t="str">
        <f>VLOOKUP(Table_Query_from_Actuarial___Production3[[#This Row],[Kor1]],$AI$3:$AK$105,3,FALSE)</f>
        <v>Anticipated Salvage</v>
      </c>
      <c r="AF5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69" spans="18:32" x14ac:dyDescent="0.2">
      <c r="R5569" t="s">
        <v>12</v>
      </c>
      <c r="S5569" t="s">
        <v>267</v>
      </c>
      <c r="T5569" t="s">
        <v>6</v>
      </c>
      <c r="U5569" s="21">
        <v>16494.599999999999</v>
      </c>
      <c r="V5569" s="21" t="s">
        <v>368</v>
      </c>
      <c r="W5569" t="str">
        <f>VLOOKUP(Table_Query_from_Actuarial___Production[[#This Row],[Kor1]],$AI$3:$AK$105,3,FALSE)</f>
        <v>Premium Tax</v>
      </c>
      <c r="X5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69"/>
      <c r="Z5569" t="s">
        <v>47</v>
      </c>
      <c r="AA5569" t="s">
        <v>238</v>
      </c>
      <c r="AB5569" t="s">
        <v>7</v>
      </c>
      <c r="AC5569" s="21">
        <v>0.05</v>
      </c>
      <c r="AD5569" s="21" t="s">
        <v>368</v>
      </c>
      <c r="AE5569" t="str">
        <f>VLOOKUP(Table_Query_from_Actuarial___Production3[[#This Row],[Kor1]],$AI$3:$AK$105,3,FALSE)</f>
        <v>Investment Income</v>
      </c>
      <c r="AF5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0" spans="18:32" x14ac:dyDescent="0.2">
      <c r="R5570" t="s">
        <v>14</v>
      </c>
      <c r="S5570" t="s">
        <v>257</v>
      </c>
      <c r="T5570" t="s">
        <v>441</v>
      </c>
      <c r="U5570" s="21">
        <v>214817.96</v>
      </c>
      <c r="V5570" s="21" t="s">
        <v>368</v>
      </c>
      <c r="W5570" t="str">
        <f>VLOOKUP(Table_Query_from_Actuarial___Production[[#This Row],[Kor1]],$AI$3:$AK$105,3,FALSE)</f>
        <v>Claims Expense</v>
      </c>
      <c r="X5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0"/>
      <c r="Z5570" t="s">
        <v>13</v>
      </c>
      <c r="AA5570" t="s">
        <v>247</v>
      </c>
      <c r="AB5570" t="s">
        <v>351</v>
      </c>
      <c r="AC5570" s="21">
        <v>2089.4899999999998</v>
      </c>
      <c r="AD5570" s="21" t="s">
        <v>368</v>
      </c>
      <c r="AE5570" t="str">
        <f>VLOOKUP(Table_Query_from_Actuarial___Production3[[#This Row],[Kor1]],$AI$3:$AK$105,3,FALSE)</f>
        <v>Operating Service Fees</v>
      </c>
      <c r="AF5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1" spans="18:32" x14ac:dyDescent="0.2">
      <c r="R5571" t="s">
        <v>444</v>
      </c>
      <c r="S5571" t="s">
        <v>249</v>
      </c>
      <c r="T5571" t="s">
        <v>443</v>
      </c>
      <c r="U5571" s="21">
        <v>10167.81</v>
      </c>
      <c r="V5571" s="21" t="s">
        <v>368</v>
      </c>
      <c r="W5571" t="str">
        <f>VLOOKUP(Table_Query_from_Actuarial___Production[[#This Row],[Kor1]],$AI$3:$AK$105,3,FALSE)</f>
        <v>Misc. Expense</v>
      </c>
      <c r="X5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1"/>
      <c r="Z5571" t="s">
        <v>34</v>
      </c>
      <c r="AA5571" t="s">
        <v>4</v>
      </c>
      <c r="AB5571" t="s">
        <v>7</v>
      </c>
      <c r="AC5571" s="21">
        <v>11.52</v>
      </c>
      <c r="AD5571" s="21" t="s">
        <v>368</v>
      </c>
      <c r="AE5571" t="str">
        <f>VLOOKUP(Table_Query_from_Actuarial___Production3[[#This Row],[Kor1]],$AI$3:$AK$105,3,FALSE)</f>
        <v>Misc. Expense</v>
      </c>
      <c r="AF5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2" spans="18:32" x14ac:dyDescent="0.2">
      <c r="R5572" t="s">
        <v>40</v>
      </c>
      <c r="S5572" t="s">
        <v>242</v>
      </c>
      <c r="T5572" t="s">
        <v>9</v>
      </c>
      <c r="U5572" s="21">
        <v>14</v>
      </c>
      <c r="V5572" s="21" t="s">
        <v>368</v>
      </c>
      <c r="W5572" t="str">
        <f>VLOOKUP(Table_Query_from_Actuarial___Production[[#This Row],[Kor1]],$AI$3:$AK$105,3,FALSE)</f>
        <v>Misc. Income</v>
      </c>
      <c r="X5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2"/>
      <c r="Z5572" t="s">
        <v>20</v>
      </c>
      <c r="AA5572" t="s">
        <v>250</v>
      </c>
      <c r="AB5572" t="s">
        <v>6</v>
      </c>
      <c r="AC5572" s="21">
        <v>242.02</v>
      </c>
      <c r="AD5572" s="21" t="s">
        <v>368</v>
      </c>
      <c r="AE5572" t="str">
        <f>VLOOKUP(Table_Query_from_Actuarial___Production3[[#This Row],[Kor1]],$AI$3:$AK$105,3,FALSE)</f>
        <v>Misc. Expense</v>
      </c>
      <c r="AF5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3" spans="18:32" x14ac:dyDescent="0.2">
      <c r="R5573" t="s">
        <v>43</v>
      </c>
      <c r="S5573" t="s">
        <v>246</v>
      </c>
      <c r="T5573" t="s">
        <v>7</v>
      </c>
      <c r="U5573" s="21">
        <v>4.9000000000000004</v>
      </c>
      <c r="V5573" s="21" t="s">
        <v>368</v>
      </c>
      <c r="W5573" t="str">
        <f>VLOOKUP(Table_Query_from_Actuarial___Production[[#This Row],[Kor1]],$AI$3:$AK$105,3,FALSE)</f>
        <v>Charge-offs</v>
      </c>
      <c r="X5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3"/>
      <c r="Z5573" t="s">
        <v>31</v>
      </c>
      <c r="AA5573" t="s">
        <v>250</v>
      </c>
      <c r="AB5573" t="s">
        <v>7</v>
      </c>
      <c r="AC5573" s="21">
        <v>427.81</v>
      </c>
      <c r="AD5573" s="21" t="s">
        <v>368</v>
      </c>
      <c r="AE5573" t="str">
        <f>VLOOKUP(Table_Query_from_Actuarial___Production3[[#This Row],[Kor1]],$AI$3:$AK$105,3,FALSE)</f>
        <v>Misc. Expense</v>
      </c>
      <c r="AF5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4" spans="18:32" x14ac:dyDescent="0.2">
      <c r="R5574" t="s">
        <v>19</v>
      </c>
      <c r="S5574" t="s">
        <v>232</v>
      </c>
      <c r="T5574" t="s">
        <v>443</v>
      </c>
      <c r="U5574" s="21">
        <v>33.01</v>
      </c>
      <c r="V5574" s="21" t="s">
        <v>368</v>
      </c>
      <c r="W5574" t="str">
        <f>VLOOKUP(Table_Query_from_Actuarial___Production[[#This Row],[Kor1]],$AI$3:$AK$105,3,FALSE)</f>
        <v>Misc. Expense for Insolvent Companies</v>
      </c>
      <c r="X5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4"/>
      <c r="Z5574" t="s">
        <v>31</v>
      </c>
      <c r="AA5574" t="s">
        <v>228</v>
      </c>
      <c r="AB5574" t="s">
        <v>7</v>
      </c>
      <c r="AC5574" s="21">
        <v>587.72</v>
      </c>
      <c r="AD5574" s="21" t="s">
        <v>368</v>
      </c>
      <c r="AE5574" t="str">
        <f>VLOOKUP(Table_Query_from_Actuarial___Production3[[#This Row],[Kor1]],$AI$3:$AK$105,3,FALSE)</f>
        <v>Misc. Expense</v>
      </c>
      <c r="AF5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5" spans="18:32" x14ac:dyDescent="0.2">
      <c r="R5575" t="s">
        <v>20</v>
      </c>
      <c r="S5575" t="s">
        <v>249</v>
      </c>
      <c r="T5575" t="s">
        <v>442</v>
      </c>
      <c r="U5575" s="21">
        <v>142.61000000000001</v>
      </c>
      <c r="V5575" s="21" t="s">
        <v>368</v>
      </c>
      <c r="W5575" t="str">
        <f>VLOOKUP(Table_Query_from_Actuarial___Production[[#This Row],[Kor1]],$AI$3:$AK$105,3,FALSE)</f>
        <v>Misc. Expense</v>
      </c>
      <c r="X5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5"/>
      <c r="Z5575" t="s">
        <v>11</v>
      </c>
      <c r="AA5575" t="s">
        <v>248</v>
      </c>
      <c r="AB5575" t="s">
        <v>433</v>
      </c>
      <c r="AC5575" s="21">
        <v>2046257.94</v>
      </c>
      <c r="AD5575" s="21" t="s">
        <v>368</v>
      </c>
      <c r="AE5575" t="str">
        <f>VLOOKUP(Table_Query_from_Actuarial___Production3[[#This Row],[Kor1]],$AI$3:$AK$105,3,FALSE)</f>
        <v>Losses Paid</v>
      </c>
      <c r="AF5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6" spans="18:32" x14ac:dyDescent="0.2">
      <c r="R5576" t="s">
        <v>37</v>
      </c>
      <c r="S5576" t="s">
        <v>231</v>
      </c>
      <c r="T5576" t="s">
        <v>433</v>
      </c>
      <c r="U5576" s="21">
        <v>65.849999999999994</v>
      </c>
      <c r="V5576" s="21" t="s">
        <v>368</v>
      </c>
      <c r="W5576" t="str">
        <f>VLOOKUP(Table_Query_from_Actuarial___Production[[#This Row],[Kor1]],$AI$3:$AK$105,3,FALSE)</f>
        <v>Misc. Expense</v>
      </c>
      <c r="X5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6"/>
      <c r="Z5576" t="s">
        <v>47</v>
      </c>
      <c r="AA5576" t="s">
        <v>234</v>
      </c>
      <c r="AB5576" t="s">
        <v>351</v>
      </c>
      <c r="AC5576" s="21">
        <v>1222.18</v>
      </c>
      <c r="AD5576" s="21" t="s">
        <v>368</v>
      </c>
      <c r="AE5576" t="str">
        <f>VLOOKUP(Table_Query_from_Actuarial___Production3[[#This Row],[Kor1]],$AI$3:$AK$105,3,FALSE)</f>
        <v>Investment Income</v>
      </c>
      <c r="AF5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7" spans="18:32" x14ac:dyDescent="0.2">
      <c r="R5577" t="s">
        <v>17</v>
      </c>
      <c r="S5577" t="s">
        <v>256</v>
      </c>
      <c r="T5577" t="s">
        <v>443</v>
      </c>
      <c r="U5577" s="21">
        <v>14419.67</v>
      </c>
      <c r="V5577" s="21" t="s">
        <v>368</v>
      </c>
      <c r="W5577" t="str">
        <f>VLOOKUP(Table_Query_from_Actuarial___Production[[#This Row],[Kor1]],$AI$3:$AK$105,3,FALSE)</f>
        <v>IBNR</v>
      </c>
      <c r="X5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7"/>
      <c r="Z5577" t="s">
        <v>10</v>
      </c>
      <c r="AA5577" t="s">
        <v>230</v>
      </c>
      <c r="AB5577" t="s">
        <v>8</v>
      </c>
      <c r="AC5577" s="21">
        <v>1306204.02</v>
      </c>
      <c r="AD5577" s="21" t="s">
        <v>368</v>
      </c>
      <c r="AE5577" t="str">
        <f>VLOOKUP(Table_Query_from_Actuarial___Production3[[#This Row],[Kor1]],$AI$3:$AK$105,3,FALSE)</f>
        <v>Commissions</v>
      </c>
      <c r="AF5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8" spans="18:32" x14ac:dyDescent="0.2">
      <c r="R5578" t="s">
        <v>43</v>
      </c>
      <c r="S5578" t="s">
        <v>241</v>
      </c>
      <c r="T5578" t="s">
        <v>351</v>
      </c>
      <c r="U5578" s="21">
        <v>2653.02</v>
      </c>
      <c r="V5578" s="21" t="s">
        <v>368</v>
      </c>
      <c r="W5578" t="str">
        <f>VLOOKUP(Table_Query_from_Actuarial___Production[[#This Row],[Kor1]],$AI$3:$AK$105,3,FALSE)</f>
        <v>Charge-offs</v>
      </c>
      <c r="X5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8"/>
      <c r="Z5578" t="s">
        <v>44</v>
      </c>
      <c r="AA5578" t="s">
        <v>252</v>
      </c>
      <c r="AB5578" t="s">
        <v>441</v>
      </c>
      <c r="AC5578" s="21">
        <v>1602335.05</v>
      </c>
      <c r="AD5578" s="21" t="s">
        <v>368</v>
      </c>
      <c r="AE5578" t="str">
        <f>VLOOKUP(Table_Query_from_Actuarial___Production3[[#This Row],[Kor1]],$AI$3:$AK$105,3,FALSE)</f>
        <v>Charge-offs</v>
      </c>
      <c r="AF5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79" spans="18:32" x14ac:dyDescent="0.2">
      <c r="R5579" t="s">
        <v>17</v>
      </c>
      <c r="S5579" t="s">
        <v>233</v>
      </c>
      <c r="T5579" t="s">
        <v>433</v>
      </c>
      <c r="U5579" s="21">
        <v>79497.41</v>
      </c>
      <c r="V5579" s="21" t="s">
        <v>368</v>
      </c>
      <c r="W5579" t="str">
        <f>VLOOKUP(Table_Query_from_Actuarial___Production[[#This Row],[Kor1]],$AI$3:$AK$105,3,FALSE)</f>
        <v>IBNR</v>
      </c>
      <c r="X5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79"/>
      <c r="Z5579" t="s">
        <v>14</v>
      </c>
      <c r="AA5579" t="s">
        <v>225</v>
      </c>
      <c r="AB5579" t="s">
        <v>441</v>
      </c>
      <c r="AC5579" s="21">
        <v>46946</v>
      </c>
      <c r="AD5579" s="21" t="s">
        <v>368</v>
      </c>
      <c r="AE5579" t="str">
        <f>VLOOKUP(Table_Query_from_Actuarial___Production3[[#This Row],[Kor1]],$AI$3:$AK$105,3,FALSE)</f>
        <v>Claims Expense</v>
      </c>
      <c r="AF5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80" spans="18:32" x14ac:dyDescent="0.2">
      <c r="R5580" t="s">
        <v>38</v>
      </c>
      <c r="S5580" t="s">
        <v>224</v>
      </c>
      <c r="T5580" t="s">
        <v>356</v>
      </c>
      <c r="U5580" s="21">
        <v>159718.84</v>
      </c>
      <c r="V5580" s="21" t="s">
        <v>370</v>
      </c>
      <c r="W5580" t="str">
        <f>VLOOKUP(Table_Query_from_Actuarial___Production[[#This Row],[Kor1]],$AI$3:$AK$105,3,FALSE)</f>
        <v>Misc. Income</v>
      </c>
      <c r="X5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580"/>
      <c r="Z5580" t="s">
        <v>12</v>
      </c>
      <c r="AA5580" t="s">
        <v>267</v>
      </c>
      <c r="AB5580" t="s">
        <v>6</v>
      </c>
      <c r="AC5580" s="21">
        <v>16494.599999999999</v>
      </c>
      <c r="AD5580" s="21" t="s">
        <v>368</v>
      </c>
      <c r="AE5580" t="str">
        <f>VLOOKUP(Table_Query_from_Actuarial___Production3[[#This Row],[Kor1]],$AI$3:$AK$105,3,FALSE)</f>
        <v>Premium Tax</v>
      </c>
      <c r="AF5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1" spans="18:32" x14ac:dyDescent="0.2">
      <c r="R5581" t="s">
        <v>50</v>
      </c>
      <c r="S5581" t="s">
        <v>261</v>
      </c>
      <c r="T5581" t="s">
        <v>442</v>
      </c>
      <c r="U5581" s="21">
        <v>1055.42</v>
      </c>
      <c r="V5581" s="21" t="s">
        <v>368</v>
      </c>
      <c r="W5581" t="str">
        <f>VLOOKUP(Table_Query_from_Actuarial___Production[[#This Row],[Kor1]],$AI$3:$AK$105,3,FALSE)</f>
        <v>ALAE Reserve</v>
      </c>
      <c r="X5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1"/>
      <c r="Z5581" t="s">
        <v>14</v>
      </c>
      <c r="AA5581" t="s">
        <v>257</v>
      </c>
      <c r="AB5581" t="s">
        <v>441</v>
      </c>
      <c r="AC5581" s="21">
        <v>214817.96</v>
      </c>
      <c r="AD5581" s="21" t="s">
        <v>368</v>
      </c>
      <c r="AE5581" t="str">
        <f>VLOOKUP(Table_Query_from_Actuarial___Production3[[#This Row],[Kor1]],$AI$3:$AK$105,3,FALSE)</f>
        <v>Claims Expense</v>
      </c>
      <c r="AF5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2" spans="18:32" x14ac:dyDescent="0.2">
      <c r="R5582" t="s">
        <v>50</v>
      </c>
      <c r="S5582" t="s">
        <v>235</v>
      </c>
      <c r="T5582" t="s">
        <v>356</v>
      </c>
      <c r="U5582" s="21">
        <v>5009.76</v>
      </c>
      <c r="V5582" s="21" t="s">
        <v>368</v>
      </c>
      <c r="W5582" t="str">
        <f>VLOOKUP(Table_Query_from_Actuarial___Production[[#This Row],[Kor1]],$AI$3:$AK$105,3,FALSE)</f>
        <v>ALAE Reserve</v>
      </c>
      <c r="X5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2"/>
      <c r="Z5582" t="s">
        <v>40</v>
      </c>
      <c r="AA5582" t="s">
        <v>242</v>
      </c>
      <c r="AB5582" t="s">
        <v>9</v>
      </c>
      <c r="AC5582" s="21">
        <v>14</v>
      </c>
      <c r="AD5582" s="21" t="s">
        <v>368</v>
      </c>
      <c r="AE5582" t="str">
        <f>VLOOKUP(Table_Query_from_Actuarial___Production3[[#This Row],[Kor1]],$AI$3:$AK$105,3,FALSE)</f>
        <v>Misc. Income</v>
      </c>
      <c r="AF5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3" spans="18:32" x14ac:dyDescent="0.2">
      <c r="R5583" t="s">
        <v>3</v>
      </c>
      <c r="S5583" t="s">
        <v>268</v>
      </c>
      <c r="T5583" t="s">
        <v>433</v>
      </c>
      <c r="U5583" s="21">
        <v>217383</v>
      </c>
      <c r="V5583" s="21" t="s">
        <v>368</v>
      </c>
      <c r="W5583" t="str">
        <f>VLOOKUP(Table_Query_from_Actuarial___Production[[#This Row],[Kor1]],$AI$3:$AK$105,3,FALSE)</f>
        <v>Premiums Written</v>
      </c>
      <c r="X5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3"/>
      <c r="Z5583" t="s">
        <v>43</v>
      </c>
      <c r="AA5583" t="s">
        <v>246</v>
      </c>
      <c r="AB5583" t="s">
        <v>7</v>
      </c>
      <c r="AC5583" s="21">
        <v>4.9000000000000004</v>
      </c>
      <c r="AD5583" s="21" t="s">
        <v>368</v>
      </c>
      <c r="AE5583" t="str">
        <f>VLOOKUP(Table_Query_from_Actuarial___Production3[[#This Row],[Kor1]],$AI$3:$AK$105,3,FALSE)</f>
        <v>Charge-offs</v>
      </c>
      <c r="AF5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4" spans="18:32" x14ac:dyDescent="0.2">
      <c r="R5584" t="s">
        <v>17</v>
      </c>
      <c r="S5584" t="s">
        <v>241</v>
      </c>
      <c r="T5584" t="s">
        <v>441</v>
      </c>
      <c r="U5584" s="21">
        <v>24855.14</v>
      </c>
      <c r="V5584" s="21" t="s">
        <v>368</v>
      </c>
      <c r="W5584" t="str">
        <f>VLOOKUP(Table_Query_from_Actuarial___Production[[#This Row],[Kor1]],$AI$3:$AK$105,3,FALSE)</f>
        <v>IBNR</v>
      </c>
      <c r="X5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4"/>
      <c r="Z5584" t="s">
        <v>19</v>
      </c>
      <c r="AA5584" t="s">
        <v>232</v>
      </c>
      <c r="AB5584" t="s">
        <v>443</v>
      </c>
      <c r="AC5584" s="21">
        <v>33.01</v>
      </c>
      <c r="AD5584" s="21" t="s">
        <v>368</v>
      </c>
      <c r="AE5584" t="str">
        <f>VLOOKUP(Table_Query_from_Actuarial___Production3[[#This Row],[Kor1]],$AI$3:$AK$105,3,FALSE)</f>
        <v>Misc. Expense for Insolvent Companies</v>
      </c>
      <c r="AF5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5" spans="18:32" x14ac:dyDescent="0.2">
      <c r="R5585" t="s">
        <v>43</v>
      </c>
      <c r="S5585" t="s">
        <v>234</v>
      </c>
      <c r="T5585" t="s">
        <v>443</v>
      </c>
      <c r="U5585" s="21">
        <v>26.12</v>
      </c>
      <c r="V5585" s="21" t="s">
        <v>368</v>
      </c>
      <c r="W5585" t="str">
        <f>VLOOKUP(Table_Query_from_Actuarial___Production[[#This Row],[Kor1]],$AI$3:$AK$105,3,FALSE)</f>
        <v>Charge-offs</v>
      </c>
      <c r="X5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5"/>
      <c r="Z5585" t="s">
        <v>20</v>
      </c>
      <c r="AA5585" t="s">
        <v>249</v>
      </c>
      <c r="AB5585" t="s">
        <v>442</v>
      </c>
      <c r="AC5585" s="21">
        <v>142.61000000000001</v>
      </c>
      <c r="AD5585" s="21" t="s">
        <v>368</v>
      </c>
      <c r="AE5585" t="str">
        <f>VLOOKUP(Table_Query_from_Actuarial___Production3[[#This Row],[Kor1]],$AI$3:$AK$105,3,FALSE)</f>
        <v>Misc. Expense</v>
      </c>
      <c r="AF5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6" spans="18:32" x14ac:dyDescent="0.2">
      <c r="R5586" t="s">
        <v>20</v>
      </c>
      <c r="S5586" t="s">
        <v>254</v>
      </c>
      <c r="T5586" t="s">
        <v>442</v>
      </c>
      <c r="U5586" s="21">
        <v>712.77</v>
      </c>
      <c r="V5586" s="21" t="s">
        <v>368</v>
      </c>
      <c r="W5586" t="str">
        <f>VLOOKUP(Table_Query_from_Actuarial___Production[[#This Row],[Kor1]],$AI$3:$AK$105,3,FALSE)</f>
        <v>Misc. Expense</v>
      </c>
      <c r="X5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6"/>
      <c r="Z5586" t="s">
        <v>37</v>
      </c>
      <c r="AA5586" t="s">
        <v>231</v>
      </c>
      <c r="AB5586" t="s">
        <v>433</v>
      </c>
      <c r="AC5586" s="21">
        <v>65.849999999999994</v>
      </c>
      <c r="AD5586" s="21" t="s">
        <v>368</v>
      </c>
      <c r="AE5586" t="str">
        <f>VLOOKUP(Table_Query_from_Actuarial___Production3[[#This Row],[Kor1]],$AI$3:$AK$105,3,FALSE)</f>
        <v>Misc. Expense</v>
      </c>
      <c r="AF5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7" spans="18:32" x14ac:dyDescent="0.2">
      <c r="R5587" t="s">
        <v>33</v>
      </c>
      <c r="S5587" t="s">
        <v>231</v>
      </c>
      <c r="T5587" t="s">
        <v>7</v>
      </c>
      <c r="U5587" s="21">
        <v>13527.97</v>
      </c>
      <c r="V5587" s="21" t="s">
        <v>368</v>
      </c>
      <c r="W5587" t="str">
        <f>VLOOKUP(Table_Query_from_Actuarial___Production[[#This Row],[Kor1]],$AI$3:$AK$105,3,FALSE)</f>
        <v>Misc. Expense</v>
      </c>
      <c r="X5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7"/>
      <c r="Z5587" t="s">
        <v>17</v>
      </c>
      <c r="AA5587" t="s">
        <v>256</v>
      </c>
      <c r="AB5587" t="s">
        <v>443</v>
      </c>
      <c r="AC5587" s="21">
        <v>3220.29</v>
      </c>
      <c r="AD5587" s="21" t="s">
        <v>368</v>
      </c>
      <c r="AE5587" t="str">
        <f>VLOOKUP(Table_Query_from_Actuarial___Production3[[#This Row],[Kor1]],$AI$3:$AK$105,3,FALSE)</f>
        <v>IBNR</v>
      </c>
      <c r="AF5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8" spans="18:32" x14ac:dyDescent="0.2">
      <c r="R5588" t="s">
        <v>40</v>
      </c>
      <c r="S5588" t="s">
        <v>265</v>
      </c>
      <c r="T5588" t="s">
        <v>443</v>
      </c>
      <c r="U5588" s="21">
        <v>202.99</v>
      </c>
      <c r="V5588" s="21" t="s">
        <v>368</v>
      </c>
      <c r="W5588" t="str">
        <f>VLOOKUP(Table_Query_from_Actuarial___Production[[#This Row],[Kor1]],$AI$3:$AK$105,3,FALSE)</f>
        <v>Misc. Income</v>
      </c>
      <c r="X5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8"/>
      <c r="Z5588" t="s">
        <v>43</v>
      </c>
      <c r="AA5588" t="s">
        <v>241</v>
      </c>
      <c r="AB5588" t="s">
        <v>351</v>
      </c>
      <c r="AC5588" s="21">
        <v>2653.02</v>
      </c>
      <c r="AD5588" s="21" t="s">
        <v>368</v>
      </c>
      <c r="AE5588" t="str">
        <f>VLOOKUP(Table_Query_from_Actuarial___Production3[[#This Row],[Kor1]],$AI$3:$AK$105,3,FALSE)</f>
        <v>Charge-offs</v>
      </c>
      <c r="AF5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89" spans="18:32" x14ac:dyDescent="0.2">
      <c r="R5589" t="s">
        <v>10</v>
      </c>
      <c r="S5589" t="s">
        <v>251</v>
      </c>
      <c r="T5589" t="s">
        <v>442</v>
      </c>
      <c r="U5589" s="21">
        <v>44795.6</v>
      </c>
      <c r="V5589" s="21" t="s">
        <v>368</v>
      </c>
      <c r="W5589" t="str">
        <f>VLOOKUP(Table_Query_from_Actuarial___Production[[#This Row],[Kor1]],$AI$3:$AK$105,3,FALSE)</f>
        <v>Commissions</v>
      </c>
      <c r="X5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89"/>
      <c r="Z5589" t="s">
        <v>17</v>
      </c>
      <c r="AA5589" t="s">
        <v>233</v>
      </c>
      <c r="AB5589" t="s">
        <v>433</v>
      </c>
      <c r="AC5589" s="21">
        <v>71629.16</v>
      </c>
      <c r="AD5589" s="21" t="s">
        <v>368</v>
      </c>
      <c r="AE5589" t="str">
        <f>VLOOKUP(Table_Query_from_Actuarial___Production3[[#This Row],[Kor1]],$AI$3:$AK$105,3,FALSE)</f>
        <v>IBNR</v>
      </c>
      <c r="AF5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0" spans="18:32" x14ac:dyDescent="0.2">
      <c r="R5590" t="s">
        <v>33</v>
      </c>
      <c r="S5590" t="s">
        <v>230</v>
      </c>
      <c r="T5590" t="s">
        <v>351</v>
      </c>
      <c r="U5590" s="21">
        <v>34225.699999999997</v>
      </c>
      <c r="V5590" s="21" t="s">
        <v>368</v>
      </c>
      <c r="W5590" t="str">
        <f>VLOOKUP(Table_Query_from_Actuarial___Production[[#This Row],[Kor1]],$AI$3:$AK$105,3,FALSE)</f>
        <v>Misc. Expense</v>
      </c>
      <c r="X5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0"/>
      <c r="Z5590" t="s">
        <v>38</v>
      </c>
      <c r="AA5590" t="s">
        <v>224</v>
      </c>
      <c r="AB5590" t="s">
        <v>356</v>
      </c>
      <c r="AC5590" s="21">
        <v>159718.84</v>
      </c>
      <c r="AD5590" s="21" t="s">
        <v>370</v>
      </c>
      <c r="AE5590" t="str">
        <f>VLOOKUP(Table_Query_from_Actuarial___Production3[[#This Row],[Kor1]],$AI$3:$AK$105,3,FALSE)</f>
        <v>Misc. Income</v>
      </c>
      <c r="AF5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591" spans="18:32" x14ac:dyDescent="0.2">
      <c r="R5591" t="s">
        <v>47</v>
      </c>
      <c r="S5591" t="s">
        <v>251</v>
      </c>
      <c r="T5591" t="s">
        <v>427</v>
      </c>
      <c r="U5591" s="21">
        <v>4195.01</v>
      </c>
      <c r="V5591" s="21" t="s">
        <v>368</v>
      </c>
      <c r="W5591" t="str">
        <f>VLOOKUP(Table_Query_from_Actuarial___Production[[#This Row],[Kor1]],$AI$3:$AK$105,3,FALSE)</f>
        <v>Investment Income</v>
      </c>
      <c r="X5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1"/>
      <c r="Z5591" t="s">
        <v>49</v>
      </c>
      <c r="AA5591" t="s">
        <v>261</v>
      </c>
      <c r="AB5591" t="s">
        <v>5</v>
      </c>
      <c r="AC5591" s="21">
        <v>4427.6899999999996</v>
      </c>
      <c r="AD5591" s="21" t="s">
        <v>368</v>
      </c>
      <c r="AE5591" t="str">
        <f>VLOOKUP(Table_Query_from_Actuarial___Production3[[#This Row],[Kor1]],$AI$3:$AK$105,3,FALSE)</f>
        <v>ALAE Paid</v>
      </c>
      <c r="AF5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2" spans="18:32" x14ac:dyDescent="0.2">
      <c r="R5592" t="s">
        <v>13</v>
      </c>
      <c r="S5592" t="s">
        <v>354</v>
      </c>
      <c r="T5592" t="s">
        <v>356</v>
      </c>
      <c r="U5592" s="21">
        <v>247924700.58000001</v>
      </c>
      <c r="V5592" s="21" t="s">
        <v>369</v>
      </c>
      <c r="W5592" t="str">
        <f>VLOOKUP(Table_Query_from_Actuarial___Production[[#This Row],[Kor1]],$AI$3:$AK$105,3,FALSE)</f>
        <v>Operating Service Fees</v>
      </c>
      <c r="X5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592"/>
      <c r="Z5592" t="s">
        <v>50</v>
      </c>
      <c r="AA5592" t="s">
        <v>261</v>
      </c>
      <c r="AB5592" t="s">
        <v>442</v>
      </c>
      <c r="AC5592" s="21">
        <v>708.53</v>
      </c>
      <c r="AD5592" s="21" t="s">
        <v>368</v>
      </c>
      <c r="AE5592" t="str">
        <f>VLOOKUP(Table_Query_from_Actuarial___Production3[[#This Row],[Kor1]],$AI$3:$AK$105,3,FALSE)</f>
        <v>ALAE Reserve</v>
      </c>
      <c r="AF5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3" spans="18:32" x14ac:dyDescent="0.2">
      <c r="R5593" t="s">
        <v>38</v>
      </c>
      <c r="S5593" t="s">
        <v>354</v>
      </c>
      <c r="T5593" t="s">
        <v>427</v>
      </c>
      <c r="U5593" s="21">
        <v>163255.13</v>
      </c>
      <c r="V5593" s="21" t="s">
        <v>369</v>
      </c>
      <c r="W5593" t="str">
        <f>VLOOKUP(Table_Query_from_Actuarial___Production[[#This Row],[Kor1]],$AI$3:$AK$105,3,FALSE)</f>
        <v>Misc. Income</v>
      </c>
      <c r="X5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593"/>
      <c r="Z5593" t="s">
        <v>50</v>
      </c>
      <c r="AA5593" t="s">
        <v>235</v>
      </c>
      <c r="AB5593" t="s">
        <v>356</v>
      </c>
      <c r="AC5593" s="21">
        <v>4387.74</v>
      </c>
      <c r="AD5593" s="21" t="s">
        <v>368</v>
      </c>
      <c r="AE5593" t="str">
        <f>VLOOKUP(Table_Query_from_Actuarial___Production3[[#This Row],[Kor1]],$AI$3:$AK$105,3,FALSE)</f>
        <v>ALAE Reserve</v>
      </c>
      <c r="AF5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4" spans="18:32" x14ac:dyDescent="0.2">
      <c r="R5594" t="s">
        <v>75</v>
      </c>
      <c r="S5594" t="s">
        <v>246</v>
      </c>
      <c r="T5594" t="s">
        <v>442</v>
      </c>
      <c r="U5594" s="21">
        <v>21715</v>
      </c>
      <c r="V5594" s="21" t="s">
        <v>368</v>
      </c>
      <c r="W5594" t="str">
        <f>VLOOKUP(Table_Query_from_Actuarial___Production[[#This Row],[Kor1]],$AI$3:$AK$105,3,FALSE)</f>
        <v>EBUB</v>
      </c>
      <c r="X5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4"/>
      <c r="Z5594" t="s">
        <v>3</v>
      </c>
      <c r="AA5594" t="s">
        <v>268</v>
      </c>
      <c r="AB5594" t="s">
        <v>433</v>
      </c>
      <c r="AC5594" s="21">
        <v>217383</v>
      </c>
      <c r="AD5594" s="21" t="s">
        <v>368</v>
      </c>
      <c r="AE5594" t="str">
        <f>VLOOKUP(Table_Query_from_Actuarial___Production3[[#This Row],[Kor1]],$AI$3:$AK$105,3,FALSE)</f>
        <v>Premiums Written</v>
      </c>
      <c r="AF5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5" spans="18:32" x14ac:dyDescent="0.2">
      <c r="R5595" t="s">
        <v>3</v>
      </c>
      <c r="S5595" t="s">
        <v>226</v>
      </c>
      <c r="T5595" t="s">
        <v>441</v>
      </c>
      <c r="U5595" s="21">
        <v>5120349</v>
      </c>
      <c r="V5595" s="21" t="s">
        <v>368</v>
      </c>
      <c r="W5595" t="str">
        <f>VLOOKUP(Table_Query_from_Actuarial___Production[[#This Row],[Kor1]],$AI$3:$AK$105,3,FALSE)</f>
        <v>Premiums Written</v>
      </c>
      <c r="X5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595"/>
      <c r="Z5595" t="s">
        <v>17</v>
      </c>
      <c r="AA5595" t="s">
        <v>241</v>
      </c>
      <c r="AB5595" t="s">
        <v>441</v>
      </c>
      <c r="AC5595" s="21">
        <v>40001.72</v>
      </c>
      <c r="AD5595" s="21" t="s">
        <v>368</v>
      </c>
      <c r="AE5595" t="str">
        <f>VLOOKUP(Table_Query_from_Actuarial___Production3[[#This Row],[Kor1]],$AI$3:$AK$105,3,FALSE)</f>
        <v>IBNR</v>
      </c>
      <c r="AF5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6" spans="18:32" x14ac:dyDescent="0.2">
      <c r="R5596" t="s">
        <v>21</v>
      </c>
      <c r="S5596" t="s">
        <v>258</v>
      </c>
      <c r="T5596" t="s">
        <v>351</v>
      </c>
      <c r="U5596" s="21">
        <v>10263.51</v>
      </c>
      <c r="V5596" s="21" t="s">
        <v>368</v>
      </c>
      <c r="W5596" t="str">
        <f>VLOOKUP(Table_Query_from_Actuarial___Production[[#This Row],[Kor1]],$AI$3:$AK$105,3,FALSE)</f>
        <v>Misc. Expense</v>
      </c>
      <c r="X5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6"/>
      <c r="Z5596" t="s">
        <v>43</v>
      </c>
      <c r="AA5596" t="s">
        <v>234</v>
      </c>
      <c r="AB5596" t="s">
        <v>443</v>
      </c>
      <c r="AC5596" s="21">
        <v>27.95</v>
      </c>
      <c r="AD5596" s="21" t="s">
        <v>368</v>
      </c>
      <c r="AE5596" t="str">
        <f>VLOOKUP(Table_Query_from_Actuarial___Production3[[#This Row],[Kor1]],$AI$3:$AK$105,3,FALSE)</f>
        <v>Charge-offs</v>
      </c>
      <c r="AF5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7" spans="18:32" x14ac:dyDescent="0.2">
      <c r="R5597" t="s">
        <v>39</v>
      </c>
      <c r="S5597" t="s">
        <v>251</v>
      </c>
      <c r="T5597" t="s">
        <v>445</v>
      </c>
      <c r="U5597" s="21">
        <v>1.69</v>
      </c>
      <c r="V5597" s="21" t="s">
        <v>368</v>
      </c>
      <c r="W5597" t="str">
        <f>VLOOKUP(Table_Query_from_Actuarial___Production[[#This Row],[Kor1]],$AI$3:$AK$105,3,FALSE)</f>
        <v>Misc. Income for Insolvent Companies</v>
      </c>
      <c r="X5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7"/>
      <c r="Z5597" t="s">
        <v>11</v>
      </c>
      <c r="AA5597" t="s">
        <v>225</v>
      </c>
      <c r="AB5597" t="s">
        <v>5</v>
      </c>
      <c r="AC5597" s="21">
        <v>713549.9</v>
      </c>
      <c r="AD5597" s="21" t="s">
        <v>368</v>
      </c>
      <c r="AE5597" t="str">
        <f>VLOOKUP(Table_Query_from_Actuarial___Production3[[#This Row],[Kor1]],$AI$3:$AK$105,3,FALSE)</f>
        <v>Losses Paid</v>
      </c>
      <c r="AF5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598" spans="18:32" x14ac:dyDescent="0.2">
      <c r="R5598" t="s">
        <v>12</v>
      </c>
      <c r="S5598" t="s">
        <v>263</v>
      </c>
      <c r="T5598" t="s">
        <v>442</v>
      </c>
      <c r="U5598" s="21">
        <v>8786.58</v>
      </c>
      <c r="V5598" s="21" t="s">
        <v>368</v>
      </c>
      <c r="W5598" t="str">
        <f>VLOOKUP(Table_Query_from_Actuarial___Production[[#This Row],[Kor1]],$AI$3:$AK$105,3,FALSE)</f>
        <v>Premium Tax</v>
      </c>
      <c r="X5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8"/>
      <c r="Z5598" t="s">
        <v>19</v>
      </c>
      <c r="AA5598" t="s">
        <v>257</v>
      </c>
      <c r="AB5598" t="s">
        <v>5</v>
      </c>
      <c r="AC5598" s="21">
        <v>6376.99</v>
      </c>
      <c r="AD5598" s="21" t="s">
        <v>368</v>
      </c>
      <c r="AE5598" t="str">
        <f>VLOOKUP(Table_Query_from_Actuarial___Production3[[#This Row],[Kor1]],$AI$3:$AK$105,3,FALSE)</f>
        <v>Misc. Expense for Insolvent Companies</v>
      </c>
      <c r="AF5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599" spans="18:32" x14ac:dyDescent="0.2">
      <c r="R5599" t="s">
        <v>37</v>
      </c>
      <c r="S5599" t="s">
        <v>264</v>
      </c>
      <c r="T5599" t="s">
        <v>443</v>
      </c>
      <c r="U5599" s="21">
        <v>1792.05</v>
      </c>
      <c r="V5599" s="21" t="s">
        <v>368</v>
      </c>
      <c r="W5599" t="str">
        <f>VLOOKUP(Table_Query_from_Actuarial___Production[[#This Row],[Kor1]],$AI$3:$AK$105,3,FALSE)</f>
        <v>Misc. Expense</v>
      </c>
      <c r="X5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599"/>
      <c r="Z5599" t="s">
        <v>20</v>
      </c>
      <c r="AA5599" t="s">
        <v>254</v>
      </c>
      <c r="AB5599" t="s">
        <v>442</v>
      </c>
      <c r="AC5599" s="21">
        <v>712.77</v>
      </c>
      <c r="AD5599" s="21" t="s">
        <v>368</v>
      </c>
      <c r="AE5599" t="str">
        <f>VLOOKUP(Table_Query_from_Actuarial___Production3[[#This Row],[Kor1]],$AI$3:$AK$105,3,FALSE)</f>
        <v>Misc. Expense</v>
      </c>
      <c r="AF5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0" spans="18:32" x14ac:dyDescent="0.2">
      <c r="R5600" t="s">
        <v>21</v>
      </c>
      <c r="S5600" t="s">
        <v>232</v>
      </c>
      <c r="T5600" t="s">
        <v>441</v>
      </c>
      <c r="U5600" s="21">
        <v>2053.9699999999998</v>
      </c>
      <c r="V5600" s="21" t="s">
        <v>368</v>
      </c>
      <c r="W5600" t="str">
        <f>VLOOKUP(Table_Query_from_Actuarial___Production[[#This Row],[Kor1]],$AI$3:$AK$105,3,FALSE)</f>
        <v>Misc. Expense</v>
      </c>
      <c r="X5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0"/>
      <c r="Z5600" t="s">
        <v>33</v>
      </c>
      <c r="AA5600" t="s">
        <v>231</v>
      </c>
      <c r="AB5600" t="s">
        <v>7</v>
      </c>
      <c r="AC5600" s="21">
        <v>13527.97</v>
      </c>
      <c r="AD5600" s="21" t="s">
        <v>368</v>
      </c>
      <c r="AE5600" t="str">
        <f>VLOOKUP(Table_Query_from_Actuarial___Production3[[#This Row],[Kor1]],$AI$3:$AK$105,3,FALSE)</f>
        <v>Misc. Expense</v>
      </c>
      <c r="AF5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1" spans="18:32" x14ac:dyDescent="0.2">
      <c r="R5601" t="s">
        <v>31</v>
      </c>
      <c r="S5601" t="s">
        <v>238</v>
      </c>
      <c r="T5601" t="s">
        <v>441</v>
      </c>
      <c r="U5601" s="21">
        <v>1148.1500000000001</v>
      </c>
      <c r="V5601" s="21" t="s">
        <v>368</v>
      </c>
      <c r="W5601" t="str">
        <f>VLOOKUP(Table_Query_from_Actuarial___Production[[#This Row],[Kor1]],$AI$3:$AK$105,3,FALSE)</f>
        <v>Misc. Expense</v>
      </c>
      <c r="X5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1"/>
      <c r="Z5601" t="s">
        <v>10</v>
      </c>
      <c r="AA5601" t="s">
        <v>251</v>
      </c>
      <c r="AB5601" t="s">
        <v>442</v>
      </c>
      <c r="AC5601" s="21">
        <v>44319.6</v>
      </c>
      <c r="AD5601" s="21" t="s">
        <v>368</v>
      </c>
      <c r="AE5601" t="str">
        <f>VLOOKUP(Table_Query_from_Actuarial___Production3[[#This Row],[Kor1]],$AI$3:$AK$105,3,FALSE)</f>
        <v>Commissions</v>
      </c>
      <c r="AF5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2" spans="18:32" x14ac:dyDescent="0.2">
      <c r="R5602" t="s">
        <v>39</v>
      </c>
      <c r="S5602" t="s">
        <v>242</v>
      </c>
      <c r="T5602" t="s">
        <v>433</v>
      </c>
      <c r="U5602" s="21">
        <v>12795</v>
      </c>
      <c r="V5602" s="21" t="s">
        <v>368</v>
      </c>
      <c r="W5602" t="str">
        <f>VLOOKUP(Table_Query_from_Actuarial___Production[[#This Row],[Kor1]],$AI$3:$AK$105,3,FALSE)</f>
        <v>Misc. Income for Insolvent Companies</v>
      </c>
      <c r="X5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2"/>
      <c r="Z5602" t="s">
        <v>33</v>
      </c>
      <c r="AA5602" t="s">
        <v>230</v>
      </c>
      <c r="AB5602" t="s">
        <v>351</v>
      </c>
      <c r="AC5602" s="21">
        <v>34225.699999999997</v>
      </c>
      <c r="AD5602" s="21" t="s">
        <v>368</v>
      </c>
      <c r="AE5602" t="str">
        <f>VLOOKUP(Table_Query_from_Actuarial___Production3[[#This Row],[Kor1]],$AI$3:$AK$105,3,FALSE)</f>
        <v>Misc. Expense</v>
      </c>
      <c r="AF5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3" spans="18:32" x14ac:dyDescent="0.2">
      <c r="R5603" t="s">
        <v>44</v>
      </c>
      <c r="S5603" t="s">
        <v>233</v>
      </c>
      <c r="T5603" t="s">
        <v>8</v>
      </c>
      <c r="U5603" s="21">
        <v>3983.05</v>
      </c>
      <c r="V5603" s="21" t="s">
        <v>368</v>
      </c>
      <c r="W5603" t="str">
        <f>VLOOKUP(Table_Query_from_Actuarial___Production[[#This Row],[Kor1]],$AI$3:$AK$105,3,FALSE)</f>
        <v>Charge-offs</v>
      </c>
      <c r="X5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3"/>
      <c r="Z5603" t="s">
        <v>47</v>
      </c>
      <c r="AA5603" t="s">
        <v>251</v>
      </c>
      <c r="AB5603" t="s">
        <v>427</v>
      </c>
      <c r="AC5603" s="21">
        <v>4195.01</v>
      </c>
      <c r="AD5603" s="21" t="s">
        <v>368</v>
      </c>
      <c r="AE5603" t="str">
        <f>VLOOKUP(Table_Query_from_Actuarial___Production3[[#This Row],[Kor1]],$AI$3:$AK$105,3,FALSE)</f>
        <v>Investment Income</v>
      </c>
      <c r="AF5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4" spans="18:32" x14ac:dyDescent="0.2">
      <c r="R5604" t="s">
        <v>12</v>
      </c>
      <c r="S5604" t="s">
        <v>243</v>
      </c>
      <c r="T5604" t="s">
        <v>427</v>
      </c>
      <c r="U5604" s="21">
        <v>15153.28</v>
      </c>
      <c r="V5604" s="21" t="s">
        <v>368</v>
      </c>
      <c r="W5604" t="str">
        <f>VLOOKUP(Table_Query_from_Actuarial___Production[[#This Row],[Kor1]],$AI$3:$AK$105,3,FALSE)</f>
        <v>Premium Tax</v>
      </c>
      <c r="X5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4"/>
      <c r="Z5604" t="s">
        <v>13</v>
      </c>
      <c r="AA5604" t="s">
        <v>354</v>
      </c>
      <c r="AB5604" t="s">
        <v>356</v>
      </c>
      <c r="AC5604" s="21">
        <v>247907962.19999999</v>
      </c>
      <c r="AD5604" s="21" t="s">
        <v>369</v>
      </c>
      <c r="AE5604" t="str">
        <f>VLOOKUP(Table_Query_from_Actuarial___Production3[[#This Row],[Kor1]],$AI$3:$AK$105,3,FALSE)</f>
        <v>Operating Service Fees</v>
      </c>
      <c r="AF5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605" spans="18:32" x14ac:dyDescent="0.2">
      <c r="R5605" t="s">
        <v>19</v>
      </c>
      <c r="S5605" t="s">
        <v>232</v>
      </c>
      <c r="T5605" t="s">
        <v>7</v>
      </c>
      <c r="U5605" s="21">
        <v>910</v>
      </c>
      <c r="V5605" s="21" t="s">
        <v>368</v>
      </c>
      <c r="W5605" t="str">
        <f>VLOOKUP(Table_Query_from_Actuarial___Production[[#This Row],[Kor1]],$AI$3:$AK$105,3,FALSE)</f>
        <v>Misc. Expense for Insolvent Companies</v>
      </c>
      <c r="X5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5"/>
      <c r="Z5605" t="s">
        <v>38</v>
      </c>
      <c r="AA5605" t="s">
        <v>354</v>
      </c>
      <c r="AB5605" t="s">
        <v>427</v>
      </c>
      <c r="AC5605" s="21">
        <v>163255.13</v>
      </c>
      <c r="AD5605" s="21" t="s">
        <v>369</v>
      </c>
      <c r="AE5605" t="str">
        <f>VLOOKUP(Table_Query_from_Actuarial___Production3[[#This Row],[Kor1]],$AI$3:$AK$105,3,FALSE)</f>
        <v>Misc. Income</v>
      </c>
      <c r="AF5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606" spans="18:32" x14ac:dyDescent="0.2">
      <c r="R5606" t="s">
        <v>41</v>
      </c>
      <c r="S5606" t="s">
        <v>262</v>
      </c>
      <c r="T5606" t="s">
        <v>351</v>
      </c>
      <c r="U5606" s="21">
        <v>1050.01</v>
      </c>
      <c r="V5606" s="21" t="s">
        <v>368</v>
      </c>
      <c r="W5606" t="str">
        <f>VLOOKUP(Table_Query_from_Actuarial___Production[[#This Row],[Kor1]],$AI$3:$AK$105,3,FALSE)</f>
        <v>Misc. Income</v>
      </c>
      <c r="X5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6"/>
      <c r="Z5606" t="s">
        <v>3</v>
      </c>
      <c r="AA5606" t="s">
        <v>226</v>
      </c>
      <c r="AB5606" t="s">
        <v>441</v>
      </c>
      <c r="AC5606" s="21">
        <v>5120349</v>
      </c>
      <c r="AD5606" s="21" t="s">
        <v>368</v>
      </c>
      <c r="AE5606" t="str">
        <f>VLOOKUP(Table_Query_from_Actuarial___Production3[[#This Row],[Kor1]],$AI$3:$AK$105,3,FALSE)</f>
        <v>Premiums Written</v>
      </c>
      <c r="AF5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607" spans="18:32" x14ac:dyDescent="0.2">
      <c r="R5607" t="s">
        <v>41</v>
      </c>
      <c r="S5607" t="s">
        <v>229</v>
      </c>
      <c r="T5607" t="s">
        <v>356</v>
      </c>
      <c r="U5607" s="21">
        <v>50</v>
      </c>
      <c r="V5607" s="21" t="s">
        <v>368</v>
      </c>
      <c r="W5607" t="str">
        <f>VLOOKUP(Table_Query_from_Actuarial___Production[[#This Row],[Kor1]],$AI$3:$AK$105,3,FALSE)</f>
        <v>Misc. Income</v>
      </c>
      <c r="X5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7"/>
      <c r="Z5607" t="s">
        <v>21</v>
      </c>
      <c r="AA5607" t="s">
        <v>258</v>
      </c>
      <c r="AB5607" t="s">
        <v>351</v>
      </c>
      <c r="AC5607" s="21">
        <v>10263.51</v>
      </c>
      <c r="AD5607" s="21" t="s">
        <v>368</v>
      </c>
      <c r="AE5607" t="str">
        <f>VLOOKUP(Table_Query_from_Actuarial___Production3[[#This Row],[Kor1]],$AI$3:$AK$105,3,FALSE)</f>
        <v>Misc. Expense</v>
      </c>
      <c r="AF5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8" spans="18:32" x14ac:dyDescent="0.2">
      <c r="R5608" t="s">
        <v>50</v>
      </c>
      <c r="S5608" t="s">
        <v>226</v>
      </c>
      <c r="T5608" t="s">
        <v>8</v>
      </c>
      <c r="U5608" s="21">
        <v>23985</v>
      </c>
      <c r="V5608" s="21" t="s">
        <v>368</v>
      </c>
      <c r="W5608" t="str">
        <f>VLOOKUP(Table_Query_from_Actuarial___Production[[#This Row],[Kor1]],$AI$3:$AK$105,3,FALSE)</f>
        <v>ALAE Reserve</v>
      </c>
      <c r="X5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608"/>
      <c r="Z5608" t="s">
        <v>20</v>
      </c>
      <c r="AA5608" t="s">
        <v>257</v>
      </c>
      <c r="AB5608" t="s">
        <v>5</v>
      </c>
      <c r="AC5608" s="21">
        <v>1881.28</v>
      </c>
      <c r="AD5608" s="21" t="s">
        <v>368</v>
      </c>
      <c r="AE5608" t="str">
        <f>VLOOKUP(Table_Query_from_Actuarial___Production3[[#This Row],[Kor1]],$AI$3:$AK$105,3,FALSE)</f>
        <v>Misc. Expense</v>
      </c>
      <c r="AF5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09" spans="18:32" x14ac:dyDescent="0.2">
      <c r="R5609" t="s">
        <v>43</v>
      </c>
      <c r="S5609" t="s">
        <v>240</v>
      </c>
      <c r="T5609" t="s">
        <v>9</v>
      </c>
      <c r="U5609" s="21">
        <v>-111.2</v>
      </c>
      <c r="V5609" s="21" t="s">
        <v>368</v>
      </c>
      <c r="W5609" t="str">
        <f>VLOOKUP(Table_Query_from_Actuarial___Production[[#This Row],[Kor1]],$AI$3:$AK$105,3,FALSE)</f>
        <v>Charge-offs</v>
      </c>
      <c r="X5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09"/>
      <c r="Z5609" t="s">
        <v>12</v>
      </c>
      <c r="AA5609" t="s">
        <v>263</v>
      </c>
      <c r="AB5609" t="s">
        <v>442</v>
      </c>
      <c r="AC5609" s="21">
        <v>8880.58</v>
      </c>
      <c r="AD5609" s="21" t="s">
        <v>368</v>
      </c>
      <c r="AE5609" t="str">
        <f>VLOOKUP(Table_Query_from_Actuarial___Production3[[#This Row],[Kor1]],$AI$3:$AK$105,3,FALSE)</f>
        <v>Premium Tax</v>
      </c>
      <c r="AF5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0" spans="18:32" x14ac:dyDescent="0.2">
      <c r="R5610" t="s">
        <v>17</v>
      </c>
      <c r="S5610" t="s">
        <v>354</v>
      </c>
      <c r="T5610" t="s">
        <v>433</v>
      </c>
      <c r="U5610" s="21">
        <v>1182824.2</v>
      </c>
      <c r="V5610" s="21" t="s">
        <v>369</v>
      </c>
      <c r="W5610" t="str">
        <f>VLOOKUP(Table_Query_from_Actuarial___Production[[#This Row],[Kor1]],$AI$3:$AK$105,3,FALSE)</f>
        <v>IBNR</v>
      </c>
      <c r="X5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610"/>
      <c r="Z5610" t="s">
        <v>37</v>
      </c>
      <c r="AA5610" t="s">
        <v>264</v>
      </c>
      <c r="AB5610" t="s">
        <v>443</v>
      </c>
      <c r="AC5610" s="21">
        <v>617.12</v>
      </c>
      <c r="AD5610" s="21" t="s">
        <v>368</v>
      </c>
      <c r="AE5610" t="str">
        <f>VLOOKUP(Table_Query_from_Actuarial___Production3[[#This Row],[Kor1]],$AI$3:$AK$105,3,FALSE)</f>
        <v>Misc. Expense</v>
      </c>
      <c r="AF5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1" spans="18:32" x14ac:dyDescent="0.2">
      <c r="R5611" t="s">
        <v>12</v>
      </c>
      <c r="S5611" t="s">
        <v>259</v>
      </c>
      <c r="T5611" t="s">
        <v>7</v>
      </c>
      <c r="U5611" s="21">
        <v>1189.04</v>
      </c>
      <c r="V5611" s="21" t="s">
        <v>368</v>
      </c>
      <c r="W5611" t="str">
        <f>VLOOKUP(Table_Query_from_Actuarial___Production[[#This Row],[Kor1]],$AI$3:$AK$105,3,FALSE)</f>
        <v>Premium Tax</v>
      </c>
      <c r="X5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1"/>
      <c r="Z5611" t="s">
        <v>21</v>
      </c>
      <c r="AA5611" t="s">
        <v>232</v>
      </c>
      <c r="AB5611" t="s">
        <v>441</v>
      </c>
      <c r="AC5611" s="21">
        <v>2053.9699999999998</v>
      </c>
      <c r="AD5611" s="21" t="s">
        <v>368</v>
      </c>
      <c r="AE5611" t="str">
        <f>VLOOKUP(Table_Query_from_Actuarial___Production3[[#This Row],[Kor1]],$AI$3:$AK$105,3,FALSE)</f>
        <v>Misc. Expense</v>
      </c>
      <c r="AF5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2" spans="18:32" x14ac:dyDescent="0.2">
      <c r="R5612" t="s">
        <v>20</v>
      </c>
      <c r="S5612" t="s">
        <v>237</v>
      </c>
      <c r="T5612" t="s">
        <v>445</v>
      </c>
      <c r="U5612" s="21">
        <v>854.16</v>
      </c>
      <c r="V5612" s="21" t="s">
        <v>368</v>
      </c>
      <c r="W5612" t="str">
        <f>VLOOKUP(Table_Query_from_Actuarial___Production[[#This Row],[Kor1]],$AI$3:$AK$105,3,FALSE)</f>
        <v>Misc. Expense</v>
      </c>
      <c r="X5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2"/>
      <c r="Z5612" t="s">
        <v>31</v>
      </c>
      <c r="AA5612" t="s">
        <v>238</v>
      </c>
      <c r="AB5612" t="s">
        <v>441</v>
      </c>
      <c r="AC5612" s="21">
        <v>1148.1500000000001</v>
      </c>
      <c r="AD5612" s="21" t="s">
        <v>368</v>
      </c>
      <c r="AE5612" t="str">
        <f>VLOOKUP(Table_Query_from_Actuarial___Production3[[#This Row],[Kor1]],$AI$3:$AK$105,3,FALSE)</f>
        <v>Misc. Expense</v>
      </c>
      <c r="AF5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3" spans="18:32" x14ac:dyDescent="0.2">
      <c r="R5613" t="s">
        <v>12</v>
      </c>
      <c r="S5613" t="s">
        <v>255</v>
      </c>
      <c r="T5613" t="s">
        <v>433</v>
      </c>
      <c r="U5613" s="21">
        <v>5513.8</v>
      </c>
      <c r="V5613" s="21" t="s">
        <v>368</v>
      </c>
      <c r="W5613" t="str">
        <f>VLOOKUP(Table_Query_from_Actuarial___Production[[#This Row],[Kor1]],$AI$3:$AK$105,3,FALSE)</f>
        <v>Premium Tax</v>
      </c>
      <c r="X5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3"/>
      <c r="Z5613" t="s">
        <v>39</v>
      </c>
      <c r="AA5613" t="s">
        <v>242</v>
      </c>
      <c r="AB5613" t="s">
        <v>433</v>
      </c>
      <c r="AC5613" s="21">
        <v>12795</v>
      </c>
      <c r="AD5613" s="21" t="s">
        <v>368</v>
      </c>
      <c r="AE5613" t="str">
        <f>VLOOKUP(Table_Query_from_Actuarial___Production3[[#This Row],[Kor1]],$AI$3:$AK$105,3,FALSE)</f>
        <v>Misc. Income for Insolvent Companies</v>
      </c>
      <c r="AF5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4" spans="18:32" x14ac:dyDescent="0.2">
      <c r="R5614" t="s">
        <v>17</v>
      </c>
      <c r="S5614" t="s">
        <v>236</v>
      </c>
      <c r="T5614" t="s">
        <v>441</v>
      </c>
      <c r="U5614" s="21">
        <v>2200.48</v>
      </c>
      <c r="V5614" s="21" t="s">
        <v>368</v>
      </c>
      <c r="W5614" t="str">
        <f>VLOOKUP(Table_Query_from_Actuarial___Production[[#This Row],[Kor1]],$AI$3:$AK$105,3,FALSE)</f>
        <v>IBNR</v>
      </c>
      <c r="X5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4"/>
      <c r="Z5614" t="s">
        <v>44</v>
      </c>
      <c r="AA5614" t="s">
        <v>233</v>
      </c>
      <c r="AB5614" t="s">
        <v>8</v>
      </c>
      <c r="AC5614" s="21">
        <v>3983.05</v>
      </c>
      <c r="AD5614" s="21" t="s">
        <v>368</v>
      </c>
      <c r="AE5614" t="str">
        <f>VLOOKUP(Table_Query_from_Actuarial___Production3[[#This Row],[Kor1]],$AI$3:$AK$105,3,FALSE)</f>
        <v>Charge-offs</v>
      </c>
      <c r="AF5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5" spans="18:32" x14ac:dyDescent="0.2">
      <c r="R5615" t="s">
        <v>31</v>
      </c>
      <c r="S5615" t="s">
        <v>257</v>
      </c>
      <c r="T5615" t="s">
        <v>445</v>
      </c>
      <c r="U5615" s="21">
        <v>1944.55</v>
      </c>
      <c r="V5615" s="21" t="s">
        <v>368</v>
      </c>
      <c r="W5615" t="str">
        <f>VLOOKUP(Table_Query_from_Actuarial___Production[[#This Row],[Kor1]],$AI$3:$AK$105,3,FALSE)</f>
        <v>Misc. Expense</v>
      </c>
      <c r="X5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5"/>
      <c r="Z5615" t="s">
        <v>12</v>
      </c>
      <c r="AA5615" t="s">
        <v>243</v>
      </c>
      <c r="AB5615" t="s">
        <v>427</v>
      </c>
      <c r="AC5615" s="21">
        <v>15153.28</v>
      </c>
      <c r="AD5615" s="21" t="s">
        <v>368</v>
      </c>
      <c r="AE5615" t="str">
        <f>VLOOKUP(Table_Query_from_Actuarial___Production3[[#This Row],[Kor1]],$AI$3:$AK$105,3,FALSE)</f>
        <v>Premium Tax</v>
      </c>
      <c r="AF5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6" spans="18:32" x14ac:dyDescent="0.2">
      <c r="R5616" t="s">
        <v>40</v>
      </c>
      <c r="S5616" t="s">
        <v>236</v>
      </c>
      <c r="T5616" t="s">
        <v>442</v>
      </c>
      <c r="U5616" s="21">
        <v>158</v>
      </c>
      <c r="V5616" s="21" t="s">
        <v>368</v>
      </c>
      <c r="W5616" t="str">
        <f>VLOOKUP(Table_Query_from_Actuarial___Production[[#This Row],[Kor1]],$AI$3:$AK$105,3,FALSE)</f>
        <v>Misc. Income</v>
      </c>
      <c r="X5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6"/>
      <c r="Z5616" t="s">
        <v>13</v>
      </c>
      <c r="AA5616" t="s">
        <v>247</v>
      </c>
      <c r="AB5616" t="s">
        <v>5</v>
      </c>
      <c r="AC5616" s="21">
        <v>4724.16</v>
      </c>
      <c r="AD5616" s="21" t="s">
        <v>368</v>
      </c>
      <c r="AE5616" t="str">
        <f>VLOOKUP(Table_Query_from_Actuarial___Production3[[#This Row],[Kor1]],$AI$3:$AK$105,3,FALSE)</f>
        <v>Operating Service Fees</v>
      </c>
      <c r="AF5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7" spans="18:32" x14ac:dyDescent="0.2">
      <c r="R5617" t="s">
        <v>11</v>
      </c>
      <c r="S5617" t="s">
        <v>250</v>
      </c>
      <c r="T5617" t="s">
        <v>6</v>
      </c>
      <c r="U5617" s="21">
        <v>761810.75</v>
      </c>
      <c r="V5617" s="21" t="s">
        <v>368</v>
      </c>
      <c r="W5617" t="str">
        <f>VLOOKUP(Table_Query_from_Actuarial___Production[[#This Row],[Kor1]],$AI$3:$AK$105,3,FALSE)</f>
        <v>Losses Paid</v>
      </c>
      <c r="X5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7"/>
      <c r="Z5617" t="s">
        <v>19</v>
      </c>
      <c r="AA5617" t="s">
        <v>232</v>
      </c>
      <c r="AB5617" t="s">
        <v>7</v>
      </c>
      <c r="AC5617" s="21">
        <v>910</v>
      </c>
      <c r="AD5617" s="21" t="s">
        <v>368</v>
      </c>
      <c r="AE5617" t="str">
        <f>VLOOKUP(Table_Query_from_Actuarial___Production3[[#This Row],[Kor1]],$AI$3:$AK$105,3,FALSE)</f>
        <v>Misc. Expense for Insolvent Companies</v>
      </c>
      <c r="AF5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8" spans="18:32" x14ac:dyDescent="0.2">
      <c r="R5618" t="s">
        <v>12</v>
      </c>
      <c r="S5618" t="s">
        <v>265</v>
      </c>
      <c r="T5618" t="s">
        <v>356</v>
      </c>
      <c r="U5618" s="21">
        <v>32490.98</v>
      </c>
      <c r="V5618" s="21" t="s">
        <v>368</v>
      </c>
      <c r="W5618" t="str">
        <f>VLOOKUP(Table_Query_from_Actuarial___Production[[#This Row],[Kor1]],$AI$3:$AK$105,3,FALSE)</f>
        <v>Premium Tax</v>
      </c>
      <c r="X5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8"/>
      <c r="Z5618" t="s">
        <v>41</v>
      </c>
      <c r="AA5618" t="s">
        <v>262</v>
      </c>
      <c r="AB5618" t="s">
        <v>351</v>
      </c>
      <c r="AC5618" s="21">
        <v>1050.01</v>
      </c>
      <c r="AD5618" s="21" t="s">
        <v>368</v>
      </c>
      <c r="AE5618" t="str">
        <f>VLOOKUP(Table_Query_from_Actuarial___Production3[[#This Row],[Kor1]],$AI$3:$AK$105,3,FALSE)</f>
        <v>Misc. Income</v>
      </c>
      <c r="AF5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19" spans="18:32" x14ac:dyDescent="0.2">
      <c r="R5619" t="s">
        <v>20</v>
      </c>
      <c r="S5619" t="s">
        <v>228</v>
      </c>
      <c r="T5619" t="s">
        <v>427</v>
      </c>
      <c r="U5619" s="21">
        <v>255.32</v>
      </c>
      <c r="V5619" s="21" t="s">
        <v>368</v>
      </c>
      <c r="W5619" t="str">
        <f>VLOOKUP(Table_Query_from_Actuarial___Production[[#This Row],[Kor1]],$AI$3:$AK$105,3,FALSE)</f>
        <v>Misc. Expense</v>
      </c>
      <c r="X5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19"/>
      <c r="Z5619" t="s">
        <v>41</v>
      </c>
      <c r="AA5619" t="s">
        <v>229</v>
      </c>
      <c r="AB5619" t="s">
        <v>356</v>
      </c>
      <c r="AC5619" s="21">
        <v>50</v>
      </c>
      <c r="AD5619" s="21" t="s">
        <v>368</v>
      </c>
      <c r="AE5619" t="str">
        <f>VLOOKUP(Table_Query_from_Actuarial___Production3[[#This Row],[Kor1]],$AI$3:$AK$105,3,FALSE)</f>
        <v>Misc. Income</v>
      </c>
      <c r="AF5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0" spans="18:32" x14ac:dyDescent="0.2">
      <c r="R5620" t="s">
        <v>47</v>
      </c>
      <c r="S5620" t="s">
        <v>247</v>
      </c>
      <c r="T5620" t="s">
        <v>351</v>
      </c>
      <c r="U5620" s="21">
        <v>280.37</v>
      </c>
      <c r="V5620" s="21" t="s">
        <v>368</v>
      </c>
      <c r="W5620" t="str">
        <f>VLOOKUP(Table_Query_from_Actuarial___Production[[#This Row],[Kor1]],$AI$3:$AK$105,3,FALSE)</f>
        <v>Investment Income</v>
      </c>
      <c r="X5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0"/>
      <c r="Z5620" t="s">
        <v>50</v>
      </c>
      <c r="AA5620" t="s">
        <v>226</v>
      </c>
      <c r="AB5620" t="s">
        <v>8</v>
      </c>
      <c r="AC5620" s="21">
        <v>37005</v>
      </c>
      <c r="AD5620" s="21" t="s">
        <v>368</v>
      </c>
      <c r="AE5620" t="str">
        <f>VLOOKUP(Table_Query_from_Actuarial___Production3[[#This Row],[Kor1]],$AI$3:$AK$105,3,FALSE)</f>
        <v>ALAE Reserve</v>
      </c>
      <c r="AF5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621" spans="18:32" x14ac:dyDescent="0.2">
      <c r="R5621" t="s">
        <v>47</v>
      </c>
      <c r="S5621" t="s">
        <v>266</v>
      </c>
      <c r="T5621" t="s">
        <v>427</v>
      </c>
      <c r="U5621" s="21">
        <v>3394.63</v>
      </c>
      <c r="V5621" s="21" t="s">
        <v>368</v>
      </c>
      <c r="W5621" t="str">
        <f>VLOOKUP(Table_Query_from_Actuarial___Production[[#This Row],[Kor1]],$AI$3:$AK$105,3,FALSE)</f>
        <v>Investment Income</v>
      </c>
      <c r="X5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1"/>
      <c r="Z5621" t="s">
        <v>43</v>
      </c>
      <c r="AA5621" t="s">
        <v>240</v>
      </c>
      <c r="AB5621" t="s">
        <v>9</v>
      </c>
      <c r="AC5621" s="21">
        <v>-111.2</v>
      </c>
      <c r="AD5621" s="21" t="s">
        <v>368</v>
      </c>
      <c r="AE5621" t="str">
        <f>VLOOKUP(Table_Query_from_Actuarial___Production3[[#This Row],[Kor1]],$AI$3:$AK$105,3,FALSE)</f>
        <v>Charge-offs</v>
      </c>
      <c r="AF5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2" spans="18:32" x14ac:dyDescent="0.2">
      <c r="R5622" t="s">
        <v>3</v>
      </c>
      <c r="S5622" t="s">
        <v>232</v>
      </c>
      <c r="T5622" t="s">
        <v>427</v>
      </c>
      <c r="U5622" s="21">
        <v>1046749</v>
      </c>
      <c r="V5622" s="21" t="s">
        <v>368</v>
      </c>
      <c r="W5622" t="str">
        <f>VLOOKUP(Table_Query_from_Actuarial___Production[[#This Row],[Kor1]],$AI$3:$AK$105,3,FALSE)</f>
        <v>Premiums Written</v>
      </c>
      <c r="X5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2"/>
      <c r="Z5622" t="s">
        <v>17</v>
      </c>
      <c r="AA5622" t="s">
        <v>354</v>
      </c>
      <c r="AB5622" t="s">
        <v>433</v>
      </c>
      <c r="AC5622" s="21">
        <v>8123925.1399999997</v>
      </c>
      <c r="AD5622" s="21" t="s">
        <v>369</v>
      </c>
      <c r="AE5622" t="str">
        <f>VLOOKUP(Table_Query_from_Actuarial___Production3[[#This Row],[Kor1]],$AI$3:$AK$105,3,FALSE)</f>
        <v>IBNR</v>
      </c>
      <c r="AF5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623" spans="18:32" x14ac:dyDescent="0.2">
      <c r="R5623" t="s">
        <v>16</v>
      </c>
      <c r="S5623" t="s">
        <v>243</v>
      </c>
      <c r="T5623" t="s">
        <v>433</v>
      </c>
      <c r="U5623" s="21">
        <v>-2285</v>
      </c>
      <c r="V5623" s="21" t="s">
        <v>368</v>
      </c>
      <c r="W5623" t="str">
        <f>VLOOKUP(Table_Query_from_Actuarial___Production[[#This Row],[Kor1]],$AI$3:$AK$105,3,FALSE)</f>
        <v>Losses Outstanding</v>
      </c>
      <c r="X5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3"/>
      <c r="Z5623" t="s">
        <v>12</v>
      </c>
      <c r="AA5623" t="s">
        <v>259</v>
      </c>
      <c r="AB5623" t="s">
        <v>7</v>
      </c>
      <c r="AC5623" s="21">
        <v>1189.04</v>
      </c>
      <c r="AD5623" s="21" t="s">
        <v>368</v>
      </c>
      <c r="AE5623" t="str">
        <f>VLOOKUP(Table_Query_from_Actuarial___Production3[[#This Row],[Kor1]],$AI$3:$AK$105,3,FALSE)</f>
        <v>Premium Tax</v>
      </c>
      <c r="AF5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4" spans="18:32" x14ac:dyDescent="0.2">
      <c r="R5624" t="s">
        <v>39</v>
      </c>
      <c r="S5624" t="s">
        <v>234</v>
      </c>
      <c r="T5624" t="s">
        <v>442</v>
      </c>
      <c r="U5624" s="21">
        <v>748</v>
      </c>
      <c r="V5624" s="21" t="s">
        <v>368</v>
      </c>
      <c r="W5624" t="str">
        <f>VLOOKUP(Table_Query_from_Actuarial___Production[[#This Row],[Kor1]],$AI$3:$AK$105,3,FALSE)</f>
        <v>Misc. Income for Insolvent Companies</v>
      </c>
      <c r="X5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4"/>
      <c r="Z5624" t="s">
        <v>12</v>
      </c>
      <c r="AA5624" t="s">
        <v>255</v>
      </c>
      <c r="AB5624" t="s">
        <v>433</v>
      </c>
      <c r="AC5624" s="21">
        <v>5513.8</v>
      </c>
      <c r="AD5624" s="21" t="s">
        <v>368</v>
      </c>
      <c r="AE5624" t="str">
        <f>VLOOKUP(Table_Query_from_Actuarial___Production3[[#This Row],[Kor1]],$AI$3:$AK$105,3,FALSE)</f>
        <v>Premium Tax</v>
      </c>
      <c r="AF5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5" spans="18:32" x14ac:dyDescent="0.2">
      <c r="R5625" t="s">
        <v>3</v>
      </c>
      <c r="S5625" t="s">
        <v>254</v>
      </c>
      <c r="T5625" t="s">
        <v>9</v>
      </c>
      <c r="U5625" s="21">
        <v>2414285</v>
      </c>
      <c r="V5625" s="21" t="s">
        <v>368</v>
      </c>
      <c r="W5625" t="str">
        <f>VLOOKUP(Table_Query_from_Actuarial___Production[[#This Row],[Kor1]],$AI$3:$AK$105,3,FALSE)</f>
        <v>Premiums Written</v>
      </c>
      <c r="X5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5"/>
      <c r="Z5625" t="s">
        <v>17</v>
      </c>
      <c r="AA5625" t="s">
        <v>236</v>
      </c>
      <c r="AB5625" t="s">
        <v>441</v>
      </c>
      <c r="AC5625" s="21">
        <v>3466.29</v>
      </c>
      <c r="AD5625" s="21" t="s">
        <v>368</v>
      </c>
      <c r="AE5625" t="str">
        <f>VLOOKUP(Table_Query_from_Actuarial___Production3[[#This Row],[Kor1]],$AI$3:$AK$105,3,FALSE)</f>
        <v>IBNR</v>
      </c>
      <c r="AF5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6" spans="18:32" x14ac:dyDescent="0.2">
      <c r="R5626" t="s">
        <v>37</v>
      </c>
      <c r="S5626" t="s">
        <v>240</v>
      </c>
      <c r="T5626" t="s">
        <v>7</v>
      </c>
      <c r="U5626" s="21">
        <v>1560.36</v>
      </c>
      <c r="V5626" s="21" t="s">
        <v>368</v>
      </c>
      <c r="W5626" t="str">
        <f>VLOOKUP(Table_Query_from_Actuarial___Production[[#This Row],[Kor1]],$AI$3:$AK$105,3,FALSE)</f>
        <v>Misc. Expense</v>
      </c>
      <c r="X5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6"/>
      <c r="Z5626" t="s">
        <v>17</v>
      </c>
      <c r="AA5626" t="s">
        <v>256</v>
      </c>
      <c r="AB5626" t="s">
        <v>427</v>
      </c>
      <c r="AC5626" s="21">
        <v>7579.39</v>
      </c>
      <c r="AD5626" s="21" t="s">
        <v>368</v>
      </c>
      <c r="AE5626" t="str">
        <f>VLOOKUP(Table_Query_from_Actuarial___Production3[[#This Row],[Kor1]],$AI$3:$AK$105,3,FALSE)</f>
        <v>IBNR</v>
      </c>
      <c r="AF5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7" spans="18:32" x14ac:dyDescent="0.2">
      <c r="R5627" t="s">
        <v>47</v>
      </c>
      <c r="S5627" t="s">
        <v>252</v>
      </c>
      <c r="T5627" t="s">
        <v>7</v>
      </c>
      <c r="U5627" s="21">
        <v>487.75</v>
      </c>
      <c r="V5627" s="21" t="s">
        <v>368</v>
      </c>
      <c r="W5627" t="str">
        <f>VLOOKUP(Table_Query_from_Actuarial___Production[[#This Row],[Kor1]],$AI$3:$AK$105,3,FALSE)</f>
        <v>Investment Income</v>
      </c>
      <c r="X5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7"/>
      <c r="Z5627" t="s">
        <v>40</v>
      </c>
      <c r="AA5627" t="s">
        <v>236</v>
      </c>
      <c r="AB5627" t="s">
        <v>442</v>
      </c>
      <c r="AC5627" s="21">
        <v>158</v>
      </c>
      <c r="AD5627" s="21" t="s">
        <v>368</v>
      </c>
      <c r="AE5627" t="str">
        <f>VLOOKUP(Table_Query_from_Actuarial___Production3[[#This Row],[Kor1]],$AI$3:$AK$105,3,FALSE)</f>
        <v>Misc. Income</v>
      </c>
      <c r="AF5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8" spans="18:32" x14ac:dyDescent="0.2">
      <c r="R5628" t="s">
        <v>49</v>
      </c>
      <c r="S5628" t="s">
        <v>261</v>
      </c>
      <c r="T5628" t="s">
        <v>351</v>
      </c>
      <c r="U5628" s="21">
        <v>32817.57</v>
      </c>
      <c r="V5628" s="21" t="s">
        <v>368</v>
      </c>
      <c r="W5628" t="str">
        <f>VLOOKUP(Table_Query_from_Actuarial___Production[[#This Row],[Kor1]],$AI$3:$AK$105,3,FALSE)</f>
        <v>ALAE Paid</v>
      </c>
      <c r="X5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8"/>
      <c r="Z5628" t="s">
        <v>11</v>
      </c>
      <c r="AA5628" t="s">
        <v>250</v>
      </c>
      <c r="AB5628" t="s">
        <v>6</v>
      </c>
      <c r="AC5628" s="21">
        <v>761810.75</v>
      </c>
      <c r="AD5628" s="21" t="s">
        <v>368</v>
      </c>
      <c r="AE5628" t="str">
        <f>VLOOKUP(Table_Query_from_Actuarial___Production3[[#This Row],[Kor1]],$AI$3:$AK$105,3,FALSE)</f>
        <v>Losses Paid</v>
      </c>
      <c r="AF5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29" spans="18:32" x14ac:dyDescent="0.2">
      <c r="R5629" t="s">
        <v>13</v>
      </c>
      <c r="S5629" t="s">
        <v>236</v>
      </c>
      <c r="T5629" t="s">
        <v>8</v>
      </c>
      <c r="U5629" s="21">
        <v>11571.15</v>
      </c>
      <c r="V5629" s="21" t="s">
        <v>368</v>
      </c>
      <c r="W5629" t="str">
        <f>VLOOKUP(Table_Query_from_Actuarial___Production[[#This Row],[Kor1]],$AI$3:$AK$105,3,FALSE)</f>
        <v>Operating Service Fees</v>
      </c>
      <c r="X5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29"/>
      <c r="Z5629" t="s">
        <v>12</v>
      </c>
      <c r="AA5629" t="s">
        <v>265</v>
      </c>
      <c r="AB5629" t="s">
        <v>356</v>
      </c>
      <c r="AC5629" s="21">
        <v>32490.98</v>
      </c>
      <c r="AD5629" s="21" t="s">
        <v>368</v>
      </c>
      <c r="AE5629" t="str">
        <f>VLOOKUP(Table_Query_from_Actuarial___Production3[[#This Row],[Kor1]],$AI$3:$AK$105,3,FALSE)</f>
        <v>Premium Tax</v>
      </c>
      <c r="AF5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0" spans="18:32" x14ac:dyDescent="0.2">
      <c r="R5630" t="s">
        <v>19</v>
      </c>
      <c r="S5630" t="s">
        <v>246</v>
      </c>
      <c r="T5630" t="s">
        <v>8</v>
      </c>
      <c r="U5630" s="21">
        <v>1965</v>
      </c>
      <c r="V5630" s="21" t="s">
        <v>368</v>
      </c>
      <c r="W5630" t="str">
        <f>VLOOKUP(Table_Query_from_Actuarial___Production[[#This Row],[Kor1]],$AI$3:$AK$105,3,FALSE)</f>
        <v>Misc. Expense for Insolvent Companies</v>
      </c>
      <c r="X5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0"/>
      <c r="Z5630" t="s">
        <v>20</v>
      </c>
      <c r="AA5630" t="s">
        <v>228</v>
      </c>
      <c r="AB5630" t="s">
        <v>427</v>
      </c>
      <c r="AC5630" s="21">
        <v>255.32</v>
      </c>
      <c r="AD5630" s="21" t="s">
        <v>368</v>
      </c>
      <c r="AE5630" t="str">
        <f>VLOOKUP(Table_Query_from_Actuarial___Production3[[#This Row],[Kor1]],$AI$3:$AK$105,3,FALSE)</f>
        <v>Misc. Expense</v>
      </c>
      <c r="AF5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1" spans="18:32" x14ac:dyDescent="0.2">
      <c r="R5631" t="s">
        <v>444</v>
      </c>
      <c r="S5631" t="s">
        <v>253</v>
      </c>
      <c r="T5631" t="s">
        <v>443</v>
      </c>
      <c r="U5631" s="21">
        <v>10167.81</v>
      </c>
      <c r="V5631" s="21" t="s">
        <v>368</v>
      </c>
      <c r="W5631" t="str">
        <f>VLOOKUP(Table_Query_from_Actuarial___Production[[#This Row],[Kor1]],$AI$3:$AK$105,3,FALSE)</f>
        <v>Misc. Expense</v>
      </c>
      <c r="X5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1"/>
      <c r="Z5631" t="s">
        <v>47</v>
      </c>
      <c r="AA5631" t="s">
        <v>247</v>
      </c>
      <c r="AB5631" t="s">
        <v>351</v>
      </c>
      <c r="AC5631" s="21">
        <v>280.37</v>
      </c>
      <c r="AD5631" s="21" t="s">
        <v>368</v>
      </c>
      <c r="AE5631" t="str">
        <f>VLOOKUP(Table_Query_from_Actuarial___Production3[[#This Row],[Kor1]],$AI$3:$AK$105,3,FALSE)</f>
        <v>Investment Income</v>
      </c>
      <c r="AF5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2" spans="18:32" x14ac:dyDescent="0.2">
      <c r="R5632" t="s">
        <v>47</v>
      </c>
      <c r="S5632" t="s">
        <v>263</v>
      </c>
      <c r="T5632" t="s">
        <v>445</v>
      </c>
      <c r="U5632" s="21">
        <v>7463.15</v>
      </c>
      <c r="V5632" s="21" t="s">
        <v>368</v>
      </c>
      <c r="W5632" t="str">
        <f>VLOOKUP(Table_Query_from_Actuarial___Production[[#This Row],[Kor1]],$AI$3:$AK$105,3,FALSE)</f>
        <v>Investment Income</v>
      </c>
      <c r="X5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2"/>
      <c r="Z5632" t="s">
        <v>47</v>
      </c>
      <c r="AA5632" t="s">
        <v>266</v>
      </c>
      <c r="AB5632" t="s">
        <v>427</v>
      </c>
      <c r="AC5632" s="21">
        <v>3394.63</v>
      </c>
      <c r="AD5632" s="21" t="s">
        <v>368</v>
      </c>
      <c r="AE5632" t="str">
        <f>VLOOKUP(Table_Query_from_Actuarial___Production3[[#This Row],[Kor1]],$AI$3:$AK$105,3,FALSE)</f>
        <v>Investment Income</v>
      </c>
      <c r="AF5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3" spans="18:32" x14ac:dyDescent="0.2">
      <c r="R5633" t="s">
        <v>44</v>
      </c>
      <c r="S5633" t="s">
        <v>248</v>
      </c>
      <c r="T5633" t="s">
        <v>9</v>
      </c>
      <c r="U5633" s="21">
        <v>-1</v>
      </c>
      <c r="V5633" s="21" t="s">
        <v>368</v>
      </c>
      <c r="W5633" t="str">
        <f>VLOOKUP(Table_Query_from_Actuarial___Production[[#This Row],[Kor1]],$AI$3:$AK$105,3,FALSE)</f>
        <v>Charge-offs</v>
      </c>
      <c r="X5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3"/>
      <c r="Z5633" t="s">
        <v>3</v>
      </c>
      <c r="AA5633" t="s">
        <v>232</v>
      </c>
      <c r="AB5633" t="s">
        <v>427</v>
      </c>
      <c r="AC5633" s="21">
        <v>1046749</v>
      </c>
      <c r="AD5633" s="21" t="s">
        <v>368</v>
      </c>
      <c r="AE5633" t="str">
        <f>VLOOKUP(Table_Query_from_Actuarial___Production3[[#This Row],[Kor1]],$AI$3:$AK$105,3,FALSE)</f>
        <v>Premiums Written</v>
      </c>
      <c r="AF5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4" spans="18:32" x14ac:dyDescent="0.2">
      <c r="R5634" t="s">
        <v>47</v>
      </c>
      <c r="S5634" t="s">
        <v>258</v>
      </c>
      <c r="T5634" t="s">
        <v>427</v>
      </c>
      <c r="U5634" s="21">
        <v>21864.41</v>
      </c>
      <c r="V5634" s="21" t="s">
        <v>368</v>
      </c>
      <c r="W5634" t="str">
        <f>VLOOKUP(Table_Query_from_Actuarial___Production[[#This Row],[Kor1]],$AI$3:$AK$105,3,FALSE)</f>
        <v>Investment Income</v>
      </c>
      <c r="X5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4"/>
      <c r="Z5634" t="s">
        <v>16</v>
      </c>
      <c r="AA5634" t="s">
        <v>243</v>
      </c>
      <c r="AB5634" t="s">
        <v>433</v>
      </c>
      <c r="AC5634" s="21">
        <v>8360.32</v>
      </c>
      <c r="AD5634" s="21" t="s">
        <v>368</v>
      </c>
      <c r="AE5634" t="str">
        <f>VLOOKUP(Table_Query_from_Actuarial___Production3[[#This Row],[Kor1]],$AI$3:$AK$105,3,FALSE)</f>
        <v>Losses Outstanding</v>
      </c>
      <c r="AF5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5" spans="18:32" x14ac:dyDescent="0.2">
      <c r="R5635" t="s">
        <v>12</v>
      </c>
      <c r="S5635" t="s">
        <v>235</v>
      </c>
      <c r="T5635" t="s">
        <v>433</v>
      </c>
      <c r="U5635" s="21">
        <v>18286.349999999999</v>
      </c>
      <c r="V5635" s="21" t="s">
        <v>368</v>
      </c>
      <c r="W5635" t="str">
        <f>VLOOKUP(Table_Query_from_Actuarial___Production[[#This Row],[Kor1]],$AI$3:$AK$105,3,FALSE)</f>
        <v>Premium Tax</v>
      </c>
      <c r="X5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5"/>
      <c r="Z5635" t="s">
        <v>39</v>
      </c>
      <c r="AA5635" t="s">
        <v>234</v>
      </c>
      <c r="AB5635" t="s">
        <v>442</v>
      </c>
      <c r="AC5635" s="21">
        <v>748</v>
      </c>
      <c r="AD5635" s="21" t="s">
        <v>368</v>
      </c>
      <c r="AE5635" t="str">
        <f>VLOOKUP(Table_Query_from_Actuarial___Production3[[#This Row],[Kor1]],$AI$3:$AK$105,3,FALSE)</f>
        <v>Misc. Income for Insolvent Companies</v>
      </c>
      <c r="AF5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6" spans="18:32" x14ac:dyDescent="0.2">
      <c r="R5636" t="s">
        <v>33</v>
      </c>
      <c r="S5636" t="s">
        <v>245</v>
      </c>
      <c r="T5636" t="s">
        <v>441</v>
      </c>
      <c r="U5636" s="21">
        <v>17861.830000000002</v>
      </c>
      <c r="V5636" s="21" t="s">
        <v>368</v>
      </c>
      <c r="W5636" t="str">
        <f>VLOOKUP(Table_Query_from_Actuarial___Production[[#This Row],[Kor1]],$AI$3:$AK$105,3,FALSE)</f>
        <v>Misc. Expense</v>
      </c>
      <c r="X5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6"/>
      <c r="Z5636" t="s">
        <v>3</v>
      </c>
      <c r="AA5636" t="s">
        <v>254</v>
      </c>
      <c r="AB5636" t="s">
        <v>9</v>
      </c>
      <c r="AC5636" s="21">
        <v>2414285</v>
      </c>
      <c r="AD5636" s="21" t="s">
        <v>368</v>
      </c>
      <c r="AE5636" t="str">
        <f>VLOOKUP(Table_Query_from_Actuarial___Production3[[#This Row],[Kor1]],$AI$3:$AK$105,3,FALSE)</f>
        <v>Premiums Written</v>
      </c>
      <c r="AF5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7" spans="18:32" x14ac:dyDescent="0.2">
      <c r="R5637" t="s">
        <v>77</v>
      </c>
      <c r="S5637" t="s">
        <v>4</v>
      </c>
      <c r="T5637" t="s">
        <v>445</v>
      </c>
      <c r="U5637" s="21">
        <v>2602846</v>
      </c>
      <c r="V5637" s="21" t="s">
        <v>368</v>
      </c>
      <c r="W5637" t="str">
        <f>VLOOKUP(Table_Query_from_Actuarial___Production[[#This Row],[Kor1]],$AI$3:$AK$105,3,FALSE)</f>
        <v>PDR</v>
      </c>
      <c r="X5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7"/>
      <c r="Z5637" t="s">
        <v>37</v>
      </c>
      <c r="AA5637" t="s">
        <v>240</v>
      </c>
      <c r="AB5637" t="s">
        <v>7</v>
      </c>
      <c r="AC5637" s="21">
        <v>1560.36</v>
      </c>
      <c r="AD5637" s="21" t="s">
        <v>368</v>
      </c>
      <c r="AE5637" t="str">
        <f>VLOOKUP(Table_Query_from_Actuarial___Production3[[#This Row],[Kor1]],$AI$3:$AK$105,3,FALSE)</f>
        <v>Misc. Expense</v>
      </c>
      <c r="AF5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8" spans="18:32" x14ac:dyDescent="0.2">
      <c r="R5638" t="s">
        <v>50</v>
      </c>
      <c r="S5638" t="s">
        <v>255</v>
      </c>
      <c r="T5638" t="s">
        <v>441</v>
      </c>
      <c r="U5638" s="21">
        <v>2349.27</v>
      </c>
      <c r="V5638" s="21" t="s">
        <v>368</v>
      </c>
      <c r="W5638" t="str">
        <f>VLOOKUP(Table_Query_from_Actuarial___Production[[#This Row],[Kor1]],$AI$3:$AK$105,3,FALSE)</f>
        <v>ALAE Reserve</v>
      </c>
      <c r="X5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8"/>
      <c r="Z5638" t="s">
        <v>49</v>
      </c>
      <c r="AA5638" t="s">
        <v>264</v>
      </c>
      <c r="AB5638" t="s">
        <v>5</v>
      </c>
      <c r="AC5638" s="21">
        <v>4797.93</v>
      </c>
      <c r="AD5638" s="21" t="s">
        <v>368</v>
      </c>
      <c r="AE5638" t="str">
        <f>VLOOKUP(Table_Query_from_Actuarial___Production3[[#This Row],[Kor1]],$AI$3:$AK$105,3,FALSE)</f>
        <v>ALAE Paid</v>
      </c>
      <c r="AF5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39" spans="18:32" x14ac:dyDescent="0.2">
      <c r="R5639" t="s">
        <v>439</v>
      </c>
      <c r="S5639" t="s">
        <v>252</v>
      </c>
      <c r="T5639" t="s">
        <v>443</v>
      </c>
      <c r="U5639" s="21">
        <v>-703154.14</v>
      </c>
      <c r="V5639" s="21" t="s">
        <v>368</v>
      </c>
      <c r="W5639" t="str">
        <f>VLOOKUP(Table_Query_from_Actuarial___Production[[#This Row],[Kor1]],$AI$3:$AK$105,3,FALSE)</f>
        <v>Operating Service Fees</v>
      </c>
      <c r="X5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39"/>
      <c r="Z5639" t="s">
        <v>47</v>
      </c>
      <c r="AA5639" t="s">
        <v>252</v>
      </c>
      <c r="AB5639" t="s">
        <v>7</v>
      </c>
      <c r="AC5639" s="21">
        <v>487.75</v>
      </c>
      <c r="AD5639" s="21" t="s">
        <v>368</v>
      </c>
      <c r="AE5639" t="str">
        <f>VLOOKUP(Table_Query_from_Actuarial___Production3[[#This Row],[Kor1]],$AI$3:$AK$105,3,FALSE)</f>
        <v>Investment Income</v>
      </c>
      <c r="AF5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0" spans="18:32" x14ac:dyDescent="0.2">
      <c r="R5640" t="s">
        <v>43</v>
      </c>
      <c r="S5640" t="s">
        <v>241</v>
      </c>
      <c r="T5640" t="s">
        <v>433</v>
      </c>
      <c r="U5640" s="21">
        <v>-141.52000000000001</v>
      </c>
      <c r="V5640" s="21" t="s">
        <v>368</v>
      </c>
      <c r="W5640" t="str">
        <f>VLOOKUP(Table_Query_from_Actuarial___Production[[#This Row],[Kor1]],$AI$3:$AK$105,3,FALSE)</f>
        <v>Charge-offs</v>
      </c>
      <c r="X5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0"/>
      <c r="Z5640" t="s">
        <v>49</v>
      </c>
      <c r="AA5640" t="s">
        <v>261</v>
      </c>
      <c r="AB5640" t="s">
        <v>351</v>
      </c>
      <c r="AC5640" s="21">
        <v>32817.57</v>
      </c>
      <c r="AD5640" s="21" t="s">
        <v>368</v>
      </c>
      <c r="AE5640" t="str">
        <f>VLOOKUP(Table_Query_from_Actuarial___Production3[[#This Row],[Kor1]],$AI$3:$AK$105,3,FALSE)</f>
        <v>ALAE Paid</v>
      </c>
      <c r="AF5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1" spans="18:32" x14ac:dyDescent="0.2">
      <c r="R5641" t="s">
        <v>16</v>
      </c>
      <c r="S5641" t="s">
        <v>231</v>
      </c>
      <c r="T5641" t="s">
        <v>442</v>
      </c>
      <c r="U5641" s="21">
        <v>766263.28</v>
      </c>
      <c r="V5641" s="21" t="s">
        <v>368</v>
      </c>
      <c r="W5641" t="str">
        <f>VLOOKUP(Table_Query_from_Actuarial___Production[[#This Row],[Kor1]],$AI$3:$AK$105,3,FALSE)</f>
        <v>Losses Outstanding</v>
      </c>
      <c r="X5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1"/>
      <c r="Z5641" t="s">
        <v>13</v>
      </c>
      <c r="AA5641" t="s">
        <v>236</v>
      </c>
      <c r="AB5641" t="s">
        <v>8</v>
      </c>
      <c r="AC5641" s="21">
        <v>11571.15</v>
      </c>
      <c r="AD5641" s="21" t="s">
        <v>368</v>
      </c>
      <c r="AE5641" t="str">
        <f>VLOOKUP(Table_Query_from_Actuarial___Production3[[#This Row],[Kor1]],$AI$3:$AK$105,3,FALSE)</f>
        <v>Operating Service Fees</v>
      </c>
      <c r="AF5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2" spans="18:32" x14ac:dyDescent="0.2">
      <c r="R5642" t="s">
        <v>31</v>
      </c>
      <c r="S5642" t="s">
        <v>237</v>
      </c>
      <c r="T5642" t="s">
        <v>8</v>
      </c>
      <c r="U5642" s="21">
        <v>231.8</v>
      </c>
      <c r="V5642" s="21" t="s">
        <v>368</v>
      </c>
      <c r="W5642" t="str">
        <f>VLOOKUP(Table_Query_from_Actuarial___Production[[#This Row],[Kor1]],$AI$3:$AK$105,3,FALSE)</f>
        <v>Misc. Expense</v>
      </c>
      <c r="X5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2"/>
      <c r="Z5642" t="s">
        <v>19</v>
      </c>
      <c r="AA5642" t="s">
        <v>246</v>
      </c>
      <c r="AB5642" t="s">
        <v>8</v>
      </c>
      <c r="AC5642" s="21">
        <v>1402</v>
      </c>
      <c r="AD5642" s="21" t="s">
        <v>368</v>
      </c>
      <c r="AE5642" t="str">
        <f>VLOOKUP(Table_Query_from_Actuarial___Production3[[#This Row],[Kor1]],$AI$3:$AK$105,3,FALSE)</f>
        <v>Misc. Expense for Insolvent Companies</v>
      </c>
      <c r="AF5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3" spans="18:32" x14ac:dyDescent="0.2">
      <c r="R5643" t="s">
        <v>33</v>
      </c>
      <c r="S5643" t="s">
        <v>259</v>
      </c>
      <c r="T5643" t="s">
        <v>433</v>
      </c>
      <c r="U5643" s="21">
        <v>19625.669999999998</v>
      </c>
      <c r="V5643" s="21" t="s">
        <v>368</v>
      </c>
      <c r="W5643" t="str">
        <f>VLOOKUP(Table_Query_from_Actuarial___Production[[#This Row],[Kor1]],$AI$3:$AK$105,3,FALSE)</f>
        <v>Misc. Expense</v>
      </c>
      <c r="X5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3"/>
      <c r="Z5643" t="s">
        <v>48</v>
      </c>
      <c r="AA5643" t="s">
        <v>237</v>
      </c>
      <c r="AB5643" t="s">
        <v>356</v>
      </c>
      <c r="AC5643" s="21">
        <v>7801.93</v>
      </c>
      <c r="AD5643" s="21" t="s">
        <v>368</v>
      </c>
      <c r="AE5643" t="str">
        <f>VLOOKUP(Table_Query_from_Actuarial___Production3[[#This Row],[Kor1]],$AI$3:$AK$105,3,FALSE)</f>
        <v>Anticipated Salvage</v>
      </c>
      <c r="AF5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4" spans="18:32" x14ac:dyDescent="0.2">
      <c r="R5644" t="s">
        <v>14</v>
      </c>
      <c r="S5644" t="s">
        <v>250</v>
      </c>
      <c r="T5644" t="s">
        <v>9</v>
      </c>
      <c r="U5644" s="21">
        <v>131814.82999999999</v>
      </c>
      <c r="V5644" s="21" t="s">
        <v>368</v>
      </c>
      <c r="W5644" t="str">
        <f>VLOOKUP(Table_Query_from_Actuarial___Production[[#This Row],[Kor1]],$AI$3:$AK$105,3,FALSE)</f>
        <v>Claims Expense</v>
      </c>
      <c r="X5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4"/>
      <c r="Z5644" t="s">
        <v>44</v>
      </c>
      <c r="AA5644" t="s">
        <v>248</v>
      </c>
      <c r="AB5644" t="s">
        <v>9</v>
      </c>
      <c r="AC5644" s="21">
        <v>-1</v>
      </c>
      <c r="AD5644" s="21" t="s">
        <v>368</v>
      </c>
      <c r="AE5644" t="str">
        <f>VLOOKUP(Table_Query_from_Actuarial___Production3[[#This Row],[Kor1]],$AI$3:$AK$105,3,FALSE)</f>
        <v>Charge-offs</v>
      </c>
      <c r="AF5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5" spans="18:32" x14ac:dyDescent="0.2">
      <c r="R5645" t="s">
        <v>37</v>
      </c>
      <c r="S5645" t="s">
        <v>265</v>
      </c>
      <c r="T5645" t="s">
        <v>356</v>
      </c>
      <c r="U5645" s="21">
        <v>42.51</v>
      </c>
      <c r="V5645" s="21" t="s">
        <v>368</v>
      </c>
      <c r="W5645" t="str">
        <f>VLOOKUP(Table_Query_from_Actuarial___Production[[#This Row],[Kor1]],$AI$3:$AK$105,3,FALSE)</f>
        <v>Misc. Expense</v>
      </c>
      <c r="X5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5"/>
      <c r="Z5645" t="s">
        <v>47</v>
      </c>
      <c r="AA5645" t="s">
        <v>258</v>
      </c>
      <c r="AB5645" t="s">
        <v>427</v>
      </c>
      <c r="AC5645" s="21">
        <v>21864.41</v>
      </c>
      <c r="AD5645" s="21" t="s">
        <v>368</v>
      </c>
      <c r="AE5645" t="str">
        <f>VLOOKUP(Table_Query_from_Actuarial___Production3[[#This Row],[Kor1]],$AI$3:$AK$105,3,FALSE)</f>
        <v>Investment Income</v>
      </c>
      <c r="AF5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6" spans="18:32" x14ac:dyDescent="0.2">
      <c r="R5646" t="s">
        <v>47</v>
      </c>
      <c r="S5646" t="s">
        <v>238</v>
      </c>
      <c r="T5646" t="s">
        <v>443</v>
      </c>
      <c r="U5646" s="21">
        <v>18977.46</v>
      </c>
      <c r="V5646" s="21" t="s">
        <v>368</v>
      </c>
      <c r="W5646" t="str">
        <f>VLOOKUP(Table_Query_from_Actuarial___Production[[#This Row],[Kor1]],$AI$3:$AK$105,3,FALSE)</f>
        <v>Investment Income</v>
      </c>
      <c r="X5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6"/>
      <c r="Z5646" t="s">
        <v>12</v>
      </c>
      <c r="AA5646" t="s">
        <v>235</v>
      </c>
      <c r="AB5646" t="s">
        <v>433</v>
      </c>
      <c r="AC5646" s="21">
        <v>18286.349999999999</v>
      </c>
      <c r="AD5646" s="21" t="s">
        <v>368</v>
      </c>
      <c r="AE5646" t="str">
        <f>VLOOKUP(Table_Query_from_Actuarial___Production3[[#This Row],[Kor1]],$AI$3:$AK$105,3,FALSE)</f>
        <v>Premium Tax</v>
      </c>
      <c r="AF5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7" spans="18:32" x14ac:dyDescent="0.2">
      <c r="R5647" t="s">
        <v>12</v>
      </c>
      <c r="S5647" t="s">
        <v>4</v>
      </c>
      <c r="T5647" t="s">
        <v>441</v>
      </c>
      <c r="U5647" s="21">
        <v>1139538.08</v>
      </c>
      <c r="V5647" s="21" t="s">
        <v>368</v>
      </c>
      <c r="W5647" t="str">
        <f>VLOOKUP(Table_Query_from_Actuarial___Production[[#This Row],[Kor1]],$AI$3:$AK$105,3,FALSE)</f>
        <v>Premium Tax</v>
      </c>
      <c r="X5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7"/>
      <c r="Z5647" t="s">
        <v>33</v>
      </c>
      <c r="AA5647" t="s">
        <v>245</v>
      </c>
      <c r="AB5647" t="s">
        <v>441</v>
      </c>
      <c r="AC5647" s="21">
        <v>17861.830000000002</v>
      </c>
      <c r="AD5647" s="21" t="s">
        <v>368</v>
      </c>
      <c r="AE5647" t="str">
        <f>VLOOKUP(Table_Query_from_Actuarial___Production3[[#This Row],[Kor1]],$AI$3:$AK$105,3,FALSE)</f>
        <v>Misc. Expense</v>
      </c>
      <c r="AF5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8" spans="18:32" x14ac:dyDescent="0.2">
      <c r="R5648" t="s">
        <v>31</v>
      </c>
      <c r="S5648" t="s">
        <v>242</v>
      </c>
      <c r="T5648" t="s">
        <v>351</v>
      </c>
      <c r="U5648" s="21">
        <v>51.08</v>
      </c>
      <c r="V5648" s="21" t="s">
        <v>368</v>
      </c>
      <c r="W5648" t="str">
        <f>VLOOKUP(Table_Query_from_Actuarial___Production[[#This Row],[Kor1]],$AI$3:$AK$105,3,FALSE)</f>
        <v>Misc. Expense</v>
      </c>
      <c r="X5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8"/>
      <c r="Z5648" t="s">
        <v>50</v>
      </c>
      <c r="AA5648" t="s">
        <v>255</v>
      </c>
      <c r="AB5648" t="s">
        <v>441</v>
      </c>
      <c r="AC5648" s="21">
        <v>2318.54</v>
      </c>
      <c r="AD5648" s="21" t="s">
        <v>368</v>
      </c>
      <c r="AE5648" t="str">
        <f>VLOOKUP(Table_Query_from_Actuarial___Production3[[#This Row],[Kor1]],$AI$3:$AK$105,3,FALSE)</f>
        <v>ALAE Reserve</v>
      </c>
      <c r="AF5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49" spans="18:32" x14ac:dyDescent="0.2">
      <c r="R5649" t="s">
        <v>47</v>
      </c>
      <c r="S5649" t="s">
        <v>227</v>
      </c>
      <c r="T5649" t="s">
        <v>9</v>
      </c>
      <c r="U5649" s="21">
        <v>1151.9100000000001</v>
      </c>
      <c r="V5649" s="21" t="s">
        <v>368</v>
      </c>
      <c r="W5649" t="str">
        <f>VLOOKUP(Table_Query_from_Actuarial___Production[[#This Row],[Kor1]],$AI$3:$AK$105,3,FALSE)</f>
        <v>Investment Income</v>
      </c>
      <c r="X5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49"/>
      <c r="Z5649" t="s">
        <v>439</v>
      </c>
      <c r="AA5649" t="s">
        <v>252</v>
      </c>
      <c r="AB5649" t="s">
        <v>443</v>
      </c>
      <c r="AC5649" s="21">
        <v>-703154.14</v>
      </c>
      <c r="AD5649" s="21" t="s">
        <v>368</v>
      </c>
      <c r="AE5649" t="str">
        <f>VLOOKUP(Table_Query_from_Actuarial___Production3[[#This Row],[Kor1]],$AI$3:$AK$105,3,FALSE)</f>
        <v>Operating Service Fees</v>
      </c>
      <c r="AF5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0" spans="18:32" x14ac:dyDescent="0.2">
      <c r="R5650" t="s">
        <v>12</v>
      </c>
      <c r="S5650" t="s">
        <v>256</v>
      </c>
      <c r="T5650" t="s">
        <v>441</v>
      </c>
      <c r="U5650" s="21">
        <v>1865.93</v>
      </c>
      <c r="V5650" s="21" t="s">
        <v>368</v>
      </c>
      <c r="W5650" t="str">
        <f>VLOOKUP(Table_Query_from_Actuarial___Production[[#This Row],[Kor1]],$AI$3:$AK$105,3,FALSE)</f>
        <v>Premium Tax</v>
      </c>
      <c r="X5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0"/>
      <c r="Z5650" t="s">
        <v>43</v>
      </c>
      <c r="AA5650" t="s">
        <v>241</v>
      </c>
      <c r="AB5650" t="s">
        <v>433</v>
      </c>
      <c r="AC5650" s="21">
        <v>-141.52000000000001</v>
      </c>
      <c r="AD5650" s="21" t="s">
        <v>368</v>
      </c>
      <c r="AE5650" t="str">
        <f>VLOOKUP(Table_Query_from_Actuarial___Production3[[#This Row],[Kor1]],$AI$3:$AK$105,3,FALSE)</f>
        <v>Charge-offs</v>
      </c>
      <c r="AF5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1" spans="18:32" x14ac:dyDescent="0.2">
      <c r="R5651" t="s">
        <v>40</v>
      </c>
      <c r="S5651" t="s">
        <v>248</v>
      </c>
      <c r="T5651" t="s">
        <v>351</v>
      </c>
      <c r="U5651" s="21">
        <v>17</v>
      </c>
      <c r="V5651" s="21" t="s">
        <v>368</v>
      </c>
      <c r="W5651" t="str">
        <f>VLOOKUP(Table_Query_from_Actuarial___Production[[#This Row],[Kor1]],$AI$3:$AK$105,3,FALSE)</f>
        <v>Misc. Income</v>
      </c>
      <c r="X5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1"/>
      <c r="Z5651" t="s">
        <v>16</v>
      </c>
      <c r="AA5651" t="s">
        <v>231</v>
      </c>
      <c r="AB5651" t="s">
        <v>442</v>
      </c>
      <c r="AC5651" s="21">
        <v>978050.11</v>
      </c>
      <c r="AD5651" s="21" t="s">
        <v>368</v>
      </c>
      <c r="AE5651" t="str">
        <f>VLOOKUP(Table_Query_from_Actuarial___Production3[[#This Row],[Kor1]],$AI$3:$AK$105,3,FALSE)</f>
        <v>Losses Outstanding</v>
      </c>
      <c r="AF5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2" spans="18:32" x14ac:dyDescent="0.2">
      <c r="R5652" t="s">
        <v>34</v>
      </c>
      <c r="S5652" t="s">
        <v>4</v>
      </c>
      <c r="T5652" t="s">
        <v>443</v>
      </c>
      <c r="U5652" s="21">
        <v>185213.47</v>
      </c>
      <c r="V5652" s="21" t="s">
        <v>368</v>
      </c>
      <c r="W5652" t="str">
        <f>VLOOKUP(Table_Query_from_Actuarial___Production[[#This Row],[Kor1]],$AI$3:$AK$105,3,FALSE)</f>
        <v>Misc. Expense</v>
      </c>
      <c r="X5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2"/>
      <c r="Z5652" t="s">
        <v>31</v>
      </c>
      <c r="AA5652" t="s">
        <v>237</v>
      </c>
      <c r="AB5652" t="s">
        <v>8</v>
      </c>
      <c r="AC5652" s="21">
        <v>231.8</v>
      </c>
      <c r="AD5652" s="21" t="s">
        <v>368</v>
      </c>
      <c r="AE5652" t="str">
        <f>VLOOKUP(Table_Query_from_Actuarial___Production3[[#This Row],[Kor1]],$AI$3:$AK$105,3,FALSE)</f>
        <v>Misc. Expense</v>
      </c>
      <c r="AF5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3" spans="18:32" x14ac:dyDescent="0.2">
      <c r="R5653" t="s">
        <v>48</v>
      </c>
      <c r="S5653" t="s">
        <v>251</v>
      </c>
      <c r="T5653" t="s">
        <v>433</v>
      </c>
      <c r="U5653" s="21">
        <v>759.99</v>
      </c>
      <c r="V5653" s="21" t="s">
        <v>368</v>
      </c>
      <c r="W5653" t="str">
        <f>VLOOKUP(Table_Query_from_Actuarial___Production[[#This Row],[Kor1]],$AI$3:$AK$105,3,FALSE)</f>
        <v>Anticipated Salvage</v>
      </c>
      <c r="X5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3"/>
      <c r="Z5653" t="s">
        <v>33</v>
      </c>
      <c r="AA5653" t="s">
        <v>259</v>
      </c>
      <c r="AB5653" t="s">
        <v>433</v>
      </c>
      <c r="AC5653" s="21">
        <v>19625.669999999998</v>
      </c>
      <c r="AD5653" s="21" t="s">
        <v>368</v>
      </c>
      <c r="AE5653" t="str">
        <f>VLOOKUP(Table_Query_from_Actuarial___Production3[[#This Row],[Kor1]],$AI$3:$AK$105,3,FALSE)</f>
        <v>Misc. Expense</v>
      </c>
      <c r="AF5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4" spans="18:32" x14ac:dyDescent="0.2">
      <c r="R5654" t="s">
        <v>12</v>
      </c>
      <c r="S5654" t="s">
        <v>243</v>
      </c>
      <c r="T5654" t="s">
        <v>443</v>
      </c>
      <c r="U5654" s="21">
        <v>7554.97</v>
      </c>
      <c r="V5654" s="21" t="s">
        <v>368</v>
      </c>
      <c r="W5654" t="str">
        <f>VLOOKUP(Table_Query_from_Actuarial___Production[[#This Row],[Kor1]],$AI$3:$AK$105,3,FALSE)</f>
        <v>Premium Tax</v>
      </c>
      <c r="X5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4"/>
      <c r="Z5654" t="s">
        <v>14</v>
      </c>
      <c r="AA5654" t="s">
        <v>250</v>
      </c>
      <c r="AB5654" t="s">
        <v>9</v>
      </c>
      <c r="AC5654" s="21">
        <v>131814.82999999999</v>
      </c>
      <c r="AD5654" s="21" t="s">
        <v>368</v>
      </c>
      <c r="AE5654" t="str">
        <f>VLOOKUP(Table_Query_from_Actuarial___Production3[[#This Row],[Kor1]],$AI$3:$AK$105,3,FALSE)</f>
        <v>Claims Expense</v>
      </c>
      <c r="AF5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5" spans="18:32" x14ac:dyDescent="0.2">
      <c r="R5655" t="s">
        <v>39</v>
      </c>
      <c r="S5655" t="s">
        <v>258</v>
      </c>
      <c r="T5655" t="s">
        <v>8</v>
      </c>
      <c r="U5655" s="21">
        <v>20</v>
      </c>
      <c r="V5655" s="21" t="s">
        <v>368</v>
      </c>
      <c r="W5655" t="str">
        <f>VLOOKUP(Table_Query_from_Actuarial___Production[[#This Row],[Kor1]],$AI$3:$AK$105,3,FALSE)</f>
        <v>Misc. Income for Insolvent Companies</v>
      </c>
      <c r="X5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5"/>
      <c r="Z5655" t="s">
        <v>33</v>
      </c>
      <c r="AA5655" t="s">
        <v>245</v>
      </c>
      <c r="AB5655" t="s">
        <v>5</v>
      </c>
      <c r="AC5655" s="21">
        <v>15157.45</v>
      </c>
      <c r="AD5655" s="21" t="s">
        <v>368</v>
      </c>
      <c r="AE5655" t="str">
        <f>VLOOKUP(Table_Query_from_Actuarial___Production3[[#This Row],[Kor1]],$AI$3:$AK$105,3,FALSE)</f>
        <v>Misc. Expense</v>
      </c>
      <c r="AF5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6" spans="18:32" x14ac:dyDescent="0.2">
      <c r="R5656" t="s">
        <v>16</v>
      </c>
      <c r="S5656" t="s">
        <v>230</v>
      </c>
      <c r="T5656" t="s">
        <v>356</v>
      </c>
      <c r="U5656" s="21">
        <v>1031969.74</v>
      </c>
      <c r="V5656" s="21" t="s">
        <v>368</v>
      </c>
      <c r="W5656" t="str">
        <f>VLOOKUP(Table_Query_from_Actuarial___Production[[#This Row],[Kor1]],$AI$3:$AK$105,3,FALSE)</f>
        <v>Losses Outstanding</v>
      </c>
      <c r="X5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6"/>
      <c r="Z5656" t="s">
        <v>37</v>
      </c>
      <c r="AA5656" t="s">
        <v>265</v>
      </c>
      <c r="AB5656" t="s">
        <v>356</v>
      </c>
      <c r="AC5656" s="21">
        <v>42.51</v>
      </c>
      <c r="AD5656" s="21" t="s">
        <v>368</v>
      </c>
      <c r="AE5656" t="str">
        <f>VLOOKUP(Table_Query_from_Actuarial___Production3[[#This Row],[Kor1]],$AI$3:$AK$105,3,FALSE)</f>
        <v>Misc. Expense</v>
      </c>
      <c r="AF5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7" spans="18:32" x14ac:dyDescent="0.2">
      <c r="R5657" t="s">
        <v>3</v>
      </c>
      <c r="S5657" t="s">
        <v>224</v>
      </c>
      <c r="T5657" t="s">
        <v>442</v>
      </c>
      <c r="U5657" s="21">
        <v>2019579.08</v>
      </c>
      <c r="V5657" s="21" t="s">
        <v>368</v>
      </c>
      <c r="W5657" t="str">
        <f>VLOOKUP(Table_Query_from_Actuarial___Production[[#This Row],[Kor1]],$AI$3:$AK$105,3,FALSE)</f>
        <v>Premiums Written</v>
      </c>
      <c r="X5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657"/>
      <c r="Z5657" t="s">
        <v>47</v>
      </c>
      <c r="AA5657" t="s">
        <v>238</v>
      </c>
      <c r="AB5657" t="s">
        <v>443</v>
      </c>
      <c r="AC5657" s="21">
        <v>6504.38</v>
      </c>
      <c r="AD5657" s="21" t="s">
        <v>368</v>
      </c>
      <c r="AE5657" t="str">
        <f>VLOOKUP(Table_Query_from_Actuarial___Production3[[#This Row],[Kor1]],$AI$3:$AK$105,3,FALSE)</f>
        <v>Investment Income</v>
      </c>
      <c r="AF5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8" spans="18:32" x14ac:dyDescent="0.2">
      <c r="R5658" t="s">
        <v>13</v>
      </c>
      <c r="S5658" t="s">
        <v>264</v>
      </c>
      <c r="T5658" t="s">
        <v>6</v>
      </c>
      <c r="U5658" s="21">
        <v>483981.85</v>
      </c>
      <c r="V5658" s="21" t="s">
        <v>368</v>
      </c>
      <c r="W5658" t="str">
        <f>VLOOKUP(Table_Query_from_Actuarial___Production[[#This Row],[Kor1]],$AI$3:$AK$105,3,FALSE)</f>
        <v>Operating Service Fees</v>
      </c>
      <c r="X5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8"/>
      <c r="Z5658" t="s">
        <v>12</v>
      </c>
      <c r="AA5658" t="s">
        <v>4</v>
      </c>
      <c r="AB5658" t="s">
        <v>441</v>
      </c>
      <c r="AC5658" s="21">
        <v>1140300.1200000001</v>
      </c>
      <c r="AD5658" s="21" t="s">
        <v>368</v>
      </c>
      <c r="AE5658" t="str">
        <f>VLOOKUP(Table_Query_from_Actuarial___Production3[[#This Row],[Kor1]],$AI$3:$AK$105,3,FALSE)</f>
        <v>Premium Tax</v>
      </c>
      <c r="AF5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59" spans="18:32" x14ac:dyDescent="0.2">
      <c r="R5659" t="s">
        <v>31</v>
      </c>
      <c r="S5659" t="s">
        <v>236</v>
      </c>
      <c r="T5659" t="s">
        <v>9</v>
      </c>
      <c r="U5659" s="21">
        <v>598.46</v>
      </c>
      <c r="V5659" s="21" t="s">
        <v>368</v>
      </c>
      <c r="W5659" t="str">
        <f>VLOOKUP(Table_Query_from_Actuarial___Production[[#This Row],[Kor1]],$AI$3:$AK$105,3,FALSE)</f>
        <v>Misc. Expense</v>
      </c>
      <c r="X5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59"/>
      <c r="Z5659" t="s">
        <v>31</v>
      </c>
      <c r="AA5659" t="s">
        <v>242</v>
      </c>
      <c r="AB5659" t="s">
        <v>351</v>
      </c>
      <c r="AC5659" s="21">
        <v>51.08</v>
      </c>
      <c r="AD5659" s="21" t="s">
        <v>368</v>
      </c>
      <c r="AE5659" t="str">
        <f>VLOOKUP(Table_Query_from_Actuarial___Production3[[#This Row],[Kor1]],$AI$3:$AK$105,3,FALSE)</f>
        <v>Misc. Expense</v>
      </c>
      <c r="AF5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0" spans="18:32" x14ac:dyDescent="0.2">
      <c r="R5660" t="s">
        <v>47</v>
      </c>
      <c r="S5660" t="s">
        <v>259</v>
      </c>
      <c r="T5660" t="s">
        <v>445</v>
      </c>
      <c r="U5660" s="21">
        <v>1301.7</v>
      </c>
      <c r="V5660" s="21" t="s">
        <v>368</v>
      </c>
      <c r="W5660" t="str">
        <f>VLOOKUP(Table_Query_from_Actuarial___Production[[#This Row],[Kor1]],$AI$3:$AK$105,3,FALSE)</f>
        <v>Investment Income</v>
      </c>
      <c r="X5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0"/>
      <c r="Z5660" t="s">
        <v>47</v>
      </c>
      <c r="AA5660" t="s">
        <v>227</v>
      </c>
      <c r="AB5660" t="s">
        <v>9</v>
      </c>
      <c r="AC5660" s="21">
        <v>1151.9100000000001</v>
      </c>
      <c r="AD5660" s="21" t="s">
        <v>368</v>
      </c>
      <c r="AE5660" t="str">
        <f>VLOOKUP(Table_Query_from_Actuarial___Production3[[#This Row],[Kor1]],$AI$3:$AK$105,3,FALSE)</f>
        <v>Investment Income</v>
      </c>
      <c r="AF5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1" spans="18:32" x14ac:dyDescent="0.2">
      <c r="R5661" t="s">
        <v>41</v>
      </c>
      <c r="S5661" t="s">
        <v>241</v>
      </c>
      <c r="T5661" t="s">
        <v>433</v>
      </c>
      <c r="U5661" s="21">
        <v>388.2</v>
      </c>
      <c r="V5661" s="21" t="s">
        <v>368</v>
      </c>
      <c r="W5661" t="str">
        <f>VLOOKUP(Table_Query_from_Actuarial___Production[[#This Row],[Kor1]],$AI$3:$AK$105,3,FALSE)</f>
        <v>Misc. Income</v>
      </c>
      <c r="X5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1"/>
      <c r="Z5661" t="s">
        <v>12</v>
      </c>
      <c r="AA5661" t="s">
        <v>256</v>
      </c>
      <c r="AB5661" t="s">
        <v>441</v>
      </c>
      <c r="AC5661" s="21">
        <v>1865.93</v>
      </c>
      <c r="AD5661" s="21" t="s">
        <v>368</v>
      </c>
      <c r="AE5661" t="str">
        <f>VLOOKUP(Table_Query_from_Actuarial___Production3[[#This Row],[Kor1]],$AI$3:$AK$105,3,FALSE)</f>
        <v>Premium Tax</v>
      </c>
      <c r="AF5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2" spans="18:32" x14ac:dyDescent="0.2">
      <c r="R5662" t="s">
        <v>44</v>
      </c>
      <c r="S5662" t="s">
        <v>238</v>
      </c>
      <c r="T5662" t="s">
        <v>442</v>
      </c>
      <c r="U5662" s="21">
        <v>96392</v>
      </c>
      <c r="V5662" s="21" t="s">
        <v>368</v>
      </c>
      <c r="W5662" t="str">
        <f>VLOOKUP(Table_Query_from_Actuarial___Production[[#This Row],[Kor1]],$AI$3:$AK$105,3,FALSE)</f>
        <v>Charge-offs</v>
      </c>
      <c r="X5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2"/>
      <c r="Z5662" t="s">
        <v>40</v>
      </c>
      <c r="AA5662" t="s">
        <v>248</v>
      </c>
      <c r="AB5662" t="s">
        <v>351</v>
      </c>
      <c r="AC5662" s="21">
        <v>17</v>
      </c>
      <c r="AD5662" s="21" t="s">
        <v>368</v>
      </c>
      <c r="AE5662" t="str">
        <f>VLOOKUP(Table_Query_from_Actuarial___Production3[[#This Row],[Kor1]],$AI$3:$AK$105,3,FALSE)</f>
        <v>Misc. Income</v>
      </c>
      <c r="AF5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3" spans="18:32" x14ac:dyDescent="0.2">
      <c r="R5663" t="s">
        <v>12</v>
      </c>
      <c r="S5663" t="s">
        <v>261</v>
      </c>
      <c r="T5663" t="s">
        <v>9</v>
      </c>
      <c r="U5663" s="21">
        <v>17049.5</v>
      </c>
      <c r="V5663" s="21" t="s">
        <v>368</v>
      </c>
      <c r="W5663" t="str">
        <f>VLOOKUP(Table_Query_from_Actuarial___Production[[#This Row],[Kor1]],$AI$3:$AK$105,3,FALSE)</f>
        <v>Premium Tax</v>
      </c>
      <c r="X5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3"/>
      <c r="Z5663" t="s">
        <v>34</v>
      </c>
      <c r="AA5663" t="s">
        <v>4</v>
      </c>
      <c r="AB5663" t="s">
        <v>443</v>
      </c>
      <c r="AC5663" s="21">
        <v>75712.37</v>
      </c>
      <c r="AD5663" s="21" t="s">
        <v>368</v>
      </c>
      <c r="AE5663" t="str">
        <f>VLOOKUP(Table_Query_from_Actuarial___Production3[[#This Row],[Kor1]],$AI$3:$AK$105,3,FALSE)</f>
        <v>Misc. Expense</v>
      </c>
      <c r="AF5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4" spans="18:32" x14ac:dyDescent="0.2">
      <c r="R5664" t="s">
        <v>14</v>
      </c>
      <c r="S5664" t="s">
        <v>248</v>
      </c>
      <c r="T5664" t="s">
        <v>427</v>
      </c>
      <c r="U5664" s="21">
        <v>22485.77</v>
      </c>
      <c r="V5664" s="21" t="s">
        <v>368</v>
      </c>
      <c r="W5664" t="str">
        <f>VLOOKUP(Table_Query_from_Actuarial___Production[[#This Row],[Kor1]],$AI$3:$AK$105,3,FALSE)</f>
        <v>Claims Expense</v>
      </c>
      <c r="X5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4"/>
      <c r="Z5664" t="s">
        <v>48</v>
      </c>
      <c r="AA5664" t="s">
        <v>251</v>
      </c>
      <c r="AB5664" t="s">
        <v>433</v>
      </c>
      <c r="AC5664" s="21">
        <v>361.09</v>
      </c>
      <c r="AD5664" s="21" t="s">
        <v>368</v>
      </c>
      <c r="AE5664" t="str">
        <f>VLOOKUP(Table_Query_from_Actuarial___Production3[[#This Row],[Kor1]],$AI$3:$AK$105,3,FALSE)</f>
        <v>Anticipated Salvage</v>
      </c>
      <c r="AF5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5" spans="18:32" x14ac:dyDescent="0.2">
      <c r="R5665" t="s">
        <v>41</v>
      </c>
      <c r="S5665" t="s">
        <v>236</v>
      </c>
      <c r="T5665" t="s">
        <v>442</v>
      </c>
      <c r="U5665" s="21">
        <v>550.01</v>
      </c>
      <c r="V5665" s="21" t="s">
        <v>368</v>
      </c>
      <c r="W5665" t="str">
        <f>VLOOKUP(Table_Query_from_Actuarial___Production[[#This Row],[Kor1]],$AI$3:$AK$105,3,FALSE)</f>
        <v>Misc. Income</v>
      </c>
      <c r="X5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5"/>
      <c r="Z5665" t="s">
        <v>12</v>
      </c>
      <c r="AA5665" t="s">
        <v>243</v>
      </c>
      <c r="AB5665" t="s">
        <v>443</v>
      </c>
      <c r="AC5665" s="21">
        <v>2090.6999999999998</v>
      </c>
      <c r="AD5665" s="21" t="s">
        <v>368</v>
      </c>
      <c r="AE5665" t="str">
        <f>VLOOKUP(Table_Query_from_Actuarial___Production3[[#This Row],[Kor1]],$AI$3:$AK$105,3,FALSE)</f>
        <v>Premium Tax</v>
      </c>
      <c r="AF5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6" spans="18:32" x14ac:dyDescent="0.2">
      <c r="R5666" t="s">
        <v>21</v>
      </c>
      <c r="S5666" t="s">
        <v>243</v>
      </c>
      <c r="T5666" t="s">
        <v>441</v>
      </c>
      <c r="U5666" s="21">
        <v>563.98</v>
      </c>
      <c r="V5666" s="21" t="s">
        <v>368</v>
      </c>
      <c r="W5666" t="str">
        <f>VLOOKUP(Table_Query_from_Actuarial___Production[[#This Row],[Kor1]],$AI$3:$AK$105,3,FALSE)</f>
        <v>Misc. Expense</v>
      </c>
      <c r="X5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6"/>
      <c r="Z5666" t="s">
        <v>39</v>
      </c>
      <c r="AA5666" t="s">
        <v>258</v>
      </c>
      <c r="AB5666" t="s">
        <v>8</v>
      </c>
      <c r="AC5666" s="21">
        <v>20</v>
      </c>
      <c r="AD5666" s="21" t="s">
        <v>368</v>
      </c>
      <c r="AE5666" t="str">
        <f>VLOOKUP(Table_Query_from_Actuarial___Production3[[#This Row],[Kor1]],$AI$3:$AK$105,3,FALSE)</f>
        <v>Misc. Income for Insolvent Companies</v>
      </c>
      <c r="AF5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7" spans="18:32" x14ac:dyDescent="0.2">
      <c r="R5667" t="s">
        <v>11</v>
      </c>
      <c r="S5667" t="s">
        <v>249</v>
      </c>
      <c r="T5667" t="s">
        <v>442</v>
      </c>
      <c r="U5667" s="21">
        <v>1085873.01</v>
      </c>
      <c r="V5667" s="21" t="s">
        <v>368</v>
      </c>
      <c r="W5667" t="str">
        <f>VLOOKUP(Table_Query_from_Actuarial___Production[[#This Row],[Kor1]],$AI$3:$AK$105,3,FALSE)</f>
        <v>Losses Paid</v>
      </c>
      <c r="X5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67"/>
      <c r="Z5667" t="s">
        <v>16</v>
      </c>
      <c r="AA5667" t="s">
        <v>230</v>
      </c>
      <c r="AB5667" t="s">
        <v>356</v>
      </c>
      <c r="AC5667" s="21">
        <v>2581841.17</v>
      </c>
      <c r="AD5667" s="21" t="s">
        <v>368</v>
      </c>
      <c r="AE5667" t="str">
        <f>VLOOKUP(Table_Query_from_Actuarial___Production3[[#This Row],[Kor1]],$AI$3:$AK$105,3,FALSE)</f>
        <v>Losses Outstanding</v>
      </c>
      <c r="AF5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68" spans="18:32" x14ac:dyDescent="0.2">
      <c r="R5668" t="s">
        <v>3</v>
      </c>
      <c r="S5668" t="s">
        <v>352</v>
      </c>
      <c r="T5668" t="s">
        <v>6</v>
      </c>
      <c r="U5668" s="21">
        <v>379013.85</v>
      </c>
      <c r="V5668" s="21" t="s">
        <v>369</v>
      </c>
      <c r="W5668" t="str">
        <f>VLOOKUP(Table_Query_from_Actuarial___Production[[#This Row],[Kor1]],$AI$3:$AK$105,3,FALSE)</f>
        <v>Premiums Written</v>
      </c>
      <c r="X5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668"/>
      <c r="Z5668" t="s">
        <v>3</v>
      </c>
      <c r="AA5668" t="s">
        <v>224</v>
      </c>
      <c r="AB5668" t="s">
        <v>442</v>
      </c>
      <c r="AC5668" s="21">
        <v>2023512.08</v>
      </c>
      <c r="AD5668" s="21" t="s">
        <v>368</v>
      </c>
      <c r="AE5668" t="str">
        <f>VLOOKUP(Table_Query_from_Actuarial___Production3[[#This Row],[Kor1]],$AI$3:$AK$105,3,FALSE)</f>
        <v>Premiums Written</v>
      </c>
      <c r="AF5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669" spans="18:32" x14ac:dyDescent="0.2">
      <c r="R5669" t="s">
        <v>13</v>
      </c>
      <c r="S5669" t="s">
        <v>224</v>
      </c>
      <c r="T5669" t="s">
        <v>443</v>
      </c>
      <c r="U5669" s="21">
        <v>59279.7</v>
      </c>
      <c r="V5669" s="21" t="s">
        <v>370</v>
      </c>
      <c r="W5669" t="str">
        <f>VLOOKUP(Table_Query_from_Actuarial___Production[[#This Row],[Kor1]],$AI$3:$AK$105,3,FALSE)</f>
        <v>Operating Service Fees</v>
      </c>
      <c r="X5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669"/>
      <c r="Z5669" t="s">
        <v>13</v>
      </c>
      <c r="AA5669" t="s">
        <v>264</v>
      </c>
      <c r="AB5669" t="s">
        <v>6</v>
      </c>
      <c r="AC5669" s="21">
        <v>483981.85</v>
      </c>
      <c r="AD5669" s="21" t="s">
        <v>368</v>
      </c>
      <c r="AE5669" t="str">
        <f>VLOOKUP(Table_Query_from_Actuarial___Production3[[#This Row],[Kor1]],$AI$3:$AK$105,3,FALSE)</f>
        <v>Operating Service Fees</v>
      </c>
      <c r="AF5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0" spans="18:32" x14ac:dyDescent="0.2">
      <c r="R5670" t="s">
        <v>40</v>
      </c>
      <c r="S5670" t="s">
        <v>265</v>
      </c>
      <c r="T5670" t="s">
        <v>427</v>
      </c>
      <c r="U5670" s="21">
        <v>12.99</v>
      </c>
      <c r="V5670" s="21" t="s">
        <v>368</v>
      </c>
      <c r="W5670" t="str">
        <f>VLOOKUP(Table_Query_from_Actuarial___Production[[#This Row],[Kor1]],$AI$3:$AK$105,3,FALSE)</f>
        <v>Misc. Income</v>
      </c>
      <c r="X5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0"/>
      <c r="Z5670" t="s">
        <v>31</v>
      </c>
      <c r="AA5670" t="s">
        <v>236</v>
      </c>
      <c r="AB5670" t="s">
        <v>9</v>
      </c>
      <c r="AC5670" s="21">
        <v>598.46</v>
      </c>
      <c r="AD5670" s="21" t="s">
        <v>368</v>
      </c>
      <c r="AE5670" t="str">
        <f>VLOOKUP(Table_Query_from_Actuarial___Production3[[#This Row],[Kor1]],$AI$3:$AK$105,3,FALSE)</f>
        <v>Misc. Expense</v>
      </c>
      <c r="AF5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1" spans="18:32" x14ac:dyDescent="0.2">
      <c r="R5671" t="s">
        <v>21</v>
      </c>
      <c r="S5671" t="s">
        <v>261</v>
      </c>
      <c r="T5671" t="s">
        <v>442</v>
      </c>
      <c r="U5671" s="21">
        <v>825.01</v>
      </c>
      <c r="V5671" s="21" t="s">
        <v>368</v>
      </c>
      <c r="W5671" t="str">
        <f>VLOOKUP(Table_Query_from_Actuarial___Production[[#This Row],[Kor1]],$AI$3:$AK$105,3,FALSE)</f>
        <v>Misc. Expense</v>
      </c>
      <c r="X5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1"/>
      <c r="Z5671" t="s">
        <v>44</v>
      </c>
      <c r="AA5671" t="s">
        <v>252</v>
      </c>
      <c r="AB5671" t="s">
        <v>5</v>
      </c>
      <c r="AC5671" s="21">
        <v>267853.36</v>
      </c>
      <c r="AD5671" s="21" t="s">
        <v>368</v>
      </c>
      <c r="AE5671" t="str">
        <f>VLOOKUP(Table_Query_from_Actuarial___Production3[[#This Row],[Kor1]],$AI$3:$AK$105,3,FALSE)</f>
        <v>Charge-offs</v>
      </c>
      <c r="AF5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2" spans="18:32" x14ac:dyDescent="0.2">
      <c r="R5672" t="s">
        <v>33</v>
      </c>
      <c r="S5672" t="s">
        <v>4</v>
      </c>
      <c r="T5672" t="s">
        <v>356</v>
      </c>
      <c r="U5672" s="21">
        <v>119105.71</v>
      </c>
      <c r="V5672" s="21" t="s">
        <v>368</v>
      </c>
      <c r="W5672" t="str">
        <f>VLOOKUP(Table_Query_from_Actuarial___Production[[#This Row],[Kor1]],$AI$3:$AK$105,3,FALSE)</f>
        <v>Misc. Expense</v>
      </c>
      <c r="X5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2"/>
      <c r="Z5672" t="s">
        <v>41</v>
      </c>
      <c r="AA5672" t="s">
        <v>241</v>
      </c>
      <c r="AB5672" t="s">
        <v>433</v>
      </c>
      <c r="AC5672" s="21">
        <v>388.2</v>
      </c>
      <c r="AD5672" s="21" t="s">
        <v>368</v>
      </c>
      <c r="AE5672" t="str">
        <f>VLOOKUP(Table_Query_from_Actuarial___Production3[[#This Row],[Kor1]],$AI$3:$AK$105,3,FALSE)</f>
        <v>Misc. Income</v>
      </c>
      <c r="AF5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3" spans="18:32" x14ac:dyDescent="0.2">
      <c r="R5673" t="s">
        <v>40</v>
      </c>
      <c r="S5673" t="s">
        <v>4</v>
      </c>
      <c r="T5673" t="s">
        <v>443</v>
      </c>
      <c r="U5673" s="21">
        <v>268948.96999999997</v>
      </c>
      <c r="V5673" s="21" t="s">
        <v>368</v>
      </c>
      <c r="W5673" t="str">
        <f>VLOOKUP(Table_Query_from_Actuarial___Production[[#This Row],[Kor1]],$AI$3:$AK$105,3,FALSE)</f>
        <v>Misc. Income</v>
      </c>
      <c r="X5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3"/>
      <c r="Z5673" t="s">
        <v>44</v>
      </c>
      <c r="AA5673" t="s">
        <v>238</v>
      </c>
      <c r="AB5673" t="s">
        <v>442</v>
      </c>
      <c r="AC5673" s="21">
        <v>2235</v>
      </c>
      <c r="AD5673" s="21" t="s">
        <v>368</v>
      </c>
      <c r="AE5673" t="str">
        <f>VLOOKUP(Table_Query_from_Actuarial___Production3[[#This Row],[Kor1]],$AI$3:$AK$105,3,FALSE)</f>
        <v>Charge-offs</v>
      </c>
      <c r="AF5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4" spans="18:32" x14ac:dyDescent="0.2">
      <c r="R5674" t="s">
        <v>31</v>
      </c>
      <c r="S5674" t="s">
        <v>228</v>
      </c>
      <c r="T5674" t="s">
        <v>443</v>
      </c>
      <c r="U5674" s="21">
        <v>442.1</v>
      </c>
      <c r="V5674" s="21" t="s">
        <v>368</v>
      </c>
      <c r="W5674" t="str">
        <f>VLOOKUP(Table_Query_from_Actuarial___Production[[#This Row],[Kor1]],$AI$3:$AK$105,3,FALSE)</f>
        <v>Misc. Expense</v>
      </c>
      <c r="X5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4"/>
      <c r="Z5674" t="s">
        <v>12</v>
      </c>
      <c r="AA5674" t="s">
        <v>261</v>
      </c>
      <c r="AB5674" t="s">
        <v>9</v>
      </c>
      <c r="AC5674" s="21">
        <v>17049.5</v>
      </c>
      <c r="AD5674" s="21" t="s">
        <v>368</v>
      </c>
      <c r="AE5674" t="str">
        <f>VLOOKUP(Table_Query_from_Actuarial___Production3[[#This Row],[Kor1]],$AI$3:$AK$105,3,FALSE)</f>
        <v>Premium Tax</v>
      </c>
      <c r="AF5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5" spans="18:32" x14ac:dyDescent="0.2">
      <c r="R5675" t="s">
        <v>33</v>
      </c>
      <c r="S5675" t="s">
        <v>230</v>
      </c>
      <c r="T5675" t="s">
        <v>441</v>
      </c>
      <c r="U5675" s="21">
        <v>16116.11</v>
      </c>
      <c r="V5675" s="21" t="s">
        <v>368</v>
      </c>
      <c r="W5675" t="str">
        <f>VLOOKUP(Table_Query_from_Actuarial___Production[[#This Row],[Kor1]],$AI$3:$AK$105,3,FALSE)</f>
        <v>Misc. Expense</v>
      </c>
      <c r="X5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5"/>
      <c r="Z5675" t="s">
        <v>14</v>
      </c>
      <c r="AA5675" t="s">
        <v>248</v>
      </c>
      <c r="AB5675" t="s">
        <v>427</v>
      </c>
      <c r="AC5675" s="21">
        <v>22485.77</v>
      </c>
      <c r="AD5675" s="21" t="s">
        <v>368</v>
      </c>
      <c r="AE5675" t="str">
        <f>VLOOKUP(Table_Query_from_Actuarial___Production3[[#This Row],[Kor1]],$AI$3:$AK$105,3,FALSE)</f>
        <v>Claims Expense</v>
      </c>
      <c r="AF5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6" spans="18:32" x14ac:dyDescent="0.2">
      <c r="R5676" t="s">
        <v>38</v>
      </c>
      <c r="S5676" t="s">
        <v>225</v>
      </c>
      <c r="T5676" t="s">
        <v>433</v>
      </c>
      <c r="U5676" s="21">
        <v>394924.01</v>
      </c>
      <c r="V5676" s="21" t="s">
        <v>369</v>
      </c>
      <c r="W5676" t="str">
        <f>VLOOKUP(Table_Query_from_Actuarial___Production[[#This Row],[Kor1]],$AI$3:$AK$105,3,FALSE)</f>
        <v>Misc. Income</v>
      </c>
      <c r="X5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676"/>
      <c r="Z5676" t="s">
        <v>41</v>
      </c>
      <c r="AA5676" t="s">
        <v>236</v>
      </c>
      <c r="AB5676" t="s">
        <v>442</v>
      </c>
      <c r="AC5676" s="21">
        <v>550.01</v>
      </c>
      <c r="AD5676" s="21" t="s">
        <v>368</v>
      </c>
      <c r="AE5676" t="str">
        <f>VLOOKUP(Table_Query_from_Actuarial___Production3[[#This Row],[Kor1]],$AI$3:$AK$105,3,FALSE)</f>
        <v>Misc. Income</v>
      </c>
      <c r="AF5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7" spans="18:32" x14ac:dyDescent="0.2">
      <c r="R5677" t="s">
        <v>34</v>
      </c>
      <c r="S5677" t="s">
        <v>245</v>
      </c>
      <c r="T5677" t="s">
        <v>9</v>
      </c>
      <c r="U5677" s="21">
        <v>15.32</v>
      </c>
      <c r="V5677" s="21" t="s">
        <v>368</v>
      </c>
      <c r="W5677" t="str">
        <f>VLOOKUP(Table_Query_from_Actuarial___Production[[#This Row],[Kor1]],$AI$3:$AK$105,3,FALSE)</f>
        <v>Misc. Expense</v>
      </c>
      <c r="X5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7"/>
      <c r="Z5677" t="s">
        <v>21</v>
      </c>
      <c r="AA5677" t="s">
        <v>243</v>
      </c>
      <c r="AB5677" t="s">
        <v>441</v>
      </c>
      <c r="AC5677" s="21">
        <v>563.98</v>
      </c>
      <c r="AD5677" s="21" t="s">
        <v>368</v>
      </c>
      <c r="AE5677" t="str">
        <f>VLOOKUP(Table_Query_from_Actuarial___Production3[[#This Row],[Kor1]],$AI$3:$AK$105,3,FALSE)</f>
        <v>Misc. Expense</v>
      </c>
      <c r="AF5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8" spans="18:32" x14ac:dyDescent="0.2">
      <c r="R5678" t="s">
        <v>31</v>
      </c>
      <c r="S5678" t="s">
        <v>268</v>
      </c>
      <c r="T5678" t="s">
        <v>442</v>
      </c>
      <c r="U5678" s="21">
        <v>482.88</v>
      </c>
      <c r="V5678" s="21" t="s">
        <v>368</v>
      </c>
      <c r="W5678" t="str">
        <f>VLOOKUP(Table_Query_from_Actuarial___Production[[#This Row],[Kor1]],$AI$3:$AK$105,3,FALSE)</f>
        <v>Misc. Expense</v>
      </c>
      <c r="X5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8"/>
      <c r="Z5678" t="s">
        <v>40</v>
      </c>
      <c r="AA5678" t="s">
        <v>258</v>
      </c>
      <c r="AB5678" t="s">
        <v>5</v>
      </c>
      <c r="AC5678" s="21">
        <v>111.01</v>
      </c>
      <c r="AD5678" s="21" t="s">
        <v>368</v>
      </c>
      <c r="AE5678" t="str">
        <f>VLOOKUP(Table_Query_from_Actuarial___Production3[[#This Row],[Kor1]],$AI$3:$AK$105,3,FALSE)</f>
        <v>Misc. Income</v>
      </c>
      <c r="AF5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79" spans="18:32" x14ac:dyDescent="0.2">
      <c r="R5679" t="s">
        <v>47</v>
      </c>
      <c r="S5679" t="s">
        <v>265</v>
      </c>
      <c r="T5679" t="s">
        <v>441</v>
      </c>
      <c r="U5679" s="21">
        <v>16.16</v>
      </c>
      <c r="V5679" s="21" t="s">
        <v>368</v>
      </c>
      <c r="W5679" t="str">
        <f>VLOOKUP(Table_Query_from_Actuarial___Production[[#This Row],[Kor1]],$AI$3:$AK$105,3,FALSE)</f>
        <v>Investment Income</v>
      </c>
      <c r="X5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79"/>
      <c r="Z5679" t="s">
        <v>11</v>
      </c>
      <c r="AA5679" t="s">
        <v>249</v>
      </c>
      <c r="AB5679" t="s">
        <v>442</v>
      </c>
      <c r="AC5679" s="21">
        <v>25373.23</v>
      </c>
      <c r="AD5679" s="21" t="s">
        <v>368</v>
      </c>
      <c r="AE5679" t="str">
        <f>VLOOKUP(Table_Query_from_Actuarial___Production3[[#This Row],[Kor1]],$AI$3:$AK$105,3,FALSE)</f>
        <v>Losses Paid</v>
      </c>
      <c r="AF5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0" spans="18:32" x14ac:dyDescent="0.2">
      <c r="R5680" t="s">
        <v>31</v>
      </c>
      <c r="S5680" t="s">
        <v>246</v>
      </c>
      <c r="T5680" t="s">
        <v>8</v>
      </c>
      <c r="U5680" s="21">
        <v>471.18</v>
      </c>
      <c r="V5680" s="21" t="s">
        <v>368</v>
      </c>
      <c r="W5680" t="str">
        <f>VLOOKUP(Table_Query_from_Actuarial___Production[[#This Row],[Kor1]],$AI$3:$AK$105,3,FALSE)</f>
        <v>Misc. Expense</v>
      </c>
      <c r="X5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0"/>
      <c r="Z5680" t="s">
        <v>3</v>
      </c>
      <c r="AA5680" t="s">
        <v>352</v>
      </c>
      <c r="AB5680" t="s">
        <v>6</v>
      </c>
      <c r="AC5680" s="21">
        <v>379013.85</v>
      </c>
      <c r="AD5680" s="21" t="s">
        <v>369</v>
      </c>
      <c r="AE5680" t="str">
        <f>VLOOKUP(Table_Query_from_Actuarial___Production3[[#This Row],[Kor1]],$AI$3:$AK$105,3,FALSE)</f>
        <v>Premiums Written</v>
      </c>
      <c r="AF5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681" spans="18:32" x14ac:dyDescent="0.2">
      <c r="R5681" t="s">
        <v>43</v>
      </c>
      <c r="S5681" t="s">
        <v>231</v>
      </c>
      <c r="T5681" t="s">
        <v>351</v>
      </c>
      <c r="U5681" s="21">
        <v>1530.38</v>
      </c>
      <c r="V5681" s="21" t="s">
        <v>368</v>
      </c>
      <c r="W5681" t="str">
        <f>VLOOKUP(Table_Query_from_Actuarial___Production[[#This Row],[Kor1]],$AI$3:$AK$105,3,FALSE)</f>
        <v>Charge-offs</v>
      </c>
      <c r="X5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1"/>
      <c r="Z5681" t="s">
        <v>13</v>
      </c>
      <c r="AA5681" t="s">
        <v>224</v>
      </c>
      <c r="AB5681" t="s">
        <v>443</v>
      </c>
      <c r="AC5681" s="21">
        <v>29573.279999999999</v>
      </c>
      <c r="AD5681" s="21" t="s">
        <v>370</v>
      </c>
      <c r="AE5681" t="str">
        <f>VLOOKUP(Table_Query_from_Actuarial___Production3[[#This Row],[Kor1]],$AI$3:$AK$105,3,FALSE)</f>
        <v>Operating Service Fees</v>
      </c>
      <c r="AF5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682" spans="18:32" x14ac:dyDescent="0.2">
      <c r="R5682" t="s">
        <v>20</v>
      </c>
      <c r="S5682" t="s">
        <v>251</v>
      </c>
      <c r="T5682" t="s">
        <v>9</v>
      </c>
      <c r="U5682" s="21">
        <v>24.06</v>
      </c>
      <c r="V5682" s="21" t="s">
        <v>368</v>
      </c>
      <c r="W5682" t="str">
        <f>VLOOKUP(Table_Query_from_Actuarial___Production[[#This Row],[Kor1]],$AI$3:$AK$105,3,FALSE)</f>
        <v>Misc. Expense</v>
      </c>
      <c r="X5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2"/>
      <c r="Z5682" t="s">
        <v>40</v>
      </c>
      <c r="AA5682" t="s">
        <v>265</v>
      </c>
      <c r="AB5682" t="s">
        <v>427</v>
      </c>
      <c r="AC5682" s="21">
        <v>12.99</v>
      </c>
      <c r="AD5682" s="21" t="s">
        <v>368</v>
      </c>
      <c r="AE5682" t="str">
        <f>VLOOKUP(Table_Query_from_Actuarial___Production3[[#This Row],[Kor1]],$AI$3:$AK$105,3,FALSE)</f>
        <v>Misc. Income</v>
      </c>
      <c r="AF5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3" spans="18:32" x14ac:dyDescent="0.2">
      <c r="R5683" t="s">
        <v>37</v>
      </c>
      <c r="S5683" t="s">
        <v>237</v>
      </c>
      <c r="T5683" t="s">
        <v>356</v>
      </c>
      <c r="U5683" s="21">
        <v>118164.95</v>
      </c>
      <c r="V5683" s="21" t="s">
        <v>368</v>
      </c>
      <c r="W5683" t="str">
        <f>VLOOKUP(Table_Query_from_Actuarial___Production[[#This Row],[Kor1]],$AI$3:$AK$105,3,FALSE)</f>
        <v>Misc. Expense</v>
      </c>
      <c r="X5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3"/>
      <c r="Z5683" t="s">
        <v>21</v>
      </c>
      <c r="AA5683" t="s">
        <v>261</v>
      </c>
      <c r="AB5683" t="s">
        <v>442</v>
      </c>
      <c r="AC5683" s="21">
        <v>825.01</v>
      </c>
      <c r="AD5683" s="21" t="s">
        <v>368</v>
      </c>
      <c r="AE5683" t="str">
        <f>VLOOKUP(Table_Query_from_Actuarial___Production3[[#This Row],[Kor1]],$AI$3:$AK$105,3,FALSE)</f>
        <v>Misc. Expense</v>
      </c>
      <c r="AF5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4" spans="18:32" x14ac:dyDescent="0.2">
      <c r="R5684" t="s">
        <v>20</v>
      </c>
      <c r="S5684" t="s">
        <v>255</v>
      </c>
      <c r="T5684" t="s">
        <v>442</v>
      </c>
      <c r="U5684" s="21">
        <v>142.6</v>
      </c>
      <c r="V5684" s="21" t="s">
        <v>368</v>
      </c>
      <c r="W5684" t="str">
        <f>VLOOKUP(Table_Query_from_Actuarial___Production[[#This Row],[Kor1]],$AI$3:$AK$105,3,FALSE)</f>
        <v>Misc. Expense</v>
      </c>
      <c r="X5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4"/>
      <c r="Z5684" t="s">
        <v>33</v>
      </c>
      <c r="AA5684" t="s">
        <v>4</v>
      </c>
      <c r="AB5684" t="s">
        <v>356</v>
      </c>
      <c r="AC5684" s="21">
        <v>119105.71</v>
      </c>
      <c r="AD5684" s="21" t="s">
        <v>368</v>
      </c>
      <c r="AE5684" t="str">
        <f>VLOOKUP(Table_Query_from_Actuarial___Production3[[#This Row],[Kor1]],$AI$3:$AK$105,3,FALSE)</f>
        <v>Misc. Expense</v>
      </c>
      <c r="AF5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5" spans="18:32" x14ac:dyDescent="0.2">
      <c r="R5685" t="s">
        <v>13</v>
      </c>
      <c r="S5685" t="s">
        <v>228</v>
      </c>
      <c r="T5685" t="s">
        <v>445</v>
      </c>
      <c r="U5685" s="21">
        <v>1783.74</v>
      </c>
      <c r="V5685" s="21" t="s">
        <v>368</v>
      </c>
      <c r="W5685" t="str">
        <f>VLOOKUP(Table_Query_from_Actuarial___Production[[#This Row],[Kor1]],$AI$3:$AK$105,3,FALSE)</f>
        <v>Operating Service Fees</v>
      </c>
      <c r="X5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5"/>
      <c r="Z5685" t="s">
        <v>40</v>
      </c>
      <c r="AA5685" t="s">
        <v>4</v>
      </c>
      <c r="AB5685" t="s">
        <v>443</v>
      </c>
      <c r="AC5685" s="21">
        <v>2479.96</v>
      </c>
      <c r="AD5685" s="21" t="s">
        <v>368</v>
      </c>
      <c r="AE5685" t="str">
        <f>VLOOKUP(Table_Query_from_Actuarial___Production3[[#This Row],[Kor1]],$AI$3:$AK$105,3,FALSE)</f>
        <v>Misc. Income</v>
      </c>
      <c r="AF5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6" spans="18:32" x14ac:dyDescent="0.2">
      <c r="R5686" t="s">
        <v>39</v>
      </c>
      <c r="S5686" t="s">
        <v>246</v>
      </c>
      <c r="T5686" t="s">
        <v>7</v>
      </c>
      <c r="U5686" s="21">
        <v>24.97</v>
      </c>
      <c r="V5686" s="21" t="s">
        <v>368</v>
      </c>
      <c r="W5686" t="str">
        <f>VLOOKUP(Table_Query_from_Actuarial___Production[[#This Row],[Kor1]],$AI$3:$AK$105,3,FALSE)</f>
        <v>Misc. Income for Insolvent Companies</v>
      </c>
      <c r="X5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6"/>
      <c r="Z5686" t="s">
        <v>31</v>
      </c>
      <c r="AA5686" t="s">
        <v>228</v>
      </c>
      <c r="AB5686" t="s">
        <v>443</v>
      </c>
      <c r="AC5686" s="21">
        <v>525.12</v>
      </c>
      <c r="AD5686" s="21" t="s">
        <v>368</v>
      </c>
      <c r="AE5686" t="str">
        <f>VLOOKUP(Table_Query_from_Actuarial___Production3[[#This Row],[Kor1]],$AI$3:$AK$105,3,FALSE)</f>
        <v>Misc. Expense</v>
      </c>
      <c r="AF5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7" spans="18:32" x14ac:dyDescent="0.2">
      <c r="R5687" t="s">
        <v>14</v>
      </c>
      <c r="S5687" t="s">
        <v>230</v>
      </c>
      <c r="T5687" t="s">
        <v>351</v>
      </c>
      <c r="U5687" s="21">
        <v>2021485.34</v>
      </c>
      <c r="V5687" s="21" t="s">
        <v>368</v>
      </c>
      <c r="W5687" t="str">
        <f>VLOOKUP(Table_Query_from_Actuarial___Production[[#This Row],[Kor1]],$AI$3:$AK$105,3,FALSE)</f>
        <v>Claims Expense</v>
      </c>
      <c r="X5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7"/>
      <c r="Z5687" t="s">
        <v>33</v>
      </c>
      <c r="AA5687" t="s">
        <v>230</v>
      </c>
      <c r="AB5687" t="s">
        <v>441</v>
      </c>
      <c r="AC5687" s="21">
        <v>16116.11</v>
      </c>
      <c r="AD5687" s="21" t="s">
        <v>368</v>
      </c>
      <c r="AE5687" t="str">
        <f>VLOOKUP(Table_Query_from_Actuarial___Production3[[#This Row],[Kor1]],$AI$3:$AK$105,3,FALSE)</f>
        <v>Misc. Expense</v>
      </c>
      <c r="AF5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88" spans="18:32" x14ac:dyDescent="0.2">
      <c r="R5688" t="s">
        <v>14</v>
      </c>
      <c r="S5688" t="s">
        <v>258</v>
      </c>
      <c r="T5688" t="s">
        <v>8</v>
      </c>
      <c r="U5688" s="21">
        <v>175852.89</v>
      </c>
      <c r="V5688" s="21" t="s">
        <v>368</v>
      </c>
      <c r="W5688" t="str">
        <f>VLOOKUP(Table_Query_from_Actuarial___Production[[#This Row],[Kor1]],$AI$3:$AK$105,3,FALSE)</f>
        <v>Claims Expense</v>
      </c>
      <c r="X5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8"/>
      <c r="Z5688" t="s">
        <v>38</v>
      </c>
      <c r="AA5688" t="s">
        <v>225</v>
      </c>
      <c r="AB5688" t="s">
        <v>433</v>
      </c>
      <c r="AC5688" s="21">
        <v>394924.01</v>
      </c>
      <c r="AD5688" s="21" t="s">
        <v>369</v>
      </c>
      <c r="AE5688" t="str">
        <f>VLOOKUP(Table_Query_from_Actuarial___Production3[[#This Row],[Kor1]],$AI$3:$AK$105,3,FALSE)</f>
        <v>Misc. Income</v>
      </c>
      <c r="AF5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689" spans="18:32" x14ac:dyDescent="0.2">
      <c r="R5689" t="s">
        <v>16</v>
      </c>
      <c r="S5689" t="s">
        <v>240</v>
      </c>
      <c r="T5689" t="s">
        <v>427</v>
      </c>
      <c r="U5689" s="21">
        <v>-1705</v>
      </c>
      <c r="V5689" s="21" t="s">
        <v>368</v>
      </c>
      <c r="W5689" t="str">
        <f>VLOOKUP(Table_Query_from_Actuarial___Production[[#This Row],[Kor1]],$AI$3:$AK$105,3,FALSE)</f>
        <v>Losses Outstanding</v>
      </c>
      <c r="X5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89"/>
      <c r="Z5689" t="s">
        <v>34</v>
      </c>
      <c r="AA5689" t="s">
        <v>245</v>
      </c>
      <c r="AB5689" t="s">
        <v>9</v>
      </c>
      <c r="AC5689" s="21">
        <v>15.32</v>
      </c>
      <c r="AD5689" s="21" t="s">
        <v>368</v>
      </c>
      <c r="AE5689" t="str">
        <f>VLOOKUP(Table_Query_from_Actuarial___Production3[[#This Row],[Kor1]],$AI$3:$AK$105,3,FALSE)</f>
        <v>Misc. Expense</v>
      </c>
      <c r="AF5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0" spans="18:32" x14ac:dyDescent="0.2">
      <c r="R5690" t="s">
        <v>48</v>
      </c>
      <c r="S5690" t="s">
        <v>261</v>
      </c>
      <c r="T5690" t="s">
        <v>442</v>
      </c>
      <c r="U5690" s="21">
        <v>119.75</v>
      </c>
      <c r="V5690" s="21" t="s">
        <v>368</v>
      </c>
      <c r="W5690" t="str">
        <f>VLOOKUP(Table_Query_from_Actuarial___Production[[#This Row],[Kor1]],$AI$3:$AK$105,3,FALSE)</f>
        <v>Anticipated Salvage</v>
      </c>
      <c r="X5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0"/>
      <c r="Z5690" t="s">
        <v>31</v>
      </c>
      <c r="AA5690" t="s">
        <v>268</v>
      </c>
      <c r="AB5690" t="s">
        <v>442</v>
      </c>
      <c r="AC5690" s="21">
        <v>482.88</v>
      </c>
      <c r="AD5690" s="21" t="s">
        <v>368</v>
      </c>
      <c r="AE5690" t="str">
        <f>VLOOKUP(Table_Query_from_Actuarial___Production3[[#This Row],[Kor1]],$AI$3:$AK$105,3,FALSE)</f>
        <v>Misc. Expense</v>
      </c>
      <c r="AF5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1" spans="18:32" x14ac:dyDescent="0.2">
      <c r="R5691" t="s">
        <v>10</v>
      </c>
      <c r="S5691" t="s">
        <v>264</v>
      </c>
      <c r="T5691" t="s">
        <v>427</v>
      </c>
      <c r="U5691" s="21">
        <v>453296.45</v>
      </c>
      <c r="V5691" s="21" t="s">
        <v>368</v>
      </c>
      <c r="W5691" t="str">
        <f>VLOOKUP(Table_Query_from_Actuarial___Production[[#This Row],[Kor1]],$AI$3:$AK$105,3,FALSE)</f>
        <v>Commissions</v>
      </c>
      <c r="X5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1"/>
      <c r="Z5691" t="s">
        <v>47</v>
      </c>
      <c r="AA5691" t="s">
        <v>265</v>
      </c>
      <c r="AB5691" t="s">
        <v>441</v>
      </c>
      <c r="AC5691" s="21">
        <v>16.16</v>
      </c>
      <c r="AD5691" s="21" t="s">
        <v>368</v>
      </c>
      <c r="AE5691" t="str">
        <f>VLOOKUP(Table_Query_from_Actuarial___Production3[[#This Row],[Kor1]],$AI$3:$AK$105,3,FALSE)</f>
        <v>Investment Income</v>
      </c>
      <c r="AF5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2" spans="18:32" x14ac:dyDescent="0.2">
      <c r="R5692" t="s">
        <v>11</v>
      </c>
      <c r="S5692" t="s">
        <v>225</v>
      </c>
      <c r="T5692" t="s">
        <v>433</v>
      </c>
      <c r="U5692" s="21">
        <v>291752.09000000003</v>
      </c>
      <c r="V5692" s="21" t="s">
        <v>368</v>
      </c>
      <c r="W5692" t="str">
        <f>VLOOKUP(Table_Query_from_Actuarial___Production[[#This Row],[Kor1]],$AI$3:$AK$105,3,FALSE)</f>
        <v>Losses Paid</v>
      </c>
      <c r="X5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692"/>
      <c r="Z5692" t="s">
        <v>31</v>
      </c>
      <c r="AA5692" t="s">
        <v>246</v>
      </c>
      <c r="AB5692" t="s">
        <v>8</v>
      </c>
      <c r="AC5692" s="21">
        <v>471.18</v>
      </c>
      <c r="AD5692" s="21" t="s">
        <v>368</v>
      </c>
      <c r="AE5692" t="str">
        <f>VLOOKUP(Table_Query_from_Actuarial___Production3[[#This Row],[Kor1]],$AI$3:$AK$105,3,FALSE)</f>
        <v>Misc. Expense</v>
      </c>
      <c r="AF5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3" spans="18:32" x14ac:dyDescent="0.2">
      <c r="R5693" t="s">
        <v>12</v>
      </c>
      <c r="S5693" t="s">
        <v>231</v>
      </c>
      <c r="T5693" t="s">
        <v>8</v>
      </c>
      <c r="U5693" s="21">
        <v>3073.3</v>
      </c>
      <c r="V5693" s="21" t="s">
        <v>368</v>
      </c>
      <c r="W5693" t="str">
        <f>VLOOKUP(Table_Query_from_Actuarial___Production[[#This Row],[Kor1]],$AI$3:$AK$105,3,FALSE)</f>
        <v>Premium Tax</v>
      </c>
      <c r="X5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3"/>
      <c r="Z5693" t="s">
        <v>15</v>
      </c>
      <c r="AA5693" t="s">
        <v>263</v>
      </c>
      <c r="AB5693" t="s">
        <v>442</v>
      </c>
      <c r="AC5693" s="21">
        <v>90224.45</v>
      </c>
      <c r="AD5693" s="21" t="s">
        <v>368</v>
      </c>
      <c r="AE5693" t="str">
        <f>VLOOKUP(Table_Query_from_Actuarial___Production3[[#This Row],[Kor1]],$AI$3:$AK$105,3,FALSE)</f>
        <v>Unearned Premiums</v>
      </c>
      <c r="AF5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4" spans="18:32" x14ac:dyDescent="0.2">
      <c r="R5694" t="s">
        <v>31</v>
      </c>
      <c r="S5694" t="s">
        <v>265</v>
      </c>
      <c r="T5694" t="s">
        <v>9</v>
      </c>
      <c r="U5694" s="21">
        <v>490.11</v>
      </c>
      <c r="V5694" s="21" t="s">
        <v>368</v>
      </c>
      <c r="W5694" t="str">
        <f>VLOOKUP(Table_Query_from_Actuarial___Production[[#This Row],[Kor1]],$AI$3:$AK$105,3,FALSE)</f>
        <v>Misc. Expense</v>
      </c>
      <c r="X5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4"/>
      <c r="Z5694" t="s">
        <v>43</v>
      </c>
      <c r="AA5694" t="s">
        <v>231</v>
      </c>
      <c r="AB5694" t="s">
        <v>351</v>
      </c>
      <c r="AC5694" s="21">
        <v>1530.38</v>
      </c>
      <c r="AD5694" s="21" t="s">
        <v>368</v>
      </c>
      <c r="AE5694" t="str">
        <f>VLOOKUP(Table_Query_from_Actuarial___Production3[[#This Row],[Kor1]],$AI$3:$AK$105,3,FALSE)</f>
        <v>Charge-offs</v>
      </c>
      <c r="AF5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5" spans="18:32" x14ac:dyDescent="0.2">
      <c r="R5695" t="s">
        <v>33</v>
      </c>
      <c r="S5695" t="s">
        <v>262</v>
      </c>
      <c r="T5695" t="s">
        <v>427</v>
      </c>
      <c r="U5695" s="21">
        <v>12944.73</v>
      </c>
      <c r="V5695" s="21" t="s">
        <v>368</v>
      </c>
      <c r="W5695" t="str">
        <f>VLOOKUP(Table_Query_from_Actuarial___Production[[#This Row],[Kor1]],$AI$3:$AK$105,3,FALSE)</f>
        <v>Misc. Expense</v>
      </c>
      <c r="X5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5"/>
      <c r="Z5695" t="s">
        <v>20</v>
      </c>
      <c r="AA5695" t="s">
        <v>251</v>
      </c>
      <c r="AB5695" t="s">
        <v>9</v>
      </c>
      <c r="AC5695" s="21">
        <v>24.06</v>
      </c>
      <c r="AD5695" s="21" t="s">
        <v>368</v>
      </c>
      <c r="AE5695" t="str">
        <f>VLOOKUP(Table_Query_from_Actuarial___Production3[[#This Row],[Kor1]],$AI$3:$AK$105,3,FALSE)</f>
        <v>Misc. Expense</v>
      </c>
      <c r="AF5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6" spans="18:32" x14ac:dyDescent="0.2">
      <c r="R5696" t="s">
        <v>10</v>
      </c>
      <c r="S5696" t="s">
        <v>254</v>
      </c>
      <c r="T5696" t="s">
        <v>351</v>
      </c>
      <c r="U5696" s="21">
        <v>129475.49</v>
      </c>
      <c r="V5696" s="21" t="s">
        <v>368</v>
      </c>
      <c r="W5696" t="str">
        <f>VLOOKUP(Table_Query_from_Actuarial___Production[[#This Row],[Kor1]],$AI$3:$AK$105,3,FALSE)</f>
        <v>Commissions</v>
      </c>
      <c r="X5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6"/>
      <c r="Z5696" t="s">
        <v>37</v>
      </c>
      <c r="AA5696" t="s">
        <v>237</v>
      </c>
      <c r="AB5696" t="s">
        <v>356</v>
      </c>
      <c r="AC5696" s="21">
        <v>118164.95</v>
      </c>
      <c r="AD5696" s="21" t="s">
        <v>368</v>
      </c>
      <c r="AE5696" t="str">
        <f>VLOOKUP(Table_Query_from_Actuarial___Production3[[#This Row],[Kor1]],$AI$3:$AK$105,3,FALSE)</f>
        <v>Misc. Expense</v>
      </c>
      <c r="AF5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7" spans="18:32" x14ac:dyDescent="0.2">
      <c r="R5697" t="s">
        <v>14</v>
      </c>
      <c r="S5697" t="s">
        <v>260</v>
      </c>
      <c r="T5697" t="s">
        <v>443</v>
      </c>
      <c r="U5697" s="21">
        <v>4301.26</v>
      </c>
      <c r="V5697" s="21" t="s">
        <v>368</v>
      </c>
      <c r="W5697" t="str">
        <f>VLOOKUP(Table_Query_from_Actuarial___Production[[#This Row],[Kor1]],$AI$3:$AK$105,3,FALSE)</f>
        <v>Claims Expense</v>
      </c>
      <c r="X5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7"/>
      <c r="Z5697" t="s">
        <v>12</v>
      </c>
      <c r="AA5697" t="s">
        <v>247</v>
      </c>
      <c r="AB5697" t="s">
        <v>5</v>
      </c>
      <c r="AC5697" s="21">
        <v>643.16999999999996</v>
      </c>
      <c r="AD5697" s="21" t="s">
        <v>368</v>
      </c>
      <c r="AE5697" t="str">
        <f>VLOOKUP(Table_Query_from_Actuarial___Production3[[#This Row],[Kor1]],$AI$3:$AK$105,3,FALSE)</f>
        <v>Premium Tax</v>
      </c>
      <c r="AF5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8" spans="18:32" x14ac:dyDescent="0.2">
      <c r="R5698" t="s">
        <v>15</v>
      </c>
      <c r="S5698" t="s">
        <v>258</v>
      </c>
      <c r="T5698" t="s">
        <v>445</v>
      </c>
      <c r="U5698" s="21">
        <v>1167205.1100000001</v>
      </c>
      <c r="V5698" s="21" t="s">
        <v>368</v>
      </c>
      <c r="W5698" t="str">
        <f>VLOOKUP(Table_Query_from_Actuarial___Production[[#This Row],[Kor1]],$AI$3:$AK$105,3,FALSE)</f>
        <v>Unearned Premiums</v>
      </c>
      <c r="X5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8"/>
      <c r="Z5698" t="s">
        <v>20</v>
      </c>
      <c r="AA5698" t="s">
        <v>255</v>
      </c>
      <c r="AB5698" t="s">
        <v>442</v>
      </c>
      <c r="AC5698" s="21">
        <v>142.6</v>
      </c>
      <c r="AD5698" s="21" t="s">
        <v>368</v>
      </c>
      <c r="AE5698" t="str">
        <f>VLOOKUP(Table_Query_from_Actuarial___Production3[[#This Row],[Kor1]],$AI$3:$AK$105,3,FALSE)</f>
        <v>Misc. Expense</v>
      </c>
      <c r="AF5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699" spans="18:32" x14ac:dyDescent="0.2">
      <c r="R5699" t="s">
        <v>3</v>
      </c>
      <c r="S5699" t="s">
        <v>242</v>
      </c>
      <c r="T5699" t="s">
        <v>443</v>
      </c>
      <c r="U5699" s="21">
        <v>827531</v>
      </c>
      <c r="V5699" s="21" t="s">
        <v>368</v>
      </c>
      <c r="W5699" t="str">
        <f>VLOOKUP(Table_Query_from_Actuarial___Production[[#This Row],[Kor1]],$AI$3:$AK$105,3,FALSE)</f>
        <v>Premiums Written</v>
      </c>
      <c r="X5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699"/>
      <c r="Z5699" t="s">
        <v>33</v>
      </c>
      <c r="AA5699" t="s">
        <v>268</v>
      </c>
      <c r="AB5699" t="s">
        <v>5</v>
      </c>
      <c r="AC5699" s="21">
        <v>10234.01</v>
      </c>
      <c r="AD5699" s="21" t="s">
        <v>368</v>
      </c>
      <c r="AE5699" t="str">
        <f>VLOOKUP(Table_Query_from_Actuarial___Production3[[#This Row],[Kor1]],$AI$3:$AK$105,3,FALSE)</f>
        <v>Misc. Expense</v>
      </c>
      <c r="AF5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0" spans="18:32" x14ac:dyDescent="0.2">
      <c r="R5700" t="s">
        <v>12</v>
      </c>
      <c r="S5700" t="s">
        <v>4</v>
      </c>
      <c r="T5700" t="s">
        <v>7</v>
      </c>
      <c r="U5700" s="21">
        <v>117402.85</v>
      </c>
      <c r="V5700" s="21" t="s">
        <v>368</v>
      </c>
      <c r="W5700" t="str">
        <f>VLOOKUP(Table_Query_from_Actuarial___Production[[#This Row],[Kor1]],$AI$3:$AK$105,3,FALSE)</f>
        <v>Premium Tax</v>
      </c>
      <c r="X5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0"/>
      <c r="Z5700" t="s">
        <v>39</v>
      </c>
      <c r="AA5700" t="s">
        <v>246</v>
      </c>
      <c r="AB5700" t="s">
        <v>7</v>
      </c>
      <c r="AC5700" s="21">
        <v>24.97</v>
      </c>
      <c r="AD5700" s="21" t="s">
        <v>368</v>
      </c>
      <c r="AE5700" t="str">
        <f>VLOOKUP(Table_Query_from_Actuarial___Production3[[#This Row],[Kor1]],$AI$3:$AK$105,3,FALSE)</f>
        <v>Misc. Income for Insolvent Companies</v>
      </c>
      <c r="AF5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1" spans="18:32" x14ac:dyDescent="0.2">
      <c r="R5701" t="s">
        <v>31</v>
      </c>
      <c r="S5701" t="s">
        <v>255</v>
      </c>
      <c r="T5701" t="s">
        <v>351</v>
      </c>
      <c r="U5701" s="21">
        <v>843.06</v>
      </c>
      <c r="V5701" s="21" t="s">
        <v>368</v>
      </c>
      <c r="W5701" t="str">
        <f>VLOOKUP(Table_Query_from_Actuarial___Production[[#This Row],[Kor1]],$AI$3:$AK$105,3,FALSE)</f>
        <v>Misc. Expense</v>
      </c>
      <c r="X5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1"/>
      <c r="Z5701" t="s">
        <v>14</v>
      </c>
      <c r="AA5701" t="s">
        <v>230</v>
      </c>
      <c r="AB5701" t="s">
        <v>351</v>
      </c>
      <c r="AC5701" s="21">
        <v>2021485.34</v>
      </c>
      <c r="AD5701" s="21" t="s">
        <v>368</v>
      </c>
      <c r="AE5701" t="str">
        <f>VLOOKUP(Table_Query_from_Actuarial___Production3[[#This Row],[Kor1]],$AI$3:$AK$105,3,FALSE)</f>
        <v>Claims Expense</v>
      </c>
      <c r="AF5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2" spans="18:32" x14ac:dyDescent="0.2">
      <c r="R5702" t="s">
        <v>19</v>
      </c>
      <c r="S5702" t="s">
        <v>248</v>
      </c>
      <c r="T5702" t="s">
        <v>433</v>
      </c>
      <c r="U5702" s="21">
        <v>1320</v>
      </c>
      <c r="V5702" s="21" t="s">
        <v>368</v>
      </c>
      <c r="W5702" t="str">
        <f>VLOOKUP(Table_Query_from_Actuarial___Production[[#This Row],[Kor1]],$AI$3:$AK$105,3,FALSE)</f>
        <v>Misc. Expense for Insolvent Companies</v>
      </c>
      <c r="X5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2"/>
      <c r="Z5702" t="s">
        <v>14</v>
      </c>
      <c r="AA5702" t="s">
        <v>258</v>
      </c>
      <c r="AB5702" t="s">
        <v>8</v>
      </c>
      <c r="AC5702" s="21">
        <v>175852.89</v>
      </c>
      <c r="AD5702" s="21" t="s">
        <v>368</v>
      </c>
      <c r="AE5702" t="str">
        <f>VLOOKUP(Table_Query_from_Actuarial___Production3[[#This Row],[Kor1]],$AI$3:$AK$105,3,FALSE)</f>
        <v>Claims Expense</v>
      </c>
      <c r="AF5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3" spans="18:32" x14ac:dyDescent="0.2">
      <c r="R5703" t="s">
        <v>31</v>
      </c>
      <c r="S5703" t="s">
        <v>264</v>
      </c>
      <c r="T5703" t="s">
        <v>8</v>
      </c>
      <c r="U5703" s="21">
        <v>190.63</v>
      </c>
      <c r="V5703" s="21" t="s">
        <v>368</v>
      </c>
      <c r="W5703" t="str">
        <f>VLOOKUP(Table_Query_from_Actuarial___Production[[#This Row],[Kor1]],$AI$3:$AK$105,3,FALSE)</f>
        <v>Misc. Expense</v>
      </c>
      <c r="X5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3"/>
      <c r="Z5703" t="s">
        <v>16</v>
      </c>
      <c r="AA5703" t="s">
        <v>240</v>
      </c>
      <c r="AB5703" t="s">
        <v>427</v>
      </c>
      <c r="AC5703" s="21">
        <v>-2729</v>
      </c>
      <c r="AD5703" s="21" t="s">
        <v>368</v>
      </c>
      <c r="AE5703" t="str">
        <f>VLOOKUP(Table_Query_from_Actuarial___Production3[[#This Row],[Kor1]],$AI$3:$AK$105,3,FALSE)</f>
        <v>Losses Outstanding</v>
      </c>
      <c r="AF5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4" spans="18:32" x14ac:dyDescent="0.2">
      <c r="R5704" t="s">
        <v>37</v>
      </c>
      <c r="S5704" t="s">
        <v>4</v>
      </c>
      <c r="T5704" t="s">
        <v>441</v>
      </c>
      <c r="U5704" s="21">
        <v>32121.200000000001</v>
      </c>
      <c r="V5704" s="21" t="s">
        <v>368</v>
      </c>
      <c r="W5704" t="str">
        <f>VLOOKUP(Table_Query_from_Actuarial___Production[[#This Row],[Kor1]],$AI$3:$AK$105,3,FALSE)</f>
        <v>Misc. Expense</v>
      </c>
      <c r="X5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4"/>
      <c r="Z5704" t="s">
        <v>48</v>
      </c>
      <c r="AA5704" t="s">
        <v>261</v>
      </c>
      <c r="AB5704" t="s">
        <v>442</v>
      </c>
      <c r="AC5704" s="21">
        <v>241.49</v>
      </c>
      <c r="AD5704" s="21" t="s">
        <v>368</v>
      </c>
      <c r="AE5704" t="str">
        <f>VLOOKUP(Table_Query_from_Actuarial___Production3[[#This Row],[Kor1]],$AI$3:$AK$105,3,FALSE)</f>
        <v>Anticipated Salvage</v>
      </c>
      <c r="AF5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5" spans="18:32" x14ac:dyDescent="0.2">
      <c r="R5705" t="s">
        <v>10</v>
      </c>
      <c r="S5705" t="s">
        <v>256</v>
      </c>
      <c r="T5705" t="s">
        <v>356</v>
      </c>
      <c r="U5705" s="21">
        <v>5796.1</v>
      </c>
      <c r="V5705" s="21" t="s">
        <v>368</v>
      </c>
      <c r="W5705" t="str">
        <f>VLOOKUP(Table_Query_from_Actuarial___Production[[#This Row],[Kor1]],$AI$3:$AK$105,3,FALSE)</f>
        <v>Commissions</v>
      </c>
      <c r="X5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5"/>
      <c r="Z5705" t="s">
        <v>10</v>
      </c>
      <c r="AA5705" t="s">
        <v>264</v>
      </c>
      <c r="AB5705" t="s">
        <v>427</v>
      </c>
      <c r="AC5705" s="21">
        <v>453296.45</v>
      </c>
      <c r="AD5705" s="21" t="s">
        <v>368</v>
      </c>
      <c r="AE5705" t="str">
        <f>VLOOKUP(Table_Query_from_Actuarial___Production3[[#This Row],[Kor1]],$AI$3:$AK$105,3,FALSE)</f>
        <v>Commissions</v>
      </c>
      <c r="AF5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6" spans="18:32" x14ac:dyDescent="0.2">
      <c r="R5706" t="s">
        <v>11</v>
      </c>
      <c r="S5706" t="s">
        <v>255</v>
      </c>
      <c r="T5706" t="s">
        <v>427</v>
      </c>
      <c r="U5706" s="21">
        <v>13701.95</v>
      </c>
      <c r="V5706" s="21" t="s">
        <v>368</v>
      </c>
      <c r="W5706" t="str">
        <f>VLOOKUP(Table_Query_from_Actuarial___Production[[#This Row],[Kor1]],$AI$3:$AK$105,3,FALSE)</f>
        <v>Losses Paid</v>
      </c>
      <c r="X5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6"/>
      <c r="Z5706" t="s">
        <v>11</v>
      </c>
      <c r="AA5706" t="s">
        <v>225</v>
      </c>
      <c r="AB5706" t="s">
        <v>433</v>
      </c>
      <c r="AC5706" s="21">
        <v>291752.09000000003</v>
      </c>
      <c r="AD5706" s="21" t="s">
        <v>368</v>
      </c>
      <c r="AE5706" t="str">
        <f>VLOOKUP(Table_Query_from_Actuarial___Production3[[#This Row],[Kor1]],$AI$3:$AK$105,3,FALSE)</f>
        <v>Losses Paid</v>
      </c>
      <c r="AF5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707" spans="18:32" x14ac:dyDescent="0.2">
      <c r="R5707" t="s">
        <v>16</v>
      </c>
      <c r="S5707" t="s">
        <v>264</v>
      </c>
      <c r="T5707" t="s">
        <v>443</v>
      </c>
      <c r="U5707" s="21">
        <v>714034.01</v>
      </c>
      <c r="V5707" s="21" t="s">
        <v>368</v>
      </c>
      <c r="W5707" t="str">
        <f>VLOOKUP(Table_Query_from_Actuarial___Production[[#This Row],[Kor1]],$AI$3:$AK$105,3,FALSE)</f>
        <v>Losses Outstanding</v>
      </c>
      <c r="X5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7"/>
      <c r="Z5707" t="s">
        <v>12</v>
      </c>
      <c r="AA5707" t="s">
        <v>231</v>
      </c>
      <c r="AB5707" t="s">
        <v>8</v>
      </c>
      <c r="AC5707" s="21">
        <v>3073.3</v>
      </c>
      <c r="AD5707" s="21" t="s">
        <v>368</v>
      </c>
      <c r="AE5707" t="str">
        <f>VLOOKUP(Table_Query_from_Actuarial___Production3[[#This Row],[Kor1]],$AI$3:$AK$105,3,FALSE)</f>
        <v>Premium Tax</v>
      </c>
      <c r="AF5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8" spans="18:32" x14ac:dyDescent="0.2">
      <c r="R5708" t="s">
        <v>39</v>
      </c>
      <c r="S5708" t="s">
        <v>248</v>
      </c>
      <c r="T5708" t="s">
        <v>427</v>
      </c>
      <c r="U5708" s="21">
        <v>2575.83</v>
      </c>
      <c r="V5708" s="21" t="s">
        <v>368</v>
      </c>
      <c r="W5708" t="str">
        <f>VLOOKUP(Table_Query_from_Actuarial___Production[[#This Row],[Kor1]],$AI$3:$AK$105,3,FALSE)</f>
        <v>Misc. Income for Insolvent Companies</v>
      </c>
      <c r="X5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8"/>
      <c r="Z5708" t="s">
        <v>31</v>
      </c>
      <c r="AA5708" t="s">
        <v>265</v>
      </c>
      <c r="AB5708" t="s">
        <v>9</v>
      </c>
      <c r="AC5708" s="21">
        <v>490.11</v>
      </c>
      <c r="AD5708" s="21" t="s">
        <v>368</v>
      </c>
      <c r="AE5708" t="str">
        <f>VLOOKUP(Table_Query_from_Actuarial___Production3[[#This Row],[Kor1]],$AI$3:$AK$105,3,FALSE)</f>
        <v>Misc. Expense</v>
      </c>
      <c r="AF5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09" spans="18:32" x14ac:dyDescent="0.2">
      <c r="R5709" t="s">
        <v>3</v>
      </c>
      <c r="S5709" t="s">
        <v>234</v>
      </c>
      <c r="T5709" t="s">
        <v>442</v>
      </c>
      <c r="U5709" s="21">
        <v>1365544</v>
      </c>
      <c r="V5709" s="21" t="s">
        <v>368</v>
      </c>
      <c r="W5709" t="str">
        <f>VLOOKUP(Table_Query_from_Actuarial___Production[[#This Row],[Kor1]],$AI$3:$AK$105,3,FALSE)</f>
        <v>Premiums Written</v>
      </c>
      <c r="X5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09"/>
      <c r="Z5709" t="s">
        <v>33</v>
      </c>
      <c r="AA5709" t="s">
        <v>262</v>
      </c>
      <c r="AB5709" t="s">
        <v>427</v>
      </c>
      <c r="AC5709" s="21">
        <v>12944.73</v>
      </c>
      <c r="AD5709" s="21" t="s">
        <v>368</v>
      </c>
      <c r="AE5709" t="str">
        <f>VLOOKUP(Table_Query_from_Actuarial___Production3[[#This Row],[Kor1]],$AI$3:$AK$105,3,FALSE)</f>
        <v>Misc. Expense</v>
      </c>
      <c r="AF5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0" spans="18:32" x14ac:dyDescent="0.2">
      <c r="R5710" t="s">
        <v>14</v>
      </c>
      <c r="S5710" t="s">
        <v>256</v>
      </c>
      <c r="T5710" t="s">
        <v>9</v>
      </c>
      <c r="U5710" s="21">
        <v>8116.45</v>
      </c>
      <c r="V5710" s="21" t="s">
        <v>368</v>
      </c>
      <c r="W5710" t="str">
        <f>VLOOKUP(Table_Query_from_Actuarial___Production[[#This Row],[Kor1]],$AI$3:$AK$105,3,FALSE)</f>
        <v>Claims Expense</v>
      </c>
      <c r="X5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0"/>
      <c r="Z5710" t="s">
        <v>10</v>
      </c>
      <c r="AA5710" t="s">
        <v>254</v>
      </c>
      <c r="AB5710" t="s">
        <v>351</v>
      </c>
      <c r="AC5710" s="21">
        <v>129110.89</v>
      </c>
      <c r="AD5710" s="21" t="s">
        <v>368</v>
      </c>
      <c r="AE5710" t="str">
        <f>VLOOKUP(Table_Query_from_Actuarial___Production3[[#This Row],[Kor1]],$AI$3:$AK$105,3,FALSE)</f>
        <v>Commissions</v>
      </c>
      <c r="AF5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1" spans="18:32" x14ac:dyDescent="0.2">
      <c r="R5711" t="s">
        <v>39</v>
      </c>
      <c r="S5711" t="s">
        <v>235</v>
      </c>
      <c r="T5711" t="s">
        <v>443</v>
      </c>
      <c r="U5711" s="21">
        <v>396.68</v>
      </c>
      <c r="V5711" s="21" t="s">
        <v>368</v>
      </c>
      <c r="W5711" t="str">
        <f>VLOOKUP(Table_Query_from_Actuarial___Production[[#This Row],[Kor1]],$AI$3:$AK$105,3,FALSE)</f>
        <v>Misc. Income for Insolvent Companies</v>
      </c>
      <c r="X5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1"/>
      <c r="Z5711" t="s">
        <v>14</v>
      </c>
      <c r="AA5711" t="s">
        <v>260</v>
      </c>
      <c r="AB5711" t="s">
        <v>443</v>
      </c>
      <c r="AC5711" s="21">
        <v>604.6</v>
      </c>
      <c r="AD5711" s="21" t="s">
        <v>368</v>
      </c>
      <c r="AE5711" t="str">
        <f>VLOOKUP(Table_Query_from_Actuarial___Production3[[#This Row],[Kor1]],$AI$3:$AK$105,3,FALSE)</f>
        <v>Claims Expense</v>
      </c>
      <c r="AF5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2" spans="18:32" x14ac:dyDescent="0.2">
      <c r="R5712" t="s">
        <v>48</v>
      </c>
      <c r="S5712" t="s">
        <v>238</v>
      </c>
      <c r="T5712" t="s">
        <v>433</v>
      </c>
      <c r="U5712" s="21">
        <v>1802.43</v>
      </c>
      <c r="V5712" s="21" t="s">
        <v>368</v>
      </c>
      <c r="W5712" t="str">
        <f>VLOOKUP(Table_Query_from_Actuarial___Production[[#This Row],[Kor1]],$AI$3:$AK$105,3,FALSE)</f>
        <v>Anticipated Salvage</v>
      </c>
      <c r="X5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2"/>
      <c r="Z5712" t="s">
        <v>3</v>
      </c>
      <c r="AA5712" t="s">
        <v>242</v>
      </c>
      <c r="AB5712" t="s">
        <v>443</v>
      </c>
      <c r="AC5712" s="21">
        <v>44168</v>
      </c>
      <c r="AD5712" s="21" t="s">
        <v>368</v>
      </c>
      <c r="AE5712" t="str">
        <f>VLOOKUP(Table_Query_from_Actuarial___Production3[[#This Row],[Kor1]],$AI$3:$AK$105,3,FALSE)</f>
        <v>Premiums Written</v>
      </c>
      <c r="AF5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3" spans="18:32" x14ac:dyDescent="0.2">
      <c r="R5713" t="s">
        <v>49</v>
      </c>
      <c r="S5713" t="s">
        <v>248</v>
      </c>
      <c r="T5713" t="s">
        <v>433</v>
      </c>
      <c r="U5713" s="21">
        <v>8596.85</v>
      </c>
      <c r="V5713" s="21" t="s">
        <v>368</v>
      </c>
      <c r="W5713" t="str">
        <f>VLOOKUP(Table_Query_from_Actuarial___Production[[#This Row],[Kor1]],$AI$3:$AK$105,3,FALSE)</f>
        <v>ALAE Paid</v>
      </c>
      <c r="X5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3"/>
      <c r="Z5713" t="s">
        <v>12</v>
      </c>
      <c r="AA5713" t="s">
        <v>4</v>
      </c>
      <c r="AB5713" t="s">
        <v>7</v>
      </c>
      <c r="AC5713" s="21">
        <v>117402.85</v>
      </c>
      <c r="AD5713" s="21" t="s">
        <v>368</v>
      </c>
      <c r="AE5713" t="str">
        <f>VLOOKUP(Table_Query_from_Actuarial___Production3[[#This Row],[Kor1]],$AI$3:$AK$105,3,FALSE)</f>
        <v>Premium Tax</v>
      </c>
      <c r="AF5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4" spans="18:32" x14ac:dyDescent="0.2">
      <c r="R5714" t="s">
        <v>13</v>
      </c>
      <c r="S5714" t="s">
        <v>247</v>
      </c>
      <c r="T5714" t="s">
        <v>433</v>
      </c>
      <c r="U5714" s="21">
        <v>915.18</v>
      </c>
      <c r="V5714" s="21" t="s">
        <v>368</v>
      </c>
      <c r="W5714" t="str">
        <f>VLOOKUP(Table_Query_from_Actuarial___Production[[#This Row],[Kor1]],$AI$3:$AK$105,3,FALSE)</f>
        <v>Operating Service Fees</v>
      </c>
      <c r="X5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4"/>
      <c r="Z5714" t="s">
        <v>31</v>
      </c>
      <c r="AA5714" t="s">
        <v>255</v>
      </c>
      <c r="AB5714" t="s">
        <v>351</v>
      </c>
      <c r="AC5714" s="21">
        <v>843.06</v>
      </c>
      <c r="AD5714" s="21" t="s">
        <v>368</v>
      </c>
      <c r="AE5714" t="str">
        <f>VLOOKUP(Table_Query_from_Actuarial___Production3[[#This Row],[Kor1]],$AI$3:$AK$105,3,FALSE)</f>
        <v>Misc. Expense</v>
      </c>
      <c r="AF5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5" spans="18:32" x14ac:dyDescent="0.2">
      <c r="R5715" t="s">
        <v>17</v>
      </c>
      <c r="S5715" t="s">
        <v>238</v>
      </c>
      <c r="T5715" t="s">
        <v>433</v>
      </c>
      <c r="U5715" s="21">
        <v>41963.14</v>
      </c>
      <c r="V5715" s="21" t="s">
        <v>368</v>
      </c>
      <c r="W5715" t="str">
        <f>VLOOKUP(Table_Query_from_Actuarial___Production[[#This Row],[Kor1]],$AI$3:$AK$105,3,FALSE)</f>
        <v>IBNR</v>
      </c>
      <c r="X5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5"/>
      <c r="Z5715" t="s">
        <v>19</v>
      </c>
      <c r="AA5715" t="s">
        <v>248</v>
      </c>
      <c r="AB5715" t="s">
        <v>433</v>
      </c>
      <c r="AC5715" s="21">
        <v>1320</v>
      </c>
      <c r="AD5715" s="21" t="s">
        <v>368</v>
      </c>
      <c r="AE5715" t="str">
        <f>VLOOKUP(Table_Query_from_Actuarial___Production3[[#This Row],[Kor1]],$AI$3:$AK$105,3,FALSE)</f>
        <v>Misc. Expense for Insolvent Companies</v>
      </c>
      <c r="AF5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6" spans="18:32" x14ac:dyDescent="0.2">
      <c r="R5716" t="s">
        <v>19</v>
      </c>
      <c r="S5716" t="s">
        <v>255</v>
      </c>
      <c r="T5716" t="s">
        <v>9</v>
      </c>
      <c r="U5716" s="21">
        <v>1248</v>
      </c>
      <c r="V5716" s="21" t="s">
        <v>368</v>
      </c>
      <c r="W5716" t="str">
        <f>VLOOKUP(Table_Query_from_Actuarial___Production[[#This Row],[Kor1]],$AI$3:$AK$105,3,FALSE)</f>
        <v>Misc. Expense for Insolvent Companies</v>
      </c>
      <c r="X5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6"/>
      <c r="Z5716" t="s">
        <v>31</v>
      </c>
      <c r="AA5716" t="s">
        <v>264</v>
      </c>
      <c r="AB5716" t="s">
        <v>8</v>
      </c>
      <c r="AC5716" s="21">
        <v>190.63</v>
      </c>
      <c r="AD5716" s="21" t="s">
        <v>368</v>
      </c>
      <c r="AE5716" t="str">
        <f>VLOOKUP(Table_Query_from_Actuarial___Production3[[#This Row],[Kor1]],$AI$3:$AK$105,3,FALSE)</f>
        <v>Misc. Expense</v>
      </c>
      <c r="AF5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7" spans="18:32" x14ac:dyDescent="0.2">
      <c r="R5717" t="s">
        <v>33</v>
      </c>
      <c r="S5717" t="s">
        <v>251</v>
      </c>
      <c r="T5717" t="s">
        <v>443</v>
      </c>
      <c r="U5717" s="21">
        <v>16519.349999999999</v>
      </c>
      <c r="V5717" s="21" t="s">
        <v>368</v>
      </c>
      <c r="W5717" t="str">
        <f>VLOOKUP(Table_Query_from_Actuarial___Production[[#This Row],[Kor1]],$AI$3:$AK$105,3,FALSE)</f>
        <v>Misc. Expense</v>
      </c>
      <c r="X5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7"/>
      <c r="Z5717" t="s">
        <v>37</v>
      </c>
      <c r="AA5717" t="s">
        <v>4</v>
      </c>
      <c r="AB5717" t="s">
        <v>441</v>
      </c>
      <c r="AC5717" s="21">
        <v>32155.63</v>
      </c>
      <c r="AD5717" s="21" t="s">
        <v>368</v>
      </c>
      <c r="AE5717" t="str">
        <f>VLOOKUP(Table_Query_from_Actuarial___Production3[[#This Row],[Kor1]],$AI$3:$AK$105,3,FALSE)</f>
        <v>Misc. Expense</v>
      </c>
      <c r="AF5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8" spans="18:32" x14ac:dyDescent="0.2">
      <c r="R5718" t="s">
        <v>39</v>
      </c>
      <c r="S5718" t="s">
        <v>239</v>
      </c>
      <c r="T5718" t="s">
        <v>351</v>
      </c>
      <c r="U5718" s="21">
        <v>51.01</v>
      </c>
      <c r="V5718" s="21" t="s">
        <v>368</v>
      </c>
      <c r="W5718" t="str">
        <f>VLOOKUP(Table_Query_from_Actuarial___Production[[#This Row],[Kor1]],$AI$3:$AK$105,3,FALSE)</f>
        <v>Misc. Income for Insolvent Companies</v>
      </c>
      <c r="X5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8"/>
      <c r="Z5718" t="s">
        <v>10</v>
      </c>
      <c r="AA5718" t="s">
        <v>256</v>
      </c>
      <c r="AB5718" t="s">
        <v>356</v>
      </c>
      <c r="AC5718" s="21">
        <v>5796.1</v>
      </c>
      <c r="AD5718" s="21" t="s">
        <v>368</v>
      </c>
      <c r="AE5718" t="str">
        <f>VLOOKUP(Table_Query_from_Actuarial___Production3[[#This Row],[Kor1]],$AI$3:$AK$105,3,FALSE)</f>
        <v>Commissions</v>
      </c>
      <c r="AF5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19" spans="18:32" x14ac:dyDescent="0.2">
      <c r="R5719" t="s">
        <v>12</v>
      </c>
      <c r="S5719" t="s">
        <v>260</v>
      </c>
      <c r="T5719" t="s">
        <v>9</v>
      </c>
      <c r="U5719" s="21">
        <v>106.53</v>
      </c>
      <c r="V5719" s="21" t="s">
        <v>368</v>
      </c>
      <c r="W5719" t="str">
        <f>VLOOKUP(Table_Query_from_Actuarial___Production[[#This Row],[Kor1]],$AI$3:$AK$105,3,FALSE)</f>
        <v>Premium Tax</v>
      </c>
      <c r="X5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19"/>
      <c r="Z5719" t="s">
        <v>11</v>
      </c>
      <c r="AA5719" t="s">
        <v>255</v>
      </c>
      <c r="AB5719" t="s">
        <v>427</v>
      </c>
      <c r="AC5719" s="21">
        <v>13701.95</v>
      </c>
      <c r="AD5719" s="21" t="s">
        <v>368</v>
      </c>
      <c r="AE5719" t="str">
        <f>VLOOKUP(Table_Query_from_Actuarial___Production3[[#This Row],[Kor1]],$AI$3:$AK$105,3,FALSE)</f>
        <v>Losses Paid</v>
      </c>
      <c r="AF5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0" spans="18:32" x14ac:dyDescent="0.2">
      <c r="R5720" t="s">
        <v>33</v>
      </c>
      <c r="S5720" t="s">
        <v>261</v>
      </c>
      <c r="T5720" t="s">
        <v>442</v>
      </c>
      <c r="U5720" s="21">
        <v>13656.7</v>
      </c>
      <c r="V5720" s="21" t="s">
        <v>368</v>
      </c>
      <c r="W5720" t="str">
        <f>VLOOKUP(Table_Query_from_Actuarial___Production[[#This Row],[Kor1]],$AI$3:$AK$105,3,FALSE)</f>
        <v>Misc. Expense</v>
      </c>
      <c r="X5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0"/>
      <c r="Z5720" t="s">
        <v>39</v>
      </c>
      <c r="AA5720" t="s">
        <v>248</v>
      </c>
      <c r="AB5720" t="s">
        <v>427</v>
      </c>
      <c r="AC5720" s="21">
        <v>2575.83</v>
      </c>
      <c r="AD5720" s="21" t="s">
        <v>368</v>
      </c>
      <c r="AE5720" t="str">
        <f>VLOOKUP(Table_Query_from_Actuarial___Production3[[#This Row],[Kor1]],$AI$3:$AK$105,3,FALSE)</f>
        <v>Misc. Income for Insolvent Companies</v>
      </c>
      <c r="AF5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1" spans="18:32" x14ac:dyDescent="0.2">
      <c r="R5721" t="s">
        <v>10</v>
      </c>
      <c r="S5721" t="s">
        <v>236</v>
      </c>
      <c r="T5721" t="s">
        <v>442</v>
      </c>
      <c r="U5721" s="21">
        <v>4933.45</v>
      </c>
      <c r="V5721" s="21" t="s">
        <v>368</v>
      </c>
      <c r="W5721" t="str">
        <f>VLOOKUP(Table_Query_from_Actuarial___Production[[#This Row],[Kor1]],$AI$3:$AK$105,3,FALSE)</f>
        <v>Commissions</v>
      </c>
      <c r="X5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1"/>
      <c r="Z5721" t="s">
        <v>3</v>
      </c>
      <c r="AA5721" t="s">
        <v>234</v>
      </c>
      <c r="AB5721" t="s">
        <v>442</v>
      </c>
      <c r="AC5721" s="21">
        <v>1336448</v>
      </c>
      <c r="AD5721" s="21" t="s">
        <v>368</v>
      </c>
      <c r="AE5721" t="str">
        <f>VLOOKUP(Table_Query_from_Actuarial___Production3[[#This Row],[Kor1]],$AI$3:$AK$105,3,FALSE)</f>
        <v>Premiums Written</v>
      </c>
      <c r="AF5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2" spans="18:32" x14ac:dyDescent="0.2">
      <c r="R5722" t="s">
        <v>39</v>
      </c>
      <c r="S5722" t="s">
        <v>235</v>
      </c>
      <c r="T5722" t="s">
        <v>6</v>
      </c>
      <c r="U5722" s="21">
        <v>6319.18</v>
      </c>
      <c r="V5722" s="21" t="s">
        <v>368</v>
      </c>
      <c r="W5722" t="str">
        <f>VLOOKUP(Table_Query_from_Actuarial___Production[[#This Row],[Kor1]],$AI$3:$AK$105,3,FALSE)</f>
        <v>Misc. Income for Insolvent Companies</v>
      </c>
      <c r="X5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2"/>
      <c r="Z5722" t="s">
        <v>14</v>
      </c>
      <c r="AA5722" t="s">
        <v>256</v>
      </c>
      <c r="AB5722" t="s">
        <v>9</v>
      </c>
      <c r="AC5722" s="21">
        <v>8116.45</v>
      </c>
      <c r="AD5722" s="21" t="s">
        <v>368</v>
      </c>
      <c r="AE5722" t="str">
        <f>VLOOKUP(Table_Query_from_Actuarial___Production3[[#This Row],[Kor1]],$AI$3:$AK$105,3,FALSE)</f>
        <v>Claims Expense</v>
      </c>
      <c r="AF5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3" spans="18:32" x14ac:dyDescent="0.2">
      <c r="R5723" t="s">
        <v>14</v>
      </c>
      <c r="S5723" t="s">
        <v>225</v>
      </c>
      <c r="T5723" t="s">
        <v>356</v>
      </c>
      <c r="U5723" s="21">
        <v>25837</v>
      </c>
      <c r="V5723" s="21" t="s">
        <v>369</v>
      </c>
      <c r="W5723" t="str">
        <f>VLOOKUP(Table_Query_from_Actuarial___Production[[#This Row],[Kor1]],$AI$3:$AK$105,3,FALSE)</f>
        <v>Claims Expense</v>
      </c>
      <c r="X5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723"/>
      <c r="Z5723" t="s">
        <v>31</v>
      </c>
      <c r="AA5723" t="s">
        <v>241</v>
      </c>
      <c r="AB5723" t="s">
        <v>5</v>
      </c>
      <c r="AC5723" s="21">
        <v>6</v>
      </c>
      <c r="AD5723" s="21" t="s">
        <v>368</v>
      </c>
      <c r="AE5723" t="str">
        <f>VLOOKUP(Table_Query_from_Actuarial___Production3[[#This Row],[Kor1]],$AI$3:$AK$105,3,FALSE)</f>
        <v>Misc. Expense</v>
      </c>
      <c r="AF5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4" spans="18:32" x14ac:dyDescent="0.2">
      <c r="R5724" t="s">
        <v>14</v>
      </c>
      <c r="S5724" t="s">
        <v>253</v>
      </c>
      <c r="T5724" t="s">
        <v>356</v>
      </c>
      <c r="U5724" s="21">
        <v>2773.27</v>
      </c>
      <c r="V5724" s="21" t="s">
        <v>368</v>
      </c>
      <c r="W5724" t="str">
        <f>VLOOKUP(Table_Query_from_Actuarial___Production[[#This Row],[Kor1]],$AI$3:$AK$105,3,FALSE)</f>
        <v>Claims Expense</v>
      </c>
      <c r="X5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4"/>
      <c r="Z5724" t="s">
        <v>39</v>
      </c>
      <c r="AA5724" t="s">
        <v>235</v>
      </c>
      <c r="AB5724" t="s">
        <v>443</v>
      </c>
      <c r="AC5724" s="21">
        <v>396.68</v>
      </c>
      <c r="AD5724" s="21" t="s">
        <v>368</v>
      </c>
      <c r="AE5724" t="str">
        <f>VLOOKUP(Table_Query_from_Actuarial___Production3[[#This Row],[Kor1]],$AI$3:$AK$105,3,FALSE)</f>
        <v>Misc. Income for Insolvent Companies</v>
      </c>
      <c r="AF5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5" spans="18:32" x14ac:dyDescent="0.2">
      <c r="R5725" t="s">
        <v>10</v>
      </c>
      <c r="S5725" t="s">
        <v>249</v>
      </c>
      <c r="T5725" t="s">
        <v>9</v>
      </c>
      <c r="U5725" s="21">
        <v>31721.66</v>
      </c>
      <c r="V5725" s="21" t="s">
        <v>368</v>
      </c>
      <c r="W5725" t="str">
        <f>VLOOKUP(Table_Query_from_Actuarial___Production[[#This Row],[Kor1]],$AI$3:$AK$105,3,FALSE)</f>
        <v>Commissions</v>
      </c>
      <c r="X5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5"/>
      <c r="Z5725" t="s">
        <v>48</v>
      </c>
      <c r="AA5725" t="s">
        <v>238</v>
      </c>
      <c r="AB5725" t="s">
        <v>433</v>
      </c>
      <c r="AC5725" s="21">
        <v>2235.64</v>
      </c>
      <c r="AD5725" s="21" t="s">
        <v>368</v>
      </c>
      <c r="AE5725" t="str">
        <f>VLOOKUP(Table_Query_from_Actuarial___Production3[[#This Row],[Kor1]],$AI$3:$AK$105,3,FALSE)</f>
        <v>Anticipated Salvage</v>
      </c>
      <c r="AF5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6" spans="18:32" x14ac:dyDescent="0.2">
      <c r="R5726" t="s">
        <v>12</v>
      </c>
      <c r="S5726" t="s">
        <v>4</v>
      </c>
      <c r="T5726" t="s">
        <v>433</v>
      </c>
      <c r="U5726" s="21">
        <v>962240.68</v>
      </c>
      <c r="V5726" s="21" t="s">
        <v>368</v>
      </c>
      <c r="W5726" t="str">
        <f>VLOOKUP(Table_Query_from_Actuarial___Production[[#This Row],[Kor1]],$AI$3:$AK$105,3,FALSE)</f>
        <v>Premium Tax</v>
      </c>
      <c r="X5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6"/>
      <c r="Z5726" t="s">
        <v>49</v>
      </c>
      <c r="AA5726" t="s">
        <v>248</v>
      </c>
      <c r="AB5726" t="s">
        <v>433</v>
      </c>
      <c r="AC5726" s="21">
        <v>8596.85</v>
      </c>
      <c r="AD5726" s="21" t="s">
        <v>368</v>
      </c>
      <c r="AE5726" t="str">
        <f>VLOOKUP(Table_Query_from_Actuarial___Production3[[#This Row],[Kor1]],$AI$3:$AK$105,3,FALSE)</f>
        <v>ALAE Paid</v>
      </c>
      <c r="AF5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7" spans="18:32" x14ac:dyDescent="0.2">
      <c r="R5727" t="s">
        <v>13</v>
      </c>
      <c r="S5727" t="s">
        <v>244</v>
      </c>
      <c r="T5727" t="s">
        <v>351</v>
      </c>
      <c r="U5727" s="21">
        <v>261770.07</v>
      </c>
      <c r="V5727" s="21" t="s">
        <v>368</v>
      </c>
      <c r="W5727" t="str">
        <f>VLOOKUP(Table_Query_from_Actuarial___Production[[#This Row],[Kor1]],$AI$3:$AK$105,3,FALSE)</f>
        <v>Operating Service Fees</v>
      </c>
      <c r="X5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7"/>
      <c r="Z5727" t="s">
        <v>13</v>
      </c>
      <c r="AA5727" t="s">
        <v>247</v>
      </c>
      <c r="AB5727" t="s">
        <v>433</v>
      </c>
      <c r="AC5727" s="21">
        <v>915.18</v>
      </c>
      <c r="AD5727" s="21" t="s">
        <v>368</v>
      </c>
      <c r="AE5727" t="str">
        <f>VLOOKUP(Table_Query_from_Actuarial___Production3[[#This Row],[Kor1]],$AI$3:$AK$105,3,FALSE)</f>
        <v>Operating Service Fees</v>
      </c>
      <c r="AF5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8" spans="18:32" x14ac:dyDescent="0.2">
      <c r="R5728" t="s">
        <v>40</v>
      </c>
      <c r="S5728" t="s">
        <v>237</v>
      </c>
      <c r="T5728" t="s">
        <v>445</v>
      </c>
      <c r="U5728" s="21">
        <v>-7833.83</v>
      </c>
      <c r="V5728" s="21" t="s">
        <v>368</v>
      </c>
      <c r="W5728" t="str">
        <f>VLOOKUP(Table_Query_from_Actuarial___Production[[#This Row],[Kor1]],$AI$3:$AK$105,3,FALSE)</f>
        <v>Misc. Income</v>
      </c>
      <c r="X5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8"/>
      <c r="Z5728" t="s">
        <v>17</v>
      </c>
      <c r="AA5728" t="s">
        <v>230</v>
      </c>
      <c r="AB5728" t="s">
        <v>6</v>
      </c>
      <c r="AC5728" s="21">
        <v>750000</v>
      </c>
      <c r="AD5728" s="21" t="s">
        <v>368</v>
      </c>
      <c r="AE5728" t="str">
        <f>VLOOKUP(Table_Query_from_Actuarial___Production3[[#This Row],[Kor1]],$AI$3:$AK$105,3,FALSE)</f>
        <v>IBNR</v>
      </c>
      <c r="AF5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29" spans="18:32" x14ac:dyDescent="0.2">
      <c r="R5729" t="s">
        <v>44</v>
      </c>
      <c r="S5729" t="s">
        <v>231</v>
      </c>
      <c r="T5729" t="s">
        <v>442</v>
      </c>
      <c r="U5729" s="21">
        <v>7939.48</v>
      </c>
      <c r="V5729" s="21" t="s">
        <v>368</v>
      </c>
      <c r="W5729" t="str">
        <f>VLOOKUP(Table_Query_from_Actuarial___Production[[#This Row],[Kor1]],$AI$3:$AK$105,3,FALSE)</f>
        <v>Charge-offs</v>
      </c>
      <c r="X5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29"/>
      <c r="Z5729" t="s">
        <v>17</v>
      </c>
      <c r="AA5729" t="s">
        <v>238</v>
      </c>
      <c r="AB5729" t="s">
        <v>433</v>
      </c>
      <c r="AC5729" s="21">
        <v>57464.99</v>
      </c>
      <c r="AD5729" s="21" t="s">
        <v>368</v>
      </c>
      <c r="AE5729" t="str">
        <f>VLOOKUP(Table_Query_from_Actuarial___Production3[[#This Row],[Kor1]],$AI$3:$AK$105,3,FALSE)</f>
        <v>IBNR</v>
      </c>
      <c r="AF5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0" spans="18:32" x14ac:dyDescent="0.2">
      <c r="R5730" t="s">
        <v>39</v>
      </c>
      <c r="S5730" t="s">
        <v>247</v>
      </c>
      <c r="T5730" t="s">
        <v>441</v>
      </c>
      <c r="U5730" s="21">
        <v>427.46</v>
      </c>
      <c r="V5730" s="21" t="s">
        <v>368</v>
      </c>
      <c r="W5730" t="str">
        <f>VLOOKUP(Table_Query_from_Actuarial___Production[[#This Row],[Kor1]],$AI$3:$AK$105,3,FALSE)</f>
        <v>Misc. Income for Insolvent Companies</v>
      </c>
      <c r="X5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0"/>
      <c r="Z5730" t="s">
        <v>19</v>
      </c>
      <c r="AA5730" t="s">
        <v>255</v>
      </c>
      <c r="AB5730" t="s">
        <v>9</v>
      </c>
      <c r="AC5730" s="21">
        <v>1248</v>
      </c>
      <c r="AD5730" s="21" t="s">
        <v>368</v>
      </c>
      <c r="AE5730" t="str">
        <f>VLOOKUP(Table_Query_from_Actuarial___Production3[[#This Row],[Kor1]],$AI$3:$AK$105,3,FALSE)</f>
        <v>Misc. Expense for Insolvent Companies</v>
      </c>
      <c r="AF5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1" spans="18:32" x14ac:dyDescent="0.2">
      <c r="R5731" t="s">
        <v>43</v>
      </c>
      <c r="S5731" t="s">
        <v>250</v>
      </c>
      <c r="T5731" t="s">
        <v>427</v>
      </c>
      <c r="U5731" s="21">
        <v>-133.38</v>
      </c>
      <c r="V5731" s="21" t="s">
        <v>368</v>
      </c>
      <c r="W5731" t="str">
        <f>VLOOKUP(Table_Query_from_Actuarial___Production[[#This Row],[Kor1]],$AI$3:$AK$105,3,FALSE)</f>
        <v>Charge-offs</v>
      </c>
      <c r="X5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1"/>
      <c r="Z5731" t="s">
        <v>33</v>
      </c>
      <c r="AA5731" t="s">
        <v>251</v>
      </c>
      <c r="AB5731" t="s">
        <v>443</v>
      </c>
      <c r="AC5731" s="21">
        <v>8535.25</v>
      </c>
      <c r="AD5731" s="21" t="s">
        <v>368</v>
      </c>
      <c r="AE5731" t="str">
        <f>VLOOKUP(Table_Query_from_Actuarial___Production3[[#This Row],[Kor1]],$AI$3:$AK$105,3,FALSE)</f>
        <v>Misc. Expense</v>
      </c>
      <c r="AF5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2" spans="18:32" x14ac:dyDescent="0.2">
      <c r="R5732" t="s">
        <v>44</v>
      </c>
      <c r="S5732" t="s">
        <v>224</v>
      </c>
      <c r="T5732" t="s">
        <v>8</v>
      </c>
      <c r="U5732" s="21">
        <v>2032.02</v>
      </c>
      <c r="V5732" s="21" t="s">
        <v>369</v>
      </c>
      <c r="W5732" t="str">
        <f>VLOOKUP(Table_Query_from_Actuarial___Production[[#This Row],[Kor1]],$AI$3:$AK$105,3,FALSE)</f>
        <v>Charge-offs</v>
      </c>
      <c r="X5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732"/>
      <c r="Z5732" t="s">
        <v>39</v>
      </c>
      <c r="AA5732" t="s">
        <v>239</v>
      </c>
      <c r="AB5732" t="s">
        <v>351</v>
      </c>
      <c r="AC5732" s="21">
        <v>51.01</v>
      </c>
      <c r="AD5732" s="21" t="s">
        <v>368</v>
      </c>
      <c r="AE5732" t="str">
        <f>VLOOKUP(Table_Query_from_Actuarial___Production3[[#This Row],[Kor1]],$AI$3:$AK$105,3,FALSE)</f>
        <v>Misc. Income for Insolvent Companies</v>
      </c>
      <c r="AF5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3" spans="18:32" x14ac:dyDescent="0.2">
      <c r="R5733" t="s">
        <v>14</v>
      </c>
      <c r="S5733" t="s">
        <v>231</v>
      </c>
      <c r="T5733" t="s">
        <v>427</v>
      </c>
      <c r="U5733" s="21">
        <v>86740.58</v>
      </c>
      <c r="V5733" s="21" t="s">
        <v>368</v>
      </c>
      <c r="W5733" t="str">
        <f>VLOOKUP(Table_Query_from_Actuarial___Production[[#This Row],[Kor1]],$AI$3:$AK$105,3,FALSE)</f>
        <v>Claims Expense</v>
      </c>
      <c r="X5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3"/>
      <c r="Z5733" t="s">
        <v>12</v>
      </c>
      <c r="AA5733" t="s">
        <v>260</v>
      </c>
      <c r="AB5733" t="s">
        <v>9</v>
      </c>
      <c r="AC5733" s="21">
        <v>106.53</v>
      </c>
      <c r="AD5733" s="21" t="s">
        <v>368</v>
      </c>
      <c r="AE5733" t="str">
        <f>VLOOKUP(Table_Query_from_Actuarial___Production3[[#This Row],[Kor1]],$AI$3:$AK$105,3,FALSE)</f>
        <v>Premium Tax</v>
      </c>
      <c r="AF5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4" spans="18:32" x14ac:dyDescent="0.2">
      <c r="R5734" t="s">
        <v>26</v>
      </c>
      <c r="S5734" t="s">
        <v>259</v>
      </c>
      <c r="T5734" t="s">
        <v>7</v>
      </c>
      <c r="U5734" s="21">
        <v>6185.83</v>
      </c>
      <c r="V5734" s="21" t="s">
        <v>368</v>
      </c>
      <c r="W5734" t="str">
        <f>VLOOKUP(Table_Query_from_Actuarial___Production[[#This Row],[Kor1]],$AI$3:$AK$105,3,FALSE)</f>
        <v>Misc. Expense</v>
      </c>
      <c r="X5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4"/>
      <c r="Z5734" t="s">
        <v>33</v>
      </c>
      <c r="AA5734" t="s">
        <v>261</v>
      </c>
      <c r="AB5734" t="s">
        <v>442</v>
      </c>
      <c r="AC5734" s="21">
        <v>13656.7</v>
      </c>
      <c r="AD5734" s="21" t="s">
        <v>368</v>
      </c>
      <c r="AE5734" t="str">
        <f>VLOOKUP(Table_Query_from_Actuarial___Production3[[#This Row],[Kor1]],$AI$3:$AK$105,3,FALSE)</f>
        <v>Misc. Expense</v>
      </c>
      <c r="AF5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5" spans="18:32" x14ac:dyDescent="0.2">
      <c r="R5735" t="s">
        <v>48</v>
      </c>
      <c r="S5735" t="s">
        <v>239</v>
      </c>
      <c r="T5735" t="s">
        <v>427</v>
      </c>
      <c r="U5735" s="21">
        <v>7965.13</v>
      </c>
      <c r="V5735" s="21" t="s">
        <v>368</v>
      </c>
      <c r="W5735" t="str">
        <f>VLOOKUP(Table_Query_from_Actuarial___Production[[#This Row],[Kor1]],$AI$3:$AK$105,3,FALSE)</f>
        <v>Anticipated Salvage</v>
      </c>
      <c r="X5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5"/>
      <c r="Z5735" t="s">
        <v>10</v>
      </c>
      <c r="AA5735" t="s">
        <v>236</v>
      </c>
      <c r="AB5735" t="s">
        <v>442</v>
      </c>
      <c r="AC5735" s="21">
        <v>6123</v>
      </c>
      <c r="AD5735" s="21" t="s">
        <v>368</v>
      </c>
      <c r="AE5735" t="str">
        <f>VLOOKUP(Table_Query_from_Actuarial___Production3[[#This Row],[Kor1]],$AI$3:$AK$105,3,FALSE)</f>
        <v>Commissions</v>
      </c>
      <c r="AF5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6" spans="18:32" x14ac:dyDescent="0.2">
      <c r="R5736" t="s">
        <v>12</v>
      </c>
      <c r="S5736" t="s">
        <v>237</v>
      </c>
      <c r="T5736" t="s">
        <v>433</v>
      </c>
      <c r="U5736" s="21">
        <v>1044389.28</v>
      </c>
      <c r="V5736" s="21" t="s">
        <v>368</v>
      </c>
      <c r="W5736" t="str">
        <f>VLOOKUP(Table_Query_from_Actuarial___Production[[#This Row],[Kor1]],$AI$3:$AK$105,3,FALSE)</f>
        <v>Premium Tax</v>
      </c>
      <c r="X5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6"/>
      <c r="Z5736" t="s">
        <v>39</v>
      </c>
      <c r="AA5736" t="s">
        <v>235</v>
      </c>
      <c r="AB5736" t="s">
        <v>6</v>
      </c>
      <c r="AC5736" s="21">
        <v>6319.18</v>
      </c>
      <c r="AD5736" s="21" t="s">
        <v>368</v>
      </c>
      <c r="AE5736" t="str">
        <f>VLOOKUP(Table_Query_from_Actuarial___Production3[[#This Row],[Kor1]],$AI$3:$AK$105,3,FALSE)</f>
        <v>Misc. Income for Insolvent Companies</v>
      </c>
      <c r="AF5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7" spans="18:32" x14ac:dyDescent="0.2">
      <c r="R5737" t="s">
        <v>12</v>
      </c>
      <c r="S5737" t="s">
        <v>250</v>
      </c>
      <c r="T5737" t="s">
        <v>351</v>
      </c>
      <c r="U5737" s="21">
        <v>22863.9</v>
      </c>
      <c r="V5737" s="21" t="s">
        <v>368</v>
      </c>
      <c r="W5737" t="str">
        <f>VLOOKUP(Table_Query_from_Actuarial___Production[[#This Row],[Kor1]],$AI$3:$AK$105,3,FALSE)</f>
        <v>Premium Tax</v>
      </c>
      <c r="X5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7"/>
      <c r="Z5737" t="s">
        <v>48</v>
      </c>
      <c r="AA5737" t="s">
        <v>267</v>
      </c>
      <c r="AB5737" t="s">
        <v>356</v>
      </c>
      <c r="AC5737" s="21">
        <v>190.97</v>
      </c>
      <c r="AD5737" s="21" t="s">
        <v>368</v>
      </c>
      <c r="AE5737" t="str">
        <f>VLOOKUP(Table_Query_from_Actuarial___Production3[[#This Row],[Kor1]],$AI$3:$AK$105,3,FALSE)</f>
        <v>Anticipated Salvage</v>
      </c>
      <c r="AF5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8" spans="18:32" x14ac:dyDescent="0.2">
      <c r="R5738" t="s">
        <v>14</v>
      </c>
      <c r="S5738" t="s">
        <v>252</v>
      </c>
      <c r="T5738" t="s">
        <v>8</v>
      </c>
      <c r="U5738" s="21">
        <v>1969639.62</v>
      </c>
      <c r="V5738" s="21" t="s">
        <v>368</v>
      </c>
      <c r="W5738" t="str">
        <f>VLOOKUP(Table_Query_from_Actuarial___Production[[#This Row],[Kor1]],$AI$3:$AK$105,3,FALSE)</f>
        <v>Claims Expense</v>
      </c>
      <c r="X5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8"/>
      <c r="Z5738" t="s">
        <v>50</v>
      </c>
      <c r="AA5738" t="s">
        <v>258</v>
      </c>
      <c r="AB5738" t="s">
        <v>351</v>
      </c>
      <c r="AC5738" s="21">
        <v>10793.46</v>
      </c>
      <c r="AD5738" s="21" t="s">
        <v>368</v>
      </c>
      <c r="AE5738" t="str">
        <f>VLOOKUP(Table_Query_from_Actuarial___Production3[[#This Row],[Kor1]],$AI$3:$AK$105,3,FALSE)</f>
        <v>ALAE Reserve</v>
      </c>
      <c r="AF5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39" spans="18:32" x14ac:dyDescent="0.2">
      <c r="R5739" t="s">
        <v>33</v>
      </c>
      <c r="S5739" t="s">
        <v>251</v>
      </c>
      <c r="T5739" t="s">
        <v>7</v>
      </c>
      <c r="U5739" s="21">
        <v>13551.73</v>
      </c>
      <c r="V5739" s="21" t="s">
        <v>368</v>
      </c>
      <c r="W5739" t="str">
        <f>VLOOKUP(Table_Query_from_Actuarial___Production[[#This Row],[Kor1]],$AI$3:$AK$105,3,FALSE)</f>
        <v>Misc. Expense</v>
      </c>
      <c r="X5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39"/>
      <c r="Z5739" t="s">
        <v>14</v>
      </c>
      <c r="AA5739" t="s">
        <v>225</v>
      </c>
      <c r="AB5739" t="s">
        <v>356</v>
      </c>
      <c r="AC5739" s="21">
        <v>25891</v>
      </c>
      <c r="AD5739" s="21" t="s">
        <v>369</v>
      </c>
      <c r="AE5739" t="str">
        <f>VLOOKUP(Table_Query_from_Actuarial___Production3[[#This Row],[Kor1]],$AI$3:$AK$105,3,FALSE)</f>
        <v>Claims Expense</v>
      </c>
      <c r="AF5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740" spans="18:32" x14ac:dyDescent="0.2">
      <c r="R5740" t="s">
        <v>16</v>
      </c>
      <c r="S5740" t="s">
        <v>4</v>
      </c>
      <c r="T5740" t="s">
        <v>7</v>
      </c>
      <c r="U5740" s="21">
        <v>239202.69</v>
      </c>
      <c r="V5740" s="21" t="s">
        <v>368</v>
      </c>
      <c r="W5740" t="str">
        <f>VLOOKUP(Table_Query_from_Actuarial___Production[[#This Row],[Kor1]],$AI$3:$AK$105,3,FALSE)</f>
        <v>Losses Outstanding</v>
      </c>
      <c r="X5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0"/>
      <c r="Z5740" t="s">
        <v>14</v>
      </c>
      <c r="AA5740" t="s">
        <v>253</v>
      </c>
      <c r="AB5740" t="s">
        <v>356</v>
      </c>
      <c r="AC5740" s="21">
        <v>2773.27</v>
      </c>
      <c r="AD5740" s="21" t="s">
        <v>368</v>
      </c>
      <c r="AE5740" t="str">
        <f>VLOOKUP(Table_Query_from_Actuarial___Production3[[#This Row],[Kor1]],$AI$3:$AK$105,3,FALSE)</f>
        <v>Claims Expense</v>
      </c>
      <c r="AF5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1" spans="18:32" x14ac:dyDescent="0.2">
      <c r="R5741" t="s">
        <v>41</v>
      </c>
      <c r="S5741" t="s">
        <v>248</v>
      </c>
      <c r="T5741" t="s">
        <v>351</v>
      </c>
      <c r="U5741" s="21">
        <v>100</v>
      </c>
      <c r="V5741" s="21" t="s">
        <v>368</v>
      </c>
      <c r="W5741" t="str">
        <f>VLOOKUP(Table_Query_from_Actuarial___Production[[#This Row],[Kor1]],$AI$3:$AK$105,3,FALSE)</f>
        <v>Misc. Income</v>
      </c>
      <c r="X5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1"/>
      <c r="Z5741" t="s">
        <v>10</v>
      </c>
      <c r="AA5741" t="s">
        <v>249</v>
      </c>
      <c r="AB5741" t="s">
        <v>9</v>
      </c>
      <c r="AC5741" s="21">
        <v>31721.66</v>
      </c>
      <c r="AD5741" s="21" t="s">
        <v>368</v>
      </c>
      <c r="AE5741" t="str">
        <f>VLOOKUP(Table_Query_from_Actuarial___Production3[[#This Row],[Kor1]],$AI$3:$AK$105,3,FALSE)</f>
        <v>Commissions</v>
      </c>
      <c r="AF5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2" spans="18:32" x14ac:dyDescent="0.2">
      <c r="R5742" t="s">
        <v>47</v>
      </c>
      <c r="S5742" t="s">
        <v>245</v>
      </c>
      <c r="T5742" t="s">
        <v>443</v>
      </c>
      <c r="U5742" s="21">
        <v>1195.56</v>
      </c>
      <c r="V5742" s="21" t="s">
        <v>368</v>
      </c>
      <c r="W5742" t="str">
        <f>VLOOKUP(Table_Query_from_Actuarial___Production[[#This Row],[Kor1]],$AI$3:$AK$105,3,FALSE)</f>
        <v>Investment Income</v>
      </c>
      <c r="X5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2"/>
      <c r="Z5742" t="s">
        <v>12</v>
      </c>
      <c r="AA5742" t="s">
        <v>4</v>
      </c>
      <c r="AB5742" t="s">
        <v>433</v>
      </c>
      <c r="AC5742" s="21">
        <v>962382.57</v>
      </c>
      <c r="AD5742" s="21" t="s">
        <v>368</v>
      </c>
      <c r="AE5742" t="str">
        <f>VLOOKUP(Table_Query_from_Actuarial___Production3[[#This Row],[Kor1]],$AI$3:$AK$105,3,FALSE)</f>
        <v>Premium Tax</v>
      </c>
      <c r="AF5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3" spans="18:32" x14ac:dyDescent="0.2">
      <c r="R5743" t="s">
        <v>47</v>
      </c>
      <c r="S5743" t="s">
        <v>265</v>
      </c>
      <c r="T5743" t="s">
        <v>351</v>
      </c>
      <c r="U5743" s="21">
        <v>1064.96</v>
      </c>
      <c r="V5743" s="21" t="s">
        <v>368</v>
      </c>
      <c r="W5743" t="str">
        <f>VLOOKUP(Table_Query_from_Actuarial___Production[[#This Row],[Kor1]],$AI$3:$AK$105,3,FALSE)</f>
        <v>Investment Income</v>
      </c>
      <c r="X5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3"/>
      <c r="Z5743" t="s">
        <v>13</v>
      </c>
      <c r="AA5743" t="s">
        <v>244</v>
      </c>
      <c r="AB5743" t="s">
        <v>351</v>
      </c>
      <c r="AC5743" s="21">
        <v>261770.07</v>
      </c>
      <c r="AD5743" s="21" t="s">
        <v>368</v>
      </c>
      <c r="AE5743" t="str">
        <f>VLOOKUP(Table_Query_from_Actuarial___Production3[[#This Row],[Kor1]],$AI$3:$AK$105,3,FALSE)</f>
        <v>Operating Service Fees</v>
      </c>
      <c r="AF5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4" spans="18:32" x14ac:dyDescent="0.2">
      <c r="R5744" t="s">
        <v>21</v>
      </c>
      <c r="S5744" t="s">
        <v>250</v>
      </c>
      <c r="T5744" t="s">
        <v>356</v>
      </c>
      <c r="U5744" s="21">
        <v>481.99</v>
      </c>
      <c r="V5744" s="21" t="s">
        <v>368</v>
      </c>
      <c r="W5744" t="str">
        <f>VLOOKUP(Table_Query_from_Actuarial___Production[[#This Row],[Kor1]],$AI$3:$AK$105,3,FALSE)</f>
        <v>Misc. Expense</v>
      </c>
      <c r="X5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4"/>
      <c r="Z5744" t="s">
        <v>44</v>
      </c>
      <c r="AA5744" t="s">
        <v>231</v>
      </c>
      <c r="AB5744" t="s">
        <v>442</v>
      </c>
      <c r="AC5744" s="21">
        <v>406.48</v>
      </c>
      <c r="AD5744" s="21" t="s">
        <v>368</v>
      </c>
      <c r="AE5744" t="str">
        <f>VLOOKUP(Table_Query_from_Actuarial___Production3[[#This Row],[Kor1]],$AI$3:$AK$105,3,FALSE)</f>
        <v>Charge-offs</v>
      </c>
      <c r="AF5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5" spans="18:32" x14ac:dyDescent="0.2">
      <c r="R5745" t="s">
        <v>40</v>
      </c>
      <c r="S5745" t="s">
        <v>237</v>
      </c>
      <c r="T5745" t="s">
        <v>6</v>
      </c>
      <c r="U5745" s="21">
        <v>568.97</v>
      </c>
      <c r="V5745" s="21" t="s">
        <v>368</v>
      </c>
      <c r="W5745" t="str">
        <f>VLOOKUP(Table_Query_from_Actuarial___Production[[#This Row],[Kor1]],$AI$3:$AK$105,3,FALSE)</f>
        <v>Misc. Income</v>
      </c>
      <c r="X5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5"/>
      <c r="Z5745" t="s">
        <v>20</v>
      </c>
      <c r="AA5745" t="s">
        <v>248</v>
      </c>
      <c r="AB5745" t="s">
        <v>5</v>
      </c>
      <c r="AC5745" s="21">
        <v>3.93</v>
      </c>
      <c r="AD5745" s="21" t="s">
        <v>368</v>
      </c>
      <c r="AE5745" t="str">
        <f>VLOOKUP(Table_Query_from_Actuarial___Production3[[#This Row],[Kor1]],$AI$3:$AK$105,3,FALSE)</f>
        <v>Misc. Expense</v>
      </c>
      <c r="AF5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6" spans="18:32" x14ac:dyDescent="0.2">
      <c r="R5746" t="s">
        <v>17</v>
      </c>
      <c r="S5746" t="s">
        <v>258</v>
      </c>
      <c r="T5746" t="s">
        <v>441</v>
      </c>
      <c r="U5746" s="21">
        <v>252925.5</v>
      </c>
      <c r="V5746" s="21" t="s">
        <v>368</v>
      </c>
      <c r="W5746" t="str">
        <f>VLOOKUP(Table_Query_from_Actuarial___Production[[#This Row],[Kor1]],$AI$3:$AK$105,3,FALSE)</f>
        <v>IBNR</v>
      </c>
      <c r="X5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6"/>
      <c r="Z5746" t="s">
        <v>39</v>
      </c>
      <c r="AA5746" t="s">
        <v>247</v>
      </c>
      <c r="AB5746" t="s">
        <v>441</v>
      </c>
      <c r="AC5746" s="21">
        <v>427.46</v>
      </c>
      <c r="AD5746" s="21" t="s">
        <v>368</v>
      </c>
      <c r="AE5746" t="str">
        <f>VLOOKUP(Table_Query_from_Actuarial___Production3[[#This Row],[Kor1]],$AI$3:$AK$105,3,FALSE)</f>
        <v>Misc. Income for Insolvent Companies</v>
      </c>
      <c r="AF5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7" spans="18:32" x14ac:dyDescent="0.2">
      <c r="R5747" t="s">
        <v>3</v>
      </c>
      <c r="S5747" t="s">
        <v>238</v>
      </c>
      <c r="T5747" t="s">
        <v>445</v>
      </c>
      <c r="U5747" s="21">
        <v>1625747</v>
      </c>
      <c r="V5747" s="21" t="s">
        <v>368</v>
      </c>
      <c r="W5747" t="str">
        <f>VLOOKUP(Table_Query_from_Actuarial___Production[[#This Row],[Kor1]],$AI$3:$AK$105,3,FALSE)</f>
        <v>Premiums Written</v>
      </c>
      <c r="X5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7"/>
      <c r="Z5747" t="s">
        <v>43</v>
      </c>
      <c r="AA5747" t="s">
        <v>250</v>
      </c>
      <c r="AB5747" t="s">
        <v>427</v>
      </c>
      <c r="AC5747" s="21">
        <v>-133.38</v>
      </c>
      <c r="AD5747" s="21" t="s">
        <v>368</v>
      </c>
      <c r="AE5747" t="str">
        <f>VLOOKUP(Table_Query_from_Actuarial___Production3[[#This Row],[Kor1]],$AI$3:$AK$105,3,FALSE)</f>
        <v>Charge-offs</v>
      </c>
      <c r="AF5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48" spans="18:32" x14ac:dyDescent="0.2">
      <c r="R5748" t="s">
        <v>13</v>
      </c>
      <c r="S5748" t="s">
        <v>234</v>
      </c>
      <c r="T5748" t="s">
        <v>7</v>
      </c>
      <c r="U5748" s="21">
        <v>151962.06</v>
      </c>
      <c r="V5748" s="21" t="s">
        <v>368</v>
      </c>
      <c r="W5748" t="str">
        <f>VLOOKUP(Table_Query_from_Actuarial___Production[[#This Row],[Kor1]],$AI$3:$AK$105,3,FALSE)</f>
        <v>Operating Service Fees</v>
      </c>
      <c r="X5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8"/>
      <c r="Z5748" t="s">
        <v>44</v>
      </c>
      <c r="AA5748" t="s">
        <v>224</v>
      </c>
      <c r="AB5748" t="s">
        <v>8</v>
      </c>
      <c r="AC5748" s="21">
        <v>2032.02</v>
      </c>
      <c r="AD5748" s="21" t="s">
        <v>369</v>
      </c>
      <c r="AE5748" t="str">
        <f>VLOOKUP(Table_Query_from_Actuarial___Production3[[#This Row],[Kor1]],$AI$3:$AK$105,3,FALSE)</f>
        <v>Charge-offs</v>
      </c>
      <c r="AF5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749" spans="18:32" x14ac:dyDescent="0.2">
      <c r="R5749" t="s">
        <v>20</v>
      </c>
      <c r="S5749" t="s">
        <v>266</v>
      </c>
      <c r="T5749" t="s">
        <v>9</v>
      </c>
      <c r="U5749" s="21">
        <v>216.52</v>
      </c>
      <c r="V5749" s="21" t="s">
        <v>368</v>
      </c>
      <c r="W5749" t="str">
        <f>VLOOKUP(Table_Query_from_Actuarial___Production[[#This Row],[Kor1]],$AI$3:$AK$105,3,FALSE)</f>
        <v>Misc. Expense</v>
      </c>
      <c r="X5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49"/>
      <c r="Z5749" t="s">
        <v>14</v>
      </c>
      <c r="AA5749" t="s">
        <v>231</v>
      </c>
      <c r="AB5749" t="s">
        <v>427</v>
      </c>
      <c r="AC5749" s="21">
        <v>86740.58</v>
      </c>
      <c r="AD5749" s="21" t="s">
        <v>368</v>
      </c>
      <c r="AE5749" t="str">
        <f>VLOOKUP(Table_Query_from_Actuarial___Production3[[#This Row],[Kor1]],$AI$3:$AK$105,3,FALSE)</f>
        <v>Claims Expense</v>
      </c>
      <c r="AF5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0" spans="18:32" x14ac:dyDescent="0.2">
      <c r="R5750" t="s">
        <v>11</v>
      </c>
      <c r="S5750" t="s">
        <v>262</v>
      </c>
      <c r="T5750" t="s">
        <v>356</v>
      </c>
      <c r="U5750" s="21">
        <v>12340.63</v>
      </c>
      <c r="V5750" s="21" t="s">
        <v>368</v>
      </c>
      <c r="W5750" t="str">
        <f>VLOOKUP(Table_Query_from_Actuarial___Production[[#This Row],[Kor1]],$AI$3:$AK$105,3,FALSE)</f>
        <v>Losses Paid</v>
      </c>
      <c r="X5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0"/>
      <c r="Z5750" t="s">
        <v>26</v>
      </c>
      <c r="AA5750" t="s">
        <v>259</v>
      </c>
      <c r="AB5750" t="s">
        <v>7</v>
      </c>
      <c r="AC5750" s="21">
        <v>6185.83</v>
      </c>
      <c r="AD5750" s="21" t="s">
        <v>368</v>
      </c>
      <c r="AE5750" t="str">
        <f>VLOOKUP(Table_Query_from_Actuarial___Production3[[#This Row],[Kor1]],$AI$3:$AK$105,3,FALSE)</f>
        <v>Misc. Expense</v>
      </c>
      <c r="AF5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1" spans="18:32" x14ac:dyDescent="0.2">
      <c r="R5751" t="s">
        <v>10</v>
      </c>
      <c r="S5751" t="s">
        <v>254</v>
      </c>
      <c r="T5751" t="s">
        <v>441</v>
      </c>
      <c r="U5751" s="21">
        <v>1595561.1</v>
      </c>
      <c r="V5751" s="21" t="s">
        <v>368</v>
      </c>
      <c r="W5751" t="str">
        <f>VLOOKUP(Table_Query_from_Actuarial___Production[[#This Row],[Kor1]],$AI$3:$AK$105,3,FALSE)</f>
        <v>Commissions</v>
      </c>
      <c r="X5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1"/>
      <c r="Z5751" t="s">
        <v>48</v>
      </c>
      <c r="AA5751" t="s">
        <v>239</v>
      </c>
      <c r="AB5751" t="s">
        <v>427</v>
      </c>
      <c r="AC5751" s="21">
        <v>16511.2</v>
      </c>
      <c r="AD5751" s="21" t="s">
        <v>368</v>
      </c>
      <c r="AE5751" t="str">
        <f>VLOOKUP(Table_Query_from_Actuarial___Production3[[#This Row],[Kor1]],$AI$3:$AK$105,3,FALSE)</f>
        <v>Anticipated Salvage</v>
      </c>
      <c r="AF5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2" spans="18:32" x14ac:dyDescent="0.2">
      <c r="R5752" t="s">
        <v>41</v>
      </c>
      <c r="S5752" t="s">
        <v>244</v>
      </c>
      <c r="T5752" t="s">
        <v>427</v>
      </c>
      <c r="U5752" s="21">
        <v>350.01</v>
      </c>
      <c r="V5752" s="21" t="s">
        <v>368</v>
      </c>
      <c r="W5752" t="str">
        <f>VLOOKUP(Table_Query_from_Actuarial___Production[[#This Row],[Kor1]],$AI$3:$AK$105,3,FALSE)</f>
        <v>Misc. Income</v>
      </c>
      <c r="X5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2"/>
      <c r="Z5752" t="s">
        <v>12</v>
      </c>
      <c r="AA5752" t="s">
        <v>237</v>
      </c>
      <c r="AB5752" t="s">
        <v>433</v>
      </c>
      <c r="AC5752" s="21">
        <v>1044389.28</v>
      </c>
      <c r="AD5752" s="21" t="s">
        <v>368</v>
      </c>
      <c r="AE5752" t="str">
        <f>VLOOKUP(Table_Query_from_Actuarial___Production3[[#This Row],[Kor1]],$AI$3:$AK$105,3,FALSE)</f>
        <v>Premium Tax</v>
      </c>
      <c r="AF5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3" spans="18:32" x14ac:dyDescent="0.2">
      <c r="R5753" t="s">
        <v>12</v>
      </c>
      <c r="S5753" t="s">
        <v>252</v>
      </c>
      <c r="T5753" t="s">
        <v>356</v>
      </c>
      <c r="U5753" s="21">
        <v>693285.91</v>
      </c>
      <c r="V5753" s="21" t="s">
        <v>368</v>
      </c>
      <c r="W5753" t="str">
        <f>VLOOKUP(Table_Query_from_Actuarial___Production[[#This Row],[Kor1]],$AI$3:$AK$105,3,FALSE)</f>
        <v>Premium Tax</v>
      </c>
      <c r="X5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3"/>
      <c r="Z5753" t="s">
        <v>12</v>
      </c>
      <c r="AA5753" t="s">
        <v>250</v>
      </c>
      <c r="AB5753" t="s">
        <v>351</v>
      </c>
      <c r="AC5753" s="21">
        <v>22863.9</v>
      </c>
      <c r="AD5753" s="21" t="s">
        <v>368</v>
      </c>
      <c r="AE5753" t="str">
        <f>VLOOKUP(Table_Query_from_Actuarial___Production3[[#This Row],[Kor1]],$AI$3:$AK$105,3,FALSE)</f>
        <v>Premium Tax</v>
      </c>
      <c r="AF5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4" spans="18:32" x14ac:dyDescent="0.2">
      <c r="R5754" t="s">
        <v>39</v>
      </c>
      <c r="S5754" t="s">
        <v>255</v>
      </c>
      <c r="T5754" t="s">
        <v>8</v>
      </c>
      <c r="U5754" s="21">
        <v>171</v>
      </c>
      <c r="V5754" s="21" t="s">
        <v>368</v>
      </c>
      <c r="W5754" t="str">
        <f>VLOOKUP(Table_Query_from_Actuarial___Production[[#This Row],[Kor1]],$AI$3:$AK$105,3,FALSE)</f>
        <v>Misc. Income for Insolvent Companies</v>
      </c>
      <c r="X5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4"/>
      <c r="Z5754" t="s">
        <v>14</v>
      </c>
      <c r="AA5754" t="s">
        <v>252</v>
      </c>
      <c r="AB5754" t="s">
        <v>8</v>
      </c>
      <c r="AC5754" s="21">
        <v>1969639.62</v>
      </c>
      <c r="AD5754" s="21" t="s">
        <v>368</v>
      </c>
      <c r="AE5754" t="str">
        <f>VLOOKUP(Table_Query_from_Actuarial___Production3[[#This Row],[Kor1]],$AI$3:$AK$105,3,FALSE)</f>
        <v>Claims Expense</v>
      </c>
      <c r="AF5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5" spans="18:32" x14ac:dyDescent="0.2">
      <c r="R5755" t="s">
        <v>43</v>
      </c>
      <c r="S5755" t="s">
        <v>244</v>
      </c>
      <c r="T5755" t="s">
        <v>433</v>
      </c>
      <c r="U5755" s="21">
        <v>1072.99</v>
      </c>
      <c r="V5755" s="21" t="s">
        <v>368</v>
      </c>
      <c r="W5755" t="str">
        <f>VLOOKUP(Table_Query_from_Actuarial___Production[[#This Row],[Kor1]],$AI$3:$AK$105,3,FALSE)</f>
        <v>Charge-offs</v>
      </c>
      <c r="X5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5"/>
      <c r="Z5755" t="s">
        <v>33</v>
      </c>
      <c r="AA5755" t="s">
        <v>251</v>
      </c>
      <c r="AB5755" t="s">
        <v>7</v>
      </c>
      <c r="AC5755" s="21">
        <v>13551.73</v>
      </c>
      <c r="AD5755" s="21" t="s">
        <v>368</v>
      </c>
      <c r="AE5755" t="str">
        <f>VLOOKUP(Table_Query_from_Actuarial___Production3[[#This Row],[Kor1]],$AI$3:$AK$105,3,FALSE)</f>
        <v>Misc. Expense</v>
      </c>
      <c r="AF5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6" spans="18:32" x14ac:dyDescent="0.2">
      <c r="R5756" t="s">
        <v>38</v>
      </c>
      <c r="S5756" t="s">
        <v>354</v>
      </c>
      <c r="T5756" t="s">
        <v>443</v>
      </c>
      <c r="U5756" s="21">
        <v>901382.6</v>
      </c>
      <c r="V5756" s="21" t="s">
        <v>369</v>
      </c>
      <c r="W5756" t="str">
        <f>VLOOKUP(Table_Query_from_Actuarial___Production[[#This Row],[Kor1]],$AI$3:$AK$105,3,FALSE)</f>
        <v>Misc. Income</v>
      </c>
      <c r="X5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756"/>
      <c r="Z5756" t="s">
        <v>41</v>
      </c>
      <c r="AA5756" t="s">
        <v>248</v>
      </c>
      <c r="AB5756" t="s">
        <v>351</v>
      </c>
      <c r="AC5756" s="21">
        <v>100</v>
      </c>
      <c r="AD5756" s="21" t="s">
        <v>368</v>
      </c>
      <c r="AE5756" t="str">
        <f>VLOOKUP(Table_Query_from_Actuarial___Production3[[#This Row],[Kor1]],$AI$3:$AK$105,3,FALSE)</f>
        <v>Misc. Income</v>
      </c>
      <c r="AF5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7" spans="18:32" x14ac:dyDescent="0.2">
      <c r="R5757" t="s">
        <v>15</v>
      </c>
      <c r="S5757" t="s">
        <v>254</v>
      </c>
      <c r="T5757" t="s">
        <v>443</v>
      </c>
      <c r="U5757" s="21">
        <v>7029150.96</v>
      </c>
      <c r="V5757" s="21" t="s">
        <v>368</v>
      </c>
      <c r="W5757" t="str">
        <f>VLOOKUP(Table_Query_from_Actuarial___Production[[#This Row],[Kor1]],$AI$3:$AK$105,3,FALSE)</f>
        <v>Unearned Premiums</v>
      </c>
      <c r="X5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7"/>
      <c r="Z5757" t="s">
        <v>47</v>
      </c>
      <c r="AA5757" t="s">
        <v>245</v>
      </c>
      <c r="AB5757" t="s">
        <v>443</v>
      </c>
      <c r="AC5757" s="21">
        <v>256.49</v>
      </c>
      <c r="AD5757" s="21" t="s">
        <v>368</v>
      </c>
      <c r="AE5757" t="str">
        <f>VLOOKUP(Table_Query_from_Actuarial___Production3[[#This Row],[Kor1]],$AI$3:$AK$105,3,FALSE)</f>
        <v>Investment Income</v>
      </c>
      <c r="AF5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8" spans="18:32" x14ac:dyDescent="0.2">
      <c r="R5758" t="s">
        <v>31</v>
      </c>
      <c r="S5758" t="s">
        <v>240</v>
      </c>
      <c r="T5758" t="s">
        <v>356</v>
      </c>
      <c r="U5758" s="21">
        <v>454.83</v>
      </c>
      <c r="V5758" s="21" t="s">
        <v>368</v>
      </c>
      <c r="W5758" t="str">
        <f>VLOOKUP(Table_Query_from_Actuarial___Production[[#This Row],[Kor1]],$AI$3:$AK$105,3,FALSE)</f>
        <v>Misc. Expense</v>
      </c>
      <c r="X5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8"/>
      <c r="Z5758" t="s">
        <v>47</v>
      </c>
      <c r="AA5758" t="s">
        <v>265</v>
      </c>
      <c r="AB5758" t="s">
        <v>351</v>
      </c>
      <c r="AC5758" s="21">
        <v>1064.96</v>
      </c>
      <c r="AD5758" s="21" t="s">
        <v>368</v>
      </c>
      <c r="AE5758" t="str">
        <f>VLOOKUP(Table_Query_from_Actuarial___Production3[[#This Row],[Kor1]],$AI$3:$AK$105,3,FALSE)</f>
        <v>Investment Income</v>
      </c>
      <c r="AF5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59" spans="18:32" x14ac:dyDescent="0.2">
      <c r="R5759" t="s">
        <v>39</v>
      </c>
      <c r="S5759" t="s">
        <v>262</v>
      </c>
      <c r="T5759" t="s">
        <v>7</v>
      </c>
      <c r="U5759" s="21">
        <v>22</v>
      </c>
      <c r="V5759" s="21" t="s">
        <v>368</v>
      </c>
      <c r="W5759" t="str">
        <f>VLOOKUP(Table_Query_from_Actuarial___Production[[#This Row],[Kor1]],$AI$3:$AK$105,3,FALSE)</f>
        <v>Misc. Income for Insolvent Companies</v>
      </c>
      <c r="X5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59"/>
      <c r="Z5759" t="s">
        <v>15</v>
      </c>
      <c r="AA5759" t="s">
        <v>224</v>
      </c>
      <c r="AB5759" t="s">
        <v>442</v>
      </c>
      <c r="AC5759" s="21">
        <v>178473.5</v>
      </c>
      <c r="AD5759" s="21" t="s">
        <v>368</v>
      </c>
      <c r="AE5759" t="str">
        <f>VLOOKUP(Table_Query_from_Actuarial___Production3[[#This Row],[Kor1]],$AI$3:$AK$105,3,FALSE)</f>
        <v>Unearned Premiums</v>
      </c>
      <c r="AF5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760" spans="18:32" x14ac:dyDescent="0.2">
      <c r="R5760" t="s">
        <v>10</v>
      </c>
      <c r="S5760" t="s">
        <v>225</v>
      </c>
      <c r="T5760" t="s">
        <v>7</v>
      </c>
      <c r="U5760" s="21">
        <v>127608.17</v>
      </c>
      <c r="V5760" s="21" t="s">
        <v>369</v>
      </c>
      <c r="W5760" t="str">
        <f>VLOOKUP(Table_Query_from_Actuarial___Production[[#This Row],[Kor1]],$AI$3:$AK$105,3,FALSE)</f>
        <v>Commissions</v>
      </c>
      <c r="X5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760"/>
      <c r="Z5760" t="s">
        <v>21</v>
      </c>
      <c r="AA5760" t="s">
        <v>250</v>
      </c>
      <c r="AB5760" t="s">
        <v>356</v>
      </c>
      <c r="AC5760" s="21">
        <v>481.99</v>
      </c>
      <c r="AD5760" s="21" t="s">
        <v>368</v>
      </c>
      <c r="AE5760" t="str">
        <f>VLOOKUP(Table_Query_from_Actuarial___Production3[[#This Row],[Kor1]],$AI$3:$AK$105,3,FALSE)</f>
        <v>Misc. Expense</v>
      </c>
      <c r="AF5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1" spans="18:32" x14ac:dyDescent="0.2">
      <c r="R5761" t="s">
        <v>16</v>
      </c>
      <c r="S5761" t="s">
        <v>264</v>
      </c>
      <c r="T5761" t="s">
        <v>427</v>
      </c>
      <c r="U5761" s="21">
        <v>353053.85</v>
      </c>
      <c r="V5761" s="21" t="s">
        <v>368</v>
      </c>
      <c r="W5761" t="str">
        <f>VLOOKUP(Table_Query_from_Actuarial___Production[[#This Row],[Kor1]],$AI$3:$AK$105,3,FALSE)</f>
        <v>Losses Outstanding</v>
      </c>
      <c r="X5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1"/>
      <c r="Z5761" t="s">
        <v>40</v>
      </c>
      <c r="AA5761" t="s">
        <v>237</v>
      </c>
      <c r="AB5761" t="s">
        <v>6</v>
      </c>
      <c r="AC5761" s="21">
        <v>568.97</v>
      </c>
      <c r="AD5761" s="21" t="s">
        <v>368</v>
      </c>
      <c r="AE5761" t="str">
        <f>VLOOKUP(Table_Query_from_Actuarial___Production3[[#This Row],[Kor1]],$AI$3:$AK$105,3,FALSE)</f>
        <v>Misc. Income</v>
      </c>
      <c r="AF5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2" spans="18:32" x14ac:dyDescent="0.2">
      <c r="R5762" t="s">
        <v>19</v>
      </c>
      <c r="S5762" t="s">
        <v>263</v>
      </c>
      <c r="T5762" t="s">
        <v>9</v>
      </c>
      <c r="U5762" s="21">
        <v>599</v>
      </c>
      <c r="V5762" s="21" t="s">
        <v>368</v>
      </c>
      <c r="W5762" t="str">
        <f>VLOOKUP(Table_Query_from_Actuarial___Production[[#This Row],[Kor1]],$AI$3:$AK$105,3,FALSE)</f>
        <v>Misc. Expense for Insolvent Companies</v>
      </c>
      <c r="X5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2"/>
      <c r="Z5762" t="s">
        <v>17</v>
      </c>
      <c r="AA5762" t="s">
        <v>258</v>
      </c>
      <c r="AB5762" t="s">
        <v>441</v>
      </c>
      <c r="AC5762" s="21">
        <v>374773.48</v>
      </c>
      <c r="AD5762" s="21" t="s">
        <v>368</v>
      </c>
      <c r="AE5762" t="str">
        <f>VLOOKUP(Table_Query_from_Actuarial___Production3[[#This Row],[Kor1]],$AI$3:$AK$105,3,FALSE)</f>
        <v>IBNR</v>
      </c>
      <c r="AF5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3" spans="18:32" x14ac:dyDescent="0.2">
      <c r="R5763" t="s">
        <v>10</v>
      </c>
      <c r="S5763" t="s">
        <v>232</v>
      </c>
      <c r="T5763" t="s">
        <v>9</v>
      </c>
      <c r="U5763" s="21">
        <v>85465.05</v>
      </c>
      <c r="V5763" s="21" t="s">
        <v>368</v>
      </c>
      <c r="W5763" t="str">
        <f>VLOOKUP(Table_Query_from_Actuarial___Production[[#This Row],[Kor1]],$AI$3:$AK$105,3,FALSE)</f>
        <v>Commissions</v>
      </c>
      <c r="X5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3"/>
      <c r="Z5763" t="s">
        <v>13</v>
      </c>
      <c r="AA5763" t="s">
        <v>234</v>
      </c>
      <c r="AB5763" t="s">
        <v>7</v>
      </c>
      <c r="AC5763" s="21">
        <v>151962.06</v>
      </c>
      <c r="AD5763" s="21" t="s">
        <v>368</v>
      </c>
      <c r="AE5763" t="str">
        <f>VLOOKUP(Table_Query_from_Actuarial___Production3[[#This Row],[Kor1]],$AI$3:$AK$105,3,FALSE)</f>
        <v>Operating Service Fees</v>
      </c>
      <c r="AF5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4" spans="18:32" x14ac:dyDescent="0.2">
      <c r="R5764" t="s">
        <v>44</v>
      </c>
      <c r="S5764" t="s">
        <v>250</v>
      </c>
      <c r="T5764" t="s">
        <v>443</v>
      </c>
      <c r="U5764" s="21">
        <v>63.2</v>
      </c>
      <c r="V5764" s="21" t="s">
        <v>368</v>
      </c>
      <c r="W5764" t="str">
        <f>VLOOKUP(Table_Query_from_Actuarial___Production[[#This Row],[Kor1]],$AI$3:$AK$105,3,FALSE)</f>
        <v>Charge-offs</v>
      </c>
      <c r="X5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4"/>
      <c r="Z5764" t="s">
        <v>20</v>
      </c>
      <c r="AA5764" t="s">
        <v>266</v>
      </c>
      <c r="AB5764" t="s">
        <v>9</v>
      </c>
      <c r="AC5764" s="21">
        <v>216.52</v>
      </c>
      <c r="AD5764" s="21" t="s">
        <v>368</v>
      </c>
      <c r="AE5764" t="str">
        <f>VLOOKUP(Table_Query_from_Actuarial___Production3[[#This Row],[Kor1]],$AI$3:$AK$105,3,FALSE)</f>
        <v>Misc. Expense</v>
      </c>
      <c r="AF5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5" spans="18:32" x14ac:dyDescent="0.2">
      <c r="R5765" t="s">
        <v>50</v>
      </c>
      <c r="S5765" t="s">
        <v>251</v>
      </c>
      <c r="T5765" t="s">
        <v>442</v>
      </c>
      <c r="U5765" s="21">
        <v>3020.21</v>
      </c>
      <c r="V5765" s="21" t="s">
        <v>368</v>
      </c>
      <c r="W5765" t="str">
        <f>VLOOKUP(Table_Query_from_Actuarial___Production[[#This Row],[Kor1]],$AI$3:$AK$105,3,FALSE)</f>
        <v>ALAE Reserve</v>
      </c>
      <c r="X5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5"/>
      <c r="Z5765" t="s">
        <v>11</v>
      </c>
      <c r="AA5765" t="s">
        <v>262</v>
      </c>
      <c r="AB5765" t="s">
        <v>356</v>
      </c>
      <c r="AC5765" s="21">
        <v>12340.63</v>
      </c>
      <c r="AD5765" s="21" t="s">
        <v>368</v>
      </c>
      <c r="AE5765" t="str">
        <f>VLOOKUP(Table_Query_from_Actuarial___Production3[[#This Row],[Kor1]],$AI$3:$AK$105,3,FALSE)</f>
        <v>Losses Paid</v>
      </c>
      <c r="AF5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6" spans="18:32" x14ac:dyDescent="0.2">
      <c r="R5766" t="s">
        <v>439</v>
      </c>
      <c r="S5766" t="s">
        <v>266</v>
      </c>
      <c r="T5766" t="s">
        <v>433</v>
      </c>
      <c r="U5766" s="21">
        <v>12642</v>
      </c>
      <c r="V5766" s="21" t="s">
        <v>368</v>
      </c>
      <c r="W5766" t="str">
        <f>VLOOKUP(Table_Query_from_Actuarial___Production[[#This Row],[Kor1]],$AI$3:$AK$105,3,FALSE)</f>
        <v>Operating Service Fees</v>
      </c>
      <c r="X5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6"/>
      <c r="Z5766" t="s">
        <v>10</v>
      </c>
      <c r="AA5766" t="s">
        <v>254</v>
      </c>
      <c r="AB5766" t="s">
        <v>441</v>
      </c>
      <c r="AC5766" s="21">
        <v>1595629.9</v>
      </c>
      <c r="AD5766" s="21" t="s">
        <v>368</v>
      </c>
      <c r="AE5766" t="str">
        <f>VLOOKUP(Table_Query_from_Actuarial___Production3[[#This Row],[Kor1]],$AI$3:$AK$105,3,FALSE)</f>
        <v>Commissions</v>
      </c>
      <c r="AF5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7" spans="18:32" x14ac:dyDescent="0.2">
      <c r="R5767" t="s">
        <v>17</v>
      </c>
      <c r="S5767" t="s">
        <v>236</v>
      </c>
      <c r="T5767" t="s">
        <v>433</v>
      </c>
      <c r="U5767" s="21">
        <v>2517.84</v>
      </c>
      <c r="V5767" s="21" t="s">
        <v>368</v>
      </c>
      <c r="W5767" t="str">
        <f>VLOOKUP(Table_Query_from_Actuarial___Production[[#This Row],[Kor1]],$AI$3:$AK$105,3,FALSE)</f>
        <v>IBNR</v>
      </c>
      <c r="X5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7"/>
      <c r="Z5767" t="s">
        <v>41</v>
      </c>
      <c r="AA5767" t="s">
        <v>244</v>
      </c>
      <c r="AB5767" t="s">
        <v>427</v>
      </c>
      <c r="AC5767" s="21">
        <v>350.01</v>
      </c>
      <c r="AD5767" s="21" t="s">
        <v>368</v>
      </c>
      <c r="AE5767" t="str">
        <f>VLOOKUP(Table_Query_from_Actuarial___Production3[[#This Row],[Kor1]],$AI$3:$AK$105,3,FALSE)</f>
        <v>Misc. Income</v>
      </c>
      <c r="AF5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8" spans="18:32" x14ac:dyDescent="0.2">
      <c r="R5768" t="s">
        <v>38</v>
      </c>
      <c r="S5768" t="s">
        <v>352</v>
      </c>
      <c r="T5768" t="s">
        <v>427</v>
      </c>
      <c r="U5768" s="21">
        <v>23293.85</v>
      </c>
      <c r="V5768" s="21" t="s">
        <v>369</v>
      </c>
      <c r="W5768" t="str">
        <f>VLOOKUP(Table_Query_from_Actuarial___Production[[#This Row],[Kor1]],$AI$3:$AK$105,3,FALSE)</f>
        <v>Misc. Income</v>
      </c>
      <c r="X5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768"/>
      <c r="Z5768" t="s">
        <v>12</v>
      </c>
      <c r="AA5768" t="s">
        <v>252</v>
      </c>
      <c r="AB5768" t="s">
        <v>356</v>
      </c>
      <c r="AC5768" s="21">
        <v>693285.91</v>
      </c>
      <c r="AD5768" s="21" t="s">
        <v>368</v>
      </c>
      <c r="AE5768" t="str">
        <f>VLOOKUP(Table_Query_from_Actuarial___Production3[[#This Row],[Kor1]],$AI$3:$AK$105,3,FALSE)</f>
        <v>Premium Tax</v>
      </c>
      <c r="AF5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69" spans="18:32" x14ac:dyDescent="0.2">
      <c r="R5769" t="s">
        <v>33</v>
      </c>
      <c r="S5769" t="s">
        <v>237</v>
      </c>
      <c r="T5769" t="s">
        <v>6</v>
      </c>
      <c r="U5769" s="21">
        <v>18471.830000000002</v>
      </c>
      <c r="V5769" s="21" t="s">
        <v>368</v>
      </c>
      <c r="W5769" t="str">
        <f>VLOOKUP(Table_Query_from_Actuarial___Production[[#This Row],[Kor1]],$AI$3:$AK$105,3,FALSE)</f>
        <v>Misc. Expense</v>
      </c>
      <c r="X5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69"/>
      <c r="Z5769" t="s">
        <v>39</v>
      </c>
      <c r="AA5769" t="s">
        <v>255</v>
      </c>
      <c r="AB5769" t="s">
        <v>8</v>
      </c>
      <c r="AC5769" s="21">
        <v>171</v>
      </c>
      <c r="AD5769" s="21" t="s">
        <v>368</v>
      </c>
      <c r="AE5769" t="str">
        <f>VLOOKUP(Table_Query_from_Actuarial___Production3[[#This Row],[Kor1]],$AI$3:$AK$105,3,FALSE)</f>
        <v>Misc. Income for Insolvent Companies</v>
      </c>
      <c r="AF5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0" spans="18:32" x14ac:dyDescent="0.2">
      <c r="R5770" t="s">
        <v>3</v>
      </c>
      <c r="S5770" t="s">
        <v>242</v>
      </c>
      <c r="T5770" t="s">
        <v>427</v>
      </c>
      <c r="U5770" s="21">
        <v>614105</v>
      </c>
      <c r="V5770" s="21" t="s">
        <v>368</v>
      </c>
      <c r="W5770" t="str">
        <f>VLOOKUP(Table_Query_from_Actuarial___Production[[#This Row],[Kor1]],$AI$3:$AK$105,3,FALSE)</f>
        <v>Premiums Written</v>
      </c>
      <c r="X5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0"/>
      <c r="Z5770" t="s">
        <v>43</v>
      </c>
      <c r="AA5770" t="s">
        <v>244</v>
      </c>
      <c r="AB5770" t="s">
        <v>433</v>
      </c>
      <c r="AC5770" s="21">
        <v>1072.99</v>
      </c>
      <c r="AD5770" s="21" t="s">
        <v>368</v>
      </c>
      <c r="AE5770" t="str">
        <f>VLOOKUP(Table_Query_from_Actuarial___Production3[[#This Row],[Kor1]],$AI$3:$AK$105,3,FALSE)</f>
        <v>Charge-offs</v>
      </c>
      <c r="AF5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1" spans="18:32" x14ac:dyDescent="0.2">
      <c r="R5771" t="s">
        <v>10</v>
      </c>
      <c r="S5771" t="s">
        <v>228</v>
      </c>
      <c r="T5771" t="s">
        <v>6</v>
      </c>
      <c r="U5771" s="21">
        <v>39389.699999999997</v>
      </c>
      <c r="V5771" s="21" t="s">
        <v>368</v>
      </c>
      <c r="W5771" t="str">
        <f>VLOOKUP(Table_Query_from_Actuarial___Production[[#This Row],[Kor1]],$AI$3:$AK$105,3,FALSE)</f>
        <v>Commissions</v>
      </c>
      <c r="X5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1"/>
      <c r="Z5771" t="s">
        <v>38</v>
      </c>
      <c r="AA5771" t="s">
        <v>354</v>
      </c>
      <c r="AB5771" t="s">
        <v>443</v>
      </c>
      <c r="AC5771" s="21">
        <v>392524.39</v>
      </c>
      <c r="AD5771" s="21" t="s">
        <v>369</v>
      </c>
      <c r="AE5771" t="str">
        <f>VLOOKUP(Table_Query_from_Actuarial___Production3[[#This Row],[Kor1]],$AI$3:$AK$105,3,FALSE)</f>
        <v>Misc. Income</v>
      </c>
      <c r="AF5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772" spans="18:32" x14ac:dyDescent="0.2">
      <c r="R5772" t="s">
        <v>16</v>
      </c>
      <c r="S5772" t="s">
        <v>240</v>
      </c>
      <c r="T5772" t="s">
        <v>443</v>
      </c>
      <c r="U5772" s="21">
        <v>1258647.7</v>
      </c>
      <c r="V5772" s="21" t="s">
        <v>368</v>
      </c>
      <c r="W5772" t="str">
        <f>VLOOKUP(Table_Query_from_Actuarial___Production[[#This Row],[Kor1]],$AI$3:$AK$105,3,FALSE)</f>
        <v>Losses Outstanding</v>
      </c>
      <c r="X5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2"/>
      <c r="Z5772" t="s">
        <v>15</v>
      </c>
      <c r="AA5772" t="s">
        <v>254</v>
      </c>
      <c r="AB5772" t="s">
        <v>443</v>
      </c>
      <c r="AC5772" s="21">
        <v>6412587.4699999997</v>
      </c>
      <c r="AD5772" s="21" t="s">
        <v>368</v>
      </c>
      <c r="AE5772" t="str">
        <f>VLOOKUP(Table_Query_from_Actuarial___Production3[[#This Row],[Kor1]],$AI$3:$AK$105,3,FALSE)</f>
        <v>Unearned Premiums</v>
      </c>
      <c r="AF5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3" spans="18:32" x14ac:dyDescent="0.2">
      <c r="R5773" t="s">
        <v>14</v>
      </c>
      <c r="S5773" t="s">
        <v>257</v>
      </c>
      <c r="T5773" t="s">
        <v>433</v>
      </c>
      <c r="U5773" s="21">
        <v>147914.95000000001</v>
      </c>
      <c r="V5773" s="21" t="s">
        <v>368</v>
      </c>
      <c r="W5773" t="str">
        <f>VLOOKUP(Table_Query_from_Actuarial___Production[[#This Row],[Kor1]],$AI$3:$AK$105,3,FALSE)</f>
        <v>Claims Expense</v>
      </c>
      <c r="X5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3"/>
      <c r="Z5773" t="s">
        <v>31</v>
      </c>
      <c r="AA5773" t="s">
        <v>240</v>
      </c>
      <c r="AB5773" t="s">
        <v>356</v>
      </c>
      <c r="AC5773" s="21">
        <v>454.83</v>
      </c>
      <c r="AD5773" s="21" t="s">
        <v>368</v>
      </c>
      <c r="AE5773" t="str">
        <f>VLOOKUP(Table_Query_from_Actuarial___Production3[[#This Row],[Kor1]],$AI$3:$AK$105,3,FALSE)</f>
        <v>Misc. Expense</v>
      </c>
      <c r="AF5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4" spans="18:32" x14ac:dyDescent="0.2">
      <c r="R5774" t="s">
        <v>37</v>
      </c>
      <c r="S5774" t="s">
        <v>257</v>
      </c>
      <c r="T5774" t="s">
        <v>9</v>
      </c>
      <c r="U5774" s="21">
        <v>6314.49</v>
      </c>
      <c r="V5774" s="21" t="s">
        <v>368</v>
      </c>
      <c r="W5774" t="str">
        <f>VLOOKUP(Table_Query_from_Actuarial___Production[[#This Row],[Kor1]],$AI$3:$AK$105,3,FALSE)</f>
        <v>Misc. Expense</v>
      </c>
      <c r="X5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4"/>
      <c r="Z5774" t="s">
        <v>39</v>
      </c>
      <c r="AA5774" t="s">
        <v>262</v>
      </c>
      <c r="AB5774" t="s">
        <v>7</v>
      </c>
      <c r="AC5774" s="21">
        <v>22</v>
      </c>
      <c r="AD5774" s="21" t="s">
        <v>368</v>
      </c>
      <c r="AE5774" t="str">
        <f>VLOOKUP(Table_Query_from_Actuarial___Production3[[#This Row],[Kor1]],$AI$3:$AK$105,3,FALSE)</f>
        <v>Misc. Income for Insolvent Companies</v>
      </c>
      <c r="AF5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5" spans="18:32" x14ac:dyDescent="0.2">
      <c r="R5775" t="s">
        <v>49</v>
      </c>
      <c r="S5775" t="s">
        <v>249</v>
      </c>
      <c r="T5775" t="s">
        <v>441</v>
      </c>
      <c r="U5775" s="21">
        <v>836</v>
      </c>
      <c r="V5775" s="21" t="s">
        <v>368</v>
      </c>
      <c r="W5775" t="str">
        <f>VLOOKUP(Table_Query_from_Actuarial___Production[[#This Row],[Kor1]],$AI$3:$AK$105,3,FALSE)</f>
        <v>ALAE Paid</v>
      </c>
      <c r="X5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5"/>
      <c r="Z5775" t="s">
        <v>10</v>
      </c>
      <c r="AA5775" t="s">
        <v>225</v>
      </c>
      <c r="AB5775" t="s">
        <v>7</v>
      </c>
      <c r="AC5775" s="21">
        <v>127608.17</v>
      </c>
      <c r="AD5775" s="21" t="s">
        <v>369</v>
      </c>
      <c r="AE5775" t="str">
        <f>VLOOKUP(Table_Query_from_Actuarial___Production3[[#This Row],[Kor1]],$AI$3:$AK$105,3,FALSE)</f>
        <v>Commissions</v>
      </c>
      <c r="AF5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776" spans="18:32" x14ac:dyDescent="0.2">
      <c r="R5776" t="s">
        <v>34</v>
      </c>
      <c r="S5776" t="s">
        <v>251</v>
      </c>
      <c r="T5776" t="s">
        <v>433</v>
      </c>
      <c r="U5776" s="21">
        <v>3149.95</v>
      </c>
      <c r="V5776" s="21" t="s">
        <v>368</v>
      </c>
      <c r="W5776" t="str">
        <f>VLOOKUP(Table_Query_from_Actuarial___Production[[#This Row],[Kor1]],$AI$3:$AK$105,3,FALSE)</f>
        <v>Misc. Expense</v>
      </c>
      <c r="X5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6"/>
      <c r="Z5776" t="s">
        <v>16</v>
      </c>
      <c r="AA5776" t="s">
        <v>264</v>
      </c>
      <c r="AB5776" t="s">
        <v>427</v>
      </c>
      <c r="AC5776" s="21">
        <v>690109.97</v>
      </c>
      <c r="AD5776" s="21" t="s">
        <v>368</v>
      </c>
      <c r="AE5776" t="str">
        <f>VLOOKUP(Table_Query_from_Actuarial___Production3[[#This Row],[Kor1]],$AI$3:$AK$105,3,FALSE)</f>
        <v>Losses Outstanding</v>
      </c>
      <c r="AF5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7" spans="18:32" x14ac:dyDescent="0.2">
      <c r="R5777" t="s">
        <v>44</v>
      </c>
      <c r="S5777" t="s">
        <v>229</v>
      </c>
      <c r="T5777" t="s">
        <v>351</v>
      </c>
      <c r="U5777" s="21">
        <v>6277</v>
      </c>
      <c r="V5777" s="21" t="s">
        <v>368</v>
      </c>
      <c r="W5777" t="str">
        <f>VLOOKUP(Table_Query_from_Actuarial___Production[[#This Row],[Kor1]],$AI$3:$AK$105,3,FALSE)</f>
        <v>Charge-offs</v>
      </c>
      <c r="X5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7"/>
      <c r="Z5777" t="s">
        <v>16</v>
      </c>
      <c r="AA5777" t="s">
        <v>267</v>
      </c>
      <c r="AB5777" t="s">
        <v>356</v>
      </c>
      <c r="AC5777" s="21">
        <v>167526.35</v>
      </c>
      <c r="AD5777" s="21" t="s">
        <v>368</v>
      </c>
      <c r="AE5777" t="str">
        <f>VLOOKUP(Table_Query_from_Actuarial___Production3[[#This Row],[Kor1]],$AI$3:$AK$105,3,FALSE)</f>
        <v>Losses Outstanding</v>
      </c>
      <c r="AF5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8" spans="18:32" x14ac:dyDescent="0.2">
      <c r="R5778" t="s">
        <v>14</v>
      </c>
      <c r="S5778" t="s">
        <v>236</v>
      </c>
      <c r="T5778" t="s">
        <v>9</v>
      </c>
      <c r="U5778" s="21">
        <v>8947.84</v>
      </c>
      <c r="V5778" s="21" t="s">
        <v>368</v>
      </c>
      <c r="W5778" t="str">
        <f>VLOOKUP(Table_Query_from_Actuarial___Production[[#This Row],[Kor1]],$AI$3:$AK$105,3,FALSE)</f>
        <v>Claims Expense</v>
      </c>
      <c r="X5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8"/>
      <c r="Z5778" t="s">
        <v>19</v>
      </c>
      <c r="AA5778" t="s">
        <v>263</v>
      </c>
      <c r="AB5778" t="s">
        <v>9</v>
      </c>
      <c r="AC5778" s="21">
        <v>599</v>
      </c>
      <c r="AD5778" s="21" t="s">
        <v>368</v>
      </c>
      <c r="AE5778" t="str">
        <f>VLOOKUP(Table_Query_from_Actuarial___Production3[[#This Row],[Kor1]],$AI$3:$AK$105,3,FALSE)</f>
        <v>Misc. Expense for Insolvent Companies</v>
      </c>
      <c r="AF5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79" spans="18:32" x14ac:dyDescent="0.2">
      <c r="R5779" t="s">
        <v>43</v>
      </c>
      <c r="S5779" t="s">
        <v>250</v>
      </c>
      <c r="T5779" t="s">
        <v>443</v>
      </c>
      <c r="U5779" s="21">
        <v>56.68</v>
      </c>
      <c r="V5779" s="21" t="s">
        <v>368</v>
      </c>
      <c r="W5779" t="str">
        <f>VLOOKUP(Table_Query_from_Actuarial___Production[[#This Row],[Kor1]],$AI$3:$AK$105,3,FALSE)</f>
        <v>Charge-offs</v>
      </c>
      <c r="X5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79"/>
      <c r="Z5779" t="s">
        <v>16</v>
      </c>
      <c r="AA5779" t="s">
        <v>224</v>
      </c>
      <c r="AB5779" t="s">
        <v>356</v>
      </c>
      <c r="AC5779" s="21">
        <v>43704.38</v>
      </c>
      <c r="AD5779" s="21" t="s">
        <v>368</v>
      </c>
      <c r="AE5779" t="str">
        <f>VLOOKUP(Table_Query_from_Actuarial___Production3[[#This Row],[Kor1]],$AI$3:$AK$105,3,FALSE)</f>
        <v>Losses Outstanding</v>
      </c>
      <c r="AF5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780" spans="18:32" x14ac:dyDescent="0.2">
      <c r="R5780" t="s">
        <v>12</v>
      </c>
      <c r="S5780" t="s">
        <v>258</v>
      </c>
      <c r="T5780" t="s">
        <v>356</v>
      </c>
      <c r="U5780" s="21">
        <v>51561</v>
      </c>
      <c r="V5780" s="21" t="s">
        <v>368</v>
      </c>
      <c r="W5780" t="str">
        <f>VLOOKUP(Table_Query_from_Actuarial___Production[[#This Row],[Kor1]],$AI$3:$AK$105,3,FALSE)</f>
        <v>Premium Tax</v>
      </c>
      <c r="X5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0"/>
      <c r="Z5780" t="s">
        <v>10</v>
      </c>
      <c r="AA5780" t="s">
        <v>232</v>
      </c>
      <c r="AB5780" t="s">
        <v>9</v>
      </c>
      <c r="AC5780" s="21">
        <v>85465.05</v>
      </c>
      <c r="AD5780" s="21" t="s">
        <v>368</v>
      </c>
      <c r="AE5780" t="str">
        <f>VLOOKUP(Table_Query_from_Actuarial___Production3[[#This Row],[Kor1]],$AI$3:$AK$105,3,FALSE)</f>
        <v>Commissions</v>
      </c>
      <c r="AF5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1" spans="18:32" x14ac:dyDescent="0.2">
      <c r="R5781" t="s">
        <v>11</v>
      </c>
      <c r="S5781" t="s">
        <v>235</v>
      </c>
      <c r="T5781" t="s">
        <v>7</v>
      </c>
      <c r="U5781" s="21">
        <v>49372.27</v>
      </c>
      <c r="V5781" s="21" t="s">
        <v>368</v>
      </c>
      <c r="W5781" t="str">
        <f>VLOOKUP(Table_Query_from_Actuarial___Production[[#This Row],[Kor1]],$AI$3:$AK$105,3,FALSE)</f>
        <v>Losses Paid</v>
      </c>
      <c r="X5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1"/>
      <c r="Z5781" t="s">
        <v>50</v>
      </c>
      <c r="AA5781" t="s">
        <v>251</v>
      </c>
      <c r="AB5781" t="s">
        <v>442</v>
      </c>
      <c r="AC5781" s="21">
        <v>1899.63</v>
      </c>
      <c r="AD5781" s="21" t="s">
        <v>368</v>
      </c>
      <c r="AE5781" t="str">
        <f>VLOOKUP(Table_Query_from_Actuarial___Production3[[#This Row],[Kor1]],$AI$3:$AK$105,3,FALSE)</f>
        <v>ALAE Reserve</v>
      </c>
      <c r="AF5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2" spans="18:32" x14ac:dyDescent="0.2">
      <c r="R5782" t="s">
        <v>16</v>
      </c>
      <c r="S5782" t="s">
        <v>237</v>
      </c>
      <c r="T5782" t="s">
        <v>445</v>
      </c>
      <c r="U5782" s="21">
        <v>1122369.75</v>
      </c>
      <c r="V5782" s="21" t="s">
        <v>368</v>
      </c>
      <c r="W5782" t="str">
        <f>VLOOKUP(Table_Query_from_Actuarial___Production[[#This Row],[Kor1]],$AI$3:$AK$105,3,FALSE)</f>
        <v>Losses Outstanding</v>
      </c>
      <c r="X5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2"/>
      <c r="Z5782" t="s">
        <v>439</v>
      </c>
      <c r="AA5782" t="s">
        <v>266</v>
      </c>
      <c r="AB5782" t="s">
        <v>433</v>
      </c>
      <c r="AC5782" s="21">
        <v>12642</v>
      </c>
      <c r="AD5782" s="21" t="s">
        <v>368</v>
      </c>
      <c r="AE5782" t="str">
        <f>VLOOKUP(Table_Query_from_Actuarial___Production3[[#This Row],[Kor1]],$AI$3:$AK$105,3,FALSE)</f>
        <v>Operating Service Fees</v>
      </c>
      <c r="AF5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3" spans="18:32" x14ac:dyDescent="0.2">
      <c r="R5783" t="s">
        <v>10</v>
      </c>
      <c r="S5783" t="s">
        <v>352</v>
      </c>
      <c r="T5783" t="s">
        <v>8</v>
      </c>
      <c r="U5783" s="21">
        <v>998.85</v>
      </c>
      <c r="V5783" s="21" t="s">
        <v>368</v>
      </c>
      <c r="W5783" t="str">
        <f>VLOOKUP(Table_Query_from_Actuarial___Production[[#This Row],[Kor1]],$AI$3:$AK$105,3,FALSE)</f>
        <v>Commissions</v>
      </c>
      <c r="X5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783"/>
      <c r="Z5783" t="s">
        <v>17</v>
      </c>
      <c r="AA5783" t="s">
        <v>236</v>
      </c>
      <c r="AB5783" t="s">
        <v>433</v>
      </c>
      <c r="AC5783" s="21">
        <v>2301.42</v>
      </c>
      <c r="AD5783" s="21" t="s">
        <v>368</v>
      </c>
      <c r="AE5783" t="str">
        <f>VLOOKUP(Table_Query_from_Actuarial___Production3[[#This Row],[Kor1]],$AI$3:$AK$105,3,FALSE)</f>
        <v>IBNR</v>
      </c>
      <c r="AF5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4" spans="18:32" x14ac:dyDescent="0.2">
      <c r="R5784" t="s">
        <v>44</v>
      </c>
      <c r="S5784" t="s">
        <v>259</v>
      </c>
      <c r="T5784" t="s">
        <v>351</v>
      </c>
      <c r="U5784" s="21">
        <v>15</v>
      </c>
      <c r="V5784" s="21" t="s">
        <v>368</v>
      </c>
      <c r="W5784" t="str">
        <f>VLOOKUP(Table_Query_from_Actuarial___Production[[#This Row],[Kor1]],$AI$3:$AK$105,3,FALSE)</f>
        <v>Charge-offs</v>
      </c>
      <c r="X5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4"/>
      <c r="Z5784" t="s">
        <v>38</v>
      </c>
      <c r="AA5784" t="s">
        <v>352</v>
      </c>
      <c r="AB5784" t="s">
        <v>427</v>
      </c>
      <c r="AC5784" s="21">
        <v>23293.85</v>
      </c>
      <c r="AD5784" s="21" t="s">
        <v>369</v>
      </c>
      <c r="AE5784" t="str">
        <f>VLOOKUP(Table_Query_from_Actuarial___Production3[[#This Row],[Kor1]],$AI$3:$AK$105,3,FALSE)</f>
        <v>Misc. Income</v>
      </c>
      <c r="AF5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785" spans="18:32" x14ac:dyDescent="0.2">
      <c r="R5785" t="s">
        <v>13</v>
      </c>
      <c r="S5785" t="s">
        <v>228</v>
      </c>
      <c r="T5785" t="s">
        <v>6</v>
      </c>
      <c r="U5785" s="21">
        <v>81546.31</v>
      </c>
      <c r="V5785" s="21" t="s">
        <v>368</v>
      </c>
      <c r="W5785" t="str">
        <f>VLOOKUP(Table_Query_from_Actuarial___Production[[#This Row],[Kor1]],$AI$3:$AK$105,3,FALSE)</f>
        <v>Operating Service Fees</v>
      </c>
      <c r="X5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5"/>
      <c r="Z5785" t="s">
        <v>33</v>
      </c>
      <c r="AA5785" t="s">
        <v>237</v>
      </c>
      <c r="AB5785" t="s">
        <v>6</v>
      </c>
      <c r="AC5785" s="21">
        <v>18471.830000000002</v>
      </c>
      <c r="AD5785" s="21" t="s">
        <v>368</v>
      </c>
      <c r="AE5785" t="str">
        <f>VLOOKUP(Table_Query_from_Actuarial___Production3[[#This Row],[Kor1]],$AI$3:$AK$105,3,FALSE)</f>
        <v>Misc. Expense</v>
      </c>
      <c r="AF5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6" spans="18:32" x14ac:dyDescent="0.2">
      <c r="R5786" t="s">
        <v>43</v>
      </c>
      <c r="S5786" t="s">
        <v>229</v>
      </c>
      <c r="T5786" t="s">
        <v>351</v>
      </c>
      <c r="U5786" s="21">
        <v>0.16</v>
      </c>
      <c r="V5786" s="21" t="s">
        <v>368</v>
      </c>
      <c r="W5786" t="str">
        <f>VLOOKUP(Table_Query_from_Actuarial___Production[[#This Row],[Kor1]],$AI$3:$AK$105,3,FALSE)</f>
        <v>Charge-offs</v>
      </c>
      <c r="X5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6"/>
      <c r="Z5786" t="s">
        <v>3</v>
      </c>
      <c r="AA5786" t="s">
        <v>242</v>
      </c>
      <c r="AB5786" t="s">
        <v>427</v>
      </c>
      <c r="AC5786" s="21">
        <v>614105</v>
      </c>
      <c r="AD5786" s="21" t="s">
        <v>368</v>
      </c>
      <c r="AE5786" t="str">
        <f>VLOOKUP(Table_Query_from_Actuarial___Production3[[#This Row],[Kor1]],$AI$3:$AK$105,3,FALSE)</f>
        <v>Premiums Written</v>
      </c>
      <c r="AF5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7" spans="18:32" x14ac:dyDescent="0.2">
      <c r="R5787" t="s">
        <v>43</v>
      </c>
      <c r="S5787" t="s">
        <v>4</v>
      </c>
      <c r="T5787" t="s">
        <v>9</v>
      </c>
      <c r="U5787" s="21">
        <v>8579.6200000000008</v>
      </c>
      <c r="V5787" s="21" t="s">
        <v>368</v>
      </c>
      <c r="W5787" t="str">
        <f>VLOOKUP(Table_Query_from_Actuarial___Production[[#This Row],[Kor1]],$AI$3:$AK$105,3,FALSE)</f>
        <v>Charge-offs</v>
      </c>
      <c r="X5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7"/>
      <c r="Z5787" t="s">
        <v>10</v>
      </c>
      <c r="AA5787" t="s">
        <v>228</v>
      </c>
      <c r="AB5787" t="s">
        <v>6</v>
      </c>
      <c r="AC5787" s="21">
        <v>39389.699999999997</v>
      </c>
      <c r="AD5787" s="21" t="s">
        <v>368</v>
      </c>
      <c r="AE5787" t="str">
        <f>VLOOKUP(Table_Query_from_Actuarial___Production3[[#This Row],[Kor1]],$AI$3:$AK$105,3,FALSE)</f>
        <v>Commissions</v>
      </c>
      <c r="AF5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8" spans="18:32" x14ac:dyDescent="0.2">
      <c r="R5788" t="s">
        <v>13</v>
      </c>
      <c r="S5788" t="s">
        <v>232</v>
      </c>
      <c r="T5788" t="s">
        <v>356</v>
      </c>
      <c r="U5788" s="21">
        <v>145148.71</v>
      </c>
      <c r="V5788" s="21" t="s">
        <v>368</v>
      </c>
      <c r="W5788" t="str">
        <f>VLOOKUP(Table_Query_from_Actuarial___Production[[#This Row],[Kor1]],$AI$3:$AK$105,3,FALSE)</f>
        <v>Operating Service Fees</v>
      </c>
      <c r="X5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8"/>
      <c r="Z5788" t="s">
        <v>16</v>
      </c>
      <c r="AA5788" t="s">
        <v>240</v>
      </c>
      <c r="AB5788" t="s">
        <v>443</v>
      </c>
      <c r="AC5788" s="21">
        <v>89443.8</v>
      </c>
      <c r="AD5788" s="21" t="s">
        <v>368</v>
      </c>
      <c r="AE5788" t="str">
        <f>VLOOKUP(Table_Query_from_Actuarial___Production3[[#This Row],[Kor1]],$AI$3:$AK$105,3,FALSE)</f>
        <v>Losses Outstanding</v>
      </c>
      <c r="AF5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89" spans="18:32" x14ac:dyDescent="0.2">
      <c r="R5789" t="s">
        <v>33</v>
      </c>
      <c r="S5789" t="s">
        <v>251</v>
      </c>
      <c r="T5789" t="s">
        <v>427</v>
      </c>
      <c r="U5789" s="21">
        <v>13151.58</v>
      </c>
      <c r="V5789" s="21" t="s">
        <v>368</v>
      </c>
      <c r="W5789" t="str">
        <f>VLOOKUP(Table_Query_from_Actuarial___Production[[#This Row],[Kor1]],$AI$3:$AK$105,3,FALSE)</f>
        <v>Misc. Expense</v>
      </c>
      <c r="X5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89"/>
      <c r="Z5789" t="s">
        <v>14</v>
      </c>
      <c r="AA5789" t="s">
        <v>257</v>
      </c>
      <c r="AB5789" t="s">
        <v>433</v>
      </c>
      <c r="AC5789" s="21">
        <v>148849.32</v>
      </c>
      <c r="AD5789" s="21" t="s">
        <v>368</v>
      </c>
      <c r="AE5789" t="str">
        <f>VLOOKUP(Table_Query_from_Actuarial___Production3[[#This Row],[Kor1]],$AI$3:$AK$105,3,FALSE)</f>
        <v>Claims Expense</v>
      </c>
      <c r="AF5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0" spans="18:32" x14ac:dyDescent="0.2">
      <c r="R5790" t="s">
        <v>11</v>
      </c>
      <c r="S5790" t="s">
        <v>246</v>
      </c>
      <c r="T5790" t="s">
        <v>8</v>
      </c>
      <c r="U5790" s="21">
        <v>48918.93</v>
      </c>
      <c r="V5790" s="21" t="s">
        <v>368</v>
      </c>
      <c r="W5790" t="str">
        <f>VLOOKUP(Table_Query_from_Actuarial___Production[[#This Row],[Kor1]],$AI$3:$AK$105,3,FALSE)</f>
        <v>Losses Paid</v>
      </c>
      <c r="X5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0"/>
      <c r="Z5790" t="s">
        <v>37</v>
      </c>
      <c r="AA5790" t="s">
        <v>257</v>
      </c>
      <c r="AB5790" t="s">
        <v>9</v>
      </c>
      <c r="AC5790" s="21">
        <v>6314.49</v>
      </c>
      <c r="AD5790" s="21" t="s">
        <v>368</v>
      </c>
      <c r="AE5790" t="str">
        <f>VLOOKUP(Table_Query_from_Actuarial___Production3[[#This Row],[Kor1]],$AI$3:$AK$105,3,FALSE)</f>
        <v>Misc. Expense</v>
      </c>
      <c r="AF5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1" spans="18:32" x14ac:dyDescent="0.2">
      <c r="R5791" t="s">
        <v>31</v>
      </c>
      <c r="S5791" t="s">
        <v>233</v>
      </c>
      <c r="T5791" t="s">
        <v>427</v>
      </c>
      <c r="U5791" s="21">
        <v>929.43</v>
      </c>
      <c r="V5791" s="21" t="s">
        <v>368</v>
      </c>
      <c r="W5791" t="str">
        <f>VLOOKUP(Table_Query_from_Actuarial___Production[[#This Row],[Kor1]],$AI$3:$AK$105,3,FALSE)</f>
        <v>Misc. Expense</v>
      </c>
      <c r="X5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1"/>
      <c r="Z5791" t="s">
        <v>34</v>
      </c>
      <c r="AA5791" t="s">
        <v>251</v>
      </c>
      <c r="AB5791" t="s">
        <v>433</v>
      </c>
      <c r="AC5791" s="21">
        <v>3149.95</v>
      </c>
      <c r="AD5791" s="21" t="s">
        <v>368</v>
      </c>
      <c r="AE5791" t="str">
        <f>VLOOKUP(Table_Query_from_Actuarial___Production3[[#This Row],[Kor1]],$AI$3:$AK$105,3,FALSE)</f>
        <v>Misc. Expense</v>
      </c>
      <c r="AF5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2" spans="18:32" x14ac:dyDescent="0.2">
      <c r="R5792" t="s">
        <v>33</v>
      </c>
      <c r="S5792" t="s">
        <v>264</v>
      </c>
      <c r="T5792" t="s">
        <v>443</v>
      </c>
      <c r="U5792" s="21">
        <v>17656.09</v>
      </c>
      <c r="V5792" s="21" t="s">
        <v>368</v>
      </c>
      <c r="W5792" t="str">
        <f>VLOOKUP(Table_Query_from_Actuarial___Production[[#This Row],[Kor1]],$AI$3:$AK$105,3,FALSE)</f>
        <v>Misc. Expense</v>
      </c>
      <c r="X5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2"/>
      <c r="Z5792" t="s">
        <v>44</v>
      </c>
      <c r="AA5792" t="s">
        <v>229</v>
      </c>
      <c r="AB5792" t="s">
        <v>351</v>
      </c>
      <c r="AC5792" s="21">
        <v>6277</v>
      </c>
      <c r="AD5792" s="21" t="s">
        <v>368</v>
      </c>
      <c r="AE5792" t="str">
        <f>VLOOKUP(Table_Query_from_Actuarial___Production3[[#This Row],[Kor1]],$AI$3:$AK$105,3,FALSE)</f>
        <v>Charge-offs</v>
      </c>
      <c r="AF5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3" spans="18:32" x14ac:dyDescent="0.2">
      <c r="R5793" t="s">
        <v>41</v>
      </c>
      <c r="S5793" t="s">
        <v>249</v>
      </c>
      <c r="T5793" t="s">
        <v>356</v>
      </c>
      <c r="U5793" s="21">
        <v>300.01</v>
      </c>
      <c r="V5793" s="21" t="s">
        <v>368</v>
      </c>
      <c r="W5793" t="str">
        <f>VLOOKUP(Table_Query_from_Actuarial___Production[[#This Row],[Kor1]],$AI$3:$AK$105,3,FALSE)</f>
        <v>Misc. Income</v>
      </c>
      <c r="X5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3"/>
      <c r="Z5793" t="s">
        <v>14</v>
      </c>
      <c r="AA5793" t="s">
        <v>236</v>
      </c>
      <c r="AB5793" t="s">
        <v>9</v>
      </c>
      <c r="AC5793" s="21">
        <v>8947.84</v>
      </c>
      <c r="AD5793" s="21" t="s">
        <v>368</v>
      </c>
      <c r="AE5793" t="str">
        <f>VLOOKUP(Table_Query_from_Actuarial___Production3[[#This Row],[Kor1]],$AI$3:$AK$105,3,FALSE)</f>
        <v>Claims Expense</v>
      </c>
      <c r="AF5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4" spans="18:32" x14ac:dyDescent="0.2">
      <c r="R5794" t="s">
        <v>3</v>
      </c>
      <c r="S5794" t="s">
        <v>225</v>
      </c>
      <c r="T5794" t="s">
        <v>442</v>
      </c>
      <c r="U5794" s="21">
        <v>1174705</v>
      </c>
      <c r="V5794" s="21" t="s">
        <v>368</v>
      </c>
      <c r="W5794" t="str">
        <f>VLOOKUP(Table_Query_from_Actuarial___Production[[#This Row],[Kor1]],$AI$3:$AK$105,3,FALSE)</f>
        <v>Premiums Written</v>
      </c>
      <c r="X5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794"/>
      <c r="Z5794" t="s">
        <v>43</v>
      </c>
      <c r="AA5794" t="s">
        <v>250</v>
      </c>
      <c r="AB5794" t="s">
        <v>443</v>
      </c>
      <c r="AC5794" s="21">
        <v>14.89</v>
      </c>
      <c r="AD5794" s="21" t="s">
        <v>368</v>
      </c>
      <c r="AE5794" t="str">
        <f>VLOOKUP(Table_Query_from_Actuarial___Production3[[#This Row],[Kor1]],$AI$3:$AK$105,3,FALSE)</f>
        <v>Charge-offs</v>
      </c>
      <c r="AF5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5" spans="18:32" x14ac:dyDescent="0.2">
      <c r="R5795" t="s">
        <v>13</v>
      </c>
      <c r="S5795" t="s">
        <v>244</v>
      </c>
      <c r="T5795" t="s">
        <v>433</v>
      </c>
      <c r="U5795" s="21">
        <v>476105.04</v>
      </c>
      <c r="V5795" s="21" t="s">
        <v>368</v>
      </c>
      <c r="W5795" t="str">
        <f>VLOOKUP(Table_Query_from_Actuarial___Production[[#This Row],[Kor1]],$AI$3:$AK$105,3,FALSE)</f>
        <v>Operating Service Fees</v>
      </c>
      <c r="X5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5"/>
      <c r="Z5795" t="s">
        <v>12</v>
      </c>
      <c r="AA5795" t="s">
        <v>258</v>
      </c>
      <c r="AB5795" t="s">
        <v>356</v>
      </c>
      <c r="AC5795" s="21">
        <v>51561</v>
      </c>
      <c r="AD5795" s="21" t="s">
        <v>368</v>
      </c>
      <c r="AE5795" t="str">
        <f>VLOOKUP(Table_Query_from_Actuarial___Production3[[#This Row],[Kor1]],$AI$3:$AK$105,3,FALSE)</f>
        <v>Premium Tax</v>
      </c>
      <c r="AF5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6" spans="18:32" x14ac:dyDescent="0.2">
      <c r="R5796" t="s">
        <v>14</v>
      </c>
      <c r="S5796" t="s">
        <v>260</v>
      </c>
      <c r="T5796" t="s">
        <v>427</v>
      </c>
      <c r="U5796" s="21">
        <v>409.21</v>
      </c>
      <c r="V5796" s="21" t="s">
        <v>368</v>
      </c>
      <c r="W5796" t="str">
        <f>VLOOKUP(Table_Query_from_Actuarial___Production[[#This Row],[Kor1]],$AI$3:$AK$105,3,FALSE)</f>
        <v>Claims Expense</v>
      </c>
      <c r="X5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6"/>
      <c r="Z5796" t="s">
        <v>37</v>
      </c>
      <c r="AA5796" t="s">
        <v>261</v>
      </c>
      <c r="AB5796" t="s">
        <v>5</v>
      </c>
      <c r="AC5796" s="21">
        <v>258.24</v>
      </c>
      <c r="AD5796" s="21" t="s">
        <v>368</v>
      </c>
      <c r="AE5796" t="str">
        <f>VLOOKUP(Table_Query_from_Actuarial___Production3[[#This Row],[Kor1]],$AI$3:$AK$105,3,FALSE)</f>
        <v>Misc. Expense</v>
      </c>
      <c r="AF5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7" spans="18:32" x14ac:dyDescent="0.2">
      <c r="R5797" t="s">
        <v>12</v>
      </c>
      <c r="S5797" t="s">
        <v>229</v>
      </c>
      <c r="T5797" t="s">
        <v>445</v>
      </c>
      <c r="U5797" s="21">
        <v>1164.3</v>
      </c>
      <c r="V5797" s="21" t="s">
        <v>368</v>
      </c>
      <c r="W5797" t="str">
        <f>VLOOKUP(Table_Query_from_Actuarial___Production[[#This Row],[Kor1]],$AI$3:$AK$105,3,FALSE)</f>
        <v>Premium Tax</v>
      </c>
      <c r="X5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7"/>
      <c r="Z5797" t="s">
        <v>11</v>
      </c>
      <c r="AA5797" t="s">
        <v>235</v>
      </c>
      <c r="AB5797" t="s">
        <v>7</v>
      </c>
      <c r="AC5797" s="21">
        <v>49372.27</v>
      </c>
      <c r="AD5797" s="21" t="s">
        <v>368</v>
      </c>
      <c r="AE5797" t="str">
        <f>VLOOKUP(Table_Query_from_Actuarial___Production3[[#This Row],[Kor1]],$AI$3:$AK$105,3,FALSE)</f>
        <v>Losses Paid</v>
      </c>
      <c r="AF5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798" spans="18:32" x14ac:dyDescent="0.2">
      <c r="R5798" t="s">
        <v>14</v>
      </c>
      <c r="S5798" t="s">
        <v>249</v>
      </c>
      <c r="T5798" t="s">
        <v>442</v>
      </c>
      <c r="U5798" s="21">
        <v>49911.17</v>
      </c>
      <c r="V5798" s="21" t="s">
        <v>368</v>
      </c>
      <c r="W5798" t="str">
        <f>VLOOKUP(Table_Query_from_Actuarial___Production[[#This Row],[Kor1]],$AI$3:$AK$105,3,FALSE)</f>
        <v>Claims Expense</v>
      </c>
      <c r="X5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8"/>
      <c r="Z5798" t="s">
        <v>10</v>
      </c>
      <c r="AA5798" t="s">
        <v>352</v>
      </c>
      <c r="AB5798" t="s">
        <v>8</v>
      </c>
      <c r="AC5798" s="21">
        <v>998.85</v>
      </c>
      <c r="AD5798" s="21" t="s">
        <v>368</v>
      </c>
      <c r="AE5798" t="str">
        <f>VLOOKUP(Table_Query_from_Actuarial___Production3[[#This Row],[Kor1]],$AI$3:$AK$105,3,FALSE)</f>
        <v>Commissions</v>
      </c>
      <c r="AF5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799" spans="18:32" x14ac:dyDescent="0.2">
      <c r="R5799" t="s">
        <v>43</v>
      </c>
      <c r="S5799" t="s">
        <v>252</v>
      </c>
      <c r="T5799" t="s">
        <v>351</v>
      </c>
      <c r="U5799" s="21">
        <v>9202.43</v>
      </c>
      <c r="V5799" s="21" t="s">
        <v>368</v>
      </c>
      <c r="W5799" t="str">
        <f>VLOOKUP(Table_Query_from_Actuarial___Production[[#This Row],[Kor1]],$AI$3:$AK$105,3,FALSE)</f>
        <v>Charge-offs</v>
      </c>
      <c r="X5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799"/>
      <c r="Z5799" t="s">
        <v>44</v>
      </c>
      <c r="AA5799" t="s">
        <v>259</v>
      </c>
      <c r="AB5799" t="s">
        <v>351</v>
      </c>
      <c r="AC5799" s="21">
        <v>15</v>
      </c>
      <c r="AD5799" s="21" t="s">
        <v>368</v>
      </c>
      <c r="AE5799" t="str">
        <f>VLOOKUP(Table_Query_from_Actuarial___Production3[[#This Row],[Kor1]],$AI$3:$AK$105,3,FALSE)</f>
        <v>Charge-offs</v>
      </c>
      <c r="AF5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0" spans="18:32" x14ac:dyDescent="0.2">
      <c r="R5800" t="s">
        <v>33</v>
      </c>
      <c r="S5800" t="s">
        <v>268</v>
      </c>
      <c r="T5800" t="s">
        <v>441</v>
      </c>
      <c r="U5800" s="21">
        <v>18296.849999999999</v>
      </c>
      <c r="V5800" s="21" t="s">
        <v>368</v>
      </c>
      <c r="W5800" t="str">
        <f>VLOOKUP(Table_Query_from_Actuarial___Production[[#This Row],[Kor1]],$AI$3:$AK$105,3,FALSE)</f>
        <v>Misc. Expense</v>
      </c>
      <c r="X5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0"/>
      <c r="Z5800" t="s">
        <v>13</v>
      </c>
      <c r="AA5800" t="s">
        <v>228</v>
      </c>
      <c r="AB5800" t="s">
        <v>6</v>
      </c>
      <c r="AC5800" s="21">
        <v>81546.31</v>
      </c>
      <c r="AD5800" s="21" t="s">
        <v>368</v>
      </c>
      <c r="AE5800" t="str">
        <f>VLOOKUP(Table_Query_from_Actuarial___Production3[[#This Row],[Kor1]],$AI$3:$AK$105,3,FALSE)</f>
        <v>Operating Service Fees</v>
      </c>
      <c r="AF5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1" spans="18:32" x14ac:dyDescent="0.2">
      <c r="R5801" t="s">
        <v>40</v>
      </c>
      <c r="S5801" t="s">
        <v>258</v>
      </c>
      <c r="T5801" t="s">
        <v>351</v>
      </c>
      <c r="U5801" s="21">
        <v>809.57</v>
      </c>
      <c r="V5801" s="21" t="s">
        <v>368</v>
      </c>
      <c r="W5801" t="str">
        <f>VLOOKUP(Table_Query_from_Actuarial___Production[[#This Row],[Kor1]],$AI$3:$AK$105,3,FALSE)</f>
        <v>Misc. Income</v>
      </c>
      <c r="X5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1"/>
      <c r="Z5801" t="s">
        <v>43</v>
      </c>
      <c r="AA5801" t="s">
        <v>229</v>
      </c>
      <c r="AB5801" t="s">
        <v>351</v>
      </c>
      <c r="AC5801" s="21">
        <v>0.16</v>
      </c>
      <c r="AD5801" s="21" t="s">
        <v>368</v>
      </c>
      <c r="AE5801" t="str">
        <f>VLOOKUP(Table_Query_from_Actuarial___Production3[[#This Row],[Kor1]],$AI$3:$AK$105,3,FALSE)</f>
        <v>Charge-offs</v>
      </c>
      <c r="AF5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2" spans="18:32" x14ac:dyDescent="0.2">
      <c r="R5802" t="s">
        <v>10</v>
      </c>
      <c r="S5802" t="s">
        <v>243</v>
      </c>
      <c r="T5802" t="s">
        <v>442</v>
      </c>
      <c r="U5802" s="21">
        <v>34057.68</v>
      </c>
      <c r="V5802" s="21" t="s">
        <v>368</v>
      </c>
      <c r="W5802" t="str">
        <f>VLOOKUP(Table_Query_from_Actuarial___Production[[#This Row],[Kor1]],$AI$3:$AK$105,3,FALSE)</f>
        <v>Commissions</v>
      </c>
      <c r="X5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2"/>
      <c r="Z5802" t="s">
        <v>43</v>
      </c>
      <c r="AA5802" t="s">
        <v>4</v>
      </c>
      <c r="AB5802" t="s">
        <v>9</v>
      </c>
      <c r="AC5802" s="21">
        <v>8579.6200000000008</v>
      </c>
      <c r="AD5802" s="21" t="s">
        <v>368</v>
      </c>
      <c r="AE5802" t="str">
        <f>VLOOKUP(Table_Query_from_Actuarial___Production3[[#This Row],[Kor1]],$AI$3:$AK$105,3,FALSE)</f>
        <v>Charge-offs</v>
      </c>
      <c r="AF5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3" spans="18:32" x14ac:dyDescent="0.2">
      <c r="R5803" t="s">
        <v>14</v>
      </c>
      <c r="S5803" t="s">
        <v>232</v>
      </c>
      <c r="T5803" t="s">
        <v>445</v>
      </c>
      <c r="U5803" s="21">
        <v>26714.04</v>
      </c>
      <c r="V5803" s="21" t="s">
        <v>368</v>
      </c>
      <c r="W5803" t="str">
        <f>VLOOKUP(Table_Query_from_Actuarial___Production[[#This Row],[Kor1]],$AI$3:$AK$105,3,FALSE)</f>
        <v>Claims Expense</v>
      </c>
      <c r="X5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3"/>
      <c r="Z5803" t="s">
        <v>13</v>
      </c>
      <c r="AA5803" t="s">
        <v>232</v>
      </c>
      <c r="AB5803" t="s">
        <v>356</v>
      </c>
      <c r="AC5803" s="21">
        <v>145148.71</v>
      </c>
      <c r="AD5803" s="21" t="s">
        <v>368</v>
      </c>
      <c r="AE5803" t="str">
        <f>VLOOKUP(Table_Query_from_Actuarial___Production3[[#This Row],[Kor1]],$AI$3:$AK$105,3,FALSE)</f>
        <v>Operating Service Fees</v>
      </c>
      <c r="AF5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4" spans="18:32" x14ac:dyDescent="0.2">
      <c r="R5804" t="s">
        <v>10</v>
      </c>
      <c r="S5804" t="s">
        <v>225</v>
      </c>
      <c r="T5804" t="s">
        <v>427</v>
      </c>
      <c r="U5804" s="21">
        <v>70299.63</v>
      </c>
      <c r="V5804" s="21" t="s">
        <v>369</v>
      </c>
      <c r="W5804" t="str">
        <f>VLOOKUP(Table_Query_from_Actuarial___Production[[#This Row],[Kor1]],$AI$3:$AK$105,3,FALSE)</f>
        <v>Commissions</v>
      </c>
      <c r="X5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804"/>
      <c r="Z5804" t="s">
        <v>33</v>
      </c>
      <c r="AA5804" t="s">
        <v>251</v>
      </c>
      <c r="AB5804" t="s">
        <v>427</v>
      </c>
      <c r="AC5804" s="21">
        <v>13151.58</v>
      </c>
      <c r="AD5804" s="21" t="s">
        <v>368</v>
      </c>
      <c r="AE5804" t="str">
        <f>VLOOKUP(Table_Query_from_Actuarial___Production3[[#This Row],[Kor1]],$AI$3:$AK$105,3,FALSE)</f>
        <v>Misc. Expense</v>
      </c>
      <c r="AF5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5" spans="18:32" x14ac:dyDescent="0.2">
      <c r="R5805" t="s">
        <v>44</v>
      </c>
      <c r="S5805" t="s">
        <v>263</v>
      </c>
      <c r="T5805" t="s">
        <v>351</v>
      </c>
      <c r="U5805" s="21">
        <v>1646.8</v>
      </c>
      <c r="V5805" s="21" t="s">
        <v>368</v>
      </c>
      <c r="W5805" t="str">
        <f>VLOOKUP(Table_Query_from_Actuarial___Production[[#This Row],[Kor1]],$AI$3:$AK$105,3,FALSE)</f>
        <v>Charge-offs</v>
      </c>
      <c r="X5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5"/>
      <c r="Z5805" t="s">
        <v>11</v>
      </c>
      <c r="AA5805" t="s">
        <v>246</v>
      </c>
      <c r="AB5805" t="s">
        <v>8</v>
      </c>
      <c r="AC5805" s="21">
        <v>48918.93</v>
      </c>
      <c r="AD5805" s="21" t="s">
        <v>368</v>
      </c>
      <c r="AE5805" t="str">
        <f>VLOOKUP(Table_Query_from_Actuarial___Production3[[#This Row],[Kor1]],$AI$3:$AK$105,3,FALSE)</f>
        <v>Losses Paid</v>
      </c>
      <c r="AF5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6" spans="18:32" x14ac:dyDescent="0.2">
      <c r="R5806" t="s">
        <v>50</v>
      </c>
      <c r="S5806" t="s">
        <v>265</v>
      </c>
      <c r="T5806" t="s">
        <v>441</v>
      </c>
      <c r="U5806" s="21">
        <v>4582.88</v>
      </c>
      <c r="V5806" s="21" t="s">
        <v>368</v>
      </c>
      <c r="W5806" t="str">
        <f>VLOOKUP(Table_Query_from_Actuarial___Production[[#This Row],[Kor1]],$AI$3:$AK$105,3,FALSE)</f>
        <v>ALAE Reserve</v>
      </c>
      <c r="X5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6"/>
      <c r="Z5806" t="s">
        <v>31</v>
      </c>
      <c r="AA5806" t="s">
        <v>233</v>
      </c>
      <c r="AB5806" t="s">
        <v>427</v>
      </c>
      <c r="AC5806" s="21">
        <v>929.43</v>
      </c>
      <c r="AD5806" s="21" t="s">
        <v>368</v>
      </c>
      <c r="AE5806" t="str">
        <f>VLOOKUP(Table_Query_from_Actuarial___Production3[[#This Row],[Kor1]],$AI$3:$AK$105,3,FALSE)</f>
        <v>Misc. Expense</v>
      </c>
      <c r="AF5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7" spans="18:32" x14ac:dyDescent="0.2">
      <c r="R5807" t="s">
        <v>10</v>
      </c>
      <c r="S5807" t="s">
        <v>247</v>
      </c>
      <c r="T5807" t="s">
        <v>441</v>
      </c>
      <c r="U5807" s="21">
        <v>475.8</v>
      </c>
      <c r="V5807" s="21" t="s">
        <v>368</v>
      </c>
      <c r="W5807" t="str">
        <f>VLOOKUP(Table_Query_from_Actuarial___Production[[#This Row],[Kor1]],$AI$3:$AK$105,3,FALSE)</f>
        <v>Commissions</v>
      </c>
      <c r="X5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7"/>
      <c r="Z5807" t="s">
        <v>33</v>
      </c>
      <c r="AA5807" t="s">
        <v>264</v>
      </c>
      <c r="AB5807" t="s">
        <v>443</v>
      </c>
      <c r="AC5807" s="21">
        <v>9672.01</v>
      </c>
      <c r="AD5807" s="21" t="s">
        <v>368</v>
      </c>
      <c r="AE5807" t="str">
        <f>VLOOKUP(Table_Query_from_Actuarial___Production3[[#This Row],[Kor1]],$AI$3:$AK$105,3,FALSE)</f>
        <v>Misc. Expense</v>
      </c>
      <c r="AF5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8" spans="18:32" x14ac:dyDescent="0.2">
      <c r="R5808" t="s">
        <v>19</v>
      </c>
      <c r="S5808" t="s">
        <v>227</v>
      </c>
      <c r="T5808" t="s">
        <v>427</v>
      </c>
      <c r="U5808" s="21">
        <v>4</v>
      </c>
      <c r="V5808" s="21" t="s">
        <v>368</v>
      </c>
      <c r="W5808" t="str">
        <f>VLOOKUP(Table_Query_from_Actuarial___Production[[#This Row],[Kor1]],$AI$3:$AK$105,3,FALSE)</f>
        <v>Misc. Expense for Insolvent Companies</v>
      </c>
      <c r="X5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8"/>
      <c r="Z5808" t="s">
        <v>15</v>
      </c>
      <c r="AA5808" t="s">
        <v>260</v>
      </c>
      <c r="AB5808" t="s">
        <v>442</v>
      </c>
      <c r="AC5808" s="21">
        <v>2382.34</v>
      </c>
      <c r="AD5808" s="21" t="s">
        <v>368</v>
      </c>
      <c r="AE5808" t="str">
        <f>VLOOKUP(Table_Query_from_Actuarial___Production3[[#This Row],[Kor1]],$AI$3:$AK$105,3,FALSE)</f>
        <v>Unearned Premiums</v>
      </c>
      <c r="AF5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09" spans="18:32" x14ac:dyDescent="0.2">
      <c r="R5809" t="s">
        <v>41</v>
      </c>
      <c r="S5809" t="s">
        <v>228</v>
      </c>
      <c r="T5809" t="s">
        <v>7</v>
      </c>
      <c r="U5809" s="21">
        <v>900.58</v>
      </c>
      <c r="V5809" s="21" t="s">
        <v>368</v>
      </c>
      <c r="W5809" t="str">
        <f>VLOOKUP(Table_Query_from_Actuarial___Production[[#This Row],[Kor1]],$AI$3:$AK$105,3,FALSE)</f>
        <v>Misc. Income</v>
      </c>
      <c r="X5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09"/>
      <c r="Z5809" t="s">
        <v>41</v>
      </c>
      <c r="AA5809" t="s">
        <v>249</v>
      </c>
      <c r="AB5809" t="s">
        <v>356</v>
      </c>
      <c r="AC5809" s="21">
        <v>300.01</v>
      </c>
      <c r="AD5809" s="21" t="s">
        <v>368</v>
      </c>
      <c r="AE5809" t="str">
        <f>VLOOKUP(Table_Query_from_Actuarial___Production3[[#This Row],[Kor1]],$AI$3:$AK$105,3,FALSE)</f>
        <v>Misc. Income</v>
      </c>
      <c r="AF5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0" spans="18:32" x14ac:dyDescent="0.2">
      <c r="R5810" t="s">
        <v>43</v>
      </c>
      <c r="S5810" t="s">
        <v>254</v>
      </c>
      <c r="T5810" t="s">
        <v>6</v>
      </c>
      <c r="U5810" s="21">
        <v>6.1</v>
      </c>
      <c r="V5810" s="21" t="s">
        <v>368</v>
      </c>
      <c r="W5810" t="str">
        <f>VLOOKUP(Table_Query_from_Actuarial___Production[[#This Row],[Kor1]],$AI$3:$AK$105,3,FALSE)</f>
        <v>Charge-offs</v>
      </c>
      <c r="X5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0"/>
      <c r="Z5810" t="s">
        <v>3</v>
      </c>
      <c r="AA5810" t="s">
        <v>225</v>
      </c>
      <c r="AB5810" t="s">
        <v>442</v>
      </c>
      <c r="AC5810" s="21">
        <v>1174705</v>
      </c>
      <c r="AD5810" s="21" t="s">
        <v>368</v>
      </c>
      <c r="AE5810" t="str">
        <f>VLOOKUP(Table_Query_from_Actuarial___Production3[[#This Row],[Kor1]],$AI$3:$AK$105,3,FALSE)</f>
        <v>Premiums Written</v>
      </c>
      <c r="AF5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811" spans="18:32" x14ac:dyDescent="0.2">
      <c r="R5811" t="s">
        <v>39</v>
      </c>
      <c r="S5811" t="s">
        <v>255</v>
      </c>
      <c r="T5811" t="s">
        <v>445</v>
      </c>
      <c r="U5811" s="21">
        <v>358.1</v>
      </c>
      <c r="V5811" s="21" t="s">
        <v>368</v>
      </c>
      <c r="W5811" t="str">
        <f>VLOOKUP(Table_Query_from_Actuarial___Production[[#This Row],[Kor1]],$AI$3:$AK$105,3,FALSE)</f>
        <v>Misc. Income for Insolvent Companies</v>
      </c>
      <c r="X5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1"/>
      <c r="Z5811" t="s">
        <v>13</v>
      </c>
      <c r="AA5811" t="s">
        <v>244</v>
      </c>
      <c r="AB5811" t="s">
        <v>433</v>
      </c>
      <c r="AC5811" s="21">
        <v>476105.04</v>
      </c>
      <c r="AD5811" s="21" t="s">
        <v>368</v>
      </c>
      <c r="AE5811" t="str">
        <f>VLOOKUP(Table_Query_from_Actuarial___Production3[[#This Row],[Kor1]],$AI$3:$AK$105,3,FALSE)</f>
        <v>Operating Service Fees</v>
      </c>
      <c r="AF5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2" spans="18:32" x14ac:dyDescent="0.2">
      <c r="R5812" t="s">
        <v>43</v>
      </c>
      <c r="S5812" t="s">
        <v>259</v>
      </c>
      <c r="T5812" t="s">
        <v>351</v>
      </c>
      <c r="U5812" s="21">
        <v>246.02</v>
      </c>
      <c r="V5812" s="21" t="s">
        <v>368</v>
      </c>
      <c r="W5812" t="str">
        <f>VLOOKUP(Table_Query_from_Actuarial___Production[[#This Row],[Kor1]],$AI$3:$AK$105,3,FALSE)</f>
        <v>Charge-offs</v>
      </c>
      <c r="X5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2"/>
      <c r="Z5812" t="s">
        <v>14</v>
      </c>
      <c r="AA5812" t="s">
        <v>260</v>
      </c>
      <c r="AB5812" t="s">
        <v>427</v>
      </c>
      <c r="AC5812" s="21">
        <v>409.21</v>
      </c>
      <c r="AD5812" s="21" t="s">
        <v>368</v>
      </c>
      <c r="AE5812" t="str">
        <f>VLOOKUP(Table_Query_from_Actuarial___Production3[[#This Row],[Kor1]],$AI$3:$AK$105,3,FALSE)</f>
        <v>Claims Expense</v>
      </c>
      <c r="AF5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3" spans="18:32" x14ac:dyDescent="0.2">
      <c r="R5813" t="s">
        <v>33</v>
      </c>
      <c r="S5813" t="s">
        <v>240</v>
      </c>
      <c r="T5813" t="s">
        <v>427</v>
      </c>
      <c r="U5813" s="21">
        <v>13511.52</v>
      </c>
      <c r="V5813" s="21" t="s">
        <v>368</v>
      </c>
      <c r="W5813" t="str">
        <f>VLOOKUP(Table_Query_from_Actuarial___Production[[#This Row],[Kor1]],$AI$3:$AK$105,3,FALSE)</f>
        <v>Misc. Expense</v>
      </c>
      <c r="X5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3"/>
      <c r="Z5813" t="s">
        <v>12</v>
      </c>
      <c r="AA5813" t="s">
        <v>250</v>
      </c>
      <c r="AB5813" t="s">
        <v>5</v>
      </c>
      <c r="AC5813" s="21">
        <v>12332.7</v>
      </c>
      <c r="AD5813" s="21" t="s">
        <v>368</v>
      </c>
      <c r="AE5813" t="str">
        <f>VLOOKUP(Table_Query_from_Actuarial___Production3[[#This Row],[Kor1]],$AI$3:$AK$105,3,FALSE)</f>
        <v>Premium Tax</v>
      </c>
      <c r="AF5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4" spans="18:32" x14ac:dyDescent="0.2">
      <c r="R5814" t="s">
        <v>19</v>
      </c>
      <c r="S5814" t="s">
        <v>237</v>
      </c>
      <c r="T5814" t="s">
        <v>6</v>
      </c>
      <c r="U5814" s="21">
        <v>6049.01</v>
      </c>
      <c r="V5814" s="21" t="s">
        <v>368</v>
      </c>
      <c r="W5814" t="str">
        <f>VLOOKUP(Table_Query_from_Actuarial___Production[[#This Row],[Kor1]],$AI$3:$AK$105,3,FALSE)</f>
        <v>Misc. Expense for Insolvent Companies</v>
      </c>
      <c r="X5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4"/>
      <c r="Z5814" t="s">
        <v>14</v>
      </c>
      <c r="AA5814" t="s">
        <v>249</v>
      </c>
      <c r="AB5814" t="s">
        <v>442</v>
      </c>
      <c r="AC5814" s="21">
        <v>36732.6</v>
      </c>
      <c r="AD5814" s="21" t="s">
        <v>368</v>
      </c>
      <c r="AE5814" t="str">
        <f>VLOOKUP(Table_Query_from_Actuarial___Production3[[#This Row],[Kor1]],$AI$3:$AK$105,3,FALSE)</f>
        <v>Claims Expense</v>
      </c>
      <c r="AF5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5" spans="18:32" x14ac:dyDescent="0.2">
      <c r="R5815" t="s">
        <v>13</v>
      </c>
      <c r="S5815" t="s">
        <v>234</v>
      </c>
      <c r="T5815" t="s">
        <v>443</v>
      </c>
      <c r="U5815" s="21">
        <v>316908.89</v>
      </c>
      <c r="V5815" s="21" t="s">
        <v>368</v>
      </c>
      <c r="W5815" t="str">
        <f>VLOOKUP(Table_Query_from_Actuarial___Production[[#This Row],[Kor1]],$AI$3:$AK$105,3,FALSE)</f>
        <v>Operating Service Fees</v>
      </c>
      <c r="X5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5"/>
      <c r="Z5815" t="s">
        <v>43</v>
      </c>
      <c r="AA5815" t="s">
        <v>252</v>
      </c>
      <c r="AB5815" t="s">
        <v>351</v>
      </c>
      <c r="AC5815" s="21">
        <v>9202.43</v>
      </c>
      <c r="AD5815" s="21" t="s">
        <v>368</v>
      </c>
      <c r="AE5815" t="str">
        <f>VLOOKUP(Table_Query_from_Actuarial___Production3[[#This Row],[Kor1]],$AI$3:$AK$105,3,FALSE)</f>
        <v>Charge-offs</v>
      </c>
      <c r="AF5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6" spans="18:32" x14ac:dyDescent="0.2">
      <c r="R5816" t="s">
        <v>13</v>
      </c>
      <c r="S5816" t="s">
        <v>243</v>
      </c>
      <c r="T5816" t="s">
        <v>6</v>
      </c>
      <c r="U5816" s="21">
        <v>43515.81</v>
      </c>
      <c r="V5816" s="21" t="s">
        <v>368</v>
      </c>
      <c r="W5816" t="str">
        <f>VLOOKUP(Table_Query_from_Actuarial___Production[[#This Row],[Kor1]],$AI$3:$AK$105,3,FALSE)</f>
        <v>Operating Service Fees</v>
      </c>
      <c r="X5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6"/>
      <c r="Z5816" t="s">
        <v>33</v>
      </c>
      <c r="AA5816" t="s">
        <v>268</v>
      </c>
      <c r="AB5816" t="s">
        <v>441</v>
      </c>
      <c r="AC5816" s="21">
        <v>18296.849999999999</v>
      </c>
      <c r="AD5816" s="21" t="s">
        <v>368</v>
      </c>
      <c r="AE5816" t="str">
        <f>VLOOKUP(Table_Query_from_Actuarial___Production3[[#This Row],[Kor1]],$AI$3:$AK$105,3,FALSE)</f>
        <v>Misc. Expense</v>
      </c>
      <c r="AF5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7" spans="18:32" x14ac:dyDescent="0.2">
      <c r="R5817" t="s">
        <v>12</v>
      </c>
      <c r="S5817" t="s">
        <v>247</v>
      </c>
      <c r="T5817" t="s">
        <v>441</v>
      </c>
      <c r="U5817" s="21">
        <v>130.85</v>
      </c>
      <c r="V5817" s="21" t="s">
        <v>368</v>
      </c>
      <c r="W5817" t="str">
        <f>VLOOKUP(Table_Query_from_Actuarial___Production[[#This Row],[Kor1]],$AI$3:$AK$105,3,FALSE)</f>
        <v>Premium Tax</v>
      </c>
      <c r="X5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7"/>
      <c r="Z5817" t="s">
        <v>40</v>
      </c>
      <c r="AA5817" t="s">
        <v>258</v>
      </c>
      <c r="AB5817" t="s">
        <v>351</v>
      </c>
      <c r="AC5817" s="21">
        <v>809.57</v>
      </c>
      <c r="AD5817" s="21" t="s">
        <v>368</v>
      </c>
      <c r="AE5817" t="str">
        <f>VLOOKUP(Table_Query_from_Actuarial___Production3[[#This Row],[Kor1]],$AI$3:$AK$105,3,FALSE)</f>
        <v>Misc. Income</v>
      </c>
      <c r="AF5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8" spans="18:32" x14ac:dyDescent="0.2">
      <c r="R5818" t="s">
        <v>44</v>
      </c>
      <c r="S5818" t="s">
        <v>250</v>
      </c>
      <c r="T5818" t="s">
        <v>427</v>
      </c>
      <c r="U5818" s="21">
        <v>1383</v>
      </c>
      <c r="V5818" s="21" t="s">
        <v>368</v>
      </c>
      <c r="W5818" t="str">
        <f>VLOOKUP(Table_Query_from_Actuarial___Production[[#This Row],[Kor1]],$AI$3:$AK$105,3,FALSE)</f>
        <v>Charge-offs</v>
      </c>
      <c r="X5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8"/>
      <c r="Z5818" t="s">
        <v>10</v>
      </c>
      <c r="AA5818" t="s">
        <v>243</v>
      </c>
      <c r="AB5818" t="s">
        <v>442</v>
      </c>
      <c r="AC5818" s="21">
        <v>34418.78</v>
      </c>
      <c r="AD5818" s="21" t="s">
        <v>368</v>
      </c>
      <c r="AE5818" t="str">
        <f>VLOOKUP(Table_Query_from_Actuarial___Production3[[#This Row],[Kor1]],$AI$3:$AK$105,3,FALSE)</f>
        <v>Commissions</v>
      </c>
      <c r="AF5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19" spans="18:32" x14ac:dyDescent="0.2">
      <c r="R5819" t="s">
        <v>12</v>
      </c>
      <c r="S5819" t="s">
        <v>238</v>
      </c>
      <c r="T5819" t="s">
        <v>356</v>
      </c>
      <c r="U5819" s="21">
        <v>38256.080000000002</v>
      </c>
      <c r="V5819" s="21" t="s">
        <v>368</v>
      </c>
      <c r="W5819" t="str">
        <f>VLOOKUP(Table_Query_from_Actuarial___Production[[#This Row],[Kor1]],$AI$3:$AK$105,3,FALSE)</f>
        <v>Premium Tax</v>
      </c>
      <c r="X5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19"/>
      <c r="Z5819" t="s">
        <v>10</v>
      </c>
      <c r="AA5819" t="s">
        <v>225</v>
      </c>
      <c r="AB5819" t="s">
        <v>427</v>
      </c>
      <c r="AC5819" s="21">
        <v>70088.11</v>
      </c>
      <c r="AD5819" s="21" t="s">
        <v>369</v>
      </c>
      <c r="AE5819" t="str">
        <f>VLOOKUP(Table_Query_from_Actuarial___Production3[[#This Row],[Kor1]],$AI$3:$AK$105,3,FALSE)</f>
        <v>Commissions</v>
      </c>
      <c r="AF5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820" spans="18:32" x14ac:dyDescent="0.2">
      <c r="R5820" t="s">
        <v>33</v>
      </c>
      <c r="S5820" t="s">
        <v>250</v>
      </c>
      <c r="T5820" t="s">
        <v>6</v>
      </c>
      <c r="U5820" s="21">
        <v>34550.1</v>
      </c>
      <c r="V5820" s="21" t="s">
        <v>368</v>
      </c>
      <c r="W5820" t="str">
        <f>VLOOKUP(Table_Query_from_Actuarial___Production[[#This Row],[Kor1]],$AI$3:$AK$105,3,FALSE)</f>
        <v>Misc. Expense</v>
      </c>
      <c r="X5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0"/>
      <c r="Z5820" t="s">
        <v>44</v>
      </c>
      <c r="AA5820" t="s">
        <v>263</v>
      </c>
      <c r="AB5820" t="s">
        <v>351</v>
      </c>
      <c r="AC5820" s="21">
        <v>1646.8</v>
      </c>
      <c r="AD5820" s="21" t="s">
        <v>368</v>
      </c>
      <c r="AE5820" t="str">
        <f>VLOOKUP(Table_Query_from_Actuarial___Production3[[#This Row],[Kor1]],$AI$3:$AK$105,3,FALSE)</f>
        <v>Charge-offs</v>
      </c>
      <c r="AF5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1" spans="18:32" x14ac:dyDescent="0.2">
      <c r="R5821" t="s">
        <v>39</v>
      </c>
      <c r="S5821" t="s">
        <v>264</v>
      </c>
      <c r="T5821" t="s">
        <v>433</v>
      </c>
      <c r="U5821" s="21">
        <v>50641.96</v>
      </c>
      <c r="V5821" s="21" t="s">
        <v>368</v>
      </c>
      <c r="W5821" t="str">
        <f>VLOOKUP(Table_Query_from_Actuarial___Production[[#This Row],[Kor1]],$AI$3:$AK$105,3,FALSE)</f>
        <v>Misc. Income for Insolvent Companies</v>
      </c>
      <c r="X5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1"/>
      <c r="Z5821" t="s">
        <v>50</v>
      </c>
      <c r="AA5821" t="s">
        <v>265</v>
      </c>
      <c r="AB5821" t="s">
        <v>441</v>
      </c>
      <c r="AC5821" s="21">
        <v>13188.46</v>
      </c>
      <c r="AD5821" s="21" t="s">
        <v>368</v>
      </c>
      <c r="AE5821" t="str">
        <f>VLOOKUP(Table_Query_from_Actuarial___Production3[[#This Row],[Kor1]],$AI$3:$AK$105,3,FALSE)</f>
        <v>ALAE Reserve</v>
      </c>
      <c r="AF5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2" spans="18:32" x14ac:dyDescent="0.2">
      <c r="R5822" t="s">
        <v>49</v>
      </c>
      <c r="S5822" t="s">
        <v>230</v>
      </c>
      <c r="T5822" t="s">
        <v>442</v>
      </c>
      <c r="U5822" s="21">
        <v>14917.45</v>
      </c>
      <c r="V5822" s="21" t="s">
        <v>368</v>
      </c>
      <c r="W5822" t="str">
        <f>VLOOKUP(Table_Query_from_Actuarial___Production[[#This Row],[Kor1]],$AI$3:$AK$105,3,FALSE)</f>
        <v>ALAE Paid</v>
      </c>
      <c r="X5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2"/>
      <c r="Z5822" t="s">
        <v>10</v>
      </c>
      <c r="AA5822" t="s">
        <v>247</v>
      </c>
      <c r="AB5822" t="s">
        <v>441</v>
      </c>
      <c r="AC5822" s="21">
        <v>475.8</v>
      </c>
      <c r="AD5822" s="21" t="s">
        <v>368</v>
      </c>
      <c r="AE5822" t="str">
        <f>VLOOKUP(Table_Query_from_Actuarial___Production3[[#This Row],[Kor1]],$AI$3:$AK$105,3,FALSE)</f>
        <v>Commissions</v>
      </c>
      <c r="AF5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3" spans="18:32" x14ac:dyDescent="0.2">
      <c r="R5823" t="s">
        <v>19</v>
      </c>
      <c r="S5823" t="s">
        <v>259</v>
      </c>
      <c r="T5823" t="s">
        <v>356</v>
      </c>
      <c r="U5823" s="21">
        <v>2610</v>
      </c>
      <c r="V5823" s="21" t="s">
        <v>368</v>
      </c>
      <c r="W5823" t="str">
        <f>VLOOKUP(Table_Query_from_Actuarial___Production[[#This Row],[Kor1]],$AI$3:$AK$105,3,FALSE)</f>
        <v>Misc. Expense for Insolvent Companies</v>
      </c>
      <c r="X5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3"/>
      <c r="Z5823" t="s">
        <v>19</v>
      </c>
      <c r="AA5823" t="s">
        <v>227</v>
      </c>
      <c r="AB5823" t="s">
        <v>427</v>
      </c>
      <c r="AC5823" s="21">
        <v>4</v>
      </c>
      <c r="AD5823" s="21" t="s">
        <v>368</v>
      </c>
      <c r="AE5823" t="str">
        <f>VLOOKUP(Table_Query_from_Actuarial___Production3[[#This Row],[Kor1]],$AI$3:$AK$105,3,FALSE)</f>
        <v>Misc. Expense for Insolvent Companies</v>
      </c>
      <c r="AF5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4" spans="18:32" x14ac:dyDescent="0.2">
      <c r="R5824" t="s">
        <v>11</v>
      </c>
      <c r="S5824" t="s">
        <v>225</v>
      </c>
      <c r="T5824" t="s">
        <v>351</v>
      </c>
      <c r="U5824" s="21">
        <v>2403004.35</v>
      </c>
      <c r="V5824" s="21" t="s">
        <v>368</v>
      </c>
      <c r="W5824" t="str">
        <f>VLOOKUP(Table_Query_from_Actuarial___Production[[#This Row],[Kor1]],$AI$3:$AK$105,3,FALSE)</f>
        <v>Losses Paid</v>
      </c>
      <c r="X5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5824"/>
      <c r="Z5824" t="s">
        <v>41</v>
      </c>
      <c r="AA5824" t="s">
        <v>228</v>
      </c>
      <c r="AB5824" t="s">
        <v>7</v>
      </c>
      <c r="AC5824" s="21">
        <v>900.58</v>
      </c>
      <c r="AD5824" s="21" t="s">
        <v>368</v>
      </c>
      <c r="AE5824" t="str">
        <f>VLOOKUP(Table_Query_from_Actuarial___Production3[[#This Row],[Kor1]],$AI$3:$AK$105,3,FALSE)</f>
        <v>Misc. Income</v>
      </c>
      <c r="AF5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5" spans="18:32" x14ac:dyDescent="0.2">
      <c r="R5825" t="s">
        <v>31</v>
      </c>
      <c r="S5825" t="s">
        <v>233</v>
      </c>
      <c r="T5825" t="s">
        <v>443</v>
      </c>
      <c r="U5825" s="21">
        <v>1261.67</v>
      </c>
      <c r="V5825" s="21" t="s">
        <v>368</v>
      </c>
      <c r="W5825" t="str">
        <f>VLOOKUP(Table_Query_from_Actuarial___Production[[#This Row],[Kor1]],$AI$3:$AK$105,3,FALSE)</f>
        <v>Misc. Expense</v>
      </c>
      <c r="X5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5"/>
      <c r="Z5825" t="s">
        <v>43</v>
      </c>
      <c r="AA5825" t="s">
        <v>254</v>
      </c>
      <c r="AB5825" t="s">
        <v>6</v>
      </c>
      <c r="AC5825" s="21">
        <v>6.1</v>
      </c>
      <c r="AD5825" s="21" t="s">
        <v>368</v>
      </c>
      <c r="AE5825" t="str">
        <f>VLOOKUP(Table_Query_from_Actuarial___Production3[[#This Row],[Kor1]],$AI$3:$AK$105,3,FALSE)</f>
        <v>Charge-offs</v>
      </c>
      <c r="AF5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6" spans="18:32" x14ac:dyDescent="0.2">
      <c r="R5826" t="s">
        <v>44</v>
      </c>
      <c r="S5826" t="s">
        <v>4</v>
      </c>
      <c r="T5826" t="s">
        <v>8</v>
      </c>
      <c r="U5826" s="21">
        <v>1230368.1000000001</v>
      </c>
      <c r="V5826" s="21" t="s">
        <v>368</v>
      </c>
      <c r="W5826" t="str">
        <f>VLOOKUP(Table_Query_from_Actuarial___Production[[#This Row],[Kor1]],$AI$3:$AK$105,3,FALSE)</f>
        <v>Charge-offs</v>
      </c>
      <c r="X5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6"/>
      <c r="Z5826" t="s">
        <v>43</v>
      </c>
      <c r="AA5826" t="s">
        <v>259</v>
      </c>
      <c r="AB5826" t="s">
        <v>351</v>
      </c>
      <c r="AC5826" s="21">
        <v>246.02</v>
      </c>
      <c r="AD5826" s="21" t="s">
        <v>368</v>
      </c>
      <c r="AE5826" t="str">
        <f>VLOOKUP(Table_Query_from_Actuarial___Production3[[#This Row],[Kor1]],$AI$3:$AK$105,3,FALSE)</f>
        <v>Charge-offs</v>
      </c>
      <c r="AF5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7" spans="18:32" x14ac:dyDescent="0.2">
      <c r="R5827" t="s">
        <v>44</v>
      </c>
      <c r="S5827" t="s">
        <v>254</v>
      </c>
      <c r="T5827" t="s">
        <v>6</v>
      </c>
      <c r="U5827" s="21">
        <v>17328</v>
      </c>
      <c r="V5827" s="21" t="s">
        <v>368</v>
      </c>
      <c r="W5827" t="str">
        <f>VLOOKUP(Table_Query_from_Actuarial___Production[[#This Row],[Kor1]],$AI$3:$AK$105,3,FALSE)</f>
        <v>Charge-offs</v>
      </c>
      <c r="X5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7"/>
      <c r="Z5827" t="s">
        <v>33</v>
      </c>
      <c r="AA5827" t="s">
        <v>240</v>
      </c>
      <c r="AB5827" t="s">
        <v>427</v>
      </c>
      <c r="AC5827" s="21">
        <v>13511.52</v>
      </c>
      <c r="AD5827" s="21" t="s">
        <v>368</v>
      </c>
      <c r="AE5827" t="str">
        <f>VLOOKUP(Table_Query_from_Actuarial___Production3[[#This Row],[Kor1]],$AI$3:$AK$105,3,FALSE)</f>
        <v>Misc. Expense</v>
      </c>
      <c r="AF5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8" spans="18:32" x14ac:dyDescent="0.2">
      <c r="R5828" t="s">
        <v>21</v>
      </c>
      <c r="S5828" t="s">
        <v>251</v>
      </c>
      <c r="T5828" t="s">
        <v>442</v>
      </c>
      <c r="U5828" s="21">
        <v>3218.04</v>
      </c>
      <c r="V5828" s="21" t="s">
        <v>368</v>
      </c>
      <c r="W5828" t="str">
        <f>VLOOKUP(Table_Query_from_Actuarial___Production[[#This Row],[Kor1]],$AI$3:$AK$105,3,FALSE)</f>
        <v>Misc. Expense</v>
      </c>
      <c r="X5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8"/>
      <c r="Z5828" t="s">
        <v>16</v>
      </c>
      <c r="AA5828" t="s">
        <v>266</v>
      </c>
      <c r="AB5828" t="s">
        <v>441</v>
      </c>
      <c r="AC5828" s="21">
        <v>921083.18</v>
      </c>
      <c r="AD5828" s="21" t="s">
        <v>368</v>
      </c>
      <c r="AE5828" t="str">
        <f>VLOOKUP(Table_Query_from_Actuarial___Production3[[#This Row],[Kor1]],$AI$3:$AK$105,3,FALSE)</f>
        <v>Losses Outstanding</v>
      </c>
      <c r="AF5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29" spans="18:32" x14ac:dyDescent="0.2">
      <c r="R5829" t="s">
        <v>37</v>
      </c>
      <c r="S5829" t="s">
        <v>252</v>
      </c>
      <c r="T5829" t="s">
        <v>8</v>
      </c>
      <c r="U5829" s="21">
        <v>36550.31</v>
      </c>
      <c r="V5829" s="21" t="s">
        <v>368</v>
      </c>
      <c r="W5829" t="str">
        <f>VLOOKUP(Table_Query_from_Actuarial___Production[[#This Row],[Kor1]],$AI$3:$AK$105,3,FALSE)</f>
        <v>Misc. Expense</v>
      </c>
      <c r="X5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29"/>
      <c r="Z5829" t="s">
        <v>19</v>
      </c>
      <c r="AA5829" t="s">
        <v>237</v>
      </c>
      <c r="AB5829" t="s">
        <v>6</v>
      </c>
      <c r="AC5829" s="21">
        <v>6048.01</v>
      </c>
      <c r="AD5829" s="21" t="s">
        <v>368</v>
      </c>
      <c r="AE5829" t="str">
        <f>VLOOKUP(Table_Query_from_Actuarial___Production3[[#This Row],[Kor1]],$AI$3:$AK$105,3,FALSE)</f>
        <v>Misc. Expense for Insolvent Companies</v>
      </c>
      <c r="AF5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0" spans="18:32" x14ac:dyDescent="0.2">
      <c r="R5830" t="s">
        <v>47</v>
      </c>
      <c r="S5830" t="s">
        <v>240</v>
      </c>
      <c r="T5830" t="s">
        <v>351</v>
      </c>
      <c r="U5830" s="21">
        <v>2423.5</v>
      </c>
      <c r="V5830" s="21" t="s">
        <v>368</v>
      </c>
      <c r="W5830" t="str">
        <f>VLOOKUP(Table_Query_from_Actuarial___Production[[#This Row],[Kor1]],$AI$3:$AK$105,3,FALSE)</f>
        <v>Investment Income</v>
      </c>
      <c r="X5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0"/>
      <c r="Z5830" t="s">
        <v>20</v>
      </c>
      <c r="AA5830" t="s">
        <v>246</v>
      </c>
      <c r="AB5830" t="s">
        <v>5</v>
      </c>
      <c r="AC5830" s="21">
        <v>41.45</v>
      </c>
      <c r="AD5830" s="21" t="s">
        <v>368</v>
      </c>
      <c r="AE5830" t="str">
        <f>VLOOKUP(Table_Query_from_Actuarial___Production3[[#This Row],[Kor1]],$AI$3:$AK$105,3,FALSE)</f>
        <v>Misc. Expense</v>
      </c>
      <c r="AF5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1" spans="18:32" x14ac:dyDescent="0.2">
      <c r="R5831" t="s">
        <v>33</v>
      </c>
      <c r="S5831" t="s">
        <v>262</v>
      </c>
      <c r="T5831" t="s">
        <v>443</v>
      </c>
      <c r="U5831" s="21">
        <v>12102.77</v>
      </c>
      <c r="V5831" s="21" t="s">
        <v>368</v>
      </c>
      <c r="W5831" t="str">
        <f>VLOOKUP(Table_Query_from_Actuarial___Production[[#This Row],[Kor1]],$AI$3:$AK$105,3,FALSE)</f>
        <v>Misc. Expense</v>
      </c>
      <c r="X5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1"/>
      <c r="Z5831" t="s">
        <v>13</v>
      </c>
      <c r="AA5831" t="s">
        <v>234</v>
      </c>
      <c r="AB5831" t="s">
        <v>443</v>
      </c>
      <c r="AC5831" s="21">
        <v>42106.31</v>
      </c>
      <c r="AD5831" s="21" t="s">
        <v>368</v>
      </c>
      <c r="AE5831" t="str">
        <f>VLOOKUP(Table_Query_from_Actuarial___Production3[[#This Row],[Kor1]],$AI$3:$AK$105,3,FALSE)</f>
        <v>Operating Service Fees</v>
      </c>
      <c r="AF5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2" spans="18:32" x14ac:dyDescent="0.2">
      <c r="R5832" t="s">
        <v>40</v>
      </c>
      <c r="S5832" t="s">
        <v>252</v>
      </c>
      <c r="T5832" t="s">
        <v>351</v>
      </c>
      <c r="U5832" s="21">
        <v>5573.01</v>
      </c>
      <c r="V5832" s="21" t="s">
        <v>368</v>
      </c>
      <c r="W5832" t="str">
        <f>VLOOKUP(Table_Query_from_Actuarial___Production[[#This Row],[Kor1]],$AI$3:$AK$105,3,FALSE)</f>
        <v>Misc. Income</v>
      </c>
      <c r="X5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2"/>
      <c r="Z5832" t="s">
        <v>13</v>
      </c>
      <c r="AA5832" t="s">
        <v>243</v>
      </c>
      <c r="AB5832" t="s">
        <v>6</v>
      </c>
      <c r="AC5832" s="21">
        <v>43515.81</v>
      </c>
      <c r="AD5832" s="21" t="s">
        <v>368</v>
      </c>
      <c r="AE5832" t="str">
        <f>VLOOKUP(Table_Query_from_Actuarial___Production3[[#This Row],[Kor1]],$AI$3:$AK$105,3,FALSE)</f>
        <v>Operating Service Fees</v>
      </c>
      <c r="AF5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3" spans="18:32" x14ac:dyDescent="0.2">
      <c r="R5833" t="s">
        <v>33</v>
      </c>
      <c r="S5833" t="s">
        <v>264</v>
      </c>
      <c r="T5833" t="s">
        <v>427</v>
      </c>
      <c r="U5833" s="21">
        <v>13113.29</v>
      </c>
      <c r="V5833" s="21" t="s">
        <v>368</v>
      </c>
      <c r="W5833" t="str">
        <f>VLOOKUP(Table_Query_from_Actuarial___Production[[#This Row],[Kor1]],$AI$3:$AK$105,3,FALSE)</f>
        <v>Misc. Expense</v>
      </c>
      <c r="X5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3"/>
      <c r="Z5833" t="s">
        <v>12</v>
      </c>
      <c r="AA5833" t="s">
        <v>247</v>
      </c>
      <c r="AB5833" t="s">
        <v>441</v>
      </c>
      <c r="AC5833" s="21">
        <v>130.85</v>
      </c>
      <c r="AD5833" s="21" t="s">
        <v>368</v>
      </c>
      <c r="AE5833" t="str">
        <f>VLOOKUP(Table_Query_from_Actuarial___Production3[[#This Row],[Kor1]],$AI$3:$AK$105,3,FALSE)</f>
        <v>Premium Tax</v>
      </c>
      <c r="AF5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4" spans="18:32" x14ac:dyDescent="0.2">
      <c r="R5834" t="s">
        <v>37</v>
      </c>
      <c r="S5834" t="s">
        <v>261</v>
      </c>
      <c r="T5834" t="s">
        <v>8</v>
      </c>
      <c r="U5834" s="21">
        <v>-3072.83</v>
      </c>
      <c r="V5834" s="21" t="s">
        <v>368</v>
      </c>
      <c r="W5834" t="str">
        <f>VLOOKUP(Table_Query_from_Actuarial___Production[[#This Row],[Kor1]],$AI$3:$AK$105,3,FALSE)</f>
        <v>Misc. Expense</v>
      </c>
      <c r="X5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4"/>
      <c r="Z5834" t="s">
        <v>44</v>
      </c>
      <c r="AA5834" t="s">
        <v>250</v>
      </c>
      <c r="AB5834" t="s">
        <v>427</v>
      </c>
      <c r="AC5834" s="21">
        <v>1383</v>
      </c>
      <c r="AD5834" s="21" t="s">
        <v>368</v>
      </c>
      <c r="AE5834" t="str">
        <f>VLOOKUP(Table_Query_from_Actuarial___Production3[[#This Row],[Kor1]],$AI$3:$AK$105,3,FALSE)</f>
        <v>Charge-offs</v>
      </c>
      <c r="AF5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5" spans="18:32" x14ac:dyDescent="0.2">
      <c r="R5835" t="s">
        <v>14</v>
      </c>
      <c r="S5835" t="s">
        <v>230</v>
      </c>
      <c r="T5835" t="s">
        <v>441</v>
      </c>
      <c r="U5835" s="21">
        <v>1501912.39</v>
      </c>
      <c r="V5835" s="21" t="s">
        <v>368</v>
      </c>
      <c r="W5835" t="str">
        <f>VLOOKUP(Table_Query_from_Actuarial___Production[[#This Row],[Kor1]],$AI$3:$AK$105,3,FALSE)</f>
        <v>Claims Expense</v>
      </c>
      <c r="X5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5"/>
      <c r="Z5835" t="s">
        <v>12</v>
      </c>
      <c r="AA5835" t="s">
        <v>238</v>
      </c>
      <c r="AB5835" t="s">
        <v>356</v>
      </c>
      <c r="AC5835" s="21">
        <v>38256.080000000002</v>
      </c>
      <c r="AD5835" s="21" t="s">
        <v>368</v>
      </c>
      <c r="AE5835" t="str">
        <f>VLOOKUP(Table_Query_from_Actuarial___Production3[[#This Row],[Kor1]],$AI$3:$AK$105,3,FALSE)</f>
        <v>Premium Tax</v>
      </c>
      <c r="AF5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6" spans="18:32" x14ac:dyDescent="0.2">
      <c r="R5836" t="s">
        <v>15</v>
      </c>
      <c r="S5836" t="s">
        <v>261</v>
      </c>
      <c r="T5836" t="s">
        <v>443</v>
      </c>
      <c r="U5836" s="21">
        <v>38302.78</v>
      </c>
      <c r="V5836" s="21" t="s">
        <v>368</v>
      </c>
      <c r="W5836" t="str">
        <f>VLOOKUP(Table_Query_from_Actuarial___Production[[#This Row],[Kor1]],$AI$3:$AK$105,3,FALSE)</f>
        <v>Unearned Premiums</v>
      </c>
      <c r="X5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6"/>
      <c r="Z5836" t="s">
        <v>33</v>
      </c>
      <c r="AA5836" t="s">
        <v>250</v>
      </c>
      <c r="AB5836" t="s">
        <v>6</v>
      </c>
      <c r="AC5836" s="21">
        <v>34550.1</v>
      </c>
      <c r="AD5836" s="21" t="s">
        <v>368</v>
      </c>
      <c r="AE5836" t="str">
        <f>VLOOKUP(Table_Query_from_Actuarial___Production3[[#This Row],[Kor1]],$AI$3:$AK$105,3,FALSE)</f>
        <v>Misc. Expense</v>
      </c>
      <c r="AF5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7" spans="18:32" x14ac:dyDescent="0.2">
      <c r="R5837" t="s">
        <v>34</v>
      </c>
      <c r="S5837" t="s">
        <v>266</v>
      </c>
      <c r="T5837" t="s">
        <v>443</v>
      </c>
      <c r="U5837" s="21">
        <v>5104.12</v>
      </c>
      <c r="V5837" s="21" t="s">
        <v>368</v>
      </c>
      <c r="W5837" t="str">
        <f>VLOOKUP(Table_Query_from_Actuarial___Production[[#This Row],[Kor1]],$AI$3:$AK$105,3,FALSE)</f>
        <v>Misc. Expense</v>
      </c>
      <c r="X5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7"/>
      <c r="Z5837" t="s">
        <v>39</v>
      </c>
      <c r="AA5837" t="s">
        <v>264</v>
      </c>
      <c r="AB5837" t="s">
        <v>433</v>
      </c>
      <c r="AC5837" s="21">
        <v>50641.96</v>
      </c>
      <c r="AD5837" s="21" t="s">
        <v>368</v>
      </c>
      <c r="AE5837" t="str">
        <f>VLOOKUP(Table_Query_from_Actuarial___Production3[[#This Row],[Kor1]],$AI$3:$AK$105,3,FALSE)</f>
        <v>Misc. Income for Insolvent Companies</v>
      </c>
      <c r="AF5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8" spans="18:32" x14ac:dyDescent="0.2">
      <c r="R5838" t="s">
        <v>3</v>
      </c>
      <c r="S5838" t="s">
        <v>252</v>
      </c>
      <c r="T5838" t="s">
        <v>442</v>
      </c>
      <c r="U5838" s="21">
        <v>32382052</v>
      </c>
      <c r="V5838" s="21" t="s">
        <v>368</v>
      </c>
      <c r="W5838" t="str">
        <f>VLOOKUP(Table_Query_from_Actuarial___Production[[#This Row],[Kor1]],$AI$3:$AK$105,3,FALSE)</f>
        <v>Premiums Written</v>
      </c>
      <c r="X5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8"/>
      <c r="Z5838" t="s">
        <v>19</v>
      </c>
      <c r="AA5838" t="s">
        <v>259</v>
      </c>
      <c r="AB5838" t="s">
        <v>356</v>
      </c>
      <c r="AC5838" s="21">
        <v>2610</v>
      </c>
      <c r="AD5838" s="21" t="s">
        <v>368</v>
      </c>
      <c r="AE5838" t="str">
        <f>VLOOKUP(Table_Query_from_Actuarial___Production3[[#This Row],[Kor1]],$AI$3:$AK$105,3,FALSE)</f>
        <v>Misc. Expense for Insolvent Companies</v>
      </c>
      <c r="AF5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39" spans="18:32" x14ac:dyDescent="0.2">
      <c r="R5839" t="s">
        <v>50</v>
      </c>
      <c r="S5839" t="s">
        <v>258</v>
      </c>
      <c r="T5839" t="s">
        <v>441</v>
      </c>
      <c r="U5839" s="21">
        <v>47587.59</v>
      </c>
      <c r="V5839" s="21" t="s">
        <v>368</v>
      </c>
      <c r="W5839" t="str">
        <f>VLOOKUP(Table_Query_from_Actuarial___Production[[#This Row],[Kor1]],$AI$3:$AK$105,3,FALSE)</f>
        <v>ALAE Reserve</v>
      </c>
      <c r="X5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39"/>
      <c r="Z5839" t="s">
        <v>11</v>
      </c>
      <c r="AA5839" t="s">
        <v>225</v>
      </c>
      <c r="AB5839" t="s">
        <v>351</v>
      </c>
      <c r="AC5839" s="21">
        <v>2403004.35</v>
      </c>
      <c r="AD5839" s="21" t="s">
        <v>368</v>
      </c>
      <c r="AE5839" t="str">
        <f>VLOOKUP(Table_Query_from_Actuarial___Production3[[#This Row],[Kor1]],$AI$3:$AK$105,3,FALSE)</f>
        <v>Losses Paid</v>
      </c>
      <c r="AF5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840" spans="18:32" x14ac:dyDescent="0.2">
      <c r="R5840" t="s">
        <v>14</v>
      </c>
      <c r="S5840" t="s">
        <v>254</v>
      </c>
      <c r="T5840" t="s">
        <v>8</v>
      </c>
      <c r="U5840" s="21">
        <v>155352.99</v>
      </c>
      <c r="V5840" s="21" t="s">
        <v>368</v>
      </c>
      <c r="W5840" t="str">
        <f>VLOOKUP(Table_Query_from_Actuarial___Production[[#This Row],[Kor1]],$AI$3:$AK$105,3,FALSE)</f>
        <v>Claims Expense</v>
      </c>
      <c r="X5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0"/>
      <c r="Z5840" t="s">
        <v>31</v>
      </c>
      <c r="AA5840" t="s">
        <v>233</v>
      </c>
      <c r="AB5840" t="s">
        <v>443</v>
      </c>
      <c r="AC5840" s="21">
        <v>915.97</v>
      </c>
      <c r="AD5840" s="21" t="s">
        <v>368</v>
      </c>
      <c r="AE5840" t="str">
        <f>VLOOKUP(Table_Query_from_Actuarial___Production3[[#This Row],[Kor1]],$AI$3:$AK$105,3,FALSE)</f>
        <v>Misc. Expense</v>
      </c>
      <c r="AF5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1" spans="18:32" x14ac:dyDescent="0.2">
      <c r="R5841" t="s">
        <v>41</v>
      </c>
      <c r="S5841" t="s">
        <v>266</v>
      </c>
      <c r="T5841" t="s">
        <v>356</v>
      </c>
      <c r="U5841" s="21">
        <v>250</v>
      </c>
      <c r="V5841" s="21" t="s">
        <v>368</v>
      </c>
      <c r="W5841" t="str">
        <f>VLOOKUP(Table_Query_from_Actuarial___Production[[#This Row],[Kor1]],$AI$3:$AK$105,3,FALSE)</f>
        <v>Misc. Income</v>
      </c>
      <c r="X5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1"/>
      <c r="Z5841" t="s">
        <v>44</v>
      </c>
      <c r="AA5841" t="s">
        <v>4</v>
      </c>
      <c r="AB5841" t="s">
        <v>8</v>
      </c>
      <c r="AC5841" s="21">
        <v>1230368.1000000001</v>
      </c>
      <c r="AD5841" s="21" t="s">
        <v>368</v>
      </c>
      <c r="AE5841" t="str">
        <f>VLOOKUP(Table_Query_from_Actuarial___Production3[[#This Row],[Kor1]],$AI$3:$AK$105,3,FALSE)</f>
        <v>Charge-offs</v>
      </c>
      <c r="AF5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2" spans="18:32" x14ac:dyDescent="0.2">
      <c r="R5842" t="s">
        <v>37</v>
      </c>
      <c r="S5842" t="s">
        <v>250</v>
      </c>
      <c r="T5842" t="s">
        <v>441</v>
      </c>
      <c r="U5842" s="21">
        <v>656.31</v>
      </c>
      <c r="V5842" s="21" t="s">
        <v>368</v>
      </c>
      <c r="W5842" t="str">
        <f>VLOOKUP(Table_Query_from_Actuarial___Production[[#This Row],[Kor1]],$AI$3:$AK$105,3,FALSE)</f>
        <v>Misc. Expense</v>
      </c>
      <c r="X5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2"/>
      <c r="Z5842" t="s">
        <v>44</v>
      </c>
      <c r="AA5842" t="s">
        <v>254</v>
      </c>
      <c r="AB5842" t="s">
        <v>6</v>
      </c>
      <c r="AC5842" s="21">
        <v>17328</v>
      </c>
      <c r="AD5842" s="21" t="s">
        <v>368</v>
      </c>
      <c r="AE5842" t="str">
        <f>VLOOKUP(Table_Query_from_Actuarial___Production3[[#This Row],[Kor1]],$AI$3:$AK$105,3,FALSE)</f>
        <v>Charge-offs</v>
      </c>
      <c r="AF5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3" spans="18:32" x14ac:dyDescent="0.2">
      <c r="R5843" t="s">
        <v>43</v>
      </c>
      <c r="S5843" t="s">
        <v>234</v>
      </c>
      <c r="T5843" t="s">
        <v>7</v>
      </c>
      <c r="U5843" s="21">
        <v>1832.19</v>
      </c>
      <c r="V5843" s="21" t="s">
        <v>368</v>
      </c>
      <c r="W5843" t="str">
        <f>VLOOKUP(Table_Query_from_Actuarial___Production[[#This Row],[Kor1]],$AI$3:$AK$105,3,FALSE)</f>
        <v>Charge-offs</v>
      </c>
      <c r="X5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3"/>
      <c r="Z5843" t="s">
        <v>21</v>
      </c>
      <c r="AA5843" t="s">
        <v>251</v>
      </c>
      <c r="AB5843" t="s">
        <v>442</v>
      </c>
      <c r="AC5843" s="21">
        <v>3218.04</v>
      </c>
      <c r="AD5843" s="21" t="s">
        <v>368</v>
      </c>
      <c r="AE5843" t="str">
        <f>VLOOKUP(Table_Query_from_Actuarial___Production3[[#This Row],[Kor1]],$AI$3:$AK$105,3,FALSE)</f>
        <v>Misc. Expense</v>
      </c>
      <c r="AF5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4" spans="18:32" x14ac:dyDescent="0.2">
      <c r="R5844" t="s">
        <v>10</v>
      </c>
      <c r="S5844" t="s">
        <v>225</v>
      </c>
      <c r="T5844" t="s">
        <v>443</v>
      </c>
      <c r="U5844" s="21">
        <v>80467.320000000007</v>
      </c>
      <c r="V5844" s="21" t="s">
        <v>369</v>
      </c>
      <c r="W5844" t="str">
        <f>VLOOKUP(Table_Query_from_Actuarial___Production[[#This Row],[Kor1]],$AI$3:$AK$105,3,FALSE)</f>
        <v>Commissions</v>
      </c>
      <c r="X5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844"/>
      <c r="Z5844" t="s">
        <v>37</v>
      </c>
      <c r="AA5844" t="s">
        <v>252</v>
      </c>
      <c r="AB5844" t="s">
        <v>8</v>
      </c>
      <c r="AC5844" s="21">
        <v>36550.31</v>
      </c>
      <c r="AD5844" s="21" t="s">
        <v>368</v>
      </c>
      <c r="AE5844" t="str">
        <f>VLOOKUP(Table_Query_from_Actuarial___Production3[[#This Row],[Kor1]],$AI$3:$AK$105,3,FALSE)</f>
        <v>Misc. Expense</v>
      </c>
      <c r="AF5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5" spans="18:32" x14ac:dyDescent="0.2">
      <c r="R5845" t="s">
        <v>33</v>
      </c>
      <c r="S5845" t="s">
        <v>240</v>
      </c>
      <c r="T5845" t="s">
        <v>443</v>
      </c>
      <c r="U5845" s="21">
        <v>16304.4</v>
      </c>
      <c r="V5845" s="21" t="s">
        <v>368</v>
      </c>
      <c r="W5845" t="str">
        <f>VLOOKUP(Table_Query_from_Actuarial___Production[[#This Row],[Kor1]],$AI$3:$AK$105,3,FALSE)</f>
        <v>Misc. Expense</v>
      </c>
      <c r="X5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5"/>
      <c r="Z5845" t="s">
        <v>47</v>
      </c>
      <c r="AA5845" t="s">
        <v>240</v>
      </c>
      <c r="AB5845" t="s">
        <v>351</v>
      </c>
      <c r="AC5845" s="21">
        <v>2423.5</v>
      </c>
      <c r="AD5845" s="21" t="s">
        <v>368</v>
      </c>
      <c r="AE5845" t="str">
        <f>VLOOKUP(Table_Query_from_Actuarial___Production3[[#This Row],[Kor1]],$AI$3:$AK$105,3,FALSE)</f>
        <v>Investment Income</v>
      </c>
      <c r="AF5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6" spans="18:32" x14ac:dyDescent="0.2">
      <c r="R5846" t="s">
        <v>36</v>
      </c>
      <c r="S5846" t="s">
        <v>4</v>
      </c>
      <c r="T5846" t="s">
        <v>6</v>
      </c>
      <c r="U5846" s="21">
        <v>43567.76</v>
      </c>
      <c r="V5846" s="21" t="s">
        <v>368</v>
      </c>
      <c r="W5846" t="str">
        <f>VLOOKUP(Table_Query_from_Actuarial___Production[[#This Row],[Kor1]],$AI$3:$AK$105,3,FALSE)</f>
        <v>Misc. Expense</v>
      </c>
      <c r="X5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6"/>
      <c r="Z5846" t="s">
        <v>33</v>
      </c>
      <c r="AA5846" t="s">
        <v>262</v>
      </c>
      <c r="AB5846" t="s">
        <v>443</v>
      </c>
      <c r="AC5846" s="21">
        <v>4172.66</v>
      </c>
      <c r="AD5846" s="21" t="s">
        <v>368</v>
      </c>
      <c r="AE5846" t="str">
        <f>VLOOKUP(Table_Query_from_Actuarial___Production3[[#This Row],[Kor1]],$AI$3:$AK$105,3,FALSE)</f>
        <v>Misc. Expense</v>
      </c>
      <c r="AF5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7" spans="18:32" x14ac:dyDescent="0.2">
      <c r="R5847" t="s">
        <v>39</v>
      </c>
      <c r="S5847" t="s">
        <v>266</v>
      </c>
      <c r="T5847" t="s">
        <v>433</v>
      </c>
      <c r="U5847" s="21">
        <v>1335</v>
      </c>
      <c r="V5847" s="21" t="s">
        <v>368</v>
      </c>
      <c r="W5847" t="str">
        <f>VLOOKUP(Table_Query_from_Actuarial___Production[[#This Row],[Kor1]],$AI$3:$AK$105,3,FALSE)</f>
        <v>Misc. Income for Insolvent Companies</v>
      </c>
      <c r="X5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7"/>
      <c r="Z5847" t="s">
        <v>40</v>
      </c>
      <c r="AA5847" t="s">
        <v>252</v>
      </c>
      <c r="AB5847" t="s">
        <v>351</v>
      </c>
      <c r="AC5847" s="21">
        <v>5573.01</v>
      </c>
      <c r="AD5847" s="21" t="s">
        <v>368</v>
      </c>
      <c r="AE5847" t="str">
        <f>VLOOKUP(Table_Query_from_Actuarial___Production3[[#This Row],[Kor1]],$AI$3:$AK$105,3,FALSE)</f>
        <v>Misc. Income</v>
      </c>
      <c r="AF5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8" spans="18:32" x14ac:dyDescent="0.2">
      <c r="R5848" t="s">
        <v>41</v>
      </c>
      <c r="S5848" t="s">
        <v>232</v>
      </c>
      <c r="T5848" t="s">
        <v>6</v>
      </c>
      <c r="U5848" s="21">
        <v>305.11</v>
      </c>
      <c r="V5848" s="21" t="s">
        <v>368</v>
      </c>
      <c r="W5848" t="str">
        <f>VLOOKUP(Table_Query_from_Actuarial___Production[[#This Row],[Kor1]],$AI$3:$AK$105,3,FALSE)</f>
        <v>Misc. Income</v>
      </c>
      <c r="X5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8"/>
      <c r="Z5848" t="s">
        <v>33</v>
      </c>
      <c r="AA5848" t="s">
        <v>264</v>
      </c>
      <c r="AB5848" t="s">
        <v>427</v>
      </c>
      <c r="AC5848" s="21">
        <v>13113.29</v>
      </c>
      <c r="AD5848" s="21" t="s">
        <v>368</v>
      </c>
      <c r="AE5848" t="str">
        <f>VLOOKUP(Table_Query_from_Actuarial___Production3[[#This Row],[Kor1]],$AI$3:$AK$105,3,FALSE)</f>
        <v>Misc. Expense</v>
      </c>
      <c r="AF5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49" spans="18:32" x14ac:dyDescent="0.2">
      <c r="R5849" t="s">
        <v>21</v>
      </c>
      <c r="S5849" t="s">
        <v>236</v>
      </c>
      <c r="T5849" t="s">
        <v>442</v>
      </c>
      <c r="U5849" s="21">
        <v>287.5</v>
      </c>
      <c r="V5849" s="21" t="s">
        <v>368</v>
      </c>
      <c r="W5849" t="str">
        <f>VLOOKUP(Table_Query_from_Actuarial___Production[[#This Row],[Kor1]],$AI$3:$AK$105,3,FALSE)</f>
        <v>Misc. Expense</v>
      </c>
      <c r="X5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49"/>
      <c r="Z5849" t="s">
        <v>37</v>
      </c>
      <c r="AA5849" t="s">
        <v>261</v>
      </c>
      <c r="AB5849" t="s">
        <v>8</v>
      </c>
      <c r="AC5849" s="21">
        <v>-3072.83</v>
      </c>
      <c r="AD5849" s="21" t="s">
        <v>368</v>
      </c>
      <c r="AE5849" t="str">
        <f>VLOOKUP(Table_Query_from_Actuarial___Production3[[#This Row],[Kor1]],$AI$3:$AK$105,3,FALSE)</f>
        <v>Misc. Expense</v>
      </c>
      <c r="AF5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0" spans="18:32" x14ac:dyDescent="0.2">
      <c r="R5850" t="s">
        <v>12</v>
      </c>
      <c r="S5850" t="s">
        <v>247</v>
      </c>
      <c r="T5850" t="s">
        <v>351</v>
      </c>
      <c r="U5850" s="21">
        <v>300.57</v>
      </c>
      <c r="V5850" s="21" t="s">
        <v>368</v>
      </c>
      <c r="W5850" t="str">
        <f>VLOOKUP(Table_Query_from_Actuarial___Production[[#This Row],[Kor1]],$AI$3:$AK$105,3,FALSE)</f>
        <v>Premium Tax</v>
      </c>
      <c r="X5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0"/>
      <c r="Z5850" t="s">
        <v>14</v>
      </c>
      <c r="AA5850" t="s">
        <v>230</v>
      </c>
      <c r="AB5850" t="s">
        <v>441</v>
      </c>
      <c r="AC5850" s="21">
        <v>1501912.39</v>
      </c>
      <c r="AD5850" s="21" t="s">
        <v>368</v>
      </c>
      <c r="AE5850" t="str">
        <f>VLOOKUP(Table_Query_from_Actuarial___Production3[[#This Row],[Kor1]],$AI$3:$AK$105,3,FALSE)</f>
        <v>Claims Expense</v>
      </c>
      <c r="AF5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1" spans="18:32" x14ac:dyDescent="0.2">
      <c r="R5851" t="s">
        <v>41</v>
      </c>
      <c r="S5851" t="s">
        <v>250</v>
      </c>
      <c r="T5851" t="s">
        <v>356</v>
      </c>
      <c r="U5851" s="21">
        <v>399.99</v>
      </c>
      <c r="V5851" s="21" t="s">
        <v>368</v>
      </c>
      <c r="W5851" t="str">
        <f>VLOOKUP(Table_Query_from_Actuarial___Production[[#This Row],[Kor1]],$AI$3:$AK$105,3,FALSE)</f>
        <v>Misc. Income</v>
      </c>
      <c r="X5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1"/>
      <c r="Z5851" t="s">
        <v>15</v>
      </c>
      <c r="AA5851" t="s">
        <v>261</v>
      </c>
      <c r="AB5851" t="s">
        <v>443</v>
      </c>
      <c r="AC5851" s="21">
        <v>12584.91</v>
      </c>
      <c r="AD5851" s="21" t="s">
        <v>368</v>
      </c>
      <c r="AE5851" t="str">
        <f>VLOOKUP(Table_Query_from_Actuarial___Production3[[#This Row],[Kor1]],$AI$3:$AK$105,3,FALSE)</f>
        <v>Unearned Premiums</v>
      </c>
      <c r="AF5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2" spans="18:32" x14ac:dyDescent="0.2">
      <c r="R5852" t="s">
        <v>44</v>
      </c>
      <c r="S5852" t="s">
        <v>265</v>
      </c>
      <c r="T5852" t="s">
        <v>9</v>
      </c>
      <c r="U5852" s="21">
        <v>2146.0300000000002</v>
      </c>
      <c r="V5852" s="21" t="s">
        <v>368</v>
      </c>
      <c r="W5852" t="str">
        <f>VLOOKUP(Table_Query_from_Actuarial___Production[[#This Row],[Kor1]],$AI$3:$AK$105,3,FALSE)</f>
        <v>Charge-offs</v>
      </c>
      <c r="X5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2"/>
      <c r="Z5852" t="s">
        <v>3</v>
      </c>
      <c r="AA5852" t="s">
        <v>252</v>
      </c>
      <c r="AB5852" t="s">
        <v>442</v>
      </c>
      <c r="AC5852" s="21">
        <v>32738643</v>
      </c>
      <c r="AD5852" s="21" t="s">
        <v>368</v>
      </c>
      <c r="AE5852" t="str">
        <f>VLOOKUP(Table_Query_from_Actuarial___Production3[[#This Row],[Kor1]],$AI$3:$AK$105,3,FALSE)</f>
        <v>Premiums Written</v>
      </c>
      <c r="AF5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3" spans="18:32" x14ac:dyDescent="0.2">
      <c r="R5853" t="s">
        <v>21</v>
      </c>
      <c r="S5853" t="s">
        <v>230</v>
      </c>
      <c r="T5853" t="s">
        <v>427</v>
      </c>
      <c r="U5853" s="21">
        <v>408.55</v>
      </c>
      <c r="V5853" s="21" t="s">
        <v>368</v>
      </c>
      <c r="W5853" t="str">
        <f>VLOOKUP(Table_Query_from_Actuarial___Production[[#This Row],[Kor1]],$AI$3:$AK$105,3,FALSE)</f>
        <v>Misc. Expense</v>
      </c>
      <c r="X5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3"/>
      <c r="Z5853" t="s">
        <v>10</v>
      </c>
      <c r="AA5853" t="s">
        <v>254</v>
      </c>
      <c r="AB5853" t="s">
        <v>5</v>
      </c>
      <c r="AC5853" s="21">
        <v>4703.95</v>
      </c>
      <c r="AD5853" s="21" t="s">
        <v>368</v>
      </c>
      <c r="AE5853" t="str">
        <f>VLOOKUP(Table_Query_from_Actuarial___Production3[[#This Row],[Kor1]],$AI$3:$AK$105,3,FALSE)</f>
        <v>Commissions</v>
      </c>
      <c r="AF5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4" spans="18:32" x14ac:dyDescent="0.2">
      <c r="R5854" t="s">
        <v>39</v>
      </c>
      <c r="S5854" t="s">
        <v>239</v>
      </c>
      <c r="T5854" t="s">
        <v>441</v>
      </c>
      <c r="U5854" s="21">
        <v>499.29</v>
      </c>
      <c r="V5854" s="21" t="s">
        <v>368</v>
      </c>
      <c r="W5854" t="str">
        <f>VLOOKUP(Table_Query_from_Actuarial___Production[[#This Row],[Kor1]],$AI$3:$AK$105,3,FALSE)</f>
        <v>Misc. Income for Insolvent Companies</v>
      </c>
      <c r="X5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4"/>
      <c r="Z5854" t="s">
        <v>50</v>
      </c>
      <c r="AA5854" t="s">
        <v>258</v>
      </c>
      <c r="AB5854" t="s">
        <v>441</v>
      </c>
      <c r="AC5854" s="21">
        <v>152533.64000000001</v>
      </c>
      <c r="AD5854" s="21" t="s">
        <v>368</v>
      </c>
      <c r="AE5854" t="str">
        <f>VLOOKUP(Table_Query_from_Actuarial___Production3[[#This Row],[Kor1]],$AI$3:$AK$105,3,FALSE)</f>
        <v>ALAE Reserve</v>
      </c>
      <c r="AF5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5" spans="18:32" x14ac:dyDescent="0.2">
      <c r="R5855" t="s">
        <v>47</v>
      </c>
      <c r="S5855" t="s">
        <v>243</v>
      </c>
      <c r="T5855" t="s">
        <v>356</v>
      </c>
      <c r="U5855" s="21">
        <v>1091.8599999999999</v>
      </c>
      <c r="V5855" s="21" t="s">
        <v>368</v>
      </c>
      <c r="W5855" t="str">
        <f>VLOOKUP(Table_Query_from_Actuarial___Production[[#This Row],[Kor1]],$AI$3:$AK$105,3,FALSE)</f>
        <v>Investment Income</v>
      </c>
      <c r="X5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5"/>
      <c r="Z5855" t="s">
        <v>14</v>
      </c>
      <c r="AA5855" t="s">
        <v>254</v>
      </c>
      <c r="AB5855" t="s">
        <v>8</v>
      </c>
      <c r="AC5855" s="21">
        <v>155352.99</v>
      </c>
      <c r="AD5855" s="21" t="s">
        <v>368</v>
      </c>
      <c r="AE5855" t="str">
        <f>VLOOKUP(Table_Query_from_Actuarial___Production3[[#This Row],[Kor1]],$AI$3:$AK$105,3,FALSE)</f>
        <v>Claims Expense</v>
      </c>
      <c r="AF5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6" spans="18:32" x14ac:dyDescent="0.2">
      <c r="R5856" t="s">
        <v>33</v>
      </c>
      <c r="S5856" t="s">
        <v>235</v>
      </c>
      <c r="T5856" t="s">
        <v>356</v>
      </c>
      <c r="U5856" s="21">
        <v>15330.54</v>
      </c>
      <c r="V5856" s="21" t="s">
        <v>368</v>
      </c>
      <c r="W5856" t="str">
        <f>VLOOKUP(Table_Query_from_Actuarial___Production[[#This Row],[Kor1]],$AI$3:$AK$105,3,FALSE)</f>
        <v>Misc. Expense</v>
      </c>
      <c r="X5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6"/>
      <c r="Z5856" t="s">
        <v>41</v>
      </c>
      <c r="AA5856" t="s">
        <v>266</v>
      </c>
      <c r="AB5856" t="s">
        <v>356</v>
      </c>
      <c r="AC5856" s="21">
        <v>250</v>
      </c>
      <c r="AD5856" s="21" t="s">
        <v>368</v>
      </c>
      <c r="AE5856" t="str">
        <f>VLOOKUP(Table_Query_from_Actuarial___Production3[[#This Row],[Kor1]],$AI$3:$AK$105,3,FALSE)</f>
        <v>Misc. Income</v>
      </c>
      <c r="AF5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7" spans="18:32" x14ac:dyDescent="0.2">
      <c r="R5857" t="s">
        <v>44</v>
      </c>
      <c r="S5857" t="s">
        <v>263</v>
      </c>
      <c r="T5857" t="s">
        <v>441</v>
      </c>
      <c r="U5857" s="21">
        <v>1.96</v>
      </c>
      <c r="V5857" s="21" t="s">
        <v>368</v>
      </c>
      <c r="W5857" t="str">
        <f>VLOOKUP(Table_Query_from_Actuarial___Production[[#This Row],[Kor1]],$AI$3:$AK$105,3,FALSE)</f>
        <v>Charge-offs</v>
      </c>
      <c r="X5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7"/>
      <c r="Z5857" t="s">
        <v>37</v>
      </c>
      <c r="AA5857" t="s">
        <v>250</v>
      </c>
      <c r="AB5857" t="s">
        <v>441</v>
      </c>
      <c r="AC5857" s="21">
        <v>656.31</v>
      </c>
      <c r="AD5857" s="21" t="s">
        <v>368</v>
      </c>
      <c r="AE5857" t="str">
        <f>VLOOKUP(Table_Query_from_Actuarial___Production3[[#This Row],[Kor1]],$AI$3:$AK$105,3,FALSE)</f>
        <v>Misc. Expense</v>
      </c>
      <c r="AF5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8" spans="18:32" x14ac:dyDescent="0.2">
      <c r="R5858" t="s">
        <v>16</v>
      </c>
      <c r="S5858" t="s">
        <v>4</v>
      </c>
      <c r="T5858" t="s">
        <v>427</v>
      </c>
      <c r="U5858" s="21">
        <v>26956576.760000002</v>
      </c>
      <c r="V5858" s="21" t="s">
        <v>368</v>
      </c>
      <c r="W5858" t="str">
        <f>VLOOKUP(Table_Query_from_Actuarial___Production[[#This Row],[Kor1]],$AI$3:$AK$105,3,FALSE)</f>
        <v>Losses Outstanding</v>
      </c>
      <c r="X5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8"/>
      <c r="Z5858" t="s">
        <v>43</v>
      </c>
      <c r="AA5858" t="s">
        <v>234</v>
      </c>
      <c r="AB5858" t="s">
        <v>7</v>
      </c>
      <c r="AC5858" s="21">
        <v>1832.19</v>
      </c>
      <c r="AD5858" s="21" t="s">
        <v>368</v>
      </c>
      <c r="AE5858" t="str">
        <f>VLOOKUP(Table_Query_from_Actuarial___Production3[[#This Row],[Kor1]],$AI$3:$AK$105,3,FALSE)</f>
        <v>Charge-offs</v>
      </c>
      <c r="AF5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59" spans="18:32" x14ac:dyDescent="0.2">
      <c r="R5859" t="s">
        <v>13</v>
      </c>
      <c r="S5859" t="s">
        <v>234</v>
      </c>
      <c r="T5859" t="s">
        <v>427</v>
      </c>
      <c r="U5859" s="21">
        <v>141123.96</v>
      </c>
      <c r="V5859" s="21" t="s">
        <v>368</v>
      </c>
      <c r="W5859" t="str">
        <f>VLOOKUP(Table_Query_from_Actuarial___Production[[#This Row],[Kor1]],$AI$3:$AK$105,3,FALSE)</f>
        <v>Operating Service Fees</v>
      </c>
      <c r="X5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59"/>
      <c r="Z5859" t="s">
        <v>13</v>
      </c>
      <c r="AA5859" t="s">
        <v>352</v>
      </c>
      <c r="AB5859" t="s">
        <v>5</v>
      </c>
      <c r="AC5859" s="21">
        <v>72130.16</v>
      </c>
      <c r="AD5859" s="21" t="s">
        <v>369</v>
      </c>
      <c r="AE5859" t="str">
        <f>VLOOKUP(Table_Query_from_Actuarial___Production3[[#This Row],[Kor1]],$AI$3:$AK$105,3,FALSE)</f>
        <v>Operating Service Fees</v>
      </c>
      <c r="AF5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5860" spans="18:32" x14ac:dyDescent="0.2">
      <c r="R5860" t="s">
        <v>43</v>
      </c>
      <c r="S5860" t="s">
        <v>238</v>
      </c>
      <c r="T5860" t="s">
        <v>442</v>
      </c>
      <c r="U5860" s="21">
        <v>-47.83</v>
      </c>
      <c r="V5860" s="21" t="s">
        <v>368</v>
      </c>
      <c r="W5860" t="str">
        <f>VLOOKUP(Table_Query_from_Actuarial___Production[[#This Row],[Kor1]],$AI$3:$AK$105,3,FALSE)</f>
        <v>Charge-offs</v>
      </c>
      <c r="X5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0"/>
      <c r="Z5860" t="s">
        <v>10</v>
      </c>
      <c r="AA5860" t="s">
        <v>225</v>
      </c>
      <c r="AB5860" t="s">
        <v>443</v>
      </c>
      <c r="AC5860" s="21">
        <v>29220.799999999999</v>
      </c>
      <c r="AD5860" s="21" t="s">
        <v>369</v>
      </c>
      <c r="AE5860" t="str">
        <f>VLOOKUP(Table_Query_from_Actuarial___Production3[[#This Row],[Kor1]],$AI$3:$AK$105,3,FALSE)</f>
        <v>Commissions</v>
      </c>
      <c r="AF5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861" spans="18:32" x14ac:dyDescent="0.2">
      <c r="R5861" t="s">
        <v>44</v>
      </c>
      <c r="S5861" t="s">
        <v>237</v>
      </c>
      <c r="T5861" t="s">
        <v>443</v>
      </c>
      <c r="U5861" s="21">
        <v>1386207.28</v>
      </c>
      <c r="V5861" s="21" t="s">
        <v>368</v>
      </c>
      <c r="W5861" t="str">
        <f>VLOOKUP(Table_Query_from_Actuarial___Production[[#This Row],[Kor1]],$AI$3:$AK$105,3,FALSE)</f>
        <v>Charge-offs</v>
      </c>
      <c r="X5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1"/>
      <c r="Z5861" t="s">
        <v>33</v>
      </c>
      <c r="AA5861" t="s">
        <v>240</v>
      </c>
      <c r="AB5861" t="s">
        <v>443</v>
      </c>
      <c r="AC5861" s="21">
        <v>8374.2800000000007</v>
      </c>
      <c r="AD5861" s="21" t="s">
        <v>368</v>
      </c>
      <c r="AE5861" t="str">
        <f>VLOOKUP(Table_Query_from_Actuarial___Production3[[#This Row],[Kor1]],$AI$3:$AK$105,3,FALSE)</f>
        <v>Misc. Expense</v>
      </c>
      <c r="AF5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2" spans="18:32" x14ac:dyDescent="0.2">
      <c r="R5862" t="s">
        <v>44</v>
      </c>
      <c r="S5862" t="s">
        <v>264</v>
      </c>
      <c r="T5862" t="s">
        <v>433</v>
      </c>
      <c r="U5862" s="21">
        <v>80241.350000000006</v>
      </c>
      <c r="V5862" s="21" t="s">
        <v>368</v>
      </c>
      <c r="W5862" t="str">
        <f>VLOOKUP(Table_Query_from_Actuarial___Production[[#This Row],[Kor1]],$AI$3:$AK$105,3,FALSE)</f>
        <v>Charge-offs</v>
      </c>
      <c r="X5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2"/>
      <c r="Z5862" t="s">
        <v>43</v>
      </c>
      <c r="AA5862" t="s">
        <v>224</v>
      </c>
      <c r="AB5862" t="s">
        <v>5</v>
      </c>
      <c r="AC5862" s="21">
        <v>2346.21</v>
      </c>
      <c r="AD5862" s="21" t="s">
        <v>370</v>
      </c>
      <c r="AE5862" t="str">
        <f>VLOOKUP(Table_Query_from_Actuarial___Production3[[#This Row],[Kor1]],$AI$3:$AK$105,3,FALSE)</f>
        <v>Charge-offs</v>
      </c>
      <c r="AF5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863" spans="18:32" x14ac:dyDescent="0.2">
      <c r="R5863" t="s">
        <v>47</v>
      </c>
      <c r="S5863" t="s">
        <v>240</v>
      </c>
      <c r="T5863" t="s">
        <v>441</v>
      </c>
      <c r="U5863" s="21">
        <v>45.3</v>
      </c>
      <c r="V5863" s="21" t="s">
        <v>368</v>
      </c>
      <c r="W5863" t="str">
        <f>VLOOKUP(Table_Query_from_Actuarial___Production[[#This Row],[Kor1]],$AI$3:$AK$105,3,FALSE)</f>
        <v>Investment Income</v>
      </c>
      <c r="X5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3"/>
      <c r="Z5863" t="s">
        <v>36</v>
      </c>
      <c r="AA5863" t="s">
        <v>4</v>
      </c>
      <c r="AB5863" t="s">
        <v>6</v>
      </c>
      <c r="AC5863" s="21">
        <v>43567.76</v>
      </c>
      <c r="AD5863" s="21" t="s">
        <v>368</v>
      </c>
      <c r="AE5863" t="str">
        <f>VLOOKUP(Table_Query_from_Actuarial___Production3[[#This Row],[Kor1]],$AI$3:$AK$105,3,FALSE)</f>
        <v>Misc. Expense</v>
      </c>
      <c r="AF5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4" spans="18:32" x14ac:dyDescent="0.2">
      <c r="R5864" t="s">
        <v>49</v>
      </c>
      <c r="S5864" t="s">
        <v>264</v>
      </c>
      <c r="T5864" t="s">
        <v>433</v>
      </c>
      <c r="U5864" s="21">
        <v>16315.34</v>
      </c>
      <c r="V5864" s="21" t="s">
        <v>368</v>
      </c>
      <c r="W5864" t="str">
        <f>VLOOKUP(Table_Query_from_Actuarial___Production[[#This Row],[Kor1]],$AI$3:$AK$105,3,FALSE)</f>
        <v>ALAE Paid</v>
      </c>
      <c r="X5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4"/>
      <c r="Z5864" t="s">
        <v>39</v>
      </c>
      <c r="AA5864" t="s">
        <v>266</v>
      </c>
      <c r="AB5864" t="s">
        <v>433</v>
      </c>
      <c r="AC5864" s="21">
        <v>1335</v>
      </c>
      <c r="AD5864" s="21" t="s">
        <v>368</v>
      </c>
      <c r="AE5864" t="str">
        <f>VLOOKUP(Table_Query_from_Actuarial___Production3[[#This Row],[Kor1]],$AI$3:$AK$105,3,FALSE)</f>
        <v>Misc. Income for Insolvent Companies</v>
      </c>
      <c r="AF5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5" spans="18:32" x14ac:dyDescent="0.2">
      <c r="R5865" t="s">
        <v>16</v>
      </c>
      <c r="S5865" t="s">
        <v>236</v>
      </c>
      <c r="T5865" t="s">
        <v>442</v>
      </c>
      <c r="U5865" s="21">
        <v>17339.27</v>
      </c>
      <c r="V5865" s="21" t="s">
        <v>368</v>
      </c>
      <c r="W5865" t="str">
        <f>VLOOKUP(Table_Query_from_Actuarial___Production[[#This Row],[Kor1]],$AI$3:$AK$105,3,FALSE)</f>
        <v>Losses Outstanding</v>
      </c>
      <c r="X5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5"/>
      <c r="Z5865" t="s">
        <v>41</v>
      </c>
      <c r="AA5865" t="s">
        <v>232</v>
      </c>
      <c r="AB5865" t="s">
        <v>6</v>
      </c>
      <c r="AC5865" s="21">
        <v>305.11</v>
      </c>
      <c r="AD5865" s="21" t="s">
        <v>368</v>
      </c>
      <c r="AE5865" t="str">
        <f>VLOOKUP(Table_Query_from_Actuarial___Production3[[#This Row],[Kor1]],$AI$3:$AK$105,3,FALSE)</f>
        <v>Misc. Income</v>
      </c>
      <c r="AF5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6" spans="18:32" x14ac:dyDescent="0.2">
      <c r="R5866" t="s">
        <v>21</v>
      </c>
      <c r="S5866" t="s">
        <v>4</v>
      </c>
      <c r="T5866" t="s">
        <v>433</v>
      </c>
      <c r="U5866" s="21">
        <v>51.18</v>
      </c>
      <c r="V5866" s="21" t="s">
        <v>368</v>
      </c>
      <c r="W5866" t="str">
        <f>VLOOKUP(Table_Query_from_Actuarial___Production[[#This Row],[Kor1]],$AI$3:$AK$105,3,FALSE)</f>
        <v>Misc. Expense</v>
      </c>
      <c r="X5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6"/>
      <c r="Z5866" t="s">
        <v>21</v>
      </c>
      <c r="AA5866" t="s">
        <v>236</v>
      </c>
      <c r="AB5866" t="s">
        <v>442</v>
      </c>
      <c r="AC5866" s="21">
        <v>287.5</v>
      </c>
      <c r="AD5866" s="21" t="s">
        <v>368</v>
      </c>
      <c r="AE5866" t="str">
        <f>VLOOKUP(Table_Query_from_Actuarial___Production3[[#This Row],[Kor1]],$AI$3:$AK$105,3,FALSE)</f>
        <v>Misc. Expense</v>
      </c>
      <c r="AF5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7" spans="18:32" x14ac:dyDescent="0.2">
      <c r="R5867" t="s">
        <v>444</v>
      </c>
      <c r="S5867" t="s">
        <v>259</v>
      </c>
      <c r="T5867" t="s">
        <v>443</v>
      </c>
      <c r="U5867" s="21">
        <v>10167.81</v>
      </c>
      <c r="V5867" s="21" t="s">
        <v>368</v>
      </c>
      <c r="W5867" t="str">
        <f>VLOOKUP(Table_Query_from_Actuarial___Production[[#This Row],[Kor1]],$AI$3:$AK$105,3,FALSE)</f>
        <v>Misc. Expense</v>
      </c>
      <c r="X5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7"/>
      <c r="Z5867" t="s">
        <v>47</v>
      </c>
      <c r="AA5867" t="s">
        <v>246</v>
      </c>
      <c r="AB5867" t="s">
        <v>5</v>
      </c>
      <c r="AC5867" s="21">
        <v>0.72</v>
      </c>
      <c r="AD5867" s="21" t="s">
        <v>368</v>
      </c>
      <c r="AE5867" t="str">
        <f>VLOOKUP(Table_Query_from_Actuarial___Production3[[#This Row],[Kor1]],$AI$3:$AK$105,3,FALSE)</f>
        <v>Investment Income</v>
      </c>
      <c r="AF5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8" spans="18:32" x14ac:dyDescent="0.2">
      <c r="R5868" t="s">
        <v>11</v>
      </c>
      <c r="S5868" t="s">
        <v>354</v>
      </c>
      <c r="T5868" t="s">
        <v>8</v>
      </c>
      <c r="U5868" s="21">
        <v>833432799.32000005</v>
      </c>
      <c r="V5868" s="21" t="s">
        <v>369</v>
      </c>
      <c r="W5868" t="str">
        <f>VLOOKUP(Table_Query_from_Actuarial___Production[[#This Row],[Kor1]],$AI$3:$AK$105,3,FALSE)</f>
        <v>Losses Paid</v>
      </c>
      <c r="X5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5868"/>
      <c r="Z5868" t="s">
        <v>12</v>
      </c>
      <c r="AA5868" t="s">
        <v>247</v>
      </c>
      <c r="AB5868" t="s">
        <v>351</v>
      </c>
      <c r="AC5868" s="21">
        <v>300.57</v>
      </c>
      <c r="AD5868" s="21" t="s">
        <v>368</v>
      </c>
      <c r="AE5868" t="str">
        <f>VLOOKUP(Table_Query_from_Actuarial___Production3[[#This Row],[Kor1]],$AI$3:$AK$105,3,FALSE)</f>
        <v>Premium Tax</v>
      </c>
      <c r="AF5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69" spans="18:32" x14ac:dyDescent="0.2">
      <c r="R5869" t="s">
        <v>19</v>
      </c>
      <c r="S5869" t="s">
        <v>265</v>
      </c>
      <c r="T5869" t="s">
        <v>7</v>
      </c>
      <c r="U5869" s="21">
        <v>1312</v>
      </c>
      <c r="V5869" s="21" t="s">
        <v>368</v>
      </c>
      <c r="W5869" t="str">
        <f>VLOOKUP(Table_Query_from_Actuarial___Production[[#This Row],[Kor1]],$AI$3:$AK$105,3,FALSE)</f>
        <v>Misc. Expense for Insolvent Companies</v>
      </c>
      <c r="X5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69"/>
      <c r="Z5869" t="s">
        <v>41</v>
      </c>
      <c r="AA5869" t="s">
        <v>250</v>
      </c>
      <c r="AB5869" t="s">
        <v>356</v>
      </c>
      <c r="AC5869" s="21">
        <v>399.99</v>
      </c>
      <c r="AD5869" s="21" t="s">
        <v>368</v>
      </c>
      <c r="AE5869" t="str">
        <f>VLOOKUP(Table_Query_from_Actuarial___Production3[[#This Row],[Kor1]],$AI$3:$AK$105,3,FALSE)</f>
        <v>Misc. Income</v>
      </c>
      <c r="AF5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0" spans="18:32" x14ac:dyDescent="0.2">
      <c r="R5870" t="s">
        <v>48</v>
      </c>
      <c r="S5870" t="s">
        <v>233</v>
      </c>
      <c r="T5870" t="s">
        <v>442</v>
      </c>
      <c r="U5870" s="21">
        <v>4071.75</v>
      </c>
      <c r="V5870" s="21" t="s">
        <v>368</v>
      </c>
      <c r="W5870" t="str">
        <f>VLOOKUP(Table_Query_from_Actuarial___Production[[#This Row],[Kor1]],$AI$3:$AK$105,3,FALSE)</f>
        <v>Anticipated Salvage</v>
      </c>
      <c r="X5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0"/>
      <c r="Z5870" t="s">
        <v>44</v>
      </c>
      <c r="AA5870" t="s">
        <v>265</v>
      </c>
      <c r="AB5870" t="s">
        <v>9</v>
      </c>
      <c r="AC5870" s="21">
        <v>2146.0300000000002</v>
      </c>
      <c r="AD5870" s="21" t="s">
        <v>368</v>
      </c>
      <c r="AE5870" t="str">
        <f>VLOOKUP(Table_Query_from_Actuarial___Production3[[#This Row],[Kor1]],$AI$3:$AK$105,3,FALSE)</f>
        <v>Charge-offs</v>
      </c>
      <c r="AF5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1" spans="18:32" x14ac:dyDescent="0.2">
      <c r="R5871" t="s">
        <v>11</v>
      </c>
      <c r="S5871" t="s">
        <v>227</v>
      </c>
      <c r="T5871" t="s">
        <v>443</v>
      </c>
      <c r="U5871" s="21">
        <v>20444.36</v>
      </c>
      <c r="V5871" s="21" t="s">
        <v>368</v>
      </c>
      <c r="W5871" t="str">
        <f>VLOOKUP(Table_Query_from_Actuarial___Production[[#This Row],[Kor1]],$AI$3:$AK$105,3,FALSE)</f>
        <v>Losses Paid</v>
      </c>
      <c r="X5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1"/>
      <c r="Z5871" t="s">
        <v>21</v>
      </c>
      <c r="AA5871" t="s">
        <v>230</v>
      </c>
      <c r="AB5871" t="s">
        <v>427</v>
      </c>
      <c r="AC5871" s="21">
        <v>408.55</v>
      </c>
      <c r="AD5871" s="21" t="s">
        <v>368</v>
      </c>
      <c r="AE5871" t="str">
        <f>VLOOKUP(Table_Query_from_Actuarial___Production3[[#This Row],[Kor1]],$AI$3:$AK$105,3,FALSE)</f>
        <v>Misc. Expense</v>
      </c>
      <c r="AF5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2" spans="18:32" x14ac:dyDescent="0.2">
      <c r="R5872" t="s">
        <v>48</v>
      </c>
      <c r="S5872" t="s">
        <v>226</v>
      </c>
      <c r="T5872" t="s">
        <v>427</v>
      </c>
      <c r="U5872" s="21">
        <v>2827.42</v>
      </c>
      <c r="V5872" s="21" t="s">
        <v>368</v>
      </c>
      <c r="W5872" t="str">
        <f>VLOOKUP(Table_Query_from_Actuarial___Production[[#This Row],[Kor1]],$AI$3:$AK$105,3,FALSE)</f>
        <v>Anticipated Salvage</v>
      </c>
      <c r="X5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872"/>
      <c r="Z5872" t="s">
        <v>39</v>
      </c>
      <c r="AA5872" t="s">
        <v>239</v>
      </c>
      <c r="AB5872" t="s">
        <v>441</v>
      </c>
      <c r="AC5872" s="21">
        <v>499.29</v>
      </c>
      <c r="AD5872" s="21" t="s">
        <v>368</v>
      </c>
      <c r="AE5872" t="str">
        <f>VLOOKUP(Table_Query_from_Actuarial___Production3[[#This Row],[Kor1]],$AI$3:$AK$105,3,FALSE)</f>
        <v>Misc. Income for Insolvent Companies</v>
      </c>
      <c r="AF5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3" spans="18:32" x14ac:dyDescent="0.2">
      <c r="R5873" t="s">
        <v>19</v>
      </c>
      <c r="S5873" t="s">
        <v>262</v>
      </c>
      <c r="T5873" t="s">
        <v>356</v>
      </c>
      <c r="U5873" s="21">
        <v>432</v>
      </c>
      <c r="V5873" s="21" t="s">
        <v>368</v>
      </c>
      <c r="W5873" t="str">
        <f>VLOOKUP(Table_Query_from_Actuarial___Production[[#This Row],[Kor1]],$AI$3:$AK$105,3,FALSE)</f>
        <v>Misc. Expense for Insolvent Companies</v>
      </c>
      <c r="X5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3"/>
      <c r="Z5873" t="s">
        <v>47</v>
      </c>
      <c r="AA5873" t="s">
        <v>243</v>
      </c>
      <c r="AB5873" t="s">
        <v>356</v>
      </c>
      <c r="AC5873" s="21">
        <v>1091.8599999999999</v>
      </c>
      <c r="AD5873" s="21" t="s">
        <v>368</v>
      </c>
      <c r="AE5873" t="str">
        <f>VLOOKUP(Table_Query_from_Actuarial___Production3[[#This Row],[Kor1]],$AI$3:$AK$105,3,FALSE)</f>
        <v>Investment Income</v>
      </c>
      <c r="AF5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4" spans="18:32" x14ac:dyDescent="0.2">
      <c r="R5874" t="s">
        <v>40</v>
      </c>
      <c r="S5874" t="s">
        <v>231</v>
      </c>
      <c r="T5874" t="s">
        <v>356</v>
      </c>
      <c r="U5874" s="21">
        <v>72.010000000000005</v>
      </c>
      <c r="V5874" s="21" t="s">
        <v>368</v>
      </c>
      <c r="W5874" t="str">
        <f>VLOOKUP(Table_Query_from_Actuarial___Production[[#This Row],[Kor1]],$AI$3:$AK$105,3,FALSE)</f>
        <v>Misc. Income</v>
      </c>
      <c r="X5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4"/>
      <c r="Z5874" t="s">
        <v>15</v>
      </c>
      <c r="AA5874" t="s">
        <v>232</v>
      </c>
      <c r="AB5874" t="s">
        <v>442</v>
      </c>
      <c r="AC5874" s="21">
        <v>156344.66</v>
      </c>
      <c r="AD5874" s="21" t="s">
        <v>368</v>
      </c>
      <c r="AE5874" t="str">
        <f>VLOOKUP(Table_Query_from_Actuarial___Production3[[#This Row],[Kor1]],$AI$3:$AK$105,3,FALSE)</f>
        <v>Unearned Premiums</v>
      </c>
      <c r="AF5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5" spans="18:32" x14ac:dyDescent="0.2">
      <c r="R5875" t="s">
        <v>50</v>
      </c>
      <c r="S5875" t="s">
        <v>4</v>
      </c>
      <c r="T5875" t="s">
        <v>9</v>
      </c>
      <c r="U5875" s="21">
        <v>46220.73</v>
      </c>
      <c r="V5875" s="21" t="s">
        <v>368</v>
      </c>
      <c r="W5875" t="str">
        <f>VLOOKUP(Table_Query_from_Actuarial___Production[[#This Row],[Kor1]],$AI$3:$AK$105,3,FALSE)</f>
        <v>ALAE Reserve</v>
      </c>
      <c r="X5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5"/>
      <c r="Z5875" t="s">
        <v>33</v>
      </c>
      <c r="AA5875" t="s">
        <v>235</v>
      </c>
      <c r="AB5875" t="s">
        <v>356</v>
      </c>
      <c r="AC5875" s="21">
        <v>15330.54</v>
      </c>
      <c r="AD5875" s="21" t="s">
        <v>368</v>
      </c>
      <c r="AE5875" t="str">
        <f>VLOOKUP(Table_Query_from_Actuarial___Production3[[#This Row],[Kor1]],$AI$3:$AK$105,3,FALSE)</f>
        <v>Misc. Expense</v>
      </c>
      <c r="AF5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6" spans="18:32" x14ac:dyDescent="0.2">
      <c r="R5876" t="s">
        <v>43</v>
      </c>
      <c r="S5876" t="s">
        <v>224</v>
      </c>
      <c r="T5876" t="s">
        <v>441</v>
      </c>
      <c r="U5876" s="21">
        <v>120.78</v>
      </c>
      <c r="V5876" s="21" t="s">
        <v>370</v>
      </c>
      <c r="W5876" t="str">
        <f>VLOOKUP(Table_Query_from_Actuarial___Production[[#This Row],[Kor1]],$AI$3:$AK$105,3,FALSE)</f>
        <v>Charge-offs</v>
      </c>
      <c r="X5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876"/>
      <c r="Z5876" t="s">
        <v>44</v>
      </c>
      <c r="AA5876" t="s">
        <v>263</v>
      </c>
      <c r="AB5876" t="s">
        <v>441</v>
      </c>
      <c r="AC5876" s="21">
        <v>1.96</v>
      </c>
      <c r="AD5876" s="21" t="s">
        <v>368</v>
      </c>
      <c r="AE5876" t="str">
        <f>VLOOKUP(Table_Query_from_Actuarial___Production3[[#This Row],[Kor1]],$AI$3:$AK$105,3,FALSE)</f>
        <v>Charge-offs</v>
      </c>
      <c r="AF5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7" spans="18:32" x14ac:dyDescent="0.2">
      <c r="R5877" t="s">
        <v>10</v>
      </c>
      <c r="S5877" t="s">
        <v>244</v>
      </c>
      <c r="T5877" t="s">
        <v>7</v>
      </c>
      <c r="U5877" s="21">
        <v>65118.45</v>
      </c>
      <c r="V5877" s="21" t="s">
        <v>368</v>
      </c>
      <c r="W5877" t="str">
        <f>VLOOKUP(Table_Query_from_Actuarial___Production[[#This Row],[Kor1]],$AI$3:$AK$105,3,FALSE)</f>
        <v>Commissions</v>
      </c>
      <c r="X5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7"/>
      <c r="Z5877" t="s">
        <v>16</v>
      </c>
      <c r="AA5877" t="s">
        <v>4</v>
      </c>
      <c r="AB5877" t="s">
        <v>427</v>
      </c>
      <c r="AC5877" s="21">
        <v>34530561.950000003</v>
      </c>
      <c r="AD5877" s="21" t="s">
        <v>368</v>
      </c>
      <c r="AE5877" t="str">
        <f>VLOOKUP(Table_Query_from_Actuarial___Production3[[#This Row],[Kor1]],$AI$3:$AK$105,3,FALSE)</f>
        <v>Losses Outstanding</v>
      </c>
      <c r="AF5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8" spans="18:32" x14ac:dyDescent="0.2">
      <c r="R5878" t="s">
        <v>13</v>
      </c>
      <c r="S5878" t="s">
        <v>249</v>
      </c>
      <c r="T5878" t="s">
        <v>427</v>
      </c>
      <c r="U5878" s="21">
        <v>90088.84</v>
      </c>
      <c r="V5878" s="21" t="s">
        <v>368</v>
      </c>
      <c r="W5878" t="str">
        <f>VLOOKUP(Table_Query_from_Actuarial___Production[[#This Row],[Kor1]],$AI$3:$AK$105,3,FALSE)</f>
        <v>Operating Service Fees</v>
      </c>
      <c r="X5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8"/>
      <c r="Z5878" t="s">
        <v>13</v>
      </c>
      <c r="AA5878" t="s">
        <v>234</v>
      </c>
      <c r="AB5878" t="s">
        <v>427</v>
      </c>
      <c r="AC5878" s="21">
        <v>141123.96</v>
      </c>
      <c r="AD5878" s="21" t="s">
        <v>368</v>
      </c>
      <c r="AE5878" t="str">
        <f>VLOOKUP(Table_Query_from_Actuarial___Production3[[#This Row],[Kor1]],$AI$3:$AK$105,3,FALSE)</f>
        <v>Operating Service Fees</v>
      </c>
      <c r="AF5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79" spans="18:32" x14ac:dyDescent="0.2">
      <c r="R5879" t="s">
        <v>13</v>
      </c>
      <c r="S5879" t="s">
        <v>252</v>
      </c>
      <c r="T5879" t="s">
        <v>445</v>
      </c>
      <c r="U5879" s="21">
        <v>3351339.82</v>
      </c>
      <c r="V5879" s="21" t="s">
        <v>368</v>
      </c>
      <c r="W5879" t="str">
        <f>VLOOKUP(Table_Query_from_Actuarial___Production[[#This Row],[Kor1]],$AI$3:$AK$105,3,FALSE)</f>
        <v>Operating Service Fees</v>
      </c>
      <c r="X5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79"/>
      <c r="Z5879" t="s">
        <v>43</v>
      </c>
      <c r="AA5879" t="s">
        <v>238</v>
      </c>
      <c r="AB5879" t="s">
        <v>442</v>
      </c>
      <c r="AC5879" s="21">
        <v>-47.83</v>
      </c>
      <c r="AD5879" s="21" t="s">
        <v>368</v>
      </c>
      <c r="AE5879" t="str">
        <f>VLOOKUP(Table_Query_from_Actuarial___Production3[[#This Row],[Kor1]],$AI$3:$AK$105,3,FALSE)</f>
        <v>Charge-offs</v>
      </c>
      <c r="AF5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0" spans="18:32" x14ac:dyDescent="0.2">
      <c r="R5880" t="s">
        <v>21</v>
      </c>
      <c r="S5880" t="s">
        <v>265</v>
      </c>
      <c r="T5880" t="s">
        <v>433</v>
      </c>
      <c r="U5880" s="21">
        <v>1624.28</v>
      </c>
      <c r="V5880" s="21" t="s">
        <v>368</v>
      </c>
      <c r="W5880" t="str">
        <f>VLOOKUP(Table_Query_from_Actuarial___Production[[#This Row],[Kor1]],$AI$3:$AK$105,3,FALSE)</f>
        <v>Misc. Expense</v>
      </c>
      <c r="X5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0"/>
      <c r="Z5880" t="s">
        <v>44</v>
      </c>
      <c r="AA5880" t="s">
        <v>264</v>
      </c>
      <c r="AB5880" t="s">
        <v>433</v>
      </c>
      <c r="AC5880" s="21">
        <v>80241.350000000006</v>
      </c>
      <c r="AD5880" s="21" t="s">
        <v>368</v>
      </c>
      <c r="AE5880" t="str">
        <f>VLOOKUP(Table_Query_from_Actuarial___Production3[[#This Row],[Kor1]],$AI$3:$AK$105,3,FALSE)</f>
        <v>Charge-offs</v>
      </c>
      <c r="AF5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1" spans="18:32" x14ac:dyDescent="0.2">
      <c r="R5881" t="s">
        <v>41</v>
      </c>
      <c r="S5881" t="s">
        <v>4</v>
      </c>
      <c r="T5881" t="s">
        <v>9</v>
      </c>
      <c r="U5881" s="21">
        <v>1520.11</v>
      </c>
      <c r="V5881" s="21" t="s">
        <v>368</v>
      </c>
      <c r="W5881" t="str">
        <f>VLOOKUP(Table_Query_from_Actuarial___Production[[#This Row],[Kor1]],$AI$3:$AK$105,3,FALSE)</f>
        <v>Misc. Income</v>
      </c>
      <c r="X5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1"/>
      <c r="Z5881" t="s">
        <v>47</v>
      </c>
      <c r="AA5881" t="s">
        <v>240</v>
      </c>
      <c r="AB5881" t="s">
        <v>441</v>
      </c>
      <c r="AC5881" s="21">
        <v>45.3</v>
      </c>
      <c r="AD5881" s="21" t="s">
        <v>368</v>
      </c>
      <c r="AE5881" t="str">
        <f>VLOOKUP(Table_Query_from_Actuarial___Production3[[#This Row],[Kor1]],$AI$3:$AK$105,3,FALSE)</f>
        <v>Investment Income</v>
      </c>
      <c r="AF5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2" spans="18:32" x14ac:dyDescent="0.2">
      <c r="R5882" t="s">
        <v>11</v>
      </c>
      <c r="S5882" t="s">
        <v>241</v>
      </c>
      <c r="T5882" t="s">
        <v>356</v>
      </c>
      <c r="U5882" s="21">
        <v>673553.87</v>
      </c>
      <c r="V5882" s="21" t="s">
        <v>368</v>
      </c>
      <c r="W5882" t="str">
        <f>VLOOKUP(Table_Query_from_Actuarial___Production[[#This Row],[Kor1]],$AI$3:$AK$105,3,FALSE)</f>
        <v>Losses Paid</v>
      </c>
      <c r="X5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2"/>
      <c r="Z5882" t="s">
        <v>49</v>
      </c>
      <c r="AA5882" t="s">
        <v>264</v>
      </c>
      <c r="AB5882" t="s">
        <v>433</v>
      </c>
      <c r="AC5882" s="21">
        <v>7938.54</v>
      </c>
      <c r="AD5882" s="21" t="s">
        <v>368</v>
      </c>
      <c r="AE5882" t="str">
        <f>VLOOKUP(Table_Query_from_Actuarial___Production3[[#This Row],[Kor1]],$AI$3:$AK$105,3,FALSE)</f>
        <v>ALAE Paid</v>
      </c>
      <c r="AF5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3" spans="18:32" x14ac:dyDescent="0.2">
      <c r="R5883" t="s">
        <v>11</v>
      </c>
      <c r="S5883" t="s">
        <v>266</v>
      </c>
      <c r="T5883" t="s">
        <v>441</v>
      </c>
      <c r="U5883" s="21">
        <v>915587.56</v>
      </c>
      <c r="V5883" s="21" t="s">
        <v>368</v>
      </c>
      <c r="W5883" t="str">
        <f>VLOOKUP(Table_Query_from_Actuarial___Production[[#This Row],[Kor1]],$AI$3:$AK$105,3,FALSE)</f>
        <v>Losses Paid</v>
      </c>
      <c r="X5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3"/>
      <c r="Z5883" t="s">
        <v>16</v>
      </c>
      <c r="AA5883" t="s">
        <v>236</v>
      </c>
      <c r="AB5883" t="s">
        <v>442</v>
      </c>
      <c r="AC5883" s="21">
        <v>16836.07</v>
      </c>
      <c r="AD5883" s="21" t="s">
        <v>368</v>
      </c>
      <c r="AE5883" t="str">
        <f>VLOOKUP(Table_Query_from_Actuarial___Production3[[#This Row],[Kor1]],$AI$3:$AK$105,3,FALSE)</f>
        <v>Losses Outstanding</v>
      </c>
      <c r="AF5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4" spans="18:32" x14ac:dyDescent="0.2">
      <c r="R5884" t="s">
        <v>19</v>
      </c>
      <c r="S5884" t="s">
        <v>264</v>
      </c>
      <c r="T5884" t="s">
        <v>6</v>
      </c>
      <c r="U5884" s="21">
        <v>2280.0100000000002</v>
      </c>
      <c r="V5884" s="21" t="s">
        <v>368</v>
      </c>
      <c r="W5884" t="str">
        <f>VLOOKUP(Table_Query_from_Actuarial___Production[[#This Row],[Kor1]],$AI$3:$AK$105,3,FALSE)</f>
        <v>Misc. Expense for Insolvent Companies</v>
      </c>
      <c r="X5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4"/>
      <c r="Z5884" t="s">
        <v>21</v>
      </c>
      <c r="AA5884" t="s">
        <v>4</v>
      </c>
      <c r="AB5884" t="s">
        <v>433</v>
      </c>
      <c r="AC5884" s="21">
        <v>51.18</v>
      </c>
      <c r="AD5884" s="21" t="s">
        <v>368</v>
      </c>
      <c r="AE5884" t="str">
        <f>VLOOKUP(Table_Query_from_Actuarial___Production3[[#This Row],[Kor1]],$AI$3:$AK$105,3,FALSE)</f>
        <v>Misc. Expense</v>
      </c>
      <c r="AF5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5" spans="18:32" x14ac:dyDescent="0.2">
      <c r="R5885" t="s">
        <v>43</v>
      </c>
      <c r="S5885" t="s">
        <v>254</v>
      </c>
      <c r="T5885" t="s">
        <v>445</v>
      </c>
      <c r="U5885" s="21">
        <v>-1034.6500000000001</v>
      </c>
      <c r="V5885" s="21" t="s">
        <v>368</v>
      </c>
      <c r="W5885" t="str">
        <f>VLOOKUP(Table_Query_from_Actuarial___Production[[#This Row],[Kor1]],$AI$3:$AK$105,3,FALSE)</f>
        <v>Charge-offs</v>
      </c>
      <c r="X5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5"/>
      <c r="Z5885" t="s">
        <v>11</v>
      </c>
      <c r="AA5885" t="s">
        <v>354</v>
      </c>
      <c r="AB5885" t="s">
        <v>8</v>
      </c>
      <c r="AC5885" s="21">
        <v>833301219.72000003</v>
      </c>
      <c r="AD5885" s="21" t="s">
        <v>369</v>
      </c>
      <c r="AE5885" t="str">
        <f>VLOOKUP(Table_Query_from_Actuarial___Production3[[#This Row],[Kor1]],$AI$3:$AK$105,3,FALSE)</f>
        <v>Losses Paid</v>
      </c>
      <c r="AF5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886" spans="18:32" x14ac:dyDescent="0.2">
      <c r="R5886" t="s">
        <v>44</v>
      </c>
      <c r="S5886" t="s">
        <v>246</v>
      </c>
      <c r="T5886" t="s">
        <v>6</v>
      </c>
      <c r="U5886" s="21">
        <v>2</v>
      </c>
      <c r="V5886" s="21" t="s">
        <v>368</v>
      </c>
      <c r="W5886" t="str">
        <f>VLOOKUP(Table_Query_from_Actuarial___Production[[#This Row],[Kor1]],$AI$3:$AK$105,3,FALSE)</f>
        <v>Charge-offs</v>
      </c>
      <c r="X5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6"/>
      <c r="Z5886" t="s">
        <v>19</v>
      </c>
      <c r="AA5886" t="s">
        <v>265</v>
      </c>
      <c r="AB5886" t="s">
        <v>7</v>
      </c>
      <c r="AC5886" s="21">
        <v>1312</v>
      </c>
      <c r="AD5886" s="21" t="s">
        <v>368</v>
      </c>
      <c r="AE5886" t="str">
        <f>VLOOKUP(Table_Query_from_Actuarial___Production3[[#This Row],[Kor1]],$AI$3:$AK$105,3,FALSE)</f>
        <v>Misc. Expense for Insolvent Companies</v>
      </c>
      <c r="AF5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7" spans="18:32" x14ac:dyDescent="0.2">
      <c r="R5887" t="s">
        <v>12</v>
      </c>
      <c r="S5887" t="s">
        <v>232</v>
      </c>
      <c r="T5887" t="s">
        <v>356</v>
      </c>
      <c r="U5887" s="21">
        <v>15412.44</v>
      </c>
      <c r="V5887" s="21" t="s">
        <v>368</v>
      </c>
      <c r="W5887" t="str">
        <f>VLOOKUP(Table_Query_from_Actuarial___Production[[#This Row],[Kor1]],$AI$3:$AK$105,3,FALSE)</f>
        <v>Premium Tax</v>
      </c>
      <c r="X5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7"/>
      <c r="Z5887" t="s">
        <v>48</v>
      </c>
      <c r="AA5887" t="s">
        <v>233</v>
      </c>
      <c r="AB5887" t="s">
        <v>442</v>
      </c>
      <c r="AC5887" s="21">
        <v>5582.14</v>
      </c>
      <c r="AD5887" s="21" t="s">
        <v>368</v>
      </c>
      <c r="AE5887" t="str">
        <f>VLOOKUP(Table_Query_from_Actuarial___Production3[[#This Row],[Kor1]],$AI$3:$AK$105,3,FALSE)</f>
        <v>Anticipated Salvage</v>
      </c>
      <c r="AF5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88" spans="18:32" x14ac:dyDescent="0.2">
      <c r="R5888" t="s">
        <v>37</v>
      </c>
      <c r="S5888" t="s">
        <v>250</v>
      </c>
      <c r="T5888" t="s">
        <v>351</v>
      </c>
      <c r="U5888" s="21">
        <v>83.58</v>
      </c>
      <c r="V5888" s="21" t="s">
        <v>368</v>
      </c>
      <c r="W5888" t="str">
        <f>VLOOKUP(Table_Query_from_Actuarial___Production[[#This Row],[Kor1]],$AI$3:$AK$105,3,FALSE)</f>
        <v>Misc. Expense</v>
      </c>
      <c r="X5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8"/>
      <c r="Z5888" t="s">
        <v>13</v>
      </c>
      <c r="AA5888" t="s">
        <v>225</v>
      </c>
      <c r="AB5888" t="s">
        <v>5</v>
      </c>
      <c r="AC5888" s="21">
        <v>184320.56</v>
      </c>
      <c r="AD5888" s="21" t="s">
        <v>368</v>
      </c>
      <c r="AE5888" t="str">
        <f>VLOOKUP(Table_Query_from_Actuarial___Production3[[#This Row],[Kor1]],$AI$3:$AK$105,3,FALSE)</f>
        <v>Operating Service Fees</v>
      </c>
      <c r="AF5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5889" spans="18:32" x14ac:dyDescent="0.2">
      <c r="R5889" t="s">
        <v>40</v>
      </c>
      <c r="S5889" t="s">
        <v>253</v>
      </c>
      <c r="T5889" t="s">
        <v>6</v>
      </c>
      <c r="U5889" s="21">
        <v>136</v>
      </c>
      <c r="V5889" s="21" t="s">
        <v>368</v>
      </c>
      <c r="W5889" t="str">
        <f>VLOOKUP(Table_Query_from_Actuarial___Production[[#This Row],[Kor1]],$AI$3:$AK$105,3,FALSE)</f>
        <v>Misc. Income</v>
      </c>
      <c r="X5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89"/>
      <c r="Z5889" t="s">
        <v>48</v>
      </c>
      <c r="AA5889" t="s">
        <v>226</v>
      </c>
      <c r="AB5889" t="s">
        <v>427</v>
      </c>
      <c r="AC5889" s="21">
        <v>23629.56</v>
      </c>
      <c r="AD5889" s="21" t="s">
        <v>368</v>
      </c>
      <c r="AE5889" t="str">
        <f>VLOOKUP(Table_Query_from_Actuarial___Production3[[#This Row],[Kor1]],$AI$3:$AK$105,3,FALSE)</f>
        <v>Anticipated Salvage</v>
      </c>
      <c r="AF5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890" spans="18:32" x14ac:dyDescent="0.2">
      <c r="R5890" t="s">
        <v>43</v>
      </c>
      <c r="S5890" t="s">
        <v>252</v>
      </c>
      <c r="T5890" t="s">
        <v>441</v>
      </c>
      <c r="U5890" s="21">
        <v>-10047.030000000001</v>
      </c>
      <c r="V5890" s="21" t="s">
        <v>368</v>
      </c>
      <c r="W5890" t="str">
        <f>VLOOKUP(Table_Query_from_Actuarial___Production[[#This Row],[Kor1]],$AI$3:$AK$105,3,FALSE)</f>
        <v>Charge-offs</v>
      </c>
      <c r="X5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0"/>
      <c r="Z5890" t="s">
        <v>19</v>
      </c>
      <c r="AA5890" t="s">
        <v>262</v>
      </c>
      <c r="AB5890" t="s">
        <v>356</v>
      </c>
      <c r="AC5890" s="21">
        <v>432</v>
      </c>
      <c r="AD5890" s="21" t="s">
        <v>368</v>
      </c>
      <c r="AE5890" t="str">
        <f>VLOOKUP(Table_Query_from_Actuarial___Production3[[#This Row],[Kor1]],$AI$3:$AK$105,3,FALSE)</f>
        <v>Misc. Expense for Insolvent Companies</v>
      </c>
      <c r="AF5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1" spans="18:32" x14ac:dyDescent="0.2">
      <c r="R5891" t="s">
        <v>10</v>
      </c>
      <c r="S5891" t="s">
        <v>260</v>
      </c>
      <c r="T5891" t="s">
        <v>9</v>
      </c>
      <c r="U5891" s="21">
        <v>426.1</v>
      </c>
      <c r="V5891" s="21" t="s">
        <v>368</v>
      </c>
      <c r="W5891" t="str">
        <f>VLOOKUP(Table_Query_from_Actuarial___Production[[#This Row],[Kor1]],$AI$3:$AK$105,3,FALSE)</f>
        <v>Commissions</v>
      </c>
      <c r="X5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1"/>
      <c r="Z5891" t="s">
        <v>40</v>
      </c>
      <c r="AA5891" t="s">
        <v>231</v>
      </c>
      <c r="AB5891" t="s">
        <v>356</v>
      </c>
      <c r="AC5891" s="21">
        <v>72.010000000000005</v>
      </c>
      <c r="AD5891" s="21" t="s">
        <v>368</v>
      </c>
      <c r="AE5891" t="str">
        <f>VLOOKUP(Table_Query_from_Actuarial___Production3[[#This Row],[Kor1]],$AI$3:$AK$105,3,FALSE)</f>
        <v>Misc. Income</v>
      </c>
      <c r="AF5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2" spans="18:32" x14ac:dyDescent="0.2">
      <c r="R5892" t="s">
        <v>31</v>
      </c>
      <c r="S5892" t="s">
        <v>266</v>
      </c>
      <c r="T5892" t="s">
        <v>8</v>
      </c>
      <c r="U5892" s="21">
        <v>502.55</v>
      </c>
      <c r="V5892" s="21" t="s">
        <v>368</v>
      </c>
      <c r="W5892" t="str">
        <f>VLOOKUP(Table_Query_from_Actuarial___Production[[#This Row],[Kor1]],$AI$3:$AK$105,3,FALSE)</f>
        <v>Misc. Expense</v>
      </c>
      <c r="X5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2"/>
      <c r="Z5892" t="s">
        <v>50</v>
      </c>
      <c r="AA5892" t="s">
        <v>4</v>
      </c>
      <c r="AB5892" t="s">
        <v>9</v>
      </c>
      <c r="AC5892" s="21">
        <v>33901.25</v>
      </c>
      <c r="AD5892" s="21" t="s">
        <v>368</v>
      </c>
      <c r="AE5892" t="str">
        <f>VLOOKUP(Table_Query_from_Actuarial___Production3[[#This Row],[Kor1]],$AI$3:$AK$105,3,FALSE)</f>
        <v>ALAE Reserve</v>
      </c>
      <c r="AF5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3" spans="18:32" x14ac:dyDescent="0.2">
      <c r="R5893" t="s">
        <v>47</v>
      </c>
      <c r="S5893" t="s">
        <v>245</v>
      </c>
      <c r="T5893" t="s">
        <v>9</v>
      </c>
      <c r="U5893" s="21">
        <v>116.36</v>
      </c>
      <c r="V5893" s="21" t="s">
        <v>368</v>
      </c>
      <c r="W5893" t="str">
        <f>VLOOKUP(Table_Query_from_Actuarial___Production[[#This Row],[Kor1]],$AI$3:$AK$105,3,FALSE)</f>
        <v>Investment Income</v>
      </c>
      <c r="X5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3"/>
      <c r="Z5893" t="s">
        <v>43</v>
      </c>
      <c r="AA5893" t="s">
        <v>224</v>
      </c>
      <c r="AB5893" t="s">
        <v>441</v>
      </c>
      <c r="AC5893" s="21">
        <v>120.78</v>
      </c>
      <c r="AD5893" s="21" t="s">
        <v>370</v>
      </c>
      <c r="AE5893" t="str">
        <f>VLOOKUP(Table_Query_from_Actuarial___Production3[[#This Row],[Kor1]],$AI$3:$AK$105,3,FALSE)</f>
        <v>Charge-offs</v>
      </c>
      <c r="AF5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894" spans="18:32" x14ac:dyDescent="0.2">
      <c r="R5894" t="s">
        <v>3</v>
      </c>
      <c r="S5894" t="s">
        <v>260</v>
      </c>
      <c r="T5894" t="s">
        <v>427</v>
      </c>
      <c r="U5894" s="21">
        <v>5442</v>
      </c>
      <c r="V5894" s="21" t="s">
        <v>368</v>
      </c>
      <c r="W5894" t="str">
        <f>VLOOKUP(Table_Query_from_Actuarial___Production[[#This Row],[Kor1]],$AI$3:$AK$105,3,FALSE)</f>
        <v>Premiums Written</v>
      </c>
      <c r="X5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4"/>
      <c r="Z5894" t="s">
        <v>10</v>
      </c>
      <c r="AA5894" t="s">
        <v>244</v>
      </c>
      <c r="AB5894" t="s">
        <v>7</v>
      </c>
      <c r="AC5894" s="21">
        <v>65118.45</v>
      </c>
      <c r="AD5894" s="21" t="s">
        <v>368</v>
      </c>
      <c r="AE5894" t="str">
        <f>VLOOKUP(Table_Query_from_Actuarial___Production3[[#This Row],[Kor1]],$AI$3:$AK$105,3,FALSE)</f>
        <v>Commissions</v>
      </c>
      <c r="AF5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5" spans="18:32" x14ac:dyDescent="0.2">
      <c r="R5895" t="s">
        <v>39</v>
      </c>
      <c r="S5895" t="s">
        <v>264</v>
      </c>
      <c r="T5895" t="s">
        <v>441</v>
      </c>
      <c r="U5895" s="21">
        <v>5386.09</v>
      </c>
      <c r="V5895" s="21" t="s">
        <v>368</v>
      </c>
      <c r="W5895" t="str">
        <f>VLOOKUP(Table_Query_from_Actuarial___Production[[#This Row],[Kor1]],$AI$3:$AK$105,3,FALSE)</f>
        <v>Misc. Income for Insolvent Companies</v>
      </c>
      <c r="X5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5"/>
      <c r="Z5895" t="s">
        <v>13</v>
      </c>
      <c r="AA5895" t="s">
        <v>249</v>
      </c>
      <c r="AB5895" t="s">
        <v>427</v>
      </c>
      <c r="AC5895" s="21">
        <v>90088.84</v>
      </c>
      <c r="AD5895" s="21" t="s">
        <v>368</v>
      </c>
      <c r="AE5895" t="str">
        <f>VLOOKUP(Table_Query_from_Actuarial___Production3[[#This Row],[Kor1]],$AI$3:$AK$105,3,FALSE)</f>
        <v>Operating Service Fees</v>
      </c>
      <c r="AF5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6" spans="18:32" x14ac:dyDescent="0.2">
      <c r="R5896" t="s">
        <v>16</v>
      </c>
      <c r="S5896" t="s">
        <v>224</v>
      </c>
      <c r="T5896" t="s">
        <v>445</v>
      </c>
      <c r="U5896" s="21">
        <v>22047.77</v>
      </c>
      <c r="V5896" s="21" t="s">
        <v>368</v>
      </c>
      <c r="W5896" t="str">
        <f>VLOOKUP(Table_Query_from_Actuarial___Production[[#This Row],[Kor1]],$AI$3:$AK$105,3,FALSE)</f>
        <v>Losses Outstanding</v>
      </c>
      <c r="X5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896"/>
      <c r="Z5896" t="s">
        <v>21</v>
      </c>
      <c r="AA5896" t="s">
        <v>265</v>
      </c>
      <c r="AB5896" t="s">
        <v>433</v>
      </c>
      <c r="AC5896" s="21">
        <v>1624.28</v>
      </c>
      <c r="AD5896" s="21" t="s">
        <v>368</v>
      </c>
      <c r="AE5896" t="str">
        <f>VLOOKUP(Table_Query_from_Actuarial___Production3[[#This Row],[Kor1]],$AI$3:$AK$105,3,FALSE)</f>
        <v>Misc. Expense</v>
      </c>
      <c r="AF5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7" spans="18:32" x14ac:dyDescent="0.2">
      <c r="R5897" t="s">
        <v>18</v>
      </c>
      <c r="S5897" t="s">
        <v>224</v>
      </c>
      <c r="T5897" t="s">
        <v>441</v>
      </c>
      <c r="U5897" s="21">
        <v>2207.1999999999998</v>
      </c>
      <c r="V5897" s="21" t="s">
        <v>425</v>
      </c>
      <c r="W5897" t="str">
        <f>VLOOKUP(Table_Query_from_Actuarial___Production[[#This Row],[Kor1]],$AI$3:$AK$105,3,FALSE)</f>
        <v>Misc. Expense</v>
      </c>
      <c r="X5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897"/>
      <c r="Z5897" t="s">
        <v>41</v>
      </c>
      <c r="AA5897" t="s">
        <v>4</v>
      </c>
      <c r="AB5897" t="s">
        <v>9</v>
      </c>
      <c r="AC5897" s="21">
        <v>1520.11</v>
      </c>
      <c r="AD5897" s="21" t="s">
        <v>368</v>
      </c>
      <c r="AE5897" t="str">
        <f>VLOOKUP(Table_Query_from_Actuarial___Production3[[#This Row],[Kor1]],$AI$3:$AK$105,3,FALSE)</f>
        <v>Misc. Income</v>
      </c>
      <c r="AF5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8" spans="18:32" x14ac:dyDescent="0.2">
      <c r="R5898" t="s">
        <v>3</v>
      </c>
      <c r="S5898" t="s">
        <v>234</v>
      </c>
      <c r="T5898" t="s">
        <v>6</v>
      </c>
      <c r="U5898" s="21">
        <v>575364</v>
      </c>
      <c r="V5898" s="21" t="s">
        <v>368</v>
      </c>
      <c r="W5898" t="str">
        <f>VLOOKUP(Table_Query_from_Actuarial___Production[[#This Row],[Kor1]],$AI$3:$AK$105,3,FALSE)</f>
        <v>Premiums Written</v>
      </c>
      <c r="X5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8"/>
      <c r="Z5898" t="s">
        <v>11</v>
      </c>
      <c r="AA5898" t="s">
        <v>241</v>
      </c>
      <c r="AB5898" t="s">
        <v>356</v>
      </c>
      <c r="AC5898" s="21">
        <v>673553.87</v>
      </c>
      <c r="AD5898" s="21" t="s">
        <v>368</v>
      </c>
      <c r="AE5898" t="str">
        <f>VLOOKUP(Table_Query_from_Actuarial___Production3[[#This Row],[Kor1]],$AI$3:$AK$105,3,FALSE)</f>
        <v>Losses Paid</v>
      </c>
      <c r="AF5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899" spans="18:32" x14ac:dyDescent="0.2">
      <c r="R5899" t="s">
        <v>12</v>
      </c>
      <c r="S5899" t="s">
        <v>254</v>
      </c>
      <c r="T5899" t="s">
        <v>442</v>
      </c>
      <c r="U5899" s="21">
        <v>715371.33</v>
      </c>
      <c r="V5899" s="21" t="s">
        <v>368</v>
      </c>
      <c r="W5899" t="str">
        <f>VLOOKUP(Table_Query_from_Actuarial___Production[[#This Row],[Kor1]],$AI$3:$AK$105,3,FALSE)</f>
        <v>Premium Tax</v>
      </c>
      <c r="X5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899"/>
      <c r="Z5899" t="s">
        <v>11</v>
      </c>
      <c r="AA5899" t="s">
        <v>266</v>
      </c>
      <c r="AB5899" t="s">
        <v>441</v>
      </c>
      <c r="AC5899" s="21">
        <v>206855.53</v>
      </c>
      <c r="AD5899" s="21" t="s">
        <v>368</v>
      </c>
      <c r="AE5899" t="str">
        <f>VLOOKUP(Table_Query_from_Actuarial___Production3[[#This Row],[Kor1]],$AI$3:$AK$105,3,FALSE)</f>
        <v>Losses Paid</v>
      </c>
      <c r="AF5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0" spans="18:32" x14ac:dyDescent="0.2">
      <c r="R5900" t="s">
        <v>16</v>
      </c>
      <c r="S5900" t="s">
        <v>257</v>
      </c>
      <c r="T5900" t="s">
        <v>441</v>
      </c>
      <c r="U5900" s="21">
        <v>1222997.97</v>
      </c>
      <c r="V5900" s="21" t="s">
        <v>368</v>
      </c>
      <c r="W5900" t="str">
        <f>VLOOKUP(Table_Query_from_Actuarial___Production[[#This Row],[Kor1]],$AI$3:$AK$105,3,FALSE)</f>
        <v>Losses Outstanding</v>
      </c>
      <c r="X5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0"/>
      <c r="Z5900" t="s">
        <v>19</v>
      </c>
      <c r="AA5900" t="s">
        <v>264</v>
      </c>
      <c r="AB5900" t="s">
        <v>6</v>
      </c>
      <c r="AC5900" s="21">
        <v>2280.0100000000002</v>
      </c>
      <c r="AD5900" s="21" t="s">
        <v>368</v>
      </c>
      <c r="AE5900" t="str">
        <f>VLOOKUP(Table_Query_from_Actuarial___Production3[[#This Row],[Kor1]],$AI$3:$AK$105,3,FALSE)</f>
        <v>Misc. Expense for Insolvent Companies</v>
      </c>
      <c r="AF5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1" spans="18:32" x14ac:dyDescent="0.2">
      <c r="R5901" t="s">
        <v>18</v>
      </c>
      <c r="S5901" t="s">
        <v>354</v>
      </c>
      <c r="T5901" t="s">
        <v>6</v>
      </c>
      <c r="U5901" s="21">
        <v>380647.95</v>
      </c>
      <c r="V5901" s="21" t="s">
        <v>368</v>
      </c>
      <c r="W5901" t="str">
        <f>VLOOKUP(Table_Query_from_Actuarial___Production[[#This Row],[Kor1]],$AI$3:$AK$105,3,FALSE)</f>
        <v>Misc. Expense</v>
      </c>
      <c r="X5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901"/>
      <c r="Z5901" t="s">
        <v>44</v>
      </c>
      <c r="AA5901" t="s">
        <v>246</v>
      </c>
      <c r="AB5901" t="s">
        <v>6</v>
      </c>
      <c r="AC5901" s="21">
        <v>2</v>
      </c>
      <c r="AD5901" s="21" t="s">
        <v>368</v>
      </c>
      <c r="AE5901" t="str">
        <f>VLOOKUP(Table_Query_from_Actuarial___Production3[[#This Row],[Kor1]],$AI$3:$AK$105,3,FALSE)</f>
        <v>Charge-offs</v>
      </c>
      <c r="AF5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2" spans="18:32" x14ac:dyDescent="0.2">
      <c r="R5902" t="s">
        <v>31</v>
      </c>
      <c r="S5902" t="s">
        <v>227</v>
      </c>
      <c r="T5902" t="s">
        <v>356</v>
      </c>
      <c r="U5902" s="21">
        <v>677.47</v>
      </c>
      <c r="V5902" s="21" t="s">
        <v>368</v>
      </c>
      <c r="W5902" t="str">
        <f>VLOOKUP(Table_Query_from_Actuarial___Production[[#This Row],[Kor1]],$AI$3:$AK$105,3,FALSE)</f>
        <v>Misc. Expense</v>
      </c>
      <c r="X5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2"/>
      <c r="Z5902" t="s">
        <v>12</v>
      </c>
      <c r="AA5902" t="s">
        <v>232</v>
      </c>
      <c r="AB5902" t="s">
        <v>356</v>
      </c>
      <c r="AC5902" s="21">
        <v>15412.44</v>
      </c>
      <c r="AD5902" s="21" t="s">
        <v>368</v>
      </c>
      <c r="AE5902" t="str">
        <f>VLOOKUP(Table_Query_from_Actuarial___Production3[[#This Row],[Kor1]],$AI$3:$AK$105,3,FALSE)</f>
        <v>Premium Tax</v>
      </c>
      <c r="AF5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3" spans="18:32" x14ac:dyDescent="0.2">
      <c r="R5903" t="s">
        <v>3</v>
      </c>
      <c r="S5903" t="s">
        <v>247</v>
      </c>
      <c r="T5903" t="s">
        <v>7</v>
      </c>
      <c r="U5903" s="21">
        <v>5311</v>
      </c>
      <c r="V5903" s="21" t="s">
        <v>368</v>
      </c>
      <c r="W5903" t="str">
        <f>VLOOKUP(Table_Query_from_Actuarial___Production[[#This Row],[Kor1]],$AI$3:$AK$105,3,FALSE)</f>
        <v>Premiums Written</v>
      </c>
      <c r="X5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3"/>
      <c r="Z5903" t="s">
        <v>37</v>
      </c>
      <c r="AA5903" t="s">
        <v>250</v>
      </c>
      <c r="AB5903" t="s">
        <v>351</v>
      </c>
      <c r="AC5903" s="21">
        <v>83.58</v>
      </c>
      <c r="AD5903" s="21" t="s">
        <v>368</v>
      </c>
      <c r="AE5903" t="str">
        <f>VLOOKUP(Table_Query_from_Actuarial___Production3[[#This Row],[Kor1]],$AI$3:$AK$105,3,FALSE)</f>
        <v>Misc. Expense</v>
      </c>
      <c r="AF5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4" spans="18:32" x14ac:dyDescent="0.2">
      <c r="R5904" t="s">
        <v>37</v>
      </c>
      <c r="S5904" t="s">
        <v>264</v>
      </c>
      <c r="T5904" t="s">
        <v>8</v>
      </c>
      <c r="U5904" s="21">
        <v>703.88</v>
      </c>
      <c r="V5904" s="21" t="s">
        <v>368</v>
      </c>
      <c r="W5904" t="str">
        <f>VLOOKUP(Table_Query_from_Actuarial___Production[[#This Row],[Kor1]],$AI$3:$AK$105,3,FALSE)</f>
        <v>Misc. Expense</v>
      </c>
      <c r="X5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4"/>
      <c r="Z5904" t="s">
        <v>40</v>
      </c>
      <c r="AA5904" t="s">
        <v>253</v>
      </c>
      <c r="AB5904" t="s">
        <v>6</v>
      </c>
      <c r="AC5904" s="21">
        <v>136</v>
      </c>
      <c r="AD5904" s="21" t="s">
        <v>368</v>
      </c>
      <c r="AE5904" t="str">
        <f>VLOOKUP(Table_Query_from_Actuarial___Production3[[#This Row],[Kor1]],$AI$3:$AK$105,3,FALSE)</f>
        <v>Misc. Income</v>
      </c>
      <c r="AF5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5" spans="18:32" x14ac:dyDescent="0.2">
      <c r="R5905" t="s">
        <v>39</v>
      </c>
      <c r="S5905" t="s">
        <v>251</v>
      </c>
      <c r="T5905" t="s">
        <v>356</v>
      </c>
      <c r="U5905" s="21">
        <v>498</v>
      </c>
      <c r="V5905" s="21" t="s">
        <v>368</v>
      </c>
      <c r="W5905" t="str">
        <f>VLOOKUP(Table_Query_from_Actuarial___Production[[#This Row],[Kor1]],$AI$3:$AK$105,3,FALSE)</f>
        <v>Misc. Income for Insolvent Companies</v>
      </c>
      <c r="X5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5"/>
      <c r="Z5905" t="s">
        <v>43</v>
      </c>
      <c r="AA5905" t="s">
        <v>252</v>
      </c>
      <c r="AB5905" t="s">
        <v>441</v>
      </c>
      <c r="AC5905" s="21">
        <v>-10047.030000000001</v>
      </c>
      <c r="AD5905" s="21" t="s">
        <v>368</v>
      </c>
      <c r="AE5905" t="str">
        <f>VLOOKUP(Table_Query_from_Actuarial___Production3[[#This Row],[Kor1]],$AI$3:$AK$105,3,FALSE)</f>
        <v>Charge-offs</v>
      </c>
      <c r="AF5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6" spans="18:32" x14ac:dyDescent="0.2">
      <c r="R5906" t="s">
        <v>11</v>
      </c>
      <c r="S5906" t="s">
        <v>226</v>
      </c>
      <c r="T5906" t="s">
        <v>351</v>
      </c>
      <c r="U5906" s="21">
        <v>3821085.13</v>
      </c>
      <c r="V5906" s="21" t="s">
        <v>368</v>
      </c>
      <c r="W5906" t="str">
        <f>VLOOKUP(Table_Query_from_Actuarial___Production[[#This Row],[Kor1]],$AI$3:$AK$105,3,FALSE)</f>
        <v>Losses Paid</v>
      </c>
      <c r="X5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906"/>
      <c r="Z5906" t="s">
        <v>10</v>
      </c>
      <c r="AA5906" t="s">
        <v>260</v>
      </c>
      <c r="AB5906" t="s">
        <v>9</v>
      </c>
      <c r="AC5906" s="21">
        <v>426.1</v>
      </c>
      <c r="AD5906" s="21" t="s">
        <v>368</v>
      </c>
      <c r="AE5906" t="str">
        <f>VLOOKUP(Table_Query_from_Actuarial___Production3[[#This Row],[Kor1]],$AI$3:$AK$105,3,FALSE)</f>
        <v>Commissions</v>
      </c>
      <c r="AF5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7" spans="18:32" x14ac:dyDescent="0.2">
      <c r="R5907" t="s">
        <v>12</v>
      </c>
      <c r="S5907" t="s">
        <v>253</v>
      </c>
      <c r="T5907" t="s">
        <v>427</v>
      </c>
      <c r="U5907" s="21">
        <v>48.04</v>
      </c>
      <c r="V5907" s="21" t="s">
        <v>368</v>
      </c>
      <c r="W5907" t="str">
        <f>VLOOKUP(Table_Query_from_Actuarial___Production[[#This Row],[Kor1]],$AI$3:$AK$105,3,FALSE)</f>
        <v>Premium Tax</v>
      </c>
      <c r="X5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7"/>
      <c r="Z5907" t="s">
        <v>31</v>
      </c>
      <c r="AA5907" t="s">
        <v>266</v>
      </c>
      <c r="AB5907" t="s">
        <v>8</v>
      </c>
      <c r="AC5907" s="21">
        <v>502.55</v>
      </c>
      <c r="AD5907" s="21" t="s">
        <v>368</v>
      </c>
      <c r="AE5907" t="str">
        <f>VLOOKUP(Table_Query_from_Actuarial___Production3[[#This Row],[Kor1]],$AI$3:$AK$105,3,FALSE)</f>
        <v>Misc. Expense</v>
      </c>
      <c r="AF5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8" spans="18:32" x14ac:dyDescent="0.2">
      <c r="R5908" t="s">
        <v>40</v>
      </c>
      <c r="S5908" t="s">
        <v>228</v>
      </c>
      <c r="T5908" t="s">
        <v>7</v>
      </c>
      <c r="U5908" s="21">
        <v>520.83000000000004</v>
      </c>
      <c r="V5908" s="21" t="s">
        <v>368</v>
      </c>
      <c r="W5908" t="str">
        <f>VLOOKUP(Table_Query_from_Actuarial___Production[[#This Row],[Kor1]],$AI$3:$AK$105,3,FALSE)</f>
        <v>Misc. Income</v>
      </c>
      <c r="X5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8"/>
      <c r="Z5908" t="s">
        <v>47</v>
      </c>
      <c r="AA5908" t="s">
        <v>245</v>
      </c>
      <c r="AB5908" t="s">
        <v>9</v>
      </c>
      <c r="AC5908" s="21">
        <v>116.36</v>
      </c>
      <c r="AD5908" s="21" t="s">
        <v>368</v>
      </c>
      <c r="AE5908" t="str">
        <f>VLOOKUP(Table_Query_from_Actuarial___Production3[[#This Row],[Kor1]],$AI$3:$AK$105,3,FALSE)</f>
        <v>Investment Income</v>
      </c>
      <c r="AF5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09" spans="18:32" x14ac:dyDescent="0.2">
      <c r="R5909" t="s">
        <v>10</v>
      </c>
      <c r="S5909" t="s">
        <v>254</v>
      </c>
      <c r="T5909" t="s">
        <v>433</v>
      </c>
      <c r="U5909" s="21">
        <v>895645.82</v>
      </c>
      <c r="V5909" s="21" t="s">
        <v>368</v>
      </c>
      <c r="W5909" t="str">
        <f>VLOOKUP(Table_Query_from_Actuarial___Production[[#This Row],[Kor1]],$AI$3:$AK$105,3,FALSE)</f>
        <v>Commissions</v>
      </c>
      <c r="X5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09"/>
      <c r="Z5909" t="s">
        <v>3</v>
      </c>
      <c r="AA5909" t="s">
        <v>260</v>
      </c>
      <c r="AB5909" t="s">
        <v>427</v>
      </c>
      <c r="AC5909" s="21">
        <v>5442</v>
      </c>
      <c r="AD5909" s="21" t="s">
        <v>368</v>
      </c>
      <c r="AE5909" t="str">
        <f>VLOOKUP(Table_Query_from_Actuarial___Production3[[#This Row],[Kor1]],$AI$3:$AK$105,3,FALSE)</f>
        <v>Premiums Written</v>
      </c>
      <c r="AF5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0" spans="18:32" x14ac:dyDescent="0.2">
      <c r="R5910" t="s">
        <v>11</v>
      </c>
      <c r="S5910" t="s">
        <v>240</v>
      </c>
      <c r="T5910" t="s">
        <v>6</v>
      </c>
      <c r="U5910" s="21">
        <v>789378.15</v>
      </c>
      <c r="V5910" s="21" t="s">
        <v>368</v>
      </c>
      <c r="W5910" t="str">
        <f>VLOOKUP(Table_Query_from_Actuarial___Production[[#This Row],[Kor1]],$AI$3:$AK$105,3,FALSE)</f>
        <v>Losses Paid</v>
      </c>
      <c r="X5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0"/>
      <c r="Z5910" t="s">
        <v>39</v>
      </c>
      <c r="AA5910" t="s">
        <v>264</v>
      </c>
      <c r="AB5910" t="s">
        <v>441</v>
      </c>
      <c r="AC5910" s="21">
        <v>5386.09</v>
      </c>
      <c r="AD5910" s="21" t="s">
        <v>368</v>
      </c>
      <c r="AE5910" t="str">
        <f>VLOOKUP(Table_Query_from_Actuarial___Production3[[#This Row],[Kor1]],$AI$3:$AK$105,3,FALSE)</f>
        <v>Misc. Income for Insolvent Companies</v>
      </c>
      <c r="AF5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1" spans="18:32" x14ac:dyDescent="0.2">
      <c r="R5911" t="s">
        <v>47</v>
      </c>
      <c r="S5911" t="s">
        <v>233</v>
      </c>
      <c r="T5911" t="s">
        <v>445</v>
      </c>
      <c r="U5911" s="21">
        <v>7478.99</v>
      </c>
      <c r="V5911" s="21" t="s">
        <v>368</v>
      </c>
      <c r="W5911" t="str">
        <f>VLOOKUP(Table_Query_from_Actuarial___Production[[#This Row],[Kor1]],$AI$3:$AK$105,3,FALSE)</f>
        <v>Investment Income</v>
      </c>
      <c r="X5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1"/>
      <c r="Z5911" t="s">
        <v>18</v>
      </c>
      <c r="AA5911" t="s">
        <v>224</v>
      </c>
      <c r="AB5911" t="s">
        <v>441</v>
      </c>
      <c r="AC5911" s="21">
        <v>2207.1999999999998</v>
      </c>
      <c r="AD5911" s="21" t="s">
        <v>425</v>
      </c>
      <c r="AE5911" t="str">
        <f>VLOOKUP(Table_Query_from_Actuarial___Production3[[#This Row],[Kor1]],$AI$3:$AK$105,3,FALSE)</f>
        <v>Misc. Expense</v>
      </c>
      <c r="AF5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912" spans="18:32" x14ac:dyDescent="0.2">
      <c r="R5912" t="s">
        <v>3</v>
      </c>
      <c r="S5912" t="s">
        <v>230</v>
      </c>
      <c r="T5912" t="s">
        <v>427</v>
      </c>
      <c r="U5912" s="21">
        <v>22313874</v>
      </c>
      <c r="V5912" s="21" t="s">
        <v>368</v>
      </c>
      <c r="W5912" t="str">
        <f>VLOOKUP(Table_Query_from_Actuarial___Production[[#This Row],[Kor1]],$AI$3:$AK$105,3,FALSE)</f>
        <v>Premiums Written</v>
      </c>
      <c r="X5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2"/>
      <c r="Z5912" t="s">
        <v>3</v>
      </c>
      <c r="AA5912" t="s">
        <v>234</v>
      </c>
      <c r="AB5912" t="s">
        <v>6</v>
      </c>
      <c r="AC5912" s="21">
        <v>575364</v>
      </c>
      <c r="AD5912" s="21" t="s">
        <v>368</v>
      </c>
      <c r="AE5912" t="str">
        <f>VLOOKUP(Table_Query_from_Actuarial___Production3[[#This Row],[Kor1]],$AI$3:$AK$105,3,FALSE)</f>
        <v>Premiums Written</v>
      </c>
      <c r="AF5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3" spans="18:32" x14ac:dyDescent="0.2">
      <c r="R5913" t="s">
        <v>13</v>
      </c>
      <c r="S5913" t="s">
        <v>249</v>
      </c>
      <c r="T5913" t="s">
        <v>443</v>
      </c>
      <c r="U5913" s="21">
        <v>170073.66</v>
      </c>
      <c r="V5913" s="21" t="s">
        <v>368</v>
      </c>
      <c r="W5913" t="str">
        <f>VLOOKUP(Table_Query_from_Actuarial___Production[[#This Row],[Kor1]],$AI$3:$AK$105,3,FALSE)</f>
        <v>Operating Service Fees</v>
      </c>
      <c r="X5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3"/>
      <c r="Z5913" t="s">
        <v>12</v>
      </c>
      <c r="AA5913" t="s">
        <v>254</v>
      </c>
      <c r="AB5913" t="s">
        <v>442</v>
      </c>
      <c r="AC5913" s="21">
        <v>711257.28</v>
      </c>
      <c r="AD5913" s="21" t="s">
        <v>368</v>
      </c>
      <c r="AE5913" t="str">
        <f>VLOOKUP(Table_Query_from_Actuarial___Production3[[#This Row],[Kor1]],$AI$3:$AK$105,3,FALSE)</f>
        <v>Premium Tax</v>
      </c>
      <c r="AF5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4" spans="18:32" x14ac:dyDescent="0.2">
      <c r="R5914" t="s">
        <v>33</v>
      </c>
      <c r="S5914" t="s">
        <v>237</v>
      </c>
      <c r="T5914" t="s">
        <v>442</v>
      </c>
      <c r="U5914" s="21">
        <v>30370.13</v>
      </c>
      <c r="V5914" s="21" t="s">
        <v>368</v>
      </c>
      <c r="W5914" t="str">
        <f>VLOOKUP(Table_Query_from_Actuarial___Production[[#This Row],[Kor1]],$AI$3:$AK$105,3,FALSE)</f>
        <v>Misc. Expense</v>
      </c>
      <c r="X5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4"/>
      <c r="Z5914" t="s">
        <v>16</v>
      </c>
      <c r="AA5914" t="s">
        <v>257</v>
      </c>
      <c r="AB5914" t="s">
        <v>441</v>
      </c>
      <c r="AC5914" s="21">
        <v>956601.51</v>
      </c>
      <c r="AD5914" s="21" t="s">
        <v>368</v>
      </c>
      <c r="AE5914" t="str">
        <f>VLOOKUP(Table_Query_from_Actuarial___Production3[[#This Row],[Kor1]],$AI$3:$AK$105,3,FALSE)</f>
        <v>Losses Outstanding</v>
      </c>
      <c r="AF5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5" spans="18:32" x14ac:dyDescent="0.2">
      <c r="R5915" t="s">
        <v>41</v>
      </c>
      <c r="S5915" t="s">
        <v>250</v>
      </c>
      <c r="T5915" t="s">
        <v>445</v>
      </c>
      <c r="U5915" s="21">
        <v>200.01</v>
      </c>
      <c r="V5915" s="21" t="s">
        <v>368</v>
      </c>
      <c r="W5915" t="str">
        <f>VLOOKUP(Table_Query_from_Actuarial___Production[[#This Row],[Kor1]],$AI$3:$AK$105,3,FALSE)</f>
        <v>Misc. Income</v>
      </c>
      <c r="X5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5"/>
      <c r="Z5915" t="s">
        <v>18</v>
      </c>
      <c r="AA5915" t="s">
        <v>354</v>
      </c>
      <c r="AB5915" t="s">
        <v>6</v>
      </c>
      <c r="AC5915" s="21">
        <v>380647.95</v>
      </c>
      <c r="AD5915" s="21" t="s">
        <v>368</v>
      </c>
      <c r="AE5915" t="str">
        <f>VLOOKUP(Table_Query_from_Actuarial___Production3[[#This Row],[Kor1]],$AI$3:$AK$105,3,FALSE)</f>
        <v>Misc. Expense</v>
      </c>
      <c r="AF5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916" spans="18:32" x14ac:dyDescent="0.2">
      <c r="R5916" t="s">
        <v>16</v>
      </c>
      <c r="S5916" t="s">
        <v>354</v>
      </c>
      <c r="T5916" t="s">
        <v>356</v>
      </c>
      <c r="U5916" s="21">
        <v>2673635.0699999998</v>
      </c>
      <c r="V5916" s="21" t="s">
        <v>368</v>
      </c>
      <c r="W5916" t="str">
        <f>VLOOKUP(Table_Query_from_Actuarial___Production[[#This Row],[Kor1]],$AI$3:$AK$105,3,FALSE)</f>
        <v>Losses Outstanding</v>
      </c>
      <c r="X5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916"/>
      <c r="Z5916" t="s">
        <v>31</v>
      </c>
      <c r="AA5916" t="s">
        <v>227</v>
      </c>
      <c r="AB5916" t="s">
        <v>356</v>
      </c>
      <c r="AC5916" s="21">
        <v>677.47</v>
      </c>
      <c r="AD5916" s="21" t="s">
        <v>368</v>
      </c>
      <c r="AE5916" t="str">
        <f>VLOOKUP(Table_Query_from_Actuarial___Production3[[#This Row],[Kor1]],$AI$3:$AK$105,3,FALSE)</f>
        <v>Misc. Expense</v>
      </c>
      <c r="AF5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7" spans="18:32" x14ac:dyDescent="0.2">
      <c r="R5917" t="s">
        <v>14</v>
      </c>
      <c r="S5917" t="s">
        <v>238</v>
      </c>
      <c r="T5917" t="s">
        <v>445</v>
      </c>
      <c r="U5917" s="21">
        <v>24494.11</v>
      </c>
      <c r="V5917" s="21" t="s">
        <v>368</v>
      </c>
      <c r="W5917" t="str">
        <f>VLOOKUP(Table_Query_from_Actuarial___Production[[#This Row],[Kor1]],$AI$3:$AK$105,3,FALSE)</f>
        <v>Claims Expense</v>
      </c>
      <c r="X5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7"/>
      <c r="Z5917" t="s">
        <v>3</v>
      </c>
      <c r="AA5917" t="s">
        <v>247</v>
      </c>
      <c r="AB5917" t="s">
        <v>7</v>
      </c>
      <c r="AC5917" s="21">
        <v>5311</v>
      </c>
      <c r="AD5917" s="21" t="s">
        <v>368</v>
      </c>
      <c r="AE5917" t="str">
        <f>VLOOKUP(Table_Query_from_Actuarial___Production3[[#This Row],[Kor1]],$AI$3:$AK$105,3,FALSE)</f>
        <v>Premiums Written</v>
      </c>
      <c r="AF5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8" spans="18:32" x14ac:dyDescent="0.2">
      <c r="R5918" t="s">
        <v>13</v>
      </c>
      <c r="S5918" t="s">
        <v>253</v>
      </c>
      <c r="T5918" t="s">
        <v>7</v>
      </c>
      <c r="U5918" s="21">
        <v>1294.1099999999999</v>
      </c>
      <c r="V5918" s="21" t="s">
        <v>368</v>
      </c>
      <c r="W5918" t="str">
        <f>VLOOKUP(Table_Query_from_Actuarial___Production[[#This Row],[Kor1]],$AI$3:$AK$105,3,FALSE)</f>
        <v>Operating Service Fees</v>
      </c>
      <c r="X5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8"/>
      <c r="Z5918" t="s">
        <v>37</v>
      </c>
      <c r="AA5918" t="s">
        <v>264</v>
      </c>
      <c r="AB5918" t="s">
        <v>8</v>
      </c>
      <c r="AC5918" s="21">
        <v>703.88</v>
      </c>
      <c r="AD5918" s="21" t="s">
        <v>368</v>
      </c>
      <c r="AE5918" t="str">
        <f>VLOOKUP(Table_Query_from_Actuarial___Production3[[#This Row],[Kor1]],$AI$3:$AK$105,3,FALSE)</f>
        <v>Misc. Expense</v>
      </c>
      <c r="AF5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19" spans="18:32" x14ac:dyDescent="0.2">
      <c r="R5919" t="s">
        <v>3</v>
      </c>
      <c r="S5919" t="s">
        <v>228</v>
      </c>
      <c r="T5919" t="s">
        <v>445</v>
      </c>
      <c r="U5919" s="21">
        <v>9965</v>
      </c>
      <c r="V5919" s="21" t="s">
        <v>368</v>
      </c>
      <c r="W5919" t="str">
        <f>VLOOKUP(Table_Query_from_Actuarial___Production[[#This Row],[Kor1]],$AI$3:$AK$105,3,FALSE)</f>
        <v>Premiums Written</v>
      </c>
      <c r="X5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19"/>
      <c r="Z5919" t="s">
        <v>39</v>
      </c>
      <c r="AA5919" t="s">
        <v>251</v>
      </c>
      <c r="AB5919" t="s">
        <v>356</v>
      </c>
      <c r="AC5919" s="21">
        <v>498</v>
      </c>
      <c r="AD5919" s="21" t="s">
        <v>368</v>
      </c>
      <c r="AE5919" t="str">
        <f>VLOOKUP(Table_Query_from_Actuarial___Production3[[#This Row],[Kor1]],$AI$3:$AK$105,3,FALSE)</f>
        <v>Misc. Income for Insolvent Companies</v>
      </c>
      <c r="AF5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0" spans="18:32" x14ac:dyDescent="0.2">
      <c r="R5920" t="s">
        <v>10</v>
      </c>
      <c r="S5920" t="s">
        <v>247</v>
      </c>
      <c r="T5920" t="s">
        <v>427</v>
      </c>
      <c r="U5920" s="21">
        <v>923.2</v>
      </c>
      <c r="V5920" s="21" t="s">
        <v>368</v>
      </c>
      <c r="W5920" t="str">
        <f>VLOOKUP(Table_Query_from_Actuarial___Production[[#This Row],[Kor1]],$AI$3:$AK$105,3,FALSE)</f>
        <v>Commissions</v>
      </c>
      <c r="X5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0"/>
      <c r="Z5920" t="s">
        <v>11</v>
      </c>
      <c r="AA5920" t="s">
        <v>226</v>
      </c>
      <c r="AB5920" t="s">
        <v>351</v>
      </c>
      <c r="AC5920" s="21">
        <v>3695690.02</v>
      </c>
      <c r="AD5920" s="21" t="s">
        <v>368</v>
      </c>
      <c r="AE5920" t="str">
        <f>VLOOKUP(Table_Query_from_Actuarial___Production3[[#This Row],[Kor1]],$AI$3:$AK$105,3,FALSE)</f>
        <v>Losses Paid</v>
      </c>
      <c r="AF5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921" spans="18:32" x14ac:dyDescent="0.2">
      <c r="R5921" t="s">
        <v>33</v>
      </c>
      <c r="S5921" t="s">
        <v>236</v>
      </c>
      <c r="T5921" t="s">
        <v>445</v>
      </c>
      <c r="U5921" s="21">
        <v>3778.8</v>
      </c>
      <c r="V5921" s="21" t="s">
        <v>368</v>
      </c>
      <c r="W5921" t="str">
        <f>VLOOKUP(Table_Query_from_Actuarial___Production[[#This Row],[Kor1]],$AI$3:$AK$105,3,FALSE)</f>
        <v>Misc. Expense</v>
      </c>
      <c r="X5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1"/>
      <c r="Z5921" t="s">
        <v>12</v>
      </c>
      <c r="AA5921" t="s">
        <v>253</v>
      </c>
      <c r="AB5921" t="s">
        <v>427</v>
      </c>
      <c r="AC5921" s="21">
        <v>48.04</v>
      </c>
      <c r="AD5921" s="21" t="s">
        <v>368</v>
      </c>
      <c r="AE5921" t="str">
        <f>VLOOKUP(Table_Query_from_Actuarial___Production3[[#This Row],[Kor1]],$AI$3:$AK$105,3,FALSE)</f>
        <v>Premium Tax</v>
      </c>
      <c r="AF5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2" spans="18:32" x14ac:dyDescent="0.2">
      <c r="R5922" t="s">
        <v>33</v>
      </c>
      <c r="S5922" t="s">
        <v>239</v>
      </c>
      <c r="T5922" t="s">
        <v>433</v>
      </c>
      <c r="U5922" s="21">
        <v>14895.33</v>
      </c>
      <c r="V5922" s="21" t="s">
        <v>368</v>
      </c>
      <c r="W5922" t="str">
        <f>VLOOKUP(Table_Query_from_Actuarial___Production[[#This Row],[Kor1]],$AI$3:$AK$105,3,FALSE)</f>
        <v>Misc. Expense</v>
      </c>
      <c r="X5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2"/>
      <c r="Z5922" t="s">
        <v>40</v>
      </c>
      <c r="AA5922" t="s">
        <v>228</v>
      </c>
      <c r="AB5922" t="s">
        <v>7</v>
      </c>
      <c r="AC5922" s="21">
        <v>520.83000000000004</v>
      </c>
      <c r="AD5922" s="21" t="s">
        <v>368</v>
      </c>
      <c r="AE5922" t="str">
        <f>VLOOKUP(Table_Query_from_Actuarial___Production3[[#This Row],[Kor1]],$AI$3:$AK$105,3,FALSE)</f>
        <v>Misc. Income</v>
      </c>
      <c r="AF5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3" spans="18:32" x14ac:dyDescent="0.2">
      <c r="R5923" t="s">
        <v>40</v>
      </c>
      <c r="S5923" t="s">
        <v>258</v>
      </c>
      <c r="T5923" t="s">
        <v>433</v>
      </c>
      <c r="U5923" s="21">
        <v>16.989999999999998</v>
      </c>
      <c r="V5923" s="21" t="s">
        <v>368</v>
      </c>
      <c r="W5923" t="str">
        <f>VLOOKUP(Table_Query_from_Actuarial___Production[[#This Row],[Kor1]],$AI$3:$AK$105,3,FALSE)</f>
        <v>Misc. Income</v>
      </c>
      <c r="X5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3"/>
      <c r="Z5923" t="s">
        <v>10</v>
      </c>
      <c r="AA5923" t="s">
        <v>254</v>
      </c>
      <c r="AB5923" t="s">
        <v>433</v>
      </c>
      <c r="AC5923" s="21">
        <v>895558.27</v>
      </c>
      <c r="AD5923" s="21" t="s">
        <v>368</v>
      </c>
      <c r="AE5923" t="str">
        <f>VLOOKUP(Table_Query_from_Actuarial___Production3[[#This Row],[Kor1]],$AI$3:$AK$105,3,FALSE)</f>
        <v>Commissions</v>
      </c>
      <c r="AF5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4" spans="18:32" x14ac:dyDescent="0.2">
      <c r="R5924" t="s">
        <v>11</v>
      </c>
      <c r="S5924" t="s">
        <v>239</v>
      </c>
      <c r="T5924" t="s">
        <v>443</v>
      </c>
      <c r="U5924" s="21">
        <v>563769.56000000006</v>
      </c>
      <c r="V5924" s="21" t="s">
        <v>368</v>
      </c>
      <c r="W5924" t="str">
        <f>VLOOKUP(Table_Query_from_Actuarial___Production[[#This Row],[Kor1]],$AI$3:$AK$105,3,FALSE)</f>
        <v>Losses Paid</v>
      </c>
      <c r="X5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4"/>
      <c r="Z5924" t="s">
        <v>11</v>
      </c>
      <c r="AA5924" t="s">
        <v>240</v>
      </c>
      <c r="AB5924" t="s">
        <v>6</v>
      </c>
      <c r="AC5924" s="21">
        <v>789378.15</v>
      </c>
      <c r="AD5924" s="21" t="s">
        <v>368</v>
      </c>
      <c r="AE5924" t="str">
        <f>VLOOKUP(Table_Query_from_Actuarial___Production3[[#This Row],[Kor1]],$AI$3:$AK$105,3,FALSE)</f>
        <v>Losses Paid</v>
      </c>
      <c r="AF5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5" spans="18:32" x14ac:dyDescent="0.2">
      <c r="R5925" t="s">
        <v>11</v>
      </c>
      <c r="S5925" t="s">
        <v>248</v>
      </c>
      <c r="T5925" t="s">
        <v>8</v>
      </c>
      <c r="U5925" s="21">
        <v>38594.71</v>
      </c>
      <c r="V5925" s="21" t="s">
        <v>368</v>
      </c>
      <c r="W5925" t="str">
        <f>VLOOKUP(Table_Query_from_Actuarial___Production[[#This Row],[Kor1]],$AI$3:$AK$105,3,FALSE)</f>
        <v>Losses Paid</v>
      </c>
      <c r="X5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5"/>
      <c r="Z5925" t="s">
        <v>3</v>
      </c>
      <c r="AA5925" t="s">
        <v>230</v>
      </c>
      <c r="AB5925" t="s">
        <v>427</v>
      </c>
      <c r="AC5925" s="21">
        <v>22313874</v>
      </c>
      <c r="AD5925" s="21" t="s">
        <v>368</v>
      </c>
      <c r="AE5925" t="str">
        <f>VLOOKUP(Table_Query_from_Actuarial___Production3[[#This Row],[Kor1]],$AI$3:$AK$105,3,FALSE)</f>
        <v>Premiums Written</v>
      </c>
      <c r="AF5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6" spans="18:32" x14ac:dyDescent="0.2">
      <c r="R5926" t="s">
        <v>15</v>
      </c>
      <c r="S5926" t="s">
        <v>4</v>
      </c>
      <c r="T5926" t="s">
        <v>443</v>
      </c>
      <c r="U5926" s="21">
        <v>4548809.41</v>
      </c>
      <c r="V5926" s="21" t="s">
        <v>368</v>
      </c>
      <c r="W5926" t="str">
        <f>VLOOKUP(Table_Query_from_Actuarial___Production[[#This Row],[Kor1]],$AI$3:$AK$105,3,FALSE)</f>
        <v>Unearned Premiums</v>
      </c>
      <c r="X5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6"/>
      <c r="Z5926" t="s">
        <v>13</v>
      </c>
      <c r="AA5926" t="s">
        <v>249</v>
      </c>
      <c r="AB5926" t="s">
        <v>443</v>
      </c>
      <c r="AC5926" s="21">
        <v>41249.160000000003</v>
      </c>
      <c r="AD5926" s="21" t="s">
        <v>368</v>
      </c>
      <c r="AE5926" t="str">
        <f>VLOOKUP(Table_Query_from_Actuarial___Production3[[#This Row],[Kor1]],$AI$3:$AK$105,3,FALSE)</f>
        <v>Operating Service Fees</v>
      </c>
      <c r="AF5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7" spans="18:32" x14ac:dyDescent="0.2">
      <c r="R5927" t="s">
        <v>20</v>
      </c>
      <c r="S5927" t="s">
        <v>235</v>
      </c>
      <c r="T5927" t="s">
        <v>442</v>
      </c>
      <c r="U5927" s="21">
        <v>178.74</v>
      </c>
      <c r="V5927" s="21" t="s">
        <v>368</v>
      </c>
      <c r="W5927" t="str">
        <f>VLOOKUP(Table_Query_from_Actuarial___Production[[#This Row],[Kor1]],$AI$3:$AK$105,3,FALSE)</f>
        <v>Misc. Expense</v>
      </c>
      <c r="X5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7"/>
      <c r="Z5927" t="s">
        <v>33</v>
      </c>
      <c r="AA5927" t="s">
        <v>237</v>
      </c>
      <c r="AB5927" t="s">
        <v>442</v>
      </c>
      <c r="AC5927" s="21">
        <v>30370.13</v>
      </c>
      <c r="AD5927" s="21" t="s">
        <v>368</v>
      </c>
      <c r="AE5927" t="str">
        <f>VLOOKUP(Table_Query_from_Actuarial___Production3[[#This Row],[Kor1]],$AI$3:$AK$105,3,FALSE)</f>
        <v>Misc. Expense</v>
      </c>
      <c r="AF5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28" spans="18:32" x14ac:dyDescent="0.2">
      <c r="R5928" t="s">
        <v>31</v>
      </c>
      <c r="S5928" t="s">
        <v>241</v>
      </c>
      <c r="T5928" t="s">
        <v>433</v>
      </c>
      <c r="U5928" s="21">
        <v>897.7</v>
      </c>
      <c r="V5928" s="21" t="s">
        <v>368</v>
      </c>
      <c r="W5928" t="str">
        <f>VLOOKUP(Table_Query_from_Actuarial___Production[[#This Row],[Kor1]],$AI$3:$AK$105,3,FALSE)</f>
        <v>Misc. Expense</v>
      </c>
      <c r="X5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28"/>
      <c r="Z5928" t="s">
        <v>16</v>
      </c>
      <c r="AA5928" t="s">
        <v>354</v>
      </c>
      <c r="AB5928" t="s">
        <v>356</v>
      </c>
      <c r="AC5928" s="21">
        <v>6449479.9299999997</v>
      </c>
      <c r="AD5928" s="21" t="s">
        <v>368</v>
      </c>
      <c r="AE5928" t="str">
        <f>VLOOKUP(Table_Query_from_Actuarial___Production3[[#This Row],[Kor1]],$AI$3:$AK$105,3,FALSE)</f>
        <v>Losses Outstanding</v>
      </c>
      <c r="AF5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929" spans="18:32" x14ac:dyDescent="0.2">
      <c r="R5929" t="s">
        <v>48</v>
      </c>
      <c r="S5929" t="s">
        <v>226</v>
      </c>
      <c r="T5929" t="s">
        <v>443</v>
      </c>
      <c r="U5929" s="21">
        <v>252129.89</v>
      </c>
      <c r="V5929" s="21" t="s">
        <v>368</v>
      </c>
      <c r="W5929" t="str">
        <f>VLOOKUP(Table_Query_from_Actuarial___Production[[#This Row],[Kor1]],$AI$3:$AK$105,3,FALSE)</f>
        <v>Anticipated Salvage</v>
      </c>
      <c r="X5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5929"/>
      <c r="Z5929" t="s">
        <v>13</v>
      </c>
      <c r="AA5929" t="s">
        <v>253</v>
      </c>
      <c r="AB5929" t="s">
        <v>7</v>
      </c>
      <c r="AC5929" s="21">
        <v>1294.1099999999999</v>
      </c>
      <c r="AD5929" s="21" t="s">
        <v>368</v>
      </c>
      <c r="AE5929" t="str">
        <f>VLOOKUP(Table_Query_from_Actuarial___Production3[[#This Row],[Kor1]],$AI$3:$AK$105,3,FALSE)</f>
        <v>Operating Service Fees</v>
      </c>
      <c r="AF5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0" spans="18:32" x14ac:dyDescent="0.2">
      <c r="R5930" t="s">
        <v>19</v>
      </c>
      <c r="S5930" t="s">
        <v>255</v>
      </c>
      <c r="T5930" t="s">
        <v>427</v>
      </c>
      <c r="U5930" s="21">
        <v>498</v>
      </c>
      <c r="V5930" s="21" t="s">
        <v>368</v>
      </c>
      <c r="W5930" t="str">
        <f>VLOOKUP(Table_Query_from_Actuarial___Production[[#This Row],[Kor1]],$AI$3:$AK$105,3,FALSE)</f>
        <v>Misc. Expense for Insolvent Companies</v>
      </c>
      <c r="X5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0"/>
      <c r="Z5930" t="s">
        <v>10</v>
      </c>
      <c r="AA5930" t="s">
        <v>247</v>
      </c>
      <c r="AB5930" t="s">
        <v>427</v>
      </c>
      <c r="AC5930" s="21">
        <v>923.2</v>
      </c>
      <c r="AD5930" s="21" t="s">
        <v>368</v>
      </c>
      <c r="AE5930" t="str">
        <f>VLOOKUP(Table_Query_from_Actuarial___Production3[[#This Row],[Kor1]],$AI$3:$AK$105,3,FALSE)</f>
        <v>Commissions</v>
      </c>
      <c r="AF5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1" spans="18:32" x14ac:dyDescent="0.2">
      <c r="R5931" t="s">
        <v>31</v>
      </c>
      <c r="S5931" t="s">
        <v>239</v>
      </c>
      <c r="T5931" t="s">
        <v>442</v>
      </c>
      <c r="U5931" s="21">
        <v>2434.62</v>
      </c>
      <c r="V5931" s="21" t="s">
        <v>368</v>
      </c>
      <c r="W5931" t="str">
        <f>VLOOKUP(Table_Query_from_Actuarial___Production[[#This Row],[Kor1]],$AI$3:$AK$105,3,FALSE)</f>
        <v>Misc. Expense</v>
      </c>
      <c r="X5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1"/>
      <c r="Z5931" t="s">
        <v>33</v>
      </c>
      <c r="AA5931" t="s">
        <v>239</v>
      </c>
      <c r="AB5931" t="s">
        <v>433</v>
      </c>
      <c r="AC5931" s="21">
        <v>14895.33</v>
      </c>
      <c r="AD5931" s="21" t="s">
        <v>368</v>
      </c>
      <c r="AE5931" t="str">
        <f>VLOOKUP(Table_Query_from_Actuarial___Production3[[#This Row],[Kor1]],$AI$3:$AK$105,3,FALSE)</f>
        <v>Misc. Expense</v>
      </c>
      <c r="AF5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2" spans="18:32" x14ac:dyDescent="0.2">
      <c r="R5932" t="s">
        <v>40</v>
      </c>
      <c r="S5932" t="s">
        <v>249</v>
      </c>
      <c r="T5932" t="s">
        <v>9</v>
      </c>
      <c r="U5932" s="21">
        <v>46.99</v>
      </c>
      <c r="V5932" s="21" t="s">
        <v>368</v>
      </c>
      <c r="W5932" t="str">
        <f>VLOOKUP(Table_Query_from_Actuarial___Production[[#This Row],[Kor1]],$AI$3:$AK$105,3,FALSE)</f>
        <v>Misc. Income</v>
      </c>
      <c r="X5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2"/>
      <c r="Z5932" t="s">
        <v>40</v>
      </c>
      <c r="AA5932" t="s">
        <v>258</v>
      </c>
      <c r="AB5932" t="s">
        <v>433</v>
      </c>
      <c r="AC5932" s="21">
        <v>16.989999999999998</v>
      </c>
      <c r="AD5932" s="21" t="s">
        <v>368</v>
      </c>
      <c r="AE5932" t="str">
        <f>VLOOKUP(Table_Query_from_Actuarial___Production3[[#This Row],[Kor1]],$AI$3:$AK$105,3,FALSE)</f>
        <v>Misc. Income</v>
      </c>
      <c r="AF5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3" spans="18:32" x14ac:dyDescent="0.2">
      <c r="R5933" t="s">
        <v>43</v>
      </c>
      <c r="S5933" t="s">
        <v>224</v>
      </c>
      <c r="T5933" t="s">
        <v>351</v>
      </c>
      <c r="U5933" s="21">
        <v>121.23</v>
      </c>
      <c r="V5933" s="21" t="s">
        <v>370</v>
      </c>
      <c r="W5933" t="str">
        <f>VLOOKUP(Table_Query_from_Actuarial___Production[[#This Row],[Kor1]],$AI$3:$AK$105,3,FALSE)</f>
        <v>Charge-offs</v>
      </c>
      <c r="X5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933"/>
      <c r="Z5933" t="s">
        <v>11</v>
      </c>
      <c r="AA5933" t="s">
        <v>248</v>
      </c>
      <c r="AB5933" t="s">
        <v>8</v>
      </c>
      <c r="AC5933" s="21">
        <v>38594.71</v>
      </c>
      <c r="AD5933" s="21" t="s">
        <v>368</v>
      </c>
      <c r="AE5933" t="str">
        <f>VLOOKUP(Table_Query_from_Actuarial___Production3[[#This Row],[Kor1]],$AI$3:$AK$105,3,FALSE)</f>
        <v>Losses Paid</v>
      </c>
      <c r="AF5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4" spans="18:32" x14ac:dyDescent="0.2">
      <c r="R5934" t="s">
        <v>40</v>
      </c>
      <c r="S5934" t="s">
        <v>250</v>
      </c>
      <c r="T5934" t="s">
        <v>8</v>
      </c>
      <c r="U5934" s="21">
        <v>223.02</v>
      </c>
      <c r="V5934" s="21" t="s">
        <v>368</v>
      </c>
      <c r="W5934" t="str">
        <f>VLOOKUP(Table_Query_from_Actuarial___Production[[#This Row],[Kor1]],$AI$3:$AK$105,3,FALSE)</f>
        <v>Misc. Income</v>
      </c>
      <c r="X5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4"/>
      <c r="Z5934" t="s">
        <v>15</v>
      </c>
      <c r="AA5934" t="s">
        <v>4</v>
      </c>
      <c r="AB5934" t="s">
        <v>443</v>
      </c>
      <c r="AC5934" s="21">
        <v>10963006.689999999</v>
      </c>
      <c r="AD5934" s="21" t="s">
        <v>368</v>
      </c>
      <c r="AE5934" t="str">
        <f>VLOOKUP(Table_Query_from_Actuarial___Production3[[#This Row],[Kor1]],$AI$3:$AK$105,3,FALSE)</f>
        <v>Unearned Premiums</v>
      </c>
      <c r="AF5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5" spans="18:32" x14ac:dyDescent="0.2">
      <c r="R5935" t="s">
        <v>16</v>
      </c>
      <c r="S5935" t="s">
        <v>233</v>
      </c>
      <c r="T5935" t="s">
        <v>443</v>
      </c>
      <c r="U5935" s="21">
        <v>121284.74</v>
      </c>
      <c r="V5935" s="21" t="s">
        <v>368</v>
      </c>
      <c r="W5935" t="str">
        <f>VLOOKUP(Table_Query_from_Actuarial___Production[[#This Row],[Kor1]],$AI$3:$AK$105,3,FALSE)</f>
        <v>Losses Outstanding</v>
      </c>
      <c r="X5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5"/>
      <c r="Z5935" t="s">
        <v>20</v>
      </c>
      <c r="AA5935" t="s">
        <v>235</v>
      </c>
      <c r="AB5935" t="s">
        <v>442</v>
      </c>
      <c r="AC5935" s="21">
        <v>178.74</v>
      </c>
      <c r="AD5935" s="21" t="s">
        <v>368</v>
      </c>
      <c r="AE5935" t="str">
        <f>VLOOKUP(Table_Query_from_Actuarial___Production3[[#This Row],[Kor1]],$AI$3:$AK$105,3,FALSE)</f>
        <v>Misc. Expense</v>
      </c>
      <c r="AF5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6" spans="18:32" x14ac:dyDescent="0.2">
      <c r="R5936" t="s">
        <v>41</v>
      </c>
      <c r="S5936" t="s">
        <v>230</v>
      </c>
      <c r="T5936" t="s">
        <v>8</v>
      </c>
      <c r="U5936" s="21">
        <v>5523</v>
      </c>
      <c r="V5936" s="21" t="s">
        <v>368</v>
      </c>
      <c r="W5936" t="str">
        <f>VLOOKUP(Table_Query_from_Actuarial___Production[[#This Row],[Kor1]],$AI$3:$AK$105,3,FALSE)</f>
        <v>Misc. Income</v>
      </c>
      <c r="X5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6"/>
      <c r="Z5936" t="s">
        <v>31</v>
      </c>
      <c r="AA5936" t="s">
        <v>241</v>
      </c>
      <c r="AB5936" t="s">
        <v>433</v>
      </c>
      <c r="AC5936" s="21">
        <v>897.7</v>
      </c>
      <c r="AD5936" s="21" t="s">
        <v>368</v>
      </c>
      <c r="AE5936" t="str">
        <f>VLOOKUP(Table_Query_from_Actuarial___Production3[[#This Row],[Kor1]],$AI$3:$AK$105,3,FALSE)</f>
        <v>Misc. Expense</v>
      </c>
      <c r="AF5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7" spans="18:32" x14ac:dyDescent="0.2">
      <c r="R5937" t="s">
        <v>12</v>
      </c>
      <c r="S5937" t="s">
        <v>228</v>
      </c>
      <c r="T5937" t="s">
        <v>445</v>
      </c>
      <c r="U5937" s="21">
        <v>236.67</v>
      </c>
      <c r="V5937" s="21" t="s">
        <v>368</v>
      </c>
      <c r="W5937" t="str">
        <f>VLOOKUP(Table_Query_from_Actuarial___Production[[#This Row],[Kor1]],$AI$3:$AK$105,3,FALSE)</f>
        <v>Premium Tax</v>
      </c>
      <c r="X5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7"/>
      <c r="Z5937" t="s">
        <v>48</v>
      </c>
      <c r="AA5937" t="s">
        <v>226</v>
      </c>
      <c r="AB5937" t="s">
        <v>443</v>
      </c>
      <c r="AC5937" s="21">
        <v>72662.12</v>
      </c>
      <c r="AD5937" s="21" t="s">
        <v>368</v>
      </c>
      <c r="AE5937" t="str">
        <f>VLOOKUP(Table_Query_from_Actuarial___Production3[[#This Row],[Kor1]],$AI$3:$AK$105,3,FALSE)</f>
        <v>Anticipated Salvage</v>
      </c>
      <c r="AF5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938" spans="18:32" x14ac:dyDescent="0.2">
      <c r="R5938" t="s">
        <v>12</v>
      </c>
      <c r="S5938" t="s">
        <v>230</v>
      </c>
      <c r="T5938" t="s">
        <v>445</v>
      </c>
      <c r="U5938" s="21">
        <v>118165.41</v>
      </c>
      <c r="V5938" s="21" t="s">
        <v>368</v>
      </c>
      <c r="W5938" t="str">
        <f>VLOOKUP(Table_Query_from_Actuarial___Production[[#This Row],[Kor1]],$AI$3:$AK$105,3,FALSE)</f>
        <v>Premium Tax</v>
      </c>
      <c r="X5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38"/>
      <c r="Z5938" t="s">
        <v>19</v>
      </c>
      <c r="AA5938" t="s">
        <v>255</v>
      </c>
      <c r="AB5938" t="s">
        <v>427</v>
      </c>
      <c r="AC5938" s="21">
        <v>498</v>
      </c>
      <c r="AD5938" s="21" t="s">
        <v>368</v>
      </c>
      <c r="AE5938" t="str">
        <f>VLOOKUP(Table_Query_from_Actuarial___Production3[[#This Row],[Kor1]],$AI$3:$AK$105,3,FALSE)</f>
        <v>Misc. Expense for Insolvent Companies</v>
      </c>
      <c r="AF5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39" spans="18:32" x14ac:dyDescent="0.2">
      <c r="R5939" t="s">
        <v>3</v>
      </c>
      <c r="S5939" t="s">
        <v>225</v>
      </c>
      <c r="T5939" t="s">
        <v>443</v>
      </c>
      <c r="U5939" s="21">
        <v>803226</v>
      </c>
      <c r="V5939" s="21" t="s">
        <v>369</v>
      </c>
      <c r="W5939" t="str">
        <f>VLOOKUP(Table_Query_from_Actuarial___Production[[#This Row],[Kor1]],$AI$3:$AK$105,3,FALSE)</f>
        <v>Premiums Written</v>
      </c>
      <c r="X5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5939"/>
      <c r="Z5939" t="s">
        <v>31</v>
      </c>
      <c r="AA5939" t="s">
        <v>239</v>
      </c>
      <c r="AB5939" t="s">
        <v>442</v>
      </c>
      <c r="AC5939" s="21">
        <v>2434.62</v>
      </c>
      <c r="AD5939" s="21" t="s">
        <v>368</v>
      </c>
      <c r="AE5939" t="str">
        <f>VLOOKUP(Table_Query_from_Actuarial___Production3[[#This Row],[Kor1]],$AI$3:$AK$105,3,FALSE)</f>
        <v>Misc. Expense</v>
      </c>
      <c r="AF5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0" spans="18:32" x14ac:dyDescent="0.2">
      <c r="R5940" t="s">
        <v>30</v>
      </c>
      <c r="S5940" t="s">
        <v>259</v>
      </c>
      <c r="T5940" t="s">
        <v>427</v>
      </c>
      <c r="U5940" s="21">
        <v>1239.01</v>
      </c>
      <c r="V5940" s="21" t="s">
        <v>368</v>
      </c>
      <c r="W5940" t="str">
        <f>VLOOKUP(Table_Query_from_Actuarial___Production[[#This Row],[Kor1]],$AI$3:$AK$105,3,FALSE)</f>
        <v>Misc. Expense</v>
      </c>
      <c r="X5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0"/>
      <c r="Z5940" t="s">
        <v>40</v>
      </c>
      <c r="AA5940" t="s">
        <v>249</v>
      </c>
      <c r="AB5940" t="s">
        <v>9</v>
      </c>
      <c r="AC5940" s="21">
        <v>46.99</v>
      </c>
      <c r="AD5940" s="21" t="s">
        <v>368</v>
      </c>
      <c r="AE5940" t="str">
        <f>VLOOKUP(Table_Query_from_Actuarial___Production3[[#This Row],[Kor1]],$AI$3:$AK$105,3,FALSE)</f>
        <v>Misc. Income</v>
      </c>
      <c r="AF5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1" spans="18:32" x14ac:dyDescent="0.2">
      <c r="R5941" t="s">
        <v>33</v>
      </c>
      <c r="S5941" t="s">
        <v>263</v>
      </c>
      <c r="T5941" t="s">
        <v>442</v>
      </c>
      <c r="U5941" s="21">
        <v>16716.14</v>
      </c>
      <c r="V5941" s="21" t="s">
        <v>368</v>
      </c>
      <c r="W5941" t="str">
        <f>VLOOKUP(Table_Query_from_Actuarial___Production[[#This Row],[Kor1]],$AI$3:$AK$105,3,FALSE)</f>
        <v>Misc. Expense</v>
      </c>
      <c r="X5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1"/>
      <c r="Z5941" t="s">
        <v>43</v>
      </c>
      <c r="AA5941" t="s">
        <v>224</v>
      </c>
      <c r="AB5941" t="s">
        <v>351</v>
      </c>
      <c r="AC5941" s="21">
        <v>121.23</v>
      </c>
      <c r="AD5941" s="21" t="s">
        <v>370</v>
      </c>
      <c r="AE5941" t="str">
        <f>VLOOKUP(Table_Query_from_Actuarial___Production3[[#This Row],[Kor1]],$AI$3:$AK$105,3,FALSE)</f>
        <v>Charge-offs</v>
      </c>
      <c r="AF5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942" spans="18:32" x14ac:dyDescent="0.2">
      <c r="R5942" t="s">
        <v>39</v>
      </c>
      <c r="S5942" t="s">
        <v>267</v>
      </c>
      <c r="T5942" t="s">
        <v>9</v>
      </c>
      <c r="U5942" s="21">
        <v>2430.0100000000002</v>
      </c>
      <c r="V5942" s="21" t="s">
        <v>368</v>
      </c>
      <c r="W5942" t="str">
        <f>VLOOKUP(Table_Query_from_Actuarial___Production[[#This Row],[Kor1]],$AI$3:$AK$105,3,FALSE)</f>
        <v>Misc. Income for Insolvent Companies</v>
      </c>
      <c r="X5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2"/>
      <c r="Z5942" t="s">
        <v>40</v>
      </c>
      <c r="AA5942" t="s">
        <v>250</v>
      </c>
      <c r="AB5942" t="s">
        <v>8</v>
      </c>
      <c r="AC5942" s="21">
        <v>223.02</v>
      </c>
      <c r="AD5942" s="21" t="s">
        <v>368</v>
      </c>
      <c r="AE5942" t="str">
        <f>VLOOKUP(Table_Query_from_Actuarial___Production3[[#This Row],[Kor1]],$AI$3:$AK$105,3,FALSE)</f>
        <v>Misc. Income</v>
      </c>
      <c r="AF5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3" spans="18:32" x14ac:dyDescent="0.2">
      <c r="R5943" t="s">
        <v>11</v>
      </c>
      <c r="S5943" t="s">
        <v>224</v>
      </c>
      <c r="T5943" t="s">
        <v>442</v>
      </c>
      <c r="U5943" s="21">
        <v>5237.33</v>
      </c>
      <c r="V5943" s="21" t="s">
        <v>425</v>
      </c>
      <c r="W5943" t="str">
        <f>VLOOKUP(Table_Query_from_Actuarial___Production[[#This Row],[Kor1]],$AI$3:$AK$105,3,FALSE)</f>
        <v>Losses Paid</v>
      </c>
      <c r="X5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943"/>
      <c r="Z5943" t="s">
        <v>49</v>
      </c>
      <c r="AA5943" t="s">
        <v>252</v>
      </c>
      <c r="AB5943" t="s">
        <v>5</v>
      </c>
      <c r="AC5943" s="21">
        <v>649011.82999999996</v>
      </c>
      <c r="AD5943" s="21" t="s">
        <v>368</v>
      </c>
      <c r="AE5943" t="str">
        <f>VLOOKUP(Table_Query_from_Actuarial___Production3[[#This Row],[Kor1]],$AI$3:$AK$105,3,FALSE)</f>
        <v>ALAE Paid</v>
      </c>
      <c r="AF5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4" spans="18:32" x14ac:dyDescent="0.2">
      <c r="R5944" t="s">
        <v>3</v>
      </c>
      <c r="S5944" t="s">
        <v>253</v>
      </c>
      <c r="T5944" t="s">
        <v>433</v>
      </c>
      <c r="U5944" s="21">
        <v>47768</v>
      </c>
      <c r="V5944" s="21" t="s">
        <v>368</v>
      </c>
      <c r="W5944" t="str">
        <f>VLOOKUP(Table_Query_from_Actuarial___Production[[#This Row],[Kor1]],$AI$3:$AK$105,3,FALSE)</f>
        <v>Premiums Written</v>
      </c>
      <c r="X5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4"/>
      <c r="Z5944" t="s">
        <v>16</v>
      </c>
      <c r="AA5944" t="s">
        <v>233</v>
      </c>
      <c r="AB5944" t="s">
        <v>443</v>
      </c>
      <c r="AC5944" s="21">
        <v>8868.74</v>
      </c>
      <c r="AD5944" s="21" t="s">
        <v>368</v>
      </c>
      <c r="AE5944" t="str">
        <f>VLOOKUP(Table_Query_from_Actuarial___Production3[[#This Row],[Kor1]],$AI$3:$AK$105,3,FALSE)</f>
        <v>Losses Outstanding</v>
      </c>
      <c r="AF5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5" spans="18:32" x14ac:dyDescent="0.2">
      <c r="R5945" t="s">
        <v>43</v>
      </c>
      <c r="S5945" t="s">
        <v>232</v>
      </c>
      <c r="T5945" t="s">
        <v>442</v>
      </c>
      <c r="U5945" s="21">
        <v>8265.82</v>
      </c>
      <c r="V5945" s="21" t="s">
        <v>368</v>
      </c>
      <c r="W5945" t="str">
        <f>VLOOKUP(Table_Query_from_Actuarial___Production[[#This Row],[Kor1]],$AI$3:$AK$105,3,FALSE)</f>
        <v>Charge-offs</v>
      </c>
      <c r="X5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5"/>
      <c r="Z5945" t="s">
        <v>41</v>
      </c>
      <c r="AA5945" t="s">
        <v>230</v>
      </c>
      <c r="AB5945" t="s">
        <v>8</v>
      </c>
      <c r="AC5945" s="21">
        <v>5523</v>
      </c>
      <c r="AD5945" s="21" t="s">
        <v>368</v>
      </c>
      <c r="AE5945" t="str">
        <f>VLOOKUP(Table_Query_from_Actuarial___Production3[[#This Row],[Kor1]],$AI$3:$AK$105,3,FALSE)</f>
        <v>Misc. Income</v>
      </c>
      <c r="AF5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6" spans="18:32" x14ac:dyDescent="0.2">
      <c r="R5946" t="s">
        <v>49</v>
      </c>
      <c r="S5946" t="s">
        <v>244</v>
      </c>
      <c r="T5946" t="s">
        <v>356</v>
      </c>
      <c r="U5946" s="21">
        <v>18633.72</v>
      </c>
      <c r="V5946" s="21" t="s">
        <v>368</v>
      </c>
      <c r="W5946" t="str">
        <f>VLOOKUP(Table_Query_from_Actuarial___Production[[#This Row],[Kor1]],$AI$3:$AK$105,3,FALSE)</f>
        <v>ALAE Paid</v>
      </c>
      <c r="X5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6"/>
      <c r="Z5946" t="s">
        <v>3</v>
      </c>
      <c r="AA5946" t="s">
        <v>225</v>
      </c>
      <c r="AB5946" t="s">
        <v>443</v>
      </c>
      <c r="AC5946" s="21">
        <v>292208</v>
      </c>
      <c r="AD5946" s="21" t="s">
        <v>369</v>
      </c>
      <c r="AE5946" t="str">
        <f>VLOOKUP(Table_Query_from_Actuarial___Production3[[#This Row],[Kor1]],$AI$3:$AK$105,3,FALSE)</f>
        <v>Premiums Written</v>
      </c>
      <c r="AF5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947" spans="18:32" x14ac:dyDescent="0.2">
      <c r="R5947" t="s">
        <v>16</v>
      </c>
      <c r="S5947" t="s">
        <v>248</v>
      </c>
      <c r="T5947" t="s">
        <v>442</v>
      </c>
      <c r="U5947" s="21">
        <v>361699.91</v>
      </c>
      <c r="V5947" s="21" t="s">
        <v>368</v>
      </c>
      <c r="W5947" t="str">
        <f>VLOOKUP(Table_Query_from_Actuarial___Production[[#This Row],[Kor1]],$AI$3:$AK$105,3,FALSE)</f>
        <v>Losses Outstanding</v>
      </c>
      <c r="X5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7"/>
      <c r="Z5947" t="s">
        <v>38</v>
      </c>
      <c r="AA5947" t="s">
        <v>225</v>
      </c>
      <c r="AB5947" t="s">
        <v>5</v>
      </c>
      <c r="AC5947" s="21">
        <v>855157.9</v>
      </c>
      <c r="AD5947" s="21" t="s">
        <v>369</v>
      </c>
      <c r="AE5947" t="str">
        <f>VLOOKUP(Table_Query_from_Actuarial___Production3[[#This Row],[Kor1]],$AI$3:$AK$105,3,FALSE)</f>
        <v>Misc. Income</v>
      </c>
      <c r="AF5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5948" spans="18:32" x14ac:dyDescent="0.2">
      <c r="R5948" t="s">
        <v>13</v>
      </c>
      <c r="S5948" t="s">
        <v>352</v>
      </c>
      <c r="T5948" t="s">
        <v>356</v>
      </c>
      <c r="U5948" s="21">
        <v>189.15</v>
      </c>
      <c r="V5948" s="21" t="s">
        <v>368</v>
      </c>
      <c r="W5948" t="str">
        <f>VLOOKUP(Table_Query_from_Actuarial___Production[[#This Row],[Kor1]],$AI$3:$AK$105,3,FALSE)</f>
        <v>Operating Service Fees</v>
      </c>
      <c r="X5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5948"/>
      <c r="Z5948" t="s">
        <v>30</v>
      </c>
      <c r="AA5948" t="s">
        <v>259</v>
      </c>
      <c r="AB5948" t="s">
        <v>427</v>
      </c>
      <c r="AC5948" s="21">
        <v>1239.01</v>
      </c>
      <c r="AD5948" s="21" t="s">
        <v>368</v>
      </c>
      <c r="AE5948" t="str">
        <f>VLOOKUP(Table_Query_from_Actuarial___Production3[[#This Row],[Kor1]],$AI$3:$AK$105,3,FALSE)</f>
        <v>Misc. Expense</v>
      </c>
      <c r="AF5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49" spans="18:32" x14ac:dyDescent="0.2">
      <c r="R5949" t="s">
        <v>11</v>
      </c>
      <c r="S5949" t="s">
        <v>233</v>
      </c>
      <c r="T5949" t="s">
        <v>356</v>
      </c>
      <c r="U5949" s="21">
        <v>655347.66</v>
      </c>
      <c r="V5949" s="21" t="s">
        <v>368</v>
      </c>
      <c r="W5949" t="str">
        <f>VLOOKUP(Table_Query_from_Actuarial___Production[[#This Row],[Kor1]],$AI$3:$AK$105,3,FALSE)</f>
        <v>Losses Paid</v>
      </c>
      <c r="X5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49"/>
      <c r="Z5949" t="s">
        <v>33</v>
      </c>
      <c r="AA5949" t="s">
        <v>263</v>
      </c>
      <c r="AB5949" t="s">
        <v>442</v>
      </c>
      <c r="AC5949" s="21">
        <v>16716.14</v>
      </c>
      <c r="AD5949" s="21" t="s">
        <v>368</v>
      </c>
      <c r="AE5949" t="str">
        <f>VLOOKUP(Table_Query_from_Actuarial___Production3[[#This Row],[Kor1]],$AI$3:$AK$105,3,FALSE)</f>
        <v>Misc. Expense</v>
      </c>
      <c r="AF5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0" spans="18:32" x14ac:dyDescent="0.2">
      <c r="R5950" t="s">
        <v>20</v>
      </c>
      <c r="S5950" t="s">
        <v>264</v>
      </c>
      <c r="T5950" t="s">
        <v>427</v>
      </c>
      <c r="U5950" s="21">
        <v>684.52</v>
      </c>
      <c r="V5950" s="21" t="s">
        <v>368</v>
      </c>
      <c r="W5950" t="str">
        <f>VLOOKUP(Table_Query_from_Actuarial___Production[[#This Row],[Kor1]],$AI$3:$AK$105,3,FALSE)</f>
        <v>Misc. Expense</v>
      </c>
      <c r="X5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0"/>
      <c r="Z5950" t="s">
        <v>39</v>
      </c>
      <c r="AA5950" t="s">
        <v>267</v>
      </c>
      <c r="AB5950" t="s">
        <v>9</v>
      </c>
      <c r="AC5950" s="21">
        <v>1995.01</v>
      </c>
      <c r="AD5950" s="21" t="s">
        <v>368</v>
      </c>
      <c r="AE5950" t="str">
        <f>VLOOKUP(Table_Query_from_Actuarial___Production3[[#This Row],[Kor1]],$AI$3:$AK$105,3,FALSE)</f>
        <v>Misc. Income for Insolvent Companies</v>
      </c>
      <c r="AF5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1" spans="18:32" x14ac:dyDescent="0.2">
      <c r="R5951" t="s">
        <v>44</v>
      </c>
      <c r="S5951" t="s">
        <v>248</v>
      </c>
      <c r="T5951" t="s">
        <v>441</v>
      </c>
      <c r="U5951" s="21">
        <v>9252.4</v>
      </c>
      <c r="V5951" s="21" t="s">
        <v>368</v>
      </c>
      <c r="W5951" t="str">
        <f>VLOOKUP(Table_Query_from_Actuarial___Production[[#This Row],[Kor1]],$AI$3:$AK$105,3,FALSE)</f>
        <v>Charge-offs</v>
      </c>
      <c r="X5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1"/>
      <c r="Z5951" t="s">
        <v>31</v>
      </c>
      <c r="AA5951" t="s">
        <v>262</v>
      </c>
      <c r="AB5951" t="s">
        <v>5</v>
      </c>
      <c r="AC5951" s="21">
        <v>4459.9399999999996</v>
      </c>
      <c r="AD5951" s="21" t="s">
        <v>368</v>
      </c>
      <c r="AE5951" t="str">
        <f>VLOOKUP(Table_Query_from_Actuarial___Production3[[#This Row],[Kor1]],$AI$3:$AK$105,3,FALSE)</f>
        <v>Misc. Expense</v>
      </c>
      <c r="AF5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2" spans="18:32" x14ac:dyDescent="0.2">
      <c r="R5952" t="s">
        <v>44</v>
      </c>
      <c r="S5952" t="s">
        <v>241</v>
      </c>
      <c r="T5952" t="s">
        <v>351</v>
      </c>
      <c r="U5952" s="21">
        <v>29674.9</v>
      </c>
      <c r="V5952" s="21" t="s">
        <v>368</v>
      </c>
      <c r="W5952" t="str">
        <f>VLOOKUP(Table_Query_from_Actuarial___Production[[#This Row],[Kor1]],$AI$3:$AK$105,3,FALSE)</f>
        <v>Charge-offs</v>
      </c>
      <c r="X5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2"/>
      <c r="Z5952" t="s">
        <v>11</v>
      </c>
      <c r="AA5952" t="s">
        <v>224</v>
      </c>
      <c r="AB5952" t="s">
        <v>442</v>
      </c>
      <c r="AC5952" s="21">
        <v>5237.33</v>
      </c>
      <c r="AD5952" s="21" t="s">
        <v>425</v>
      </c>
      <c r="AE5952" t="str">
        <f>VLOOKUP(Table_Query_from_Actuarial___Production3[[#This Row],[Kor1]],$AI$3:$AK$105,3,FALSE)</f>
        <v>Losses Paid</v>
      </c>
      <c r="AF5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953" spans="18:32" x14ac:dyDescent="0.2">
      <c r="R5953" t="s">
        <v>3</v>
      </c>
      <c r="S5953" t="s">
        <v>256</v>
      </c>
      <c r="T5953" t="s">
        <v>9</v>
      </c>
      <c r="U5953" s="21">
        <v>163610</v>
      </c>
      <c r="V5953" s="21" t="s">
        <v>368</v>
      </c>
      <c r="W5953" t="str">
        <f>VLOOKUP(Table_Query_from_Actuarial___Production[[#This Row],[Kor1]],$AI$3:$AK$105,3,FALSE)</f>
        <v>Premiums Written</v>
      </c>
      <c r="X5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3"/>
      <c r="Z5953" t="s">
        <v>3</v>
      </c>
      <c r="AA5953" t="s">
        <v>253</v>
      </c>
      <c r="AB5953" t="s">
        <v>433</v>
      </c>
      <c r="AC5953" s="21">
        <v>47768</v>
      </c>
      <c r="AD5953" s="21" t="s">
        <v>368</v>
      </c>
      <c r="AE5953" t="str">
        <f>VLOOKUP(Table_Query_from_Actuarial___Production3[[#This Row],[Kor1]],$AI$3:$AK$105,3,FALSE)</f>
        <v>Premiums Written</v>
      </c>
      <c r="AF5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4" spans="18:32" x14ac:dyDescent="0.2">
      <c r="R5954" t="s">
        <v>12</v>
      </c>
      <c r="S5954" t="s">
        <v>253</v>
      </c>
      <c r="T5954" t="s">
        <v>443</v>
      </c>
      <c r="U5954" s="21">
        <v>17.600000000000001</v>
      </c>
      <c r="V5954" s="21" t="s">
        <v>368</v>
      </c>
      <c r="W5954" t="str">
        <f>VLOOKUP(Table_Query_from_Actuarial___Production[[#This Row],[Kor1]],$AI$3:$AK$105,3,FALSE)</f>
        <v>Premium Tax</v>
      </c>
      <c r="X5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4"/>
      <c r="Z5954" t="s">
        <v>33</v>
      </c>
      <c r="AA5954" t="s">
        <v>259</v>
      </c>
      <c r="AB5954" t="s">
        <v>5</v>
      </c>
      <c r="AC5954" s="21">
        <v>29952.62</v>
      </c>
      <c r="AD5954" s="21" t="s">
        <v>368</v>
      </c>
      <c r="AE5954" t="str">
        <f>VLOOKUP(Table_Query_from_Actuarial___Production3[[#This Row],[Kor1]],$AI$3:$AK$105,3,FALSE)</f>
        <v>Misc. Expense</v>
      </c>
      <c r="AF5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5" spans="18:32" x14ac:dyDescent="0.2">
      <c r="R5955" t="s">
        <v>40</v>
      </c>
      <c r="S5955" t="s">
        <v>260</v>
      </c>
      <c r="T5955" t="s">
        <v>351</v>
      </c>
      <c r="U5955" s="21">
        <v>57</v>
      </c>
      <c r="V5955" s="21" t="s">
        <v>368</v>
      </c>
      <c r="W5955" t="str">
        <f>VLOOKUP(Table_Query_from_Actuarial___Production[[#This Row],[Kor1]],$AI$3:$AK$105,3,FALSE)</f>
        <v>Misc. Income</v>
      </c>
      <c r="X5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5"/>
      <c r="Z5955" t="s">
        <v>43</v>
      </c>
      <c r="AA5955" t="s">
        <v>232</v>
      </c>
      <c r="AB5955" t="s">
        <v>442</v>
      </c>
      <c r="AC5955" s="21">
        <v>1941.21</v>
      </c>
      <c r="AD5955" s="21" t="s">
        <v>368</v>
      </c>
      <c r="AE5955" t="str">
        <f>VLOOKUP(Table_Query_from_Actuarial___Production3[[#This Row],[Kor1]],$AI$3:$AK$105,3,FALSE)</f>
        <v>Charge-offs</v>
      </c>
      <c r="AF5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6" spans="18:32" x14ac:dyDescent="0.2">
      <c r="R5956" t="s">
        <v>167</v>
      </c>
      <c r="S5956" t="s">
        <v>354</v>
      </c>
      <c r="T5956" t="s">
        <v>9</v>
      </c>
      <c r="U5956" s="21">
        <v>33889119</v>
      </c>
      <c r="V5956" s="21" t="s">
        <v>368</v>
      </c>
      <c r="W5956" t="str">
        <f>VLOOKUP(Table_Query_from_Actuarial___Production[[#This Row],[Kor1]],$AI$3:$AK$105,3,FALSE)</f>
        <v>Recoupment</v>
      </c>
      <c r="X5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5956"/>
      <c r="Z5956" t="s">
        <v>49</v>
      </c>
      <c r="AA5956" t="s">
        <v>244</v>
      </c>
      <c r="AB5956" t="s">
        <v>356</v>
      </c>
      <c r="AC5956" s="21">
        <v>4860.34</v>
      </c>
      <c r="AD5956" s="21" t="s">
        <v>368</v>
      </c>
      <c r="AE5956" t="str">
        <f>VLOOKUP(Table_Query_from_Actuarial___Production3[[#This Row],[Kor1]],$AI$3:$AK$105,3,FALSE)</f>
        <v>ALAE Paid</v>
      </c>
      <c r="AF5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7" spans="18:32" x14ac:dyDescent="0.2">
      <c r="R5957" t="s">
        <v>43</v>
      </c>
      <c r="S5957" t="s">
        <v>224</v>
      </c>
      <c r="T5957" t="s">
        <v>8</v>
      </c>
      <c r="U5957" s="21">
        <v>112.4</v>
      </c>
      <c r="V5957" s="21" t="s">
        <v>368</v>
      </c>
      <c r="W5957" t="str">
        <f>VLOOKUP(Table_Query_from_Actuarial___Production[[#This Row],[Kor1]],$AI$3:$AK$105,3,FALSE)</f>
        <v>Charge-offs</v>
      </c>
      <c r="X5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5957"/>
      <c r="Z5957" t="s">
        <v>16</v>
      </c>
      <c r="AA5957" t="s">
        <v>248</v>
      </c>
      <c r="AB5957" t="s">
        <v>442</v>
      </c>
      <c r="AC5957" s="21">
        <v>687610.34</v>
      </c>
      <c r="AD5957" s="21" t="s">
        <v>368</v>
      </c>
      <c r="AE5957" t="str">
        <f>VLOOKUP(Table_Query_from_Actuarial___Production3[[#This Row],[Kor1]],$AI$3:$AK$105,3,FALSE)</f>
        <v>Losses Outstanding</v>
      </c>
      <c r="AF5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58" spans="18:32" x14ac:dyDescent="0.2">
      <c r="R5958" t="s">
        <v>3</v>
      </c>
      <c r="S5958" t="s">
        <v>260</v>
      </c>
      <c r="T5958" t="s">
        <v>443</v>
      </c>
      <c r="U5958" s="21">
        <v>104196</v>
      </c>
      <c r="V5958" s="21" t="s">
        <v>368</v>
      </c>
      <c r="W5958" t="str">
        <f>VLOOKUP(Table_Query_from_Actuarial___Production[[#This Row],[Kor1]],$AI$3:$AK$105,3,FALSE)</f>
        <v>Premiums Written</v>
      </c>
      <c r="X5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8"/>
      <c r="Z5958" t="s">
        <v>13</v>
      </c>
      <c r="AA5958" t="s">
        <v>352</v>
      </c>
      <c r="AB5958" t="s">
        <v>356</v>
      </c>
      <c r="AC5958" s="21">
        <v>189.15</v>
      </c>
      <c r="AD5958" s="21" t="s">
        <v>368</v>
      </c>
      <c r="AE5958" t="str">
        <f>VLOOKUP(Table_Query_from_Actuarial___Production3[[#This Row],[Kor1]],$AI$3:$AK$105,3,FALSE)</f>
        <v>Operating Service Fees</v>
      </c>
      <c r="AF5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5959" spans="18:32" x14ac:dyDescent="0.2">
      <c r="R5959" t="s">
        <v>19</v>
      </c>
      <c r="S5959" t="s">
        <v>235</v>
      </c>
      <c r="T5959" t="s">
        <v>6</v>
      </c>
      <c r="U5959" s="21">
        <v>7401</v>
      </c>
      <c r="V5959" s="21" t="s">
        <v>368</v>
      </c>
      <c r="W5959" t="str">
        <f>VLOOKUP(Table_Query_from_Actuarial___Production[[#This Row],[Kor1]],$AI$3:$AK$105,3,FALSE)</f>
        <v>Misc. Expense for Insolvent Companies</v>
      </c>
      <c r="X5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59"/>
      <c r="Z5959" t="s">
        <v>11</v>
      </c>
      <c r="AA5959" t="s">
        <v>233</v>
      </c>
      <c r="AB5959" t="s">
        <v>356</v>
      </c>
      <c r="AC5959" s="21">
        <v>655347.66</v>
      </c>
      <c r="AD5959" s="21" t="s">
        <v>368</v>
      </c>
      <c r="AE5959" t="str">
        <f>VLOOKUP(Table_Query_from_Actuarial___Production3[[#This Row],[Kor1]],$AI$3:$AK$105,3,FALSE)</f>
        <v>Losses Paid</v>
      </c>
      <c r="AF5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0" spans="18:32" x14ac:dyDescent="0.2">
      <c r="R5960" t="s">
        <v>19</v>
      </c>
      <c r="S5960" t="s">
        <v>4</v>
      </c>
      <c r="T5960" t="s">
        <v>6</v>
      </c>
      <c r="U5960" s="21">
        <v>19347.04</v>
      </c>
      <c r="V5960" s="21" t="s">
        <v>368</v>
      </c>
      <c r="W5960" t="str">
        <f>VLOOKUP(Table_Query_from_Actuarial___Production[[#This Row],[Kor1]],$AI$3:$AK$105,3,FALSE)</f>
        <v>Misc. Expense for Insolvent Companies</v>
      </c>
      <c r="X5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0"/>
      <c r="Z5960" t="s">
        <v>20</v>
      </c>
      <c r="AA5960" t="s">
        <v>264</v>
      </c>
      <c r="AB5960" t="s">
        <v>427</v>
      </c>
      <c r="AC5960" s="21">
        <v>684.52</v>
      </c>
      <c r="AD5960" s="21" t="s">
        <v>368</v>
      </c>
      <c r="AE5960" t="str">
        <f>VLOOKUP(Table_Query_from_Actuarial___Production3[[#This Row],[Kor1]],$AI$3:$AK$105,3,FALSE)</f>
        <v>Misc. Expense</v>
      </c>
      <c r="AF5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1" spans="18:32" x14ac:dyDescent="0.2">
      <c r="R5961" t="s">
        <v>31</v>
      </c>
      <c r="S5961" t="s">
        <v>237</v>
      </c>
      <c r="T5961" t="s">
        <v>441</v>
      </c>
      <c r="U5961" s="21">
        <v>1102.8</v>
      </c>
      <c r="V5961" s="21" t="s">
        <v>368</v>
      </c>
      <c r="W5961" t="str">
        <f>VLOOKUP(Table_Query_from_Actuarial___Production[[#This Row],[Kor1]],$AI$3:$AK$105,3,FALSE)</f>
        <v>Misc. Expense</v>
      </c>
      <c r="X5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1"/>
      <c r="Z5961" t="s">
        <v>44</v>
      </c>
      <c r="AA5961" t="s">
        <v>248</v>
      </c>
      <c r="AB5961" t="s">
        <v>441</v>
      </c>
      <c r="AC5961" s="21">
        <v>9252.4</v>
      </c>
      <c r="AD5961" s="21" t="s">
        <v>368</v>
      </c>
      <c r="AE5961" t="str">
        <f>VLOOKUP(Table_Query_from_Actuarial___Production3[[#This Row],[Kor1]],$AI$3:$AK$105,3,FALSE)</f>
        <v>Charge-offs</v>
      </c>
      <c r="AF5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2" spans="18:32" x14ac:dyDescent="0.2">
      <c r="R5962" t="s">
        <v>36</v>
      </c>
      <c r="S5962" t="s">
        <v>4</v>
      </c>
      <c r="T5962" t="s">
        <v>445</v>
      </c>
      <c r="U5962" s="21">
        <v>184064.06</v>
      </c>
      <c r="V5962" s="21" t="s">
        <v>368</v>
      </c>
      <c r="W5962" t="str">
        <f>VLOOKUP(Table_Query_from_Actuarial___Production[[#This Row],[Kor1]],$AI$3:$AK$105,3,FALSE)</f>
        <v>Misc. Expense</v>
      </c>
      <c r="X5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2"/>
      <c r="Z5962" t="s">
        <v>44</v>
      </c>
      <c r="AA5962" t="s">
        <v>241</v>
      </c>
      <c r="AB5962" t="s">
        <v>351</v>
      </c>
      <c r="AC5962" s="21">
        <v>29674.9</v>
      </c>
      <c r="AD5962" s="21" t="s">
        <v>368</v>
      </c>
      <c r="AE5962" t="str">
        <f>VLOOKUP(Table_Query_from_Actuarial___Production3[[#This Row],[Kor1]],$AI$3:$AK$105,3,FALSE)</f>
        <v>Charge-offs</v>
      </c>
      <c r="AF5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3" spans="18:32" x14ac:dyDescent="0.2">
      <c r="R5963" t="s">
        <v>39</v>
      </c>
      <c r="S5963" t="s">
        <v>264</v>
      </c>
      <c r="T5963" t="s">
        <v>351</v>
      </c>
      <c r="U5963" s="21">
        <v>9925.02</v>
      </c>
      <c r="V5963" s="21" t="s">
        <v>368</v>
      </c>
      <c r="W5963" t="str">
        <f>VLOOKUP(Table_Query_from_Actuarial___Production[[#This Row],[Kor1]],$AI$3:$AK$105,3,FALSE)</f>
        <v>Misc. Income for Insolvent Companies</v>
      </c>
      <c r="X5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3"/>
      <c r="Z5963" t="s">
        <v>3</v>
      </c>
      <c r="AA5963" t="s">
        <v>256</v>
      </c>
      <c r="AB5963" t="s">
        <v>9</v>
      </c>
      <c r="AC5963" s="21">
        <v>163610</v>
      </c>
      <c r="AD5963" s="21" t="s">
        <v>368</v>
      </c>
      <c r="AE5963" t="str">
        <f>VLOOKUP(Table_Query_from_Actuarial___Production3[[#This Row],[Kor1]],$AI$3:$AK$105,3,FALSE)</f>
        <v>Premiums Written</v>
      </c>
      <c r="AF5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4" spans="18:32" x14ac:dyDescent="0.2">
      <c r="R5964" t="s">
        <v>18</v>
      </c>
      <c r="S5964" t="s">
        <v>224</v>
      </c>
      <c r="T5964" t="s">
        <v>351</v>
      </c>
      <c r="U5964" s="21">
        <v>2202.65</v>
      </c>
      <c r="V5964" s="21" t="s">
        <v>425</v>
      </c>
      <c r="W5964" t="str">
        <f>VLOOKUP(Table_Query_from_Actuarial___Production[[#This Row],[Kor1]],$AI$3:$AK$105,3,FALSE)</f>
        <v>Misc. Expense</v>
      </c>
      <c r="X5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5964"/>
      <c r="Z5964" t="s">
        <v>40</v>
      </c>
      <c r="AA5964" t="s">
        <v>260</v>
      </c>
      <c r="AB5964" t="s">
        <v>351</v>
      </c>
      <c r="AC5964" s="21">
        <v>57</v>
      </c>
      <c r="AD5964" s="21" t="s">
        <v>368</v>
      </c>
      <c r="AE5964" t="str">
        <f>VLOOKUP(Table_Query_from_Actuarial___Production3[[#This Row],[Kor1]],$AI$3:$AK$105,3,FALSE)</f>
        <v>Misc. Income</v>
      </c>
      <c r="AF5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5" spans="18:32" x14ac:dyDescent="0.2">
      <c r="R5965" t="s">
        <v>10</v>
      </c>
      <c r="S5965" t="s">
        <v>247</v>
      </c>
      <c r="T5965" t="s">
        <v>7</v>
      </c>
      <c r="U5965" s="21">
        <v>531.1</v>
      </c>
      <c r="V5965" s="21" t="s">
        <v>368</v>
      </c>
      <c r="W5965" t="str">
        <f>VLOOKUP(Table_Query_from_Actuarial___Production[[#This Row],[Kor1]],$AI$3:$AK$105,3,FALSE)</f>
        <v>Commissions</v>
      </c>
      <c r="X5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5"/>
      <c r="Z5965" t="s">
        <v>41</v>
      </c>
      <c r="AA5965" t="s">
        <v>268</v>
      </c>
      <c r="AB5965" t="s">
        <v>5</v>
      </c>
      <c r="AC5965" s="21">
        <v>150</v>
      </c>
      <c r="AD5965" s="21" t="s">
        <v>368</v>
      </c>
      <c r="AE5965" t="str">
        <f>VLOOKUP(Table_Query_from_Actuarial___Production3[[#This Row],[Kor1]],$AI$3:$AK$105,3,FALSE)</f>
        <v>Misc. Income</v>
      </c>
      <c r="AF5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6" spans="18:32" x14ac:dyDescent="0.2">
      <c r="R5966" t="s">
        <v>17</v>
      </c>
      <c r="S5966" t="s">
        <v>253</v>
      </c>
      <c r="T5966" t="s">
        <v>445</v>
      </c>
      <c r="U5966" s="21">
        <v>2313.17</v>
      </c>
      <c r="V5966" s="21" t="s">
        <v>368</v>
      </c>
      <c r="W5966" t="str">
        <f>VLOOKUP(Table_Query_from_Actuarial___Production[[#This Row],[Kor1]],$AI$3:$AK$105,3,FALSE)</f>
        <v>IBNR</v>
      </c>
      <c r="X5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6"/>
      <c r="Z5966" t="s">
        <v>75</v>
      </c>
      <c r="AA5966" t="s">
        <v>264</v>
      </c>
      <c r="AB5966" t="s">
        <v>441</v>
      </c>
      <c r="AC5966" s="21">
        <v>250</v>
      </c>
      <c r="AD5966" s="21" t="s">
        <v>368</v>
      </c>
      <c r="AE5966" t="str">
        <f>VLOOKUP(Table_Query_from_Actuarial___Production3[[#This Row],[Kor1]],$AI$3:$AK$105,3,FALSE)</f>
        <v>EBUB</v>
      </c>
      <c r="AF5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67" spans="18:32" x14ac:dyDescent="0.2">
      <c r="R5967" t="s">
        <v>34</v>
      </c>
      <c r="S5967" t="s">
        <v>239</v>
      </c>
      <c r="T5967" t="s">
        <v>445</v>
      </c>
      <c r="U5967" s="21">
        <v>21304.84</v>
      </c>
      <c r="V5967" s="21" t="s">
        <v>368</v>
      </c>
      <c r="W5967" t="str">
        <f>VLOOKUP(Table_Query_from_Actuarial___Production[[#This Row],[Kor1]],$AI$3:$AK$105,3,FALSE)</f>
        <v>Misc. Expense</v>
      </c>
      <c r="X5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7"/>
      <c r="Z5967" t="s">
        <v>167</v>
      </c>
      <c r="AA5967" t="s">
        <v>354</v>
      </c>
      <c r="AB5967" t="s">
        <v>9</v>
      </c>
      <c r="AC5967" s="21">
        <v>32918879</v>
      </c>
      <c r="AD5967" s="21" t="s">
        <v>368</v>
      </c>
      <c r="AE5967" t="str">
        <f>VLOOKUP(Table_Query_from_Actuarial___Production3[[#This Row],[Kor1]],$AI$3:$AK$105,3,FALSE)</f>
        <v>Recoupment</v>
      </c>
      <c r="AF5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5968" spans="18:32" x14ac:dyDescent="0.2">
      <c r="R5968" t="s">
        <v>30</v>
      </c>
      <c r="S5968" t="s">
        <v>259</v>
      </c>
      <c r="T5968" t="s">
        <v>443</v>
      </c>
      <c r="U5968" s="21">
        <v>12.56</v>
      </c>
      <c r="V5968" s="21" t="s">
        <v>368</v>
      </c>
      <c r="W5968" t="str">
        <f>VLOOKUP(Table_Query_from_Actuarial___Production[[#This Row],[Kor1]],$AI$3:$AK$105,3,FALSE)</f>
        <v>Misc. Expense</v>
      </c>
      <c r="X5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8"/>
      <c r="Z5968" t="s">
        <v>43</v>
      </c>
      <c r="AA5968" t="s">
        <v>224</v>
      </c>
      <c r="AB5968" t="s">
        <v>8</v>
      </c>
      <c r="AC5968" s="21">
        <v>112.4</v>
      </c>
      <c r="AD5968" s="21" t="s">
        <v>368</v>
      </c>
      <c r="AE5968" t="str">
        <f>VLOOKUP(Table_Query_from_Actuarial___Production3[[#This Row],[Kor1]],$AI$3:$AK$105,3,FALSE)</f>
        <v>Charge-offs</v>
      </c>
      <c r="AF5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5969" spans="18:32" x14ac:dyDescent="0.2">
      <c r="R5969" t="s">
        <v>31</v>
      </c>
      <c r="S5969" t="s">
        <v>235</v>
      </c>
      <c r="T5969" t="s">
        <v>8</v>
      </c>
      <c r="U5969" s="21">
        <v>2035.18</v>
      </c>
      <c r="V5969" s="21" t="s">
        <v>368</v>
      </c>
      <c r="W5969" t="str">
        <f>VLOOKUP(Table_Query_from_Actuarial___Production[[#This Row],[Kor1]],$AI$3:$AK$105,3,FALSE)</f>
        <v>Misc. Expense</v>
      </c>
      <c r="X5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69"/>
      <c r="Z5969" t="s">
        <v>3</v>
      </c>
      <c r="AA5969" t="s">
        <v>260</v>
      </c>
      <c r="AB5969" t="s">
        <v>443</v>
      </c>
      <c r="AC5969" s="21">
        <v>50337</v>
      </c>
      <c r="AD5969" s="21" t="s">
        <v>368</v>
      </c>
      <c r="AE5969" t="str">
        <f>VLOOKUP(Table_Query_from_Actuarial___Production3[[#This Row],[Kor1]],$AI$3:$AK$105,3,FALSE)</f>
        <v>Premiums Written</v>
      </c>
      <c r="AF5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0" spans="18:32" x14ac:dyDescent="0.2">
      <c r="R5970" t="s">
        <v>46</v>
      </c>
      <c r="S5970" t="s">
        <v>224</v>
      </c>
      <c r="T5970" t="s">
        <v>441</v>
      </c>
      <c r="U5970" s="21">
        <v>118.16</v>
      </c>
      <c r="V5970" s="21" t="s">
        <v>370</v>
      </c>
      <c r="W5970" t="str">
        <f>VLOOKUP(Table_Query_from_Actuarial___Production[[#This Row],[Kor1]],$AI$3:$AK$105,3,FALSE)</f>
        <v>Investment Income</v>
      </c>
      <c r="X5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5970"/>
      <c r="Z5970" t="s">
        <v>16</v>
      </c>
      <c r="AA5970" t="s">
        <v>241</v>
      </c>
      <c r="AB5970" t="s">
        <v>427</v>
      </c>
      <c r="AC5970" s="21">
        <v>166996.75</v>
      </c>
      <c r="AD5970" s="21" t="s">
        <v>368</v>
      </c>
      <c r="AE5970" t="str">
        <f>VLOOKUP(Table_Query_from_Actuarial___Production3[[#This Row],[Kor1]],$AI$3:$AK$105,3,FALSE)</f>
        <v>Losses Outstanding</v>
      </c>
      <c r="AF5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1" spans="18:32" x14ac:dyDescent="0.2">
      <c r="R5971" t="s">
        <v>20</v>
      </c>
      <c r="S5971" t="s">
        <v>241</v>
      </c>
      <c r="T5971" t="s">
        <v>356</v>
      </c>
      <c r="U5971" s="21">
        <v>261.72000000000003</v>
      </c>
      <c r="V5971" s="21" t="s">
        <v>368</v>
      </c>
      <c r="W5971" t="str">
        <f>VLOOKUP(Table_Query_from_Actuarial___Production[[#This Row],[Kor1]],$AI$3:$AK$105,3,FALSE)</f>
        <v>Misc. Expense</v>
      </c>
      <c r="X5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1"/>
      <c r="Z5971" t="s">
        <v>19</v>
      </c>
      <c r="AA5971" t="s">
        <v>235</v>
      </c>
      <c r="AB5971" t="s">
        <v>6</v>
      </c>
      <c r="AC5971" s="21">
        <v>7401</v>
      </c>
      <c r="AD5971" s="21" t="s">
        <v>368</v>
      </c>
      <c r="AE5971" t="str">
        <f>VLOOKUP(Table_Query_from_Actuarial___Production3[[#This Row],[Kor1]],$AI$3:$AK$105,3,FALSE)</f>
        <v>Misc. Expense for Insolvent Companies</v>
      </c>
      <c r="AF5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2" spans="18:32" x14ac:dyDescent="0.2">
      <c r="R5972" t="s">
        <v>12</v>
      </c>
      <c r="S5972" t="s">
        <v>252</v>
      </c>
      <c r="T5972" t="s">
        <v>445</v>
      </c>
      <c r="U5972" s="21">
        <v>429072.79</v>
      </c>
      <c r="V5972" s="21" t="s">
        <v>368</v>
      </c>
      <c r="W5972" t="str">
        <f>VLOOKUP(Table_Query_from_Actuarial___Production[[#This Row],[Kor1]],$AI$3:$AK$105,3,FALSE)</f>
        <v>Premium Tax</v>
      </c>
      <c r="X5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2"/>
      <c r="Z5972" t="s">
        <v>19</v>
      </c>
      <c r="AA5972" t="s">
        <v>4</v>
      </c>
      <c r="AB5972" t="s">
        <v>6</v>
      </c>
      <c r="AC5972" s="21">
        <v>19347.04</v>
      </c>
      <c r="AD5972" s="21" t="s">
        <v>368</v>
      </c>
      <c r="AE5972" t="str">
        <f>VLOOKUP(Table_Query_from_Actuarial___Production3[[#This Row],[Kor1]],$AI$3:$AK$105,3,FALSE)</f>
        <v>Misc. Expense for Insolvent Companies</v>
      </c>
      <c r="AF5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3" spans="18:32" x14ac:dyDescent="0.2">
      <c r="R5973" t="s">
        <v>39</v>
      </c>
      <c r="S5973" t="s">
        <v>242</v>
      </c>
      <c r="T5973" t="s">
        <v>8</v>
      </c>
      <c r="U5973" s="21">
        <v>4439</v>
      </c>
      <c r="V5973" s="21" t="s">
        <v>368</v>
      </c>
      <c r="W5973" t="str">
        <f>VLOOKUP(Table_Query_from_Actuarial___Production[[#This Row],[Kor1]],$AI$3:$AK$105,3,FALSE)</f>
        <v>Misc. Income for Insolvent Companies</v>
      </c>
      <c r="X5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3"/>
      <c r="Z5973" t="s">
        <v>31</v>
      </c>
      <c r="AA5973" t="s">
        <v>237</v>
      </c>
      <c r="AB5973" t="s">
        <v>441</v>
      </c>
      <c r="AC5973" s="21">
        <v>1102.8</v>
      </c>
      <c r="AD5973" s="21" t="s">
        <v>368</v>
      </c>
      <c r="AE5973" t="str">
        <f>VLOOKUP(Table_Query_from_Actuarial___Production3[[#This Row],[Kor1]],$AI$3:$AK$105,3,FALSE)</f>
        <v>Misc. Expense</v>
      </c>
      <c r="AF5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4" spans="18:32" x14ac:dyDescent="0.2">
      <c r="R5974" t="s">
        <v>13</v>
      </c>
      <c r="S5974" t="s">
        <v>231</v>
      </c>
      <c r="T5974" t="s">
        <v>8</v>
      </c>
      <c r="U5974" s="21">
        <v>32195.8</v>
      </c>
      <c r="V5974" s="21" t="s">
        <v>368</v>
      </c>
      <c r="W5974" t="str">
        <f>VLOOKUP(Table_Query_from_Actuarial___Production[[#This Row],[Kor1]],$AI$3:$AK$105,3,FALSE)</f>
        <v>Operating Service Fees</v>
      </c>
      <c r="X5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4"/>
      <c r="Z5974" t="s">
        <v>39</v>
      </c>
      <c r="AA5974" t="s">
        <v>264</v>
      </c>
      <c r="AB5974" t="s">
        <v>351</v>
      </c>
      <c r="AC5974" s="21">
        <v>9925.02</v>
      </c>
      <c r="AD5974" s="21" t="s">
        <v>368</v>
      </c>
      <c r="AE5974" t="str">
        <f>VLOOKUP(Table_Query_from_Actuarial___Production3[[#This Row],[Kor1]],$AI$3:$AK$105,3,FALSE)</f>
        <v>Misc. Income for Insolvent Companies</v>
      </c>
      <c r="AF5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5" spans="18:32" x14ac:dyDescent="0.2">
      <c r="R5975" t="s">
        <v>29</v>
      </c>
      <c r="S5975" t="s">
        <v>4</v>
      </c>
      <c r="T5975" t="s">
        <v>351</v>
      </c>
      <c r="U5975" s="21">
        <v>456.56</v>
      </c>
      <c r="V5975" s="21" t="s">
        <v>368</v>
      </c>
      <c r="W5975" t="str">
        <f>VLOOKUP(Table_Query_from_Actuarial___Production[[#This Row],[Kor1]],$AI$3:$AK$105,3,FALSE)</f>
        <v>Misc. Expense</v>
      </c>
      <c r="X5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5"/>
      <c r="Z5975" t="s">
        <v>18</v>
      </c>
      <c r="AA5975" t="s">
        <v>224</v>
      </c>
      <c r="AB5975" t="s">
        <v>351</v>
      </c>
      <c r="AC5975" s="21">
        <v>2202.65</v>
      </c>
      <c r="AD5975" s="21" t="s">
        <v>425</v>
      </c>
      <c r="AE5975" t="str">
        <f>VLOOKUP(Table_Query_from_Actuarial___Production3[[#This Row],[Kor1]],$AI$3:$AK$105,3,FALSE)</f>
        <v>Misc. Expense</v>
      </c>
      <c r="AF5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976" spans="18:32" x14ac:dyDescent="0.2">
      <c r="R5976" t="s">
        <v>41</v>
      </c>
      <c r="S5976" t="s">
        <v>234</v>
      </c>
      <c r="T5976" t="s">
        <v>356</v>
      </c>
      <c r="U5976" s="21">
        <v>350.01</v>
      </c>
      <c r="V5976" s="21" t="s">
        <v>368</v>
      </c>
      <c r="W5976" t="str">
        <f>VLOOKUP(Table_Query_from_Actuarial___Production[[#This Row],[Kor1]],$AI$3:$AK$105,3,FALSE)</f>
        <v>Misc. Income</v>
      </c>
      <c r="X5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6"/>
      <c r="Z5976" t="s">
        <v>10</v>
      </c>
      <c r="AA5976" t="s">
        <v>247</v>
      </c>
      <c r="AB5976" t="s">
        <v>7</v>
      </c>
      <c r="AC5976" s="21">
        <v>531.1</v>
      </c>
      <c r="AD5976" s="21" t="s">
        <v>368</v>
      </c>
      <c r="AE5976" t="str">
        <f>VLOOKUP(Table_Query_from_Actuarial___Production3[[#This Row],[Kor1]],$AI$3:$AK$105,3,FALSE)</f>
        <v>Commissions</v>
      </c>
      <c r="AF5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77" spans="18:32" x14ac:dyDescent="0.2">
      <c r="R5977" t="s">
        <v>47</v>
      </c>
      <c r="S5977" t="s">
        <v>246</v>
      </c>
      <c r="T5977" t="s">
        <v>8</v>
      </c>
      <c r="U5977" s="21">
        <v>0.05</v>
      </c>
      <c r="V5977" s="21" t="s">
        <v>368</v>
      </c>
      <c r="W5977" t="str">
        <f>VLOOKUP(Table_Query_from_Actuarial___Production[[#This Row],[Kor1]],$AI$3:$AK$105,3,FALSE)</f>
        <v>Investment Income</v>
      </c>
      <c r="X5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7"/>
      <c r="Z5977" t="s">
        <v>11</v>
      </c>
      <c r="AA5977" t="s">
        <v>226</v>
      </c>
      <c r="AB5977" t="s">
        <v>5</v>
      </c>
      <c r="AC5977" s="21">
        <v>3606000.27</v>
      </c>
      <c r="AD5977" s="21" t="s">
        <v>368</v>
      </c>
      <c r="AE5977" t="str">
        <f>VLOOKUP(Table_Query_from_Actuarial___Production3[[#This Row],[Kor1]],$AI$3:$AK$105,3,FALSE)</f>
        <v>Losses Paid</v>
      </c>
      <c r="AF5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5978" spans="18:32" x14ac:dyDescent="0.2">
      <c r="R5978" t="s">
        <v>50</v>
      </c>
      <c r="S5978" t="s">
        <v>265</v>
      </c>
      <c r="T5978" t="s">
        <v>433</v>
      </c>
      <c r="U5978" s="21">
        <v>44521</v>
      </c>
      <c r="V5978" s="21" t="s">
        <v>368</v>
      </c>
      <c r="W5978" t="str">
        <f>VLOOKUP(Table_Query_from_Actuarial___Production[[#This Row],[Kor1]],$AI$3:$AK$105,3,FALSE)</f>
        <v>ALAE Reserve</v>
      </c>
      <c r="X5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8"/>
      <c r="Z5978" t="s">
        <v>18</v>
      </c>
      <c r="AA5978" t="s">
        <v>224</v>
      </c>
      <c r="AB5978" t="s">
        <v>5</v>
      </c>
      <c r="AC5978" s="21">
        <v>13794.29</v>
      </c>
      <c r="AD5978" s="21" t="s">
        <v>425</v>
      </c>
      <c r="AE5978" t="str">
        <f>VLOOKUP(Table_Query_from_Actuarial___Production3[[#This Row],[Kor1]],$AI$3:$AK$105,3,FALSE)</f>
        <v>Misc. Expense</v>
      </c>
      <c r="AF5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5979" spans="18:32" x14ac:dyDescent="0.2">
      <c r="R5979" t="s">
        <v>11</v>
      </c>
      <c r="S5979" t="s">
        <v>239</v>
      </c>
      <c r="T5979" t="s">
        <v>427</v>
      </c>
      <c r="U5979" s="21">
        <v>3190603.86</v>
      </c>
      <c r="V5979" s="21" t="s">
        <v>368</v>
      </c>
      <c r="W5979" t="str">
        <f>VLOOKUP(Table_Query_from_Actuarial___Production[[#This Row],[Kor1]],$AI$3:$AK$105,3,FALSE)</f>
        <v>Losses Paid</v>
      </c>
      <c r="X5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79"/>
      <c r="Z5979" t="s">
        <v>31</v>
      </c>
      <c r="AA5979" t="s">
        <v>235</v>
      </c>
      <c r="AB5979" t="s">
        <v>8</v>
      </c>
      <c r="AC5979" s="21">
        <v>2035.18</v>
      </c>
      <c r="AD5979" s="21" t="s">
        <v>368</v>
      </c>
      <c r="AE5979" t="str">
        <f>VLOOKUP(Table_Query_from_Actuarial___Production3[[#This Row],[Kor1]],$AI$3:$AK$105,3,FALSE)</f>
        <v>Misc. Expense</v>
      </c>
      <c r="AF5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0" spans="18:32" x14ac:dyDescent="0.2">
      <c r="R5980" t="s">
        <v>16</v>
      </c>
      <c r="S5980" t="s">
        <v>244</v>
      </c>
      <c r="T5980" t="s">
        <v>445</v>
      </c>
      <c r="U5980" s="21">
        <v>24836.78</v>
      </c>
      <c r="V5980" s="21" t="s">
        <v>368</v>
      </c>
      <c r="W5980" t="str">
        <f>VLOOKUP(Table_Query_from_Actuarial___Production[[#This Row],[Kor1]],$AI$3:$AK$105,3,FALSE)</f>
        <v>Losses Outstanding</v>
      </c>
      <c r="X5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0"/>
      <c r="Z5980" t="s">
        <v>46</v>
      </c>
      <c r="AA5980" t="s">
        <v>224</v>
      </c>
      <c r="AB5980" t="s">
        <v>441</v>
      </c>
      <c r="AC5980" s="21">
        <v>118.16</v>
      </c>
      <c r="AD5980" s="21" t="s">
        <v>370</v>
      </c>
      <c r="AE5980" t="str">
        <f>VLOOKUP(Table_Query_from_Actuarial___Production3[[#This Row],[Kor1]],$AI$3:$AK$105,3,FALSE)</f>
        <v>Investment Income</v>
      </c>
      <c r="AF5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5981" spans="18:32" x14ac:dyDescent="0.2">
      <c r="R5981" t="s">
        <v>39</v>
      </c>
      <c r="S5981" t="s">
        <v>233</v>
      </c>
      <c r="T5981" t="s">
        <v>445</v>
      </c>
      <c r="U5981" s="21">
        <v>77.2</v>
      </c>
      <c r="V5981" s="21" t="s">
        <v>368</v>
      </c>
      <c r="W5981" t="str">
        <f>VLOOKUP(Table_Query_from_Actuarial___Production[[#This Row],[Kor1]],$AI$3:$AK$105,3,FALSE)</f>
        <v>Misc. Income for Insolvent Companies</v>
      </c>
      <c r="X5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1"/>
      <c r="Z5981" t="s">
        <v>11</v>
      </c>
      <c r="AA5981" t="s">
        <v>266</v>
      </c>
      <c r="AB5981" t="s">
        <v>5</v>
      </c>
      <c r="AC5981" s="21">
        <v>175923.55</v>
      </c>
      <c r="AD5981" s="21" t="s">
        <v>368</v>
      </c>
      <c r="AE5981" t="str">
        <f>VLOOKUP(Table_Query_from_Actuarial___Production3[[#This Row],[Kor1]],$AI$3:$AK$105,3,FALSE)</f>
        <v>Losses Paid</v>
      </c>
      <c r="AF5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2" spans="18:32" x14ac:dyDescent="0.2">
      <c r="R5982" t="s">
        <v>41</v>
      </c>
      <c r="S5982" t="s">
        <v>231</v>
      </c>
      <c r="T5982" t="s">
        <v>351</v>
      </c>
      <c r="U5982" s="21">
        <v>200</v>
      </c>
      <c r="V5982" s="21" t="s">
        <v>368</v>
      </c>
      <c r="W5982" t="str">
        <f>VLOOKUP(Table_Query_from_Actuarial___Production[[#This Row],[Kor1]],$AI$3:$AK$105,3,FALSE)</f>
        <v>Misc. Income</v>
      </c>
      <c r="X5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2"/>
      <c r="Z5982" t="s">
        <v>20</v>
      </c>
      <c r="AA5982" t="s">
        <v>241</v>
      </c>
      <c r="AB5982" t="s">
        <v>356</v>
      </c>
      <c r="AC5982" s="21">
        <v>261.72000000000003</v>
      </c>
      <c r="AD5982" s="21" t="s">
        <v>368</v>
      </c>
      <c r="AE5982" t="str">
        <f>VLOOKUP(Table_Query_from_Actuarial___Production3[[#This Row],[Kor1]],$AI$3:$AK$105,3,FALSE)</f>
        <v>Misc. Expense</v>
      </c>
      <c r="AF5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3" spans="18:32" x14ac:dyDescent="0.2">
      <c r="R5983" t="s">
        <v>31</v>
      </c>
      <c r="S5983" t="s">
        <v>241</v>
      </c>
      <c r="T5983" t="s">
        <v>441</v>
      </c>
      <c r="U5983" s="21">
        <v>976.16</v>
      </c>
      <c r="V5983" s="21" t="s">
        <v>368</v>
      </c>
      <c r="W5983" t="str">
        <f>VLOOKUP(Table_Query_from_Actuarial___Production[[#This Row],[Kor1]],$AI$3:$AK$105,3,FALSE)</f>
        <v>Misc. Expense</v>
      </c>
      <c r="X5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3"/>
      <c r="Z5983" t="s">
        <v>39</v>
      </c>
      <c r="AA5983" t="s">
        <v>242</v>
      </c>
      <c r="AB5983" t="s">
        <v>8</v>
      </c>
      <c r="AC5983" s="21">
        <v>4439</v>
      </c>
      <c r="AD5983" s="21" t="s">
        <v>368</v>
      </c>
      <c r="AE5983" t="str">
        <f>VLOOKUP(Table_Query_from_Actuarial___Production3[[#This Row],[Kor1]],$AI$3:$AK$105,3,FALSE)</f>
        <v>Misc. Income for Insolvent Companies</v>
      </c>
      <c r="AF5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4" spans="18:32" x14ac:dyDescent="0.2">
      <c r="R5984" t="s">
        <v>39</v>
      </c>
      <c r="S5984" t="s">
        <v>241</v>
      </c>
      <c r="T5984" t="s">
        <v>6</v>
      </c>
      <c r="U5984" s="21">
        <v>270.99</v>
      </c>
      <c r="V5984" s="21" t="s">
        <v>368</v>
      </c>
      <c r="W5984" t="str">
        <f>VLOOKUP(Table_Query_from_Actuarial___Production[[#This Row],[Kor1]],$AI$3:$AK$105,3,FALSE)</f>
        <v>Misc. Income for Insolvent Companies</v>
      </c>
      <c r="X5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4"/>
      <c r="Z5984" t="s">
        <v>48</v>
      </c>
      <c r="AA5984" t="s">
        <v>354</v>
      </c>
      <c r="AB5984" t="s">
        <v>7</v>
      </c>
      <c r="AC5984" s="21">
        <v>47514.91</v>
      </c>
      <c r="AD5984" s="21" t="s">
        <v>369</v>
      </c>
      <c r="AE5984" t="str">
        <f>VLOOKUP(Table_Query_from_Actuarial___Production3[[#This Row],[Kor1]],$AI$3:$AK$105,3,FALSE)</f>
        <v>Anticipated Salvage</v>
      </c>
      <c r="AF5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5985" spans="18:32" x14ac:dyDescent="0.2">
      <c r="R5985" t="s">
        <v>13</v>
      </c>
      <c r="S5985" t="s">
        <v>254</v>
      </c>
      <c r="T5985" t="s">
        <v>442</v>
      </c>
      <c r="U5985" s="21">
        <v>5300722.08</v>
      </c>
      <c r="V5985" s="21" t="s">
        <v>368</v>
      </c>
      <c r="W5985" t="str">
        <f>VLOOKUP(Table_Query_from_Actuarial___Production[[#This Row],[Kor1]],$AI$3:$AK$105,3,FALSE)</f>
        <v>Operating Service Fees</v>
      </c>
      <c r="X5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5"/>
      <c r="Z5985" t="s">
        <v>13</v>
      </c>
      <c r="AA5985" t="s">
        <v>231</v>
      </c>
      <c r="AB5985" t="s">
        <v>8</v>
      </c>
      <c r="AC5985" s="21">
        <v>32195.8</v>
      </c>
      <c r="AD5985" s="21" t="s">
        <v>368</v>
      </c>
      <c r="AE5985" t="str">
        <f>VLOOKUP(Table_Query_from_Actuarial___Production3[[#This Row],[Kor1]],$AI$3:$AK$105,3,FALSE)</f>
        <v>Operating Service Fees</v>
      </c>
      <c r="AF5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6" spans="18:32" x14ac:dyDescent="0.2">
      <c r="R5986" t="s">
        <v>439</v>
      </c>
      <c r="S5986" t="s">
        <v>257</v>
      </c>
      <c r="T5986" t="s">
        <v>433</v>
      </c>
      <c r="U5986" s="21">
        <v>21785</v>
      </c>
      <c r="V5986" s="21" t="s">
        <v>368</v>
      </c>
      <c r="W5986" t="str">
        <f>VLOOKUP(Table_Query_from_Actuarial___Production[[#This Row],[Kor1]],$AI$3:$AK$105,3,FALSE)</f>
        <v>Operating Service Fees</v>
      </c>
      <c r="X5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6"/>
      <c r="Z5986" t="s">
        <v>29</v>
      </c>
      <c r="AA5986" t="s">
        <v>4</v>
      </c>
      <c r="AB5986" t="s">
        <v>351</v>
      </c>
      <c r="AC5986" s="21">
        <v>456.56</v>
      </c>
      <c r="AD5986" s="21" t="s">
        <v>368</v>
      </c>
      <c r="AE5986" t="str">
        <f>VLOOKUP(Table_Query_from_Actuarial___Production3[[#This Row],[Kor1]],$AI$3:$AK$105,3,FALSE)</f>
        <v>Misc. Expense</v>
      </c>
      <c r="AF5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7" spans="18:32" x14ac:dyDescent="0.2">
      <c r="R5987" t="s">
        <v>33</v>
      </c>
      <c r="S5987" t="s">
        <v>233</v>
      </c>
      <c r="T5987" t="s">
        <v>7</v>
      </c>
      <c r="U5987" s="21">
        <v>13611.47</v>
      </c>
      <c r="V5987" s="21" t="s">
        <v>368</v>
      </c>
      <c r="W5987" t="str">
        <f>VLOOKUP(Table_Query_from_Actuarial___Production[[#This Row],[Kor1]],$AI$3:$AK$105,3,FALSE)</f>
        <v>Misc. Expense</v>
      </c>
      <c r="X5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7"/>
      <c r="Z5987" t="s">
        <v>41</v>
      </c>
      <c r="AA5987" t="s">
        <v>234</v>
      </c>
      <c r="AB5987" t="s">
        <v>356</v>
      </c>
      <c r="AC5987" s="21">
        <v>350.01</v>
      </c>
      <c r="AD5987" s="21" t="s">
        <v>368</v>
      </c>
      <c r="AE5987" t="str">
        <f>VLOOKUP(Table_Query_from_Actuarial___Production3[[#This Row],[Kor1]],$AI$3:$AK$105,3,FALSE)</f>
        <v>Misc. Income</v>
      </c>
      <c r="AF5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8" spans="18:32" x14ac:dyDescent="0.2">
      <c r="R5988" t="s">
        <v>21</v>
      </c>
      <c r="S5988" t="s">
        <v>237</v>
      </c>
      <c r="T5988" t="s">
        <v>356</v>
      </c>
      <c r="U5988" s="21">
        <v>28402.639999999999</v>
      </c>
      <c r="V5988" s="21" t="s">
        <v>368</v>
      </c>
      <c r="W5988" t="str">
        <f>VLOOKUP(Table_Query_from_Actuarial___Production[[#This Row],[Kor1]],$AI$3:$AK$105,3,FALSE)</f>
        <v>Misc. Expense</v>
      </c>
      <c r="X5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8"/>
      <c r="Z5988" t="s">
        <v>47</v>
      </c>
      <c r="AA5988" t="s">
        <v>246</v>
      </c>
      <c r="AB5988" t="s">
        <v>8</v>
      </c>
      <c r="AC5988" s="21">
        <v>0.05</v>
      </c>
      <c r="AD5988" s="21" t="s">
        <v>368</v>
      </c>
      <c r="AE5988" t="str">
        <f>VLOOKUP(Table_Query_from_Actuarial___Production3[[#This Row],[Kor1]],$AI$3:$AK$105,3,FALSE)</f>
        <v>Investment Income</v>
      </c>
      <c r="AF5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89" spans="18:32" x14ac:dyDescent="0.2">
      <c r="R5989" t="s">
        <v>43</v>
      </c>
      <c r="S5989" t="s">
        <v>242</v>
      </c>
      <c r="T5989" t="s">
        <v>351</v>
      </c>
      <c r="U5989" s="21">
        <v>4.6100000000000003</v>
      </c>
      <c r="V5989" s="21" t="s">
        <v>368</v>
      </c>
      <c r="W5989" t="str">
        <f>VLOOKUP(Table_Query_from_Actuarial___Production[[#This Row],[Kor1]],$AI$3:$AK$105,3,FALSE)</f>
        <v>Charge-offs</v>
      </c>
      <c r="X5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89"/>
      <c r="Z5989" t="s">
        <v>50</v>
      </c>
      <c r="AA5989" t="s">
        <v>265</v>
      </c>
      <c r="AB5989" t="s">
        <v>433</v>
      </c>
      <c r="AC5989" s="21">
        <v>105229.45</v>
      </c>
      <c r="AD5989" s="21" t="s">
        <v>368</v>
      </c>
      <c r="AE5989" t="str">
        <f>VLOOKUP(Table_Query_from_Actuarial___Production3[[#This Row],[Kor1]],$AI$3:$AK$105,3,FALSE)</f>
        <v>ALAE Reserve</v>
      </c>
      <c r="AF5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0" spans="18:32" x14ac:dyDescent="0.2">
      <c r="R5990" t="s">
        <v>19</v>
      </c>
      <c r="S5990" t="s">
        <v>240</v>
      </c>
      <c r="T5990" t="s">
        <v>6</v>
      </c>
      <c r="U5990" s="21">
        <v>678.01</v>
      </c>
      <c r="V5990" s="21" t="s">
        <v>368</v>
      </c>
      <c r="W5990" t="str">
        <f>VLOOKUP(Table_Query_from_Actuarial___Production[[#This Row],[Kor1]],$AI$3:$AK$105,3,FALSE)</f>
        <v>Misc. Expense for Insolvent Companies</v>
      </c>
      <c r="X5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0"/>
      <c r="Z5990" t="s">
        <v>11</v>
      </c>
      <c r="AA5990" t="s">
        <v>239</v>
      </c>
      <c r="AB5990" t="s">
        <v>427</v>
      </c>
      <c r="AC5990" s="21">
        <v>2490603.86</v>
      </c>
      <c r="AD5990" s="21" t="s">
        <v>368</v>
      </c>
      <c r="AE5990" t="str">
        <f>VLOOKUP(Table_Query_from_Actuarial___Production3[[#This Row],[Kor1]],$AI$3:$AK$105,3,FALSE)</f>
        <v>Losses Paid</v>
      </c>
      <c r="AF5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1" spans="18:32" x14ac:dyDescent="0.2">
      <c r="R5991" t="s">
        <v>48</v>
      </c>
      <c r="S5991" t="s">
        <v>241</v>
      </c>
      <c r="T5991" t="s">
        <v>442</v>
      </c>
      <c r="U5991" s="21">
        <v>191</v>
      </c>
      <c r="V5991" s="21" t="s">
        <v>368</v>
      </c>
      <c r="W5991" t="str">
        <f>VLOOKUP(Table_Query_from_Actuarial___Production[[#This Row],[Kor1]],$AI$3:$AK$105,3,FALSE)</f>
        <v>Anticipated Salvage</v>
      </c>
      <c r="X5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1"/>
      <c r="Z5991" t="s">
        <v>47</v>
      </c>
      <c r="AA5991" t="s">
        <v>240</v>
      </c>
      <c r="AB5991" t="s">
        <v>5</v>
      </c>
      <c r="AC5991" s="21">
        <v>1.05</v>
      </c>
      <c r="AD5991" s="21" t="s">
        <v>368</v>
      </c>
      <c r="AE5991" t="str">
        <f>VLOOKUP(Table_Query_from_Actuarial___Production3[[#This Row],[Kor1]],$AI$3:$AK$105,3,FALSE)</f>
        <v>Investment Income</v>
      </c>
      <c r="AF5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2" spans="18:32" x14ac:dyDescent="0.2">
      <c r="R5992" t="s">
        <v>31</v>
      </c>
      <c r="S5992" t="s">
        <v>262</v>
      </c>
      <c r="T5992" t="s">
        <v>351</v>
      </c>
      <c r="U5992" s="21">
        <v>842.6</v>
      </c>
      <c r="V5992" s="21" t="s">
        <v>368</v>
      </c>
      <c r="W5992" t="str">
        <f>VLOOKUP(Table_Query_from_Actuarial___Production[[#This Row],[Kor1]],$AI$3:$AK$105,3,FALSE)</f>
        <v>Misc. Expense</v>
      </c>
      <c r="X5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2"/>
      <c r="Z5992" t="s">
        <v>15</v>
      </c>
      <c r="AA5992" t="s">
        <v>236</v>
      </c>
      <c r="AB5992" t="s">
        <v>442</v>
      </c>
      <c r="AC5992" s="21">
        <v>37724.519999999997</v>
      </c>
      <c r="AD5992" s="21" t="s">
        <v>368</v>
      </c>
      <c r="AE5992" t="str">
        <f>VLOOKUP(Table_Query_from_Actuarial___Production3[[#This Row],[Kor1]],$AI$3:$AK$105,3,FALSE)</f>
        <v>Unearned Premiums</v>
      </c>
      <c r="AF5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3" spans="18:32" x14ac:dyDescent="0.2">
      <c r="R5993" t="s">
        <v>31</v>
      </c>
      <c r="S5993" t="s">
        <v>265</v>
      </c>
      <c r="T5993" t="s">
        <v>442</v>
      </c>
      <c r="U5993" s="21">
        <v>1533.77</v>
      </c>
      <c r="V5993" s="21" t="s">
        <v>368</v>
      </c>
      <c r="W5993" t="str">
        <f>VLOOKUP(Table_Query_from_Actuarial___Production[[#This Row],[Kor1]],$AI$3:$AK$105,3,FALSE)</f>
        <v>Misc. Expense</v>
      </c>
      <c r="X5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3"/>
      <c r="Z5993" t="s">
        <v>41</v>
      </c>
      <c r="AA5993" t="s">
        <v>231</v>
      </c>
      <c r="AB5993" t="s">
        <v>351</v>
      </c>
      <c r="AC5993" s="21">
        <v>200</v>
      </c>
      <c r="AD5993" s="21" t="s">
        <v>368</v>
      </c>
      <c r="AE5993" t="str">
        <f>VLOOKUP(Table_Query_from_Actuarial___Production3[[#This Row],[Kor1]],$AI$3:$AK$105,3,FALSE)</f>
        <v>Misc. Income</v>
      </c>
      <c r="AF5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4" spans="18:32" x14ac:dyDescent="0.2">
      <c r="R5994" t="s">
        <v>10</v>
      </c>
      <c r="S5994" t="s">
        <v>352</v>
      </c>
      <c r="T5994" t="s">
        <v>356</v>
      </c>
      <c r="U5994" s="21">
        <v>10244.89</v>
      </c>
      <c r="V5994" s="21" t="s">
        <v>369</v>
      </c>
      <c r="W5994" t="str">
        <f>VLOOKUP(Table_Query_from_Actuarial___Production[[#This Row],[Kor1]],$AI$3:$AK$105,3,FALSE)</f>
        <v>Commissions</v>
      </c>
      <c r="X5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5994"/>
      <c r="Z5994" t="s">
        <v>31</v>
      </c>
      <c r="AA5994" t="s">
        <v>241</v>
      </c>
      <c r="AB5994" t="s">
        <v>441</v>
      </c>
      <c r="AC5994" s="21">
        <v>976.16</v>
      </c>
      <c r="AD5994" s="21" t="s">
        <v>368</v>
      </c>
      <c r="AE5994" t="str">
        <f>VLOOKUP(Table_Query_from_Actuarial___Production3[[#This Row],[Kor1]],$AI$3:$AK$105,3,FALSE)</f>
        <v>Misc. Expense</v>
      </c>
      <c r="AF5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5" spans="18:32" x14ac:dyDescent="0.2">
      <c r="R5995" t="s">
        <v>14</v>
      </c>
      <c r="S5995" t="s">
        <v>230</v>
      </c>
      <c r="T5995" t="s">
        <v>433</v>
      </c>
      <c r="U5995" s="21">
        <v>1508531.93</v>
      </c>
      <c r="V5995" s="21" t="s">
        <v>368</v>
      </c>
      <c r="W5995" t="str">
        <f>VLOOKUP(Table_Query_from_Actuarial___Production[[#This Row],[Kor1]],$AI$3:$AK$105,3,FALSE)</f>
        <v>Claims Expense</v>
      </c>
      <c r="X5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5"/>
      <c r="Z5995" t="s">
        <v>39</v>
      </c>
      <c r="AA5995" t="s">
        <v>241</v>
      </c>
      <c r="AB5995" t="s">
        <v>6</v>
      </c>
      <c r="AC5995" s="21">
        <v>270.99</v>
      </c>
      <c r="AD5995" s="21" t="s">
        <v>368</v>
      </c>
      <c r="AE5995" t="str">
        <f>VLOOKUP(Table_Query_from_Actuarial___Production3[[#This Row],[Kor1]],$AI$3:$AK$105,3,FALSE)</f>
        <v>Misc. Income for Insolvent Companies</v>
      </c>
      <c r="AF5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6" spans="18:32" x14ac:dyDescent="0.2">
      <c r="R5996" t="s">
        <v>37</v>
      </c>
      <c r="S5996" t="s">
        <v>267</v>
      </c>
      <c r="T5996" t="s">
        <v>6</v>
      </c>
      <c r="U5996" s="21">
        <v>363.86</v>
      </c>
      <c r="V5996" s="21" t="s">
        <v>368</v>
      </c>
      <c r="W5996" t="str">
        <f>VLOOKUP(Table_Query_from_Actuarial___Production[[#This Row],[Kor1]],$AI$3:$AK$105,3,FALSE)</f>
        <v>Misc. Expense</v>
      </c>
      <c r="X5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6"/>
      <c r="Z5996" t="s">
        <v>39</v>
      </c>
      <c r="AA5996" t="s">
        <v>264</v>
      </c>
      <c r="AB5996" t="s">
        <v>5</v>
      </c>
      <c r="AC5996" s="21">
        <v>2214.38</v>
      </c>
      <c r="AD5996" s="21" t="s">
        <v>368</v>
      </c>
      <c r="AE5996" t="str">
        <f>VLOOKUP(Table_Query_from_Actuarial___Production3[[#This Row],[Kor1]],$AI$3:$AK$105,3,FALSE)</f>
        <v>Misc. Income for Insolvent Companies</v>
      </c>
      <c r="AF5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7" spans="18:32" x14ac:dyDescent="0.2">
      <c r="R5997" t="s">
        <v>21</v>
      </c>
      <c r="S5997" t="s">
        <v>228</v>
      </c>
      <c r="T5997" t="s">
        <v>442</v>
      </c>
      <c r="U5997" s="21">
        <v>641.51</v>
      </c>
      <c r="V5997" s="21" t="s">
        <v>368</v>
      </c>
      <c r="W5997" t="str">
        <f>VLOOKUP(Table_Query_from_Actuarial___Production[[#This Row],[Kor1]],$AI$3:$AK$105,3,FALSE)</f>
        <v>Misc. Expense</v>
      </c>
      <c r="X5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7"/>
      <c r="Z5997" t="s">
        <v>13</v>
      </c>
      <c r="AA5997" t="s">
        <v>254</v>
      </c>
      <c r="AB5997" t="s">
        <v>442</v>
      </c>
      <c r="AC5997" s="21">
        <v>5953334.7599999998</v>
      </c>
      <c r="AD5997" s="21" t="s">
        <v>368</v>
      </c>
      <c r="AE5997" t="str">
        <f>VLOOKUP(Table_Query_from_Actuarial___Production3[[#This Row],[Kor1]],$AI$3:$AK$105,3,FALSE)</f>
        <v>Operating Service Fees</v>
      </c>
      <c r="AF5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8" spans="18:32" x14ac:dyDescent="0.2">
      <c r="R5998" t="s">
        <v>48</v>
      </c>
      <c r="S5998" t="s">
        <v>246</v>
      </c>
      <c r="T5998" t="s">
        <v>445</v>
      </c>
      <c r="U5998" s="21">
        <v>484.78</v>
      </c>
      <c r="V5998" s="21" t="s">
        <v>368</v>
      </c>
      <c r="W5998" t="str">
        <f>VLOOKUP(Table_Query_from_Actuarial___Production[[#This Row],[Kor1]],$AI$3:$AK$105,3,FALSE)</f>
        <v>Anticipated Salvage</v>
      </c>
      <c r="X5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8"/>
      <c r="Z5998" t="s">
        <v>439</v>
      </c>
      <c r="AA5998" t="s">
        <v>257</v>
      </c>
      <c r="AB5998" t="s">
        <v>433</v>
      </c>
      <c r="AC5998" s="21">
        <v>21785</v>
      </c>
      <c r="AD5998" s="21" t="s">
        <v>368</v>
      </c>
      <c r="AE5998" t="str">
        <f>VLOOKUP(Table_Query_from_Actuarial___Production3[[#This Row],[Kor1]],$AI$3:$AK$105,3,FALSE)</f>
        <v>Operating Service Fees</v>
      </c>
      <c r="AF5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5999" spans="18:32" x14ac:dyDescent="0.2">
      <c r="R5999" t="s">
        <v>41</v>
      </c>
      <c r="S5999" t="s">
        <v>253</v>
      </c>
      <c r="T5999" t="s">
        <v>9</v>
      </c>
      <c r="U5999" s="21">
        <v>750</v>
      </c>
      <c r="V5999" s="21" t="s">
        <v>368</v>
      </c>
      <c r="W5999" t="str">
        <f>VLOOKUP(Table_Query_from_Actuarial___Production[[#This Row],[Kor1]],$AI$3:$AK$105,3,FALSE)</f>
        <v>Misc. Income</v>
      </c>
      <c r="X5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5999"/>
      <c r="Z5999" t="s">
        <v>33</v>
      </c>
      <c r="AA5999" t="s">
        <v>233</v>
      </c>
      <c r="AB5999" t="s">
        <v>7</v>
      </c>
      <c r="AC5999" s="21">
        <v>13611.47</v>
      </c>
      <c r="AD5999" s="21" t="s">
        <v>368</v>
      </c>
      <c r="AE5999" t="str">
        <f>VLOOKUP(Table_Query_from_Actuarial___Production3[[#This Row],[Kor1]],$AI$3:$AK$105,3,FALSE)</f>
        <v>Misc. Expense</v>
      </c>
      <c r="AF5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0" spans="18:32" x14ac:dyDescent="0.2">
      <c r="R6000" t="s">
        <v>16</v>
      </c>
      <c r="S6000" t="s">
        <v>4</v>
      </c>
      <c r="T6000" t="s">
        <v>443</v>
      </c>
      <c r="U6000" s="21">
        <v>8187029.0700000003</v>
      </c>
      <c r="V6000" s="21" t="s">
        <v>368</v>
      </c>
      <c r="W6000" t="str">
        <f>VLOOKUP(Table_Query_from_Actuarial___Production[[#This Row],[Kor1]],$AI$3:$AK$105,3,FALSE)</f>
        <v>Losses Outstanding</v>
      </c>
      <c r="X6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0"/>
      <c r="Z6000" t="s">
        <v>21</v>
      </c>
      <c r="AA6000" t="s">
        <v>237</v>
      </c>
      <c r="AB6000" t="s">
        <v>356</v>
      </c>
      <c r="AC6000" s="21">
        <v>28402.639999999999</v>
      </c>
      <c r="AD6000" s="21" t="s">
        <v>368</v>
      </c>
      <c r="AE6000" t="str">
        <f>VLOOKUP(Table_Query_from_Actuarial___Production3[[#This Row],[Kor1]],$AI$3:$AK$105,3,FALSE)</f>
        <v>Misc. Expense</v>
      </c>
      <c r="AF6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1" spans="18:32" x14ac:dyDescent="0.2">
      <c r="R6001" t="s">
        <v>14</v>
      </c>
      <c r="S6001" t="s">
        <v>228</v>
      </c>
      <c r="T6001" t="s">
        <v>6</v>
      </c>
      <c r="U6001" s="21">
        <v>22674.06</v>
      </c>
      <c r="V6001" s="21" t="s">
        <v>368</v>
      </c>
      <c r="W6001" t="str">
        <f>VLOOKUP(Table_Query_from_Actuarial___Production[[#This Row],[Kor1]],$AI$3:$AK$105,3,FALSE)</f>
        <v>Claims Expense</v>
      </c>
      <c r="X6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1"/>
      <c r="Z6001" t="s">
        <v>43</v>
      </c>
      <c r="AA6001" t="s">
        <v>242</v>
      </c>
      <c r="AB6001" t="s">
        <v>351</v>
      </c>
      <c r="AC6001" s="21">
        <v>4.6100000000000003</v>
      </c>
      <c r="AD6001" s="21" t="s">
        <v>368</v>
      </c>
      <c r="AE6001" t="str">
        <f>VLOOKUP(Table_Query_from_Actuarial___Production3[[#This Row],[Kor1]],$AI$3:$AK$105,3,FALSE)</f>
        <v>Charge-offs</v>
      </c>
      <c r="AF6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2" spans="18:32" x14ac:dyDescent="0.2">
      <c r="R6002" t="s">
        <v>15</v>
      </c>
      <c r="S6002" t="s">
        <v>264</v>
      </c>
      <c r="T6002" t="s">
        <v>443</v>
      </c>
      <c r="U6002" s="21">
        <v>766138.12</v>
      </c>
      <c r="V6002" s="21" t="s">
        <v>368</v>
      </c>
      <c r="W6002" t="str">
        <f>VLOOKUP(Table_Query_from_Actuarial___Production[[#This Row],[Kor1]],$AI$3:$AK$105,3,FALSE)</f>
        <v>Unearned Premiums</v>
      </c>
      <c r="X6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2"/>
      <c r="Z6002" t="s">
        <v>19</v>
      </c>
      <c r="AA6002" t="s">
        <v>240</v>
      </c>
      <c r="AB6002" t="s">
        <v>6</v>
      </c>
      <c r="AC6002" s="21">
        <v>678.01</v>
      </c>
      <c r="AD6002" s="21" t="s">
        <v>368</v>
      </c>
      <c r="AE6002" t="str">
        <f>VLOOKUP(Table_Query_from_Actuarial___Production3[[#This Row],[Kor1]],$AI$3:$AK$105,3,FALSE)</f>
        <v>Misc. Expense for Insolvent Companies</v>
      </c>
      <c r="AF6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3" spans="18:32" x14ac:dyDescent="0.2">
      <c r="R6003" t="s">
        <v>43</v>
      </c>
      <c r="S6003" t="s">
        <v>231</v>
      </c>
      <c r="T6003" t="s">
        <v>441</v>
      </c>
      <c r="U6003" s="21">
        <v>509.98</v>
      </c>
      <c r="V6003" s="21" t="s">
        <v>368</v>
      </c>
      <c r="W6003" t="str">
        <f>VLOOKUP(Table_Query_from_Actuarial___Production[[#This Row],[Kor1]],$AI$3:$AK$105,3,FALSE)</f>
        <v>Charge-offs</v>
      </c>
      <c r="X6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3"/>
      <c r="Z6003" t="s">
        <v>48</v>
      </c>
      <c r="AA6003" t="s">
        <v>241</v>
      </c>
      <c r="AB6003" t="s">
        <v>442</v>
      </c>
      <c r="AC6003" s="21">
        <v>305.27999999999997</v>
      </c>
      <c r="AD6003" s="21" t="s">
        <v>368</v>
      </c>
      <c r="AE6003" t="str">
        <f>VLOOKUP(Table_Query_from_Actuarial___Production3[[#This Row],[Kor1]],$AI$3:$AK$105,3,FALSE)</f>
        <v>Anticipated Salvage</v>
      </c>
      <c r="AF6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4" spans="18:32" x14ac:dyDescent="0.2">
      <c r="R6004" t="s">
        <v>44</v>
      </c>
      <c r="S6004" t="s">
        <v>229</v>
      </c>
      <c r="T6004" t="s">
        <v>441</v>
      </c>
      <c r="U6004" s="21">
        <v>-4</v>
      </c>
      <c r="V6004" s="21" t="s">
        <v>368</v>
      </c>
      <c r="W6004" t="str">
        <f>VLOOKUP(Table_Query_from_Actuarial___Production[[#This Row],[Kor1]],$AI$3:$AK$105,3,FALSE)</f>
        <v>Charge-offs</v>
      </c>
      <c r="X6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4"/>
      <c r="Z6004" t="s">
        <v>31</v>
      </c>
      <c r="AA6004" t="s">
        <v>262</v>
      </c>
      <c r="AB6004" t="s">
        <v>351</v>
      </c>
      <c r="AC6004" s="21">
        <v>842.6</v>
      </c>
      <c r="AD6004" s="21" t="s">
        <v>368</v>
      </c>
      <c r="AE6004" t="str">
        <f>VLOOKUP(Table_Query_from_Actuarial___Production3[[#This Row],[Kor1]],$AI$3:$AK$105,3,FALSE)</f>
        <v>Misc. Expense</v>
      </c>
      <c r="AF6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5" spans="18:32" x14ac:dyDescent="0.2">
      <c r="R6005" t="s">
        <v>20</v>
      </c>
      <c r="S6005" t="s">
        <v>227</v>
      </c>
      <c r="T6005" t="s">
        <v>9</v>
      </c>
      <c r="U6005" s="21">
        <v>678.41</v>
      </c>
      <c r="V6005" s="21" t="s">
        <v>368</v>
      </c>
      <c r="W6005" t="str">
        <f>VLOOKUP(Table_Query_from_Actuarial___Production[[#This Row],[Kor1]],$AI$3:$AK$105,3,FALSE)</f>
        <v>Misc. Expense</v>
      </c>
      <c r="X6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5"/>
      <c r="Z6005" t="s">
        <v>31</v>
      </c>
      <c r="AA6005" t="s">
        <v>265</v>
      </c>
      <c r="AB6005" t="s">
        <v>442</v>
      </c>
      <c r="AC6005" s="21">
        <v>1533.77</v>
      </c>
      <c r="AD6005" s="21" t="s">
        <v>368</v>
      </c>
      <c r="AE6005" t="str">
        <f>VLOOKUP(Table_Query_from_Actuarial___Production3[[#This Row],[Kor1]],$AI$3:$AK$105,3,FALSE)</f>
        <v>Misc. Expense</v>
      </c>
      <c r="AF6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6" spans="18:32" x14ac:dyDescent="0.2">
      <c r="R6006" t="s">
        <v>46</v>
      </c>
      <c r="S6006" t="s">
        <v>354</v>
      </c>
      <c r="T6006" t="s">
        <v>433</v>
      </c>
      <c r="U6006" s="21">
        <v>2631944.7200000002</v>
      </c>
      <c r="V6006" s="21" t="s">
        <v>368</v>
      </c>
      <c r="W6006" t="str">
        <f>VLOOKUP(Table_Query_from_Actuarial___Production[[#This Row],[Kor1]],$AI$3:$AK$105,3,FALSE)</f>
        <v>Investment Income</v>
      </c>
      <c r="X6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006"/>
      <c r="Z6006" t="s">
        <v>10</v>
      </c>
      <c r="AA6006" t="s">
        <v>352</v>
      </c>
      <c r="AB6006" t="s">
        <v>356</v>
      </c>
      <c r="AC6006" s="21">
        <v>10244.89</v>
      </c>
      <c r="AD6006" s="21" t="s">
        <v>369</v>
      </c>
      <c r="AE6006" t="str">
        <f>VLOOKUP(Table_Query_from_Actuarial___Production3[[#This Row],[Kor1]],$AI$3:$AK$105,3,FALSE)</f>
        <v>Commissions</v>
      </c>
      <c r="AF6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007" spans="18:32" x14ac:dyDescent="0.2">
      <c r="R6007" t="s">
        <v>10</v>
      </c>
      <c r="S6007" t="s">
        <v>231</v>
      </c>
      <c r="T6007" t="s">
        <v>9</v>
      </c>
      <c r="U6007" s="21">
        <v>26362.400000000001</v>
      </c>
      <c r="V6007" s="21" t="s">
        <v>368</v>
      </c>
      <c r="W6007" t="str">
        <f>VLOOKUP(Table_Query_from_Actuarial___Production[[#This Row],[Kor1]],$AI$3:$AK$105,3,FALSE)</f>
        <v>Commissions</v>
      </c>
      <c r="X6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7"/>
      <c r="Z6007" t="s">
        <v>14</v>
      </c>
      <c r="AA6007" t="s">
        <v>230</v>
      </c>
      <c r="AB6007" t="s">
        <v>433</v>
      </c>
      <c r="AC6007" s="21">
        <v>1508531.93</v>
      </c>
      <c r="AD6007" s="21" t="s">
        <v>368</v>
      </c>
      <c r="AE6007" t="str">
        <f>VLOOKUP(Table_Query_from_Actuarial___Production3[[#This Row],[Kor1]],$AI$3:$AK$105,3,FALSE)</f>
        <v>Claims Expense</v>
      </c>
      <c r="AF6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8" spans="18:32" x14ac:dyDescent="0.2">
      <c r="R6008" t="s">
        <v>49</v>
      </c>
      <c r="S6008" t="s">
        <v>238</v>
      </c>
      <c r="T6008" t="s">
        <v>427</v>
      </c>
      <c r="U6008" s="21">
        <v>15957.67</v>
      </c>
      <c r="V6008" s="21" t="s">
        <v>368</v>
      </c>
      <c r="W6008" t="str">
        <f>VLOOKUP(Table_Query_from_Actuarial___Production[[#This Row],[Kor1]],$AI$3:$AK$105,3,FALSE)</f>
        <v>ALAE Paid</v>
      </c>
      <c r="X6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08"/>
      <c r="Z6008" t="s">
        <v>37</v>
      </c>
      <c r="AA6008" t="s">
        <v>267</v>
      </c>
      <c r="AB6008" t="s">
        <v>6</v>
      </c>
      <c r="AC6008" s="21">
        <v>363.86</v>
      </c>
      <c r="AD6008" s="21" t="s">
        <v>368</v>
      </c>
      <c r="AE6008" t="str">
        <f>VLOOKUP(Table_Query_from_Actuarial___Production3[[#This Row],[Kor1]],$AI$3:$AK$105,3,FALSE)</f>
        <v>Misc. Expense</v>
      </c>
      <c r="AF6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09" spans="18:32" x14ac:dyDescent="0.2">
      <c r="R6009" t="s">
        <v>46</v>
      </c>
      <c r="S6009" t="s">
        <v>224</v>
      </c>
      <c r="T6009" t="s">
        <v>8</v>
      </c>
      <c r="U6009" s="21">
        <v>4347.4799999999996</v>
      </c>
      <c r="V6009" s="21" t="s">
        <v>368</v>
      </c>
      <c r="W6009" t="str">
        <f>VLOOKUP(Table_Query_from_Actuarial___Production[[#This Row],[Kor1]],$AI$3:$AK$105,3,FALSE)</f>
        <v>Investment Income</v>
      </c>
      <c r="X6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009"/>
      <c r="Z6009" t="s">
        <v>21</v>
      </c>
      <c r="AA6009" t="s">
        <v>228</v>
      </c>
      <c r="AB6009" t="s">
        <v>442</v>
      </c>
      <c r="AC6009" s="21">
        <v>641.51</v>
      </c>
      <c r="AD6009" s="21" t="s">
        <v>368</v>
      </c>
      <c r="AE6009" t="str">
        <f>VLOOKUP(Table_Query_from_Actuarial___Production3[[#This Row],[Kor1]],$AI$3:$AK$105,3,FALSE)</f>
        <v>Misc. Expense</v>
      </c>
      <c r="AF6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0" spans="18:32" x14ac:dyDescent="0.2">
      <c r="R6010" t="s">
        <v>46</v>
      </c>
      <c r="S6010" t="s">
        <v>224</v>
      </c>
      <c r="T6010" t="s">
        <v>351</v>
      </c>
      <c r="U6010" s="21">
        <v>23821.05</v>
      </c>
      <c r="V6010" s="21" t="s">
        <v>370</v>
      </c>
      <c r="W6010" t="str">
        <f>VLOOKUP(Table_Query_from_Actuarial___Production[[#This Row],[Kor1]],$AI$3:$AK$105,3,FALSE)</f>
        <v>Investment Income</v>
      </c>
      <c r="X6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010"/>
      <c r="Z6010" t="s">
        <v>41</v>
      </c>
      <c r="AA6010" t="s">
        <v>253</v>
      </c>
      <c r="AB6010" t="s">
        <v>9</v>
      </c>
      <c r="AC6010" s="21">
        <v>750</v>
      </c>
      <c r="AD6010" s="21" t="s">
        <v>368</v>
      </c>
      <c r="AE6010" t="str">
        <f>VLOOKUP(Table_Query_from_Actuarial___Production3[[#This Row],[Kor1]],$AI$3:$AK$105,3,FALSE)</f>
        <v>Misc. Income</v>
      </c>
      <c r="AF6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1" spans="18:32" x14ac:dyDescent="0.2">
      <c r="R6011" t="s">
        <v>16</v>
      </c>
      <c r="S6011" t="s">
        <v>241</v>
      </c>
      <c r="T6011" t="s">
        <v>443</v>
      </c>
      <c r="U6011" s="21">
        <v>9962.08</v>
      </c>
      <c r="V6011" s="21" t="s">
        <v>368</v>
      </c>
      <c r="W6011" t="str">
        <f>VLOOKUP(Table_Query_from_Actuarial___Production[[#This Row],[Kor1]],$AI$3:$AK$105,3,FALSE)</f>
        <v>Losses Outstanding</v>
      </c>
      <c r="X6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1"/>
      <c r="Z6011" t="s">
        <v>16</v>
      </c>
      <c r="AA6011" t="s">
        <v>4</v>
      </c>
      <c r="AB6011" t="s">
        <v>443</v>
      </c>
      <c r="AC6011" s="21">
        <v>507201.19</v>
      </c>
      <c r="AD6011" s="21" t="s">
        <v>368</v>
      </c>
      <c r="AE6011" t="str">
        <f>VLOOKUP(Table_Query_from_Actuarial___Production3[[#This Row],[Kor1]],$AI$3:$AK$105,3,FALSE)</f>
        <v>Losses Outstanding</v>
      </c>
      <c r="AF6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2" spans="18:32" x14ac:dyDescent="0.2">
      <c r="R6012" t="s">
        <v>19</v>
      </c>
      <c r="S6012" t="s">
        <v>266</v>
      </c>
      <c r="T6012" t="s">
        <v>9</v>
      </c>
      <c r="U6012" s="21">
        <v>578</v>
      </c>
      <c r="V6012" s="21" t="s">
        <v>368</v>
      </c>
      <c r="W6012" t="str">
        <f>VLOOKUP(Table_Query_from_Actuarial___Production[[#This Row],[Kor1]],$AI$3:$AK$105,3,FALSE)</f>
        <v>Misc. Expense for Insolvent Companies</v>
      </c>
      <c r="X6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2"/>
      <c r="Z6012" t="s">
        <v>14</v>
      </c>
      <c r="AA6012" t="s">
        <v>228</v>
      </c>
      <c r="AB6012" t="s">
        <v>6</v>
      </c>
      <c r="AC6012" s="21">
        <v>22674.06</v>
      </c>
      <c r="AD6012" s="21" t="s">
        <v>368</v>
      </c>
      <c r="AE6012" t="str">
        <f>VLOOKUP(Table_Query_from_Actuarial___Production3[[#This Row],[Kor1]],$AI$3:$AK$105,3,FALSE)</f>
        <v>Claims Expense</v>
      </c>
      <c r="AF6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3" spans="18:32" x14ac:dyDescent="0.2">
      <c r="R6013" t="s">
        <v>3</v>
      </c>
      <c r="S6013" t="s">
        <v>225</v>
      </c>
      <c r="T6013" t="s">
        <v>7</v>
      </c>
      <c r="U6013" s="21">
        <v>1268611.53</v>
      </c>
      <c r="V6013" s="21" t="s">
        <v>369</v>
      </c>
      <c r="W6013" t="str">
        <f>VLOOKUP(Table_Query_from_Actuarial___Production[[#This Row],[Kor1]],$AI$3:$AK$105,3,FALSE)</f>
        <v>Premiums Written</v>
      </c>
      <c r="X6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013"/>
      <c r="Z6013" t="s">
        <v>15</v>
      </c>
      <c r="AA6013" t="s">
        <v>264</v>
      </c>
      <c r="AB6013" t="s">
        <v>443</v>
      </c>
      <c r="AC6013" s="21">
        <v>979907.28</v>
      </c>
      <c r="AD6013" s="21" t="s">
        <v>368</v>
      </c>
      <c r="AE6013" t="str">
        <f>VLOOKUP(Table_Query_from_Actuarial___Production3[[#This Row],[Kor1]],$AI$3:$AK$105,3,FALSE)</f>
        <v>Unearned Premiums</v>
      </c>
      <c r="AF6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4" spans="18:32" x14ac:dyDescent="0.2">
      <c r="R6014" t="s">
        <v>34</v>
      </c>
      <c r="S6014" t="s">
        <v>262</v>
      </c>
      <c r="T6014" t="s">
        <v>351</v>
      </c>
      <c r="U6014" s="21">
        <v>591.34</v>
      </c>
      <c r="V6014" s="21" t="s">
        <v>368</v>
      </c>
      <c r="W6014" t="str">
        <f>VLOOKUP(Table_Query_from_Actuarial___Production[[#This Row],[Kor1]],$AI$3:$AK$105,3,FALSE)</f>
        <v>Misc. Expense</v>
      </c>
      <c r="X6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4"/>
      <c r="Z6014" t="s">
        <v>43</v>
      </c>
      <c r="AA6014" t="s">
        <v>231</v>
      </c>
      <c r="AB6014" t="s">
        <v>441</v>
      </c>
      <c r="AC6014" s="21">
        <v>509.98</v>
      </c>
      <c r="AD6014" s="21" t="s">
        <v>368</v>
      </c>
      <c r="AE6014" t="str">
        <f>VLOOKUP(Table_Query_from_Actuarial___Production3[[#This Row],[Kor1]],$AI$3:$AK$105,3,FALSE)</f>
        <v>Charge-offs</v>
      </c>
      <c r="AF6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5" spans="18:32" x14ac:dyDescent="0.2">
      <c r="R6015" t="s">
        <v>12</v>
      </c>
      <c r="S6015" t="s">
        <v>230</v>
      </c>
      <c r="T6015" t="s">
        <v>6</v>
      </c>
      <c r="U6015" s="21">
        <v>300464.65000000002</v>
      </c>
      <c r="V6015" s="21" t="s">
        <v>368</v>
      </c>
      <c r="W6015" t="str">
        <f>VLOOKUP(Table_Query_from_Actuarial___Production[[#This Row],[Kor1]],$AI$3:$AK$105,3,FALSE)</f>
        <v>Premium Tax</v>
      </c>
      <c r="X6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5"/>
      <c r="Z6015" t="s">
        <v>44</v>
      </c>
      <c r="AA6015" t="s">
        <v>229</v>
      </c>
      <c r="AB6015" t="s">
        <v>441</v>
      </c>
      <c r="AC6015" s="21">
        <v>-4</v>
      </c>
      <c r="AD6015" s="21" t="s">
        <v>368</v>
      </c>
      <c r="AE6015" t="str">
        <f>VLOOKUP(Table_Query_from_Actuarial___Production3[[#This Row],[Kor1]],$AI$3:$AK$105,3,FALSE)</f>
        <v>Charge-offs</v>
      </c>
      <c r="AF6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6" spans="18:32" x14ac:dyDescent="0.2">
      <c r="R6016" t="s">
        <v>43</v>
      </c>
      <c r="S6016" t="s">
        <v>258</v>
      </c>
      <c r="T6016" t="s">
        <v>6</v>
      </c>
      <c r="U6016" s="21">
        <v>-3.99</v>
      </c>
      <c r="V6016" s="21" t="s">
        <v>368</v>
      </c>
      <c r="W6016" t="str">
        <f>VLOOKUP(Table_Query_from_Actuarial___Production[[#This Row],[Kor1]],$AI$3:$AK$105,3,FALSE)</f>
        <v>Charge-offs</v>
      </c>
      <c r="X6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6"/>
      <c r="Z6016" t="s">
        <v>20</v>
      </c>
      <c r="AA6016" t="s">
        <v>227</v>
      </c>
      <c r="AB6016" t="s">
        <v>9</v>
      </c>
      <c r="AC6016" s="21">
        <v>678.41</v>
      </c>
      <c r="AD6016" s="21" t="s">
        <v>368</v>
      </c>
      <c r="AE6016" t="str">
        <f>VLOOKUP(Table_Query_from_Actuarial___Production3[[#This Row],[Kor1]],$AI$3:$AK$105,3,FALSE)</f>
        <v>Misc. Expense</v>
      </c>
      <c r="AF6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7" spans="18:32" x14ac:dyDescent="0.2">
      <c r="R6017" t="s">
        <v>41</v>
      </c>
      <c r="S6017" t="s">
        <v>258</v>
      </c>
      <c r="T6017" t="s">
        <v>433</v>
      </c>
      <c r="U6017" s="21">
        <v>50.03</v>
      </c>
      <c r="V6017" s="21" t="s">
        <v>368</v>
      </c>
      <c r="W6017" t="str">
        <f>VLOOKUP(Table_Query_from_Actuarial___Production[[#This Row],[Kor1]],$AI$3:$AK$105,3,FALSE)</f>
        <v>Misc. Income</v>
      </c>
      <c r="X6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7"/>
      <c r="Z6017" t="s">
        <v>46</v>
      </c>
      <c r="AA6017" t="s">
        <v>354</v>
      </c>
      <c r="AB6017" t="s">
        <v>433</v>
      </c>
      <c r="AC6017" s="21">
        <v>2631944.7200000002</v>
      </c>
      <c r="AD6017" s="21" t="s">
        <v>368</v>
      </c>
      <c r="AE6017" t="str">
        <f>VLOOKUP(Table_Query_from_Actuarial___Production3[[#This Row],[Kor1]],$AI$3:$AK$105,3,FALSE)</f>
        <v>Investment Income</v>
      </c>
      <c r="AF6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018" spans="18:32" x14ac:dyDescent="0.2">
      <c r="R6018" t="s">
        <v>47</v>
      </c>
      <c r="S6018" t="s">
        <v>233</v>
      </c>
      <c r="T6018" t="s">
        <v>6</v>
      </c>
      <c r="U6018" s="21">
        <v>0.03</v>
      </c>
      <c r="V6018" s="21" t="s">
        <v>368</v>
      </c>
      <c r="W6018" t="str">
        <f>VLOOKUP(Table_Query_from_Actuarial___Production[[#This Row],[Kor1]],$AI$3:$AK$105,3,FALSE)</f>
        <v>Investment Income</v>
      </c>
      <c r="X6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18"/>
      <c r="Z6018" t="s">
        <v>10</v>
      </c>
      <c r="AA6018" t="s">
        <v>231</v>
      </c>
      <c r="AB6018" t="s">
        <v>9</v>
      </c>
      <c r="AC6018" s="21">
        <v>26362.400000000001</v>
      </c>
      <c r="AD6018" s="21" t="s">
        <v>368</v>
      </c>
      <c r="AE6018" t="str">
        <f>VLOOKUP(Table_Query_from_Actuarial___Production3[[#This Row],[Kor1]],$AI$3:$AK$105,3,FALSE)</f>
        <v>Commissions</v>
      </c>
      <c r="AF6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19" spans="18:32" x14ac:dyDescent="0.2">
      <c r="R6019" t="s">
        <v>18</v>
      </c>
      <c r="S6019" t="s">
        <v>225</v>
      </c>
      <c r="T6019" t="s">
        <v>8</v>
      </c>
      <c r="U6019" s="21">
        <v>771585.78</v>
      </c>
      <c r="V6019" s="21" t="s">
        <v>368</v>
      </c>
      <c r="W6019" t="str">
        <f>VLOOKUP(Table_Query_from_Actuarial___Production[[#This Row],[Kor1]],$AI$3:$AK$105,3,FALSE)</f>
        <v>Misc. Expense</v>
      </c>
      <c r="X6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019"/>
      <c r="Z6019" t="s">
        <v>49</v>
      </c>
      <c r="AA6019" t="s">
        <v>238</v>
      </c>
      <c r="AB6019" t="s">
        <v>427</v>
      </c>
      <c r="AC6019" s="21">
        <v>9978.67</v>
      </c>
      <c r="AD6019" s="21" t="s">
        <v>368</v>
      </c>
      <c r="AE6019" t="str">
        <f>VLOOKUP(Table_Query_from_Actuarial___Production3[[#This Row],[Kor1]],$AI$3:$AK$105,3,FALSE)</f>
        <v>ALAE Paid</v>
      </c>
      <c r="AF6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0" spans="18:32" x14ac:dyDescent="0.2">
      <c r="R6020" t="s">
        <v>10</v>
      </c>
      <c r="S6020" t="s">
        <v>244</v>
      </c>
      <c r="T6020" t="s">
        <v>427</v>
      </c>
      <c r="U6020" s="21">
        <v>176266.76</v>
      </c>
      <c r="V6020" s="21" t="s">
        <v>368</v>
      </c>
      <c r="W6020" t="str">
        <f>VLOOKUP(Table_Query_from_Actuarial___Production[[#This Row],[Kor1]],$AI$3:$AK$105,3,FALSE)</f>
        <v>Commissions</v>
      </c>
      <c r="X6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0"/>
      <c r="Z6020" t="s">
        <v>46</v>
      </c>
      <c r="AA6020" t="s">
        <v>224</v>
      </c>
      <c r="AB6020" t="s">
        <v>8</v>
      </c>
      <c r="AC6020" s="21">
        <v>4347.4799999999996</v>
      </c>
      <c r="AD6020" s="21" t="s">
        <v>368</v>
      </c>
      <c r="AE6020" t="str">
        <f>VLOOKUP(Table_Query_from_Actuarial___Production3[[#This Row],[Kor1]],$AI$3:$AK$105,3,FALSE)</f>
        <v>Investment Income</v>
      </c>
      <c r="AF6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021" spans="18:32" x14ac:dyDescent="0.2">
      <c r="R6021" t="s">
        <v>12</v>
      </c>
      <c r="S6021" t="s">
        <v>260</v>
      </c>
      <c r="T6021" t="s">
        <v>427</v>
      </c>
      <c r="U6021" s="21">
        <v>136.07</v>
      </c>
      <c r="V6021" s="21" t="s">
        <v>368</v>
      </c>
      <c r="W6021" t="str">
        <f>VLOOKUP(Table_Query_from_Actuarial___Production[[#This Row],[Kor1]],$AI$3:$AK$105,3,FALSE)</f>
        <v>Premium Tax</v>
      </c>
      <c r="X6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1"/>
      <c r="Z6021" t="s">
        <v>46</v>
      </c>
      <c r="AA6021" t="s">
        <v>224</v>
      </c>
      <c r="AB6021" t="s">
        <v>351</v>
      </c>
      <c r="AC6021" s="21">
        <v>23821.05</v>
      </c>
      <c r="AD6021" s="21" t="s">
        <v>370</v>
      </c>
      <c r="AE6021" t="str">
        <f>VLOOKUP(Table_Query_from_Actuarial___Production3[[#This Row],[Kor1]],$AI$3:$AK$105,3,FALSE)</f>
        <v>Investment Income</v>
      </c>
      <c r="AF6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022" spans="18:32" x14ac:dyDescent="0.2">
      <c r="R6022" t="s">
        <v>44</v>
      </c>
      <c r="S6022" t="s">
        <v>240</v>
      </c>
      <c r="T6022" t="s">
        <v>9</v>
      </c>
      <c r="U6022" s="21">
        <v>903.6</v>
      </c>
      <c r="V6022" s="21" t="s">
        <v>368</v>
      </c>
      <c r="W6022" t="str">
        <f>VLOOKUP(Table_Query_from_Actuarial___Production[[#This Row],[Kor1]],$AI$3:$AK$105,3,FALSE)</f>
        <v>Charge-offs</v>
      </c>
      <c r="X6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2"/>
      <c r="Z6022" t="s">
        <v>17</v>
      </c>
      <c r="AA6022" t="s">
        <v>254</v>
      </c>
      <c r="AB6022" t="s">
        <v>427</v>
      </c>
      <c r="AC6022" s="21">
        <v>666817.21</v>
      </c>
      <c r="AD6022" s="21" t="s">
        <v>368</v>
      </c>
      <c r="AE6022" t="str">
        <f>VLOOKUP(Table_Query_from_Actuarial___Production3[[#This Row],[Kor1]],$AI$3:$AK$105,3,FALSE)</f>
        <v>IBNR</v>
      </c>
      <c r="AF6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3" spans="18:32" x14ac:dyDescent="0.2">
      <c r="R6023" t="s">
        <v>10</v>
      </c>
      <c r="S6023" t="s">
        <v>253</v>
      </c>
      <c r="T6023" t="s">
        <v>442</v>
      </c>
      <c r="U6023" s="21">
        <v>523.95000000000005</v>
      </c>
      <c r="V6023" s="21" t="s">
        <v>368</v>
      </c>
      <c r="W6023" t="str">
        <f>VLOOKUP(Table_Query_from_Actuarial___Production[[#This Row],[Kor1]],$AI$3:$AK$105,3,FALSE)</f>
        <v>Commissions</v>
      </c>
      <c r="X6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3"/>
      <c r="Z6023" t="s">
        <v>19</v>
      </c>
      <c r="AA6023" t="s">
        <v>266</v>
      </c>
      <c r="AB6023" t="s">
        <v>9</v>
      </c>
      <c r="AC6023" s="21">
        <v>578</v>
      </c>
      <c r="AD6023" s="21" t="s">
        <v>368</v>
      </c>
      <c r="AE6023" t="str">
        <f>VLOOKUP(Table_Query_from_Actuarial___Production3[[#This Row],[Kor1]],$AI$3:$AK$105,3,FALSE)</f>
        <v>Misc. Expense for Insolvent Companies</v>
      </c>
      <c r="AF6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4" spans="18:32" x14ac:dyDescent="0.2">
      <c r="R6024" t="s">
        <v>13</v>
      </c>
      <c r="S6024" t="s">
        <v>249</v>
      </c>
      <c r="T6024" t="s">
        <v>7</v>
      </c>
      <c r="U6024" s="21">
        <v>52912.88</v>
      </c>
      <c r="V6024" s="21" t="s">
        <v>368</v>
      </c>
      <c r="W6024" t="str">
        <f>VLOOKUP(Table_Query_from_Actuarial___Production[[#This Row],[Kor1]],$AI$3:$AK$105,3,FALSE)</f>
        <v>Operating Service Fees</v>
      </c>
      <c r="X6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4"/>
      <c r="Z6024" t="s">
        <v>3</v>
      </c>
      <c r="AA6024" t="s">
        <v>225</v>
      </c>
      <c r="AB6024" t="s">
        <v>7</v>
      </c>
      <c r="AC6024" s="21">
        <v>1268611.53</v>
      </c>
      <c r="AD6024" s="21" t="s">
        <v>369</v>
      </c>
      <c r="AE6024" t="str">
        <f>VLOOKUP(Table_Query_from_Actuarial___Production3[[#This Row],[Kor1]],$AI$3:$AK$105,3,FALSE)</f>
        <v>Premiums Written</v>
      </c>
      <c r="AF6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025" spans="18:32" x14ac:dyDescent="0.2">
      <c r="R6025" t="s">
        <v>29</v>
      </c>
      <c r="S6025" t="s">
        <v>4</v>
      </c>
      <c r="T6025" t="s">
        <v>441</v>
      </c>
      <c r="U6025" s="21">
        <v>4995.42</v>
      </c>
      <c r="V6025" s="21" t="s">
        <v>368</v>
      </c>
      <c r="W6025" t="str">
        <f>VLOOKUP(Table_Query_from_Actuarial___Production[[#This Row],[Kor1]],$AI$3:$AK$105,3,FALSE)</f>
        <v>Misc. Expense</v>
      </c>
      <c r="X6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5"/>
      <c r="Z6025" t="s">
        <v>34</v>
      </c>
      <c r="AA6025" t="s">
        <v>262</v>
      </c>
      <c r="AB6025" t="s">
        <v>351</v>
      </c>
      <c r="AC6025" s="21">
        <v>591.34</v>
      </c>
      <c r="AD6025" s="21" t="s">
        <v>368</v>
      </c>
      <c r="AE6025" t="str">
        <f>VLOOKUP(Table_Query_from_Actuarial___Production3[[#This Row],[Kor1]],$AI$3:$AK$105,3,FALSE)</f>
        <v>Misc. Expense</v>
      </c>
      <c r="AF6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6" spans="18:32" x14ac:dyDescent="0.2">
      <c r="R6026" t="s">
        <v>34</v>
      </c>
      <c r="S6026" t="s">
        <v>261</v>
      </c>
      <c r="T6026" t="s">
        <v>356</v>
      </c>
      <c r="U6026" s="21">
        <v>687.21</v>
      </c>
      <c r="V6026" s="21" t="s">
        <v>368</v>
      </c>
      <c r="W6026" t="str">
        <f>VLOOKUP(Table_Query_from_Actuarial___Production[[#This Row],[Kor1]],$AI$3:$AK$105,3,FALSE)</f>
        <v>Misc. Expense</v>
      </c>
      <c r="X6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6"/>
      <c r="Z6026" t="s">
        <v>12</v>
      </c>
      <c r="AA6026" t="s">
        <v>230</v>
      </c>
      <c r="AB6026" t="s">
        <v>6</v>
      </c>
      <c r="AC6026" s="21">
        <v>300464.65000000002</v>
      </c>
      <c r="AD6026" s="21" t="s">
        <v>368</v>
      </c>
      <c r="AE6026" t="str">
        <f>VLOOKUP(Table_Query_from_Actuarial___Production3[[#This Row],[Kor1]],$AI$3:$AK$105,3,FALSE)</f>
        <v>Premium Tax</v>
      </c>
      <c r="AF6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7" spans="18:32" x14ac:dyDescent="0.2">
      <c r="R6027" t="s">
        <v>41</v>
      </c>
      <c r="S6027" t="s">
        <v>258</v>
      </c>
      <c r="T6027" t="s">
        <v>7</v>
      </c>
      <c r="U6027" s="21">
        <v>888.58</v>
      </c>
      <c r="V6027" s="21" t="s">
        <v>368</v>
      </c>
      <c r="W6027" t="str">
        <f>VLOOKUP(Table_Query_from_Actuarial___Production[[#This Row],[Kor1]],$AI$3:$AK$105,3,FALSE)</f>
        <v>Misc. Income</v>
      </c>
      <c r="X6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7"/>
      <c r="Z6027" t="s">
        <v>16</v>
      </c>
      <c r="AA6027" t="s">
        <v>263</v>
      </c>
      <c r="AB6027" t="s">
        <v>6</v>
      </c>
      <c r="AC6027" s="21">
        <v>24333</v>
      </c>
      <c r="AD6027" s="21" t="s">
        <v>368</v>
      </c>
      <c r="AE6027" t="str">
        <f>VLOOKUP(Table_Query_from_Actuarial___Production3[[#This Row],[Kor1]],$AI$3:$AK$105,3,FALSE)</f>
        <v>Losses Outstanding</v>
      </c>
      <c r="AF6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8" spans="18:32" x14ac:dyDescent="0.2">
      <c r="R6028" t="s">
        <v>49</v>
      </c>
      <c r="S6028" t="s">
        <v>252</v>
      </c>
      <c r="T6028" t="s">
        <v>441</v>
      </c>
      <c r="U6028" s="21">
        <v>624726.77</v>
      </c>
      <c r="V6028" s="21" t="s">
        <v>368</v>
      </c>
      <c r="W6028" t="str">
        <f>VLOOKUP(Table_Query_from_Actuarial___Production[[#This Row],[Kor1]],$AI$3:$AK$105,3,FALSE)</f>
        <v>ALAE Paid</v>
      </c>
      <c r="X6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8"/>
      <c r="Z6028" t="s">
        <v>43</v>
      </c>
      <c r="AA6028" t="s">
        <v>258</v>
      </c>
      <c r="AB6028" t="s">
        <v>6</v>
      </c>
      <c r="AC6028" s="21">
        <v>-3.99</v>
      </c>
      <c r="AD6028" s="21" t="s">
        <v>368</v>
      </c>
      <c r="AE6028" t="str">
        <f>VLOOKUP(Table_Query_from_Actuarial___Production3[[#This Row],[Kor1]],$AI$3:$AK$105,3,FALSE)</f>
        <v>Charge-offs</v>
      </c>
      <c r="AF6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29" spans="18:32" x14ac:dyDescent="0.2">
      <c r="R6029" t="s">
        <v>11</v>
      </c>
      <c r="S6029" t="s">
        <v>235</v>
      </c>
      <c r="T6029" t="s">
        <v>351</v>
      </c>
      <c r="U6029" s="21">
        <v>1185596.6599999999</v>
      </c>
      <c r="V6029" s="21" t="s">
        <v>368</v>
      </c>
      <c r="W6029" t="str">
        <f>VLOOKUP(Table_Query_from_Actuarial___Production[[#This Row],[Kor1]],$AI$3:$AK$105,3,FALSE)</f>
        <v>Losses Paid</v>
      </c>
      <c r="X6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29"/>
      <c r="Z6029" t="s">
        <v>41</v>
      </c>
      <c r="AA6029" t="s">
        <v>258</v>
      </c>
      <c r="AB6029" t="s">
        <v>433</v>
      </c>
      <c r="AC6029" s="21">
        <v>50.03</v>
      </c>
      <c r="AD6029" s="21" t="s">
        <v>368</v>
      </c>
      <c r="AE6029" t="str">
        <f>VLOOKUP(Table_Query_from_Actuarial___Production3[[#This Row],[Kor1]],$AI$3:$AK$105,3,FALSE)</f>
        <v>Misc. Income</v>
      </c>
      <c r="AF6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0" spans="18:32" x14ac:dyDescent="0.2">
      <c r="R6030" t="s">
        <v>33</v>
      </c>
      <c r="S6030" t="s">
        <v>266</v>
      </c>
      <c r="T6030" t="s">
        <v>351</v>
      </c>
      <c r="U6030" s="21">
        <v>16106.67</v>
      </c>
      <c r="V6030" s="21" t="s">
        <v>368</v>
      </c>
      <c r="W6030" t="str">
        <f>VLOOKUP(Table_Query_from_Actuarial___Production[[#This Row],[Kor1]],$AI$3:$AK$105,3,FALSE)</f>
        <v>Misc. Expense</v>
      </c>
      <c r="X6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0"/>
      <c r="Z6030" t="s">
        <v>43</v>
      </c>
      <c r="AA6030" t="s">
        <v>252</v>
      </c>
      <c r="AB6030" t="s">
        <v>5</v>
      </c>
      <c r="AC6030" s="21">
        <v>-3082.84</v>
      </c>
      <c r="AD6030" s="21" t="s">
        <v>368</v>
      </c>
      <c r="AE6030" t="str">
        <f>VLOOKUP(Table_Query_from_Actuarial___Production3[[#This Row],[Kor1]],$AI$3:$AK$105,3,FALSE)</f>
        <v>Charge-offs</v>
      </c>
      <c r="AF6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1" spans="18:32" x14ac:dyDescent="0.2">
      <c r="R6031" t="s">
        <v>15</v>
      </c>
      <c r="S6031" t="s">
        <v>244</v>
      </c>
      <c r="T6031" t="s">
        <v>445</v>
      </c>
      <c r="U6031" s="21">
        <v>1672883.14</v>
      </c>
      <c r="V6031" s="21" t="s">
        <v>368</v>
      </c>
      <c r="W6031" t="str">
        <f>VLOOKUP(Table_Query_from_Actuarial___Production[[#This Row],[Kor1]],$AI$3:$AK$105,3,FALSE)</f>
        <v>Unearned Premiums</v>
      </c>
      <c r="X6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1"/>
      <c r="Z6031" t="s">
        <v>47</v>
      </c>
      <c r="AA6031" t="s">
        <v>233</v>
      </c>
      <c r="AB6031" t="s">
        <v>6</v>
      </c>
      <c r="AC6031" s="21">
        <v>0.03</v>
      </c>
      <c r="AD6031" s="21" t="s">
        <v>368</v>
      </c>
      <c r="AE6031" t="str">
        <f>VLOOKUP(Table_Query_from_Actuarial___Production3[[#This Row],[Kor1]],$AI$3:$AK$105,3,FALSE)</f>
        <v>Investment Income</v>
      </c>
      <c r="AF6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2" spans="18:32" x14ac:dyDescent="0.2">
      <c r="R6032" t="s">
        <v>12</v>
      </c>
      <c r="S6032" t="s">
        <v>253</v>
      </c>
      <c r="T6032" t="s">
        <v>7</v>
      </c>
      <c r="U6032" s="21">
        <v>123.2</v>
      </c>
      <c r="V6032" s="21" t="s">
        <v>368</v>
      </c>
      <c r="W6032" t="str">
        <f>VLOOKUP(Table_Query_from_Actuarial___Production[[#This Row],[Kor1]],$AI$3:$AK$105,3,FALSE)</f>
        <v>Premium Tax</v>
      </c>
      <c r="X6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2"/>
      <c r="Z6032" t="s">
        <v>18</v>
      </c>
      <c r="AA6032" t="s">
        <v>225</v>
      </c>
      <c r="AB6032" t="s">
        <v>8</v>
      </c>
      <c r="AC6032" s="21">
        <v>771585.78</v>
      </c>
      <c r="AD6032" s="21" t="s">
        <v>368</v>
      </c>
      <c r="AE6032" t="str">
        <f>VLOOKUP(Table_Query_from_Actuarial___Production3[[#This Row],[Kor1]],$AI$3:$AK$105,3,FALSE)</f>
        <v>Misc. Expense</v>
      </c>
      <c r="AF6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033" spans="18:32" x14ac:dyDescent="0.2">
      <c r="R6033" t="s">
        <v>33</v>
      </c>
      <c r="S6033" t="s">
        <v>267</v>
      </c>
      <c r="T6033" t="s">
        <v>356</v>
      </c>
      <c r="U6033" s="21">
        <v>14836.62</v>
      </c>
      <c r="V6033" s="21" t="s">
        <v>368</v>
      </c>
      <c r="W6033" t="str">
        <f>VLOOKUP(Table_Query_from_Actuarial___Production[[#This Row],[Kor1]],$AI$3:$AK$105,3,FALSE)</f>
        <v>Misc. Expense</v>
      </c>
      <c r="X6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3"/>
      <c r="Z6033" t="s">
        <v>10</v>
      </c>
      <c r="AA6033" t="s">
        <v>244</v>
      </c>
      <c r="AB6033" t="s">
        <v>427</v>
      </c>
      <c r="AC6033" s="21">
        <v>176266.76</v>
      </c>
      <c r="AD6033" s="21" t="s">
        <v>368</v>
      </c>
      <c r="AE6033" t="str">
        <f>VLOOKUP(Table_Query_from_Actuarial___Production3[[#This Row],[Kor1]],$AI$3:$AK$105,3,FALSE)</f>
        <v>Commissions</v>
      </c>
      <c r="AF6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4" spans="18:32" x14ac:dyDescent="0.2">
      <c r="R6034" t="s">
        <v>14</v>
      </c>
      <c r="S6034" t="s">
        <v>247</v>
      </c>
      <c r="T6034" t="s">
        <v>7</v>
      </c>
      <c r="U6034" s="21">
        <v>296.7</v>
      </c>
      <c r="V6034" s="21" t="s">
        <v>368</v>
      </c>
      <c r="W6034" t="str">
        <f>VLOOKUP(Table_Query_from_Actuarial___Production[[#This Row],[Kor1]],$AI$3:$AK$105,3,FALSE)</f>
        <v>Claims Expense</v>
      </c>
      <c r="X6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4"/>
      <c r="Z6034" t="s">
        <v>12</v>
      </c>
      <c r="AA6034" t="s">
        <v>260</v>
      </c>
      <c r="AB6034" t="s">
        <v>427</v>
      </c>
      <c r="AC6034" s="21">
        <v>136.07</v>
      </c>
      <c r="AD6034" s="21" t="s">
        <v>368</v>
      </c>
      <c r="AE6034" t="str">
        <f>VLOOKUP(Table_Query_from_Actuarial___Production3[[#This Row],[Kor1]],$AI$3:$AK$105,3,FALSE)</f>
        <v>Premium Tax</v>
      </c>
      <c r="AF6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5" spans="18:32" x14ac:dyDescent="0.2">
      <c r="R6035" t="s">
        <v>12</v>
      </c>
      <c r="S6035" t="s">
        <v>228</v>
      </c>
      <c r="T6035" t="s">
        <v>6</v>
      </c>
      <c r="U6035" s="21">
        <v>9571.7000000000007</v>
      </c>
      <c r="V6035" s="21" t="s">
        <v>368</v>
      </c>
      <c r="W6035" t="str">
        <f>VLOOKUP(Table_Query_from_Actuarial___Production[[#This Row],[Kor1]],$AI$3:$AK$105,3,FALSE)</f>
        <v>Premium Tax</v>
      </c>
      <c r="X6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5"/>
      <c r="Z6035" t="s">
        <v>16</v>
      </c>
      <c r="AA6035" t="s">
        <v>266</v>
      </c>
      <c r="AB6035" t="s">
        <v>433</v>
      </c>
      <c r="AC6035" s="21">
        <v>669033</v>
      </c>
      <c r="AD6035" s="21" t="s">
        <v>368</v>
      </c>
      <c r="AE6035" t="str">
        <f>VLOOKUP(Table_Query_from_Actuarial___Production3[[#This Row],[Kor1]],$AI$3:$AK$105,3,FALSE)</f>
        <v>Losses Outstanding</v>
      </c>
      <c r="AF6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6" spans="18:32" x14ac:dyDescent="0.2">
      <c r="R6036" t="s">
        <v>21</v>
      </c>
      <c r="S6036" t="s">
        <v>257</v>
      </c>
      <c r="T6036" t="s">
        <v>6</v>
      </c>
      <c r="U6036" s="21">
        <v>3665.47</v>
      </c>
      <c r="V6036" s="21" t="s">
        <v>368</v>
      </c>
      <c r="W6036" t="str">
        <f>VLOOKUP(Table_Query_from_Actuarial___Production[[#This Row],[Kor1]],$AI$3:$AK$105,3,FALSE)</f>
        <v>Misc. Expense</v>
      </c>
      <c r="X6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6"/>
      <c r="Z6036" t="s">
        <v>44</v>
      </c>
      <c r="AA6036" t="s">
        <v>240</v>
      </c>
      <c r="AB6036" t="s">
        <v>9</v>
      </c>
      <c r="AC6036" s="21">
        <v>903.6</v>
      </c>
      <c r="AD6036" s="21" t="s">
        <v>368</v>
      </c>
      <c r="AE6036" t="str">
        <f>VLOOKUP(Table_Query_from_Actuarial___Production3[[#This Row],[Kor1]],$AI$3:$AK$105,3,FALSE)</f>
        <v>Charge-offs</v>
      </c>
      <c r="AF6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7" spans="18:32" x14ac:dyDescent="0.2">
      <c r="R6037" t="s">
        <v>39</v>
      </c>
      <c r="S6037" t="s">
        <v>244</v>
      </c>
      <c r="T6037" t="s">
        <v>9</v>
      </c>
      <c r="U6037" s="21">
        <v>13832.01</v>
      </c>
      <c r="V6037" s="21" t="s">
        <v>368</v>
      </c>
      <c r="W6037" t="str">
        <f>VLOOKUP(Table_Query_from_Actuarial___Production[[#This Row],[Kor1]],$AI$3:$AK$105,3,FALSE)</f>
        <v>Misc. Income for Insolvent Companies</v>
      </c>
      <c r="X6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7"/>
      <c r="Z6037" t="s">
        <v>10</v>
      </c>
      <c r="AA6037" t="s">
        <v>253</v>
      </c>
      <c r="AB6037" t="s">
        <v>442</v>
      </c>
      <c r="AC6037" s="21">
        <v>523.95000000000005</v>
      </c>
      <c r="AD6037" s="21" t="s">
        <v>368</v>
      </c>
      <c r="AE6037" t="str">
        <f>VLOOKUP(Table_Query_from_Actuarial___Production3[[#This Row],[Kor1]],$AI$3:$AK$105,3,FALSE)</f>
        <v>Commissions</v>
      </c>
      <c r="AF6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8" spans="18:32" x14ac:dyDescent="0.2">
      <c r="R6038" t="s">
        <v>39</v>
      </c>
      <c r="S6038" t="s">
        <v>248</v>
      </c>
      <c r="T6038" t="s">
        <v>7</v>
      </c>
      <c r="U6038" s="21">
        <v>3</v>
      </c>
      <c r="V6038" s="21" t="s">
        <v>368</v>
      </c>
      <c r="W6038" t="str">
        <f>VLOOKUP(Table_Query_from_Actuarial___Production[[#This Row],[Kor1]],$AI$3:$AK$105,3,FALSE)</f>
        <v>Misc. Income for Insolvent Companies</v>
      </c>
      <c r="X6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8"/>
      <c r="Z6038" t="s">
        <v>13</v>
      </c>
      <c r="AA6038" t="s">
        <v>249</v>
      </c>
      <c r="AB6038" t="s">
        <v>7</v>
      </c>
      <c r="AC6038" s="21">
        <v>52912.88</v>
      </c>
      <c r="AD6038" s="21" t="s">
        <v>368</v>
      </c>
      <c r="AE6038" t="str">
        <f>VLOOKUP(Table_Query_from_Actuarial___Production3[[#This Row],[Kor1]],$AI$3:$AK$105,3,FALSE)</f>
        <v>Operating Service Fees</v>
      </c>
      <c r="AF6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39" spans="18:32" x14ac:dyDescent="0.2">
      <c r="R6039" t="s">
        <v>31</v>
      </c>
      <c r="S6039" t="s">
        <v>255</v>
      </c>
      <c r="T6039" t="s">
        <v>441</v>
      </c>
      <c r="U6039" s="21">
        <v>1330.11</v>
      </c>
      <c r="V6039" s="21" t="s">
        <v>368</v>
      </c>
      <c r="W6039" t="str">
        <f>VLOOKUP(Table_Query_from_Actuarial___Production[[#This Row],[Kor1]],$AI$3:$AK$105,3,FALSE)</f>
        <v>Misc. Expense</v>
      </c>
      <c r="X6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39"/>
      <c r="Z6039" t="s">
        <v>29</v>
      </c>
      <c r="AA6039" t="s">
        <v>4</v>
      </c>
      <c r="AB6039" t="s">
        <v>441</v>
      </c>
      <c r="AC6039" s="21">
        <v>4995.42</v>
      </c>
      <c r="AD6039" s="21" t="s">
        <v>368</v>
      </c>
      <c r="AE6039" t="str">
        <f>VLOOKUP(Table_Query_from_Actuarial___Production3[[#This Row],[Kor1]],$AI$3:$AK$105,3,FALSE)</f>
        <v>Misc. Expense</v>
      </c>
      <c r="AF6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0" spans="18:32" x14ac:dyDescent="0.2">
      <c r="R6040" t="s">
        <v>39</v>
      </c>
      <c r="S6040" t="s">
        <v>262</v>
      </c>
      <c r="T6040" t="s">
        <v>443</v>
      </c>
      <c r="U6040" s="21">
        <v>3.5</v>
      </c>
      <c r="V6040" s="21" t="s">
        <v>368</v>
      </c>
      <c r="W6040" t="str">
        <f>VLOOKUP(Table_Query_from_Actuarial___Production[[#This Row],[Kor1]],$AI$3:$AK$105,3,FALSE)</f>
        <v>Misc. Income for Insolvent Companies</v>
      </c>
      <c r="X6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0"/>
      <c r="Z6040" t="s">
        <v>34</v>
      </c>
      <c r="AA6040" t="s">
        <v>261</v>
      </c>
      <c r="AB6040" t="s">
        <v>356</v>
      </c>
      <c r="AC6040" s="21">
        <v>687.21</v>
      </c>
      <c r="AD6040" s="21" t="s">
        <v>368</v>
      </c>
      <c r="AE6040" t="str">
        <f>VLOOKUP(Table_Query_from_Actuarial___Production3[[#This Row],[Kor1]],$AI$3:$AK$105,3,FALSE)</f>
        <v>Misc. Expense</v>
      </c>
      <c r="AF6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1" spans="18:32" x14ac:dyDescent="0.2">
      <c r="R6041" t="s">
        <v>17</v>
      </c>
      <c r="S6041" t="s">
        <v>249</v>
      </c>
      <c r="T6041" t="s">
        <v>445</v>
      </c>
      <c r="U6041" s="21">
        <v>44306.17</v>
      </c>
      <c r="V6041" s="21" t="s">
        <v>368</v>
      </c>
      <c r="W6041" t="str">
        <f>VLOOKUP(Table_Query_from_Actuarial___Production[[#This Row],[Kor1]],$AI$3:$AK$105,3,FALSE)</f>
        <v>IBNR</v>
      </c>
      <c r="X6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1"/>
      <c r="Z6041" t="s">
        <v>41</v>
      </c>
      <c r="AA6041" t="s">
        <v>258</v>
      </c>
      <c r="AB6041" t="s">
        <v>7</v>
      </c>
      <c r="AC6041" s="21">
        <v>888.58</v>
      </c>
      <c r="AD6041" s="21" t="s">
        <v>368</v>
      </c>
      <c r="AE6041" t="str">
        <f>VLOOKUP(Table_Query_from_Actuarial___Production3[[#This Row],[Kor1]],$AI$3:$AK$105,3,FALSE)</f>
        <v>Misc. Income</v>
      </c>
      <c r="AF6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2" spans="18:32" x14ac:dyDescent="0.2">
      <c r="R6042" t="s">
        <v>44</v>
      </c>
      <c r="S6042" t="s">
        <v>250</v>
      </c>
      <c r="T6042" t="s">
        <v>7</v>
      </c>
      <c r="U6042" s="21">
        <v>688.4</v>
      </c>
      <c r="V6042" s="21" t="s">
        <v>368</v>
      </c>
      <c r="W6042" t="str">
        <f>VLOOKUP(Table_Query_from_Actuarial___Production[[#This Row],[Kor1]],$AI$3:$AK$105,3,FALSE)</f>
        <v>Charge-offs</v>
      </c>
      <c r="X6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2"/>
      <c r="Z6042" t="s">
        <v>49</v>
      </c>
      <c r="AA6042" t="s">
        <v>252</v>
      </c>
      <c r="AB6042" t="s">
        <v>441</v>
      </c>
      <c r="AC6042" s="21">
        <v>262327.84999999998</v>
      </c>
      <c r="AD6042" s="21" t="s">
        <v>368</v>
      </c>
      <c r="AE6042" t="str">
        <f>VLOOKUP(Table_Query_from_Actuarial___Production3[[#This Row],[Kor1]],$AI$3:$AK$105,3,FALSE)</f>
        <v>ALAE Paid</v>
      </c>
      <c r="AF6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3" spans="18:32" x14ac:dyDescent="0.2">
      <c r="R6043" t="s">
        <v>11</v>
      </c>
      <c r="S6043" t="s">
        <v>226</v>
      </c>
      <c r="T6043" t="s">
        <v>441</v>
      </c>
      <c r="U6043" s="21">
        <v>1144339.83</v>
      </c>
      <c r="V6043" s="21" t="s">
        <v>368</v>
      </c>
      <c r="W6043" t="str">
        <f>VLOOKUP(Table_Query_from_Actuarial___Production[[#This Row],[Kor1]],$AI$3:$AK$105,3,FALSE)</f>
        <v>Losses Paid</v>
      </c>
      <c r="X6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043"/>
      <c r="Z6043" t="s">
        <v>11</v>
      </c>
      <c r="AA6043" t="s">
        <v>235</v>
      </c>
      <c r="AB6043" t="s">
        <v>351</v>
      </c>
      <c r="AC6043" s="21">
        <v>1185596.6599999999</v>
      </c>
      <c r="AD6043" s="21" t="s">
        <v>368</v>
      </c>
      <c r="AE6043" t="str">
        <f>VLOOKUP(Table_Query_from_Actuarial___Production3[[#This Row],[Kor1]],$AI$3:$AK$105,3,FALSE)</f>
        <v>Losses Paid</v>
      </c>
      <c r="AF6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4" spans="18:32" x14ac:dyDescent="0.2">
      <c r="R6044" t="s">
        <v>20</v>
      </c>
      <c r="S6044" t="s">
        <v>239</v>
      </c>
      <c r="T6044" t="s">
        <v>9</v>
      </c>
      <c r="U6044" s="21">
        <v>28.87</v>
      </c>
      <c r="V6044" s="21" t="s">
        <v>368</v>
      </c>
      <c r="W6044" t="str">
        <f>VLOOKUP(Table_Query_from_Actuarial___Production[[#This Row],[Kor1]],$AI$3:$AK$105,3,FALSE)</f>
        <v>Misc. Expense</v>
      </c>
      <c r="X6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4"/>
      <c r="Z6044" t="s">
        <v>33</v>
      </c>
      <c r="AA6044" t="s">
        <v>266</v>
      </c>
      <c r="AB6044" t="s">
        <v>351</v>
      </c>
      <c r="AC6044" s="21">
        <v>16106.67</v>
      </c>
      <c r="AD6044" s="21" t="s">
        <v>368</v>
      </c>
      <c r="AE6044" t="str">
        <f>VLOOKUP(Table_Query_from_Actuarial___Production3[[#This Row],[Kor1]],$AI$3:$AK$105,3,FALSE)</f>
        <v>Misc. Expense</v>
      </c>
      <c r="AF6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5" spans="18:32" x14ac:dyDescent="0.2">
      <c r="R6045" t="s">
        <v>44</v>
      </c>
      <c r="S6045" t="s">
        <v>237</v>
      </c>
      <c r="T6045" t="s">
        <v>7</v>
      </c>
      <c r="U6045" s="21">
        <v>141040.31</v>
      </c>
      <c r="V6045" s="21" t="s">
        <v>368</v>
      </c>
      <c r="W6045" t="str">
        <f>VLOOKUP(Table_Query_from_Actuarial___Production[[#This Row],[Kor1]],$AI$3:$AK$105,3,FALSE)</f>
        <v>Charge-offs</v>
      </c>
      <c r="X6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5"/>
      <c r="Z6045" t="s">
        <v>12</v>
      </c>
      <c r="AA6045" t="s">
        <v>253</v>
      </c>
      <c r="AB6045" t="s">
        <v>7</v>
      </c>
      <c r="AC6045" s="21">
        <v>123.2</v>
      </c>
      <c r="AD6045" s="21" t="s">
        <v>368</v>
      </c>
      <c r="AE6045" t="str">
        <f>VLOOKUP(Table_Query_from_Actuarial___Production3[[#This Row],[Kor1]],$AI$3:$AK$105,3,FALSE)</f>
        <v>Premium Tax</v>
      </c>
      <c r="AF6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6" spans="18:32" x14ac:dyDescent="0.2">
      <c r="R6046" t="s">
        <v>10</v>
      </c>
      <c r="S6046" t="s">
        <v>228</v>
      </c>
      <c r="T6046" t="s">
        <v>445</v>
      </c>
      <c r="U6046" s="21">
        <v>498.25</v>
      </c>
      <c r="V6046" s="21" t="s">
        <v>368</v>
      </c>
      <c r="W6046" t="str">
        <f>VLOOKUP(Table_Query_from_Actuarial___Production[[#This Row],[Kor1]],$AI$3:$AK$105,3,FALSE)</f>
        <v>Commissions</v>
      </c>
      <c r="X6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6"/>
      <c r="Z6046" t="s">
        <v>33</v>
      </c>
      <c r="AA6046" t="s">
        <v>267</v>
      </c>
      <c r="AB6046" t="s">
        <v>356</v>
      </c>
      <c r="AC6046" s="21">
        <v>14836.62</v>
      </c>
      <c r="AD6046" s="21" t="s">
        <v>368</v>
      </c>
      <c r="AE6046" t="str">
        <f>VLOOKUP(Table_Query_from_Actuarial___Production3[[#This Row],[Kor1]],$AI$3:$AK$105,3,FALSE)</f>
        <v>Misc. Expense</v>
      </c>
      <c r="AF6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7" spans="18:32" x14ac:dyDescent="0.2">
      <c r="R6047" t="s">
        <v>12</v>
      </c>
      <c r="S6047" t="s">
        <v>250</v>
      </c>
      <c r="T6047" t="s">
        <v>433</v>
      </c>
      <c r="U6047" s="21">
        <v>21361.88</v>
      </c>
      <c r="V6047" s="21" t="s">
        <v>368</v>
      </c>
      <c r="W6047" t="str">
        <f>VLOOKUP(Table_Query_from_Actuarial___Production[[#This Row],[Kor1]],$AI$3:$AK$105,3,FALSE)</f>
        <v>Premium Tax</v>
      </c>
      <c r="X6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47"/>
      <c r="Z6047" t="s">
        <v>14</v>
      </c>
      <c r="AA6047" t="s">
        <v>247</v>
      </c>
      <c r="AB6047" t="s">
        <v>7</v>
      </c>
      <c r="AC6047" s="21">
        <v>296.7</v>
      </c>
      <c r="AD6047" s="21" t="s">
        <v>368</v>
      </c>
      <c r="AE6047" t="str">
        <f>VLOOKUP(Table_Query_from_Actuarial___Production3[[#This Row],[Kor1]],$AI$3:$AK$105,3,FALSE)</f>
        <v>Claims Expense</v>
      </c>
      <c r="AF6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8" spans="18:32" x14ac:dyDescent="0.2">
      <c r="R6048" t="s">
        <v>18</v>
      </c>
      <c r="S6048" t="s">
        <v>354</v>
      </c>
      <c r="T6048" t="s">
        <v>9</v>
      </c>
      <c r="U6048" s="21">
        <v>5560522.9299999997</v>
      </c>
      <c r="V6048" s="21" t="s">
        <v>369</v>
      </c>
      <c r="W6048" t="str">
        <f>VLOOKUP(Table_Query_from_Actuarial___Production[[#This Row],[Kor1]],$AI$3:$AK$105,3,FALSE)</f>
        <v>Misc. Expense</v>
      </c>
      <c r="X6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048"/>
      <c r="Z6048" t="s">
        <v>31</v>
      </c>
      <c r="AA6048" t="s">
        <v>261</v>
      </c>
      <c r="AB6048" t="s">
        <v>5</v>
      </c>
      <c r="AC6048" s="21">
        <v>-143</v>
      </c>
      <c r="AD6048" s="21" t="s">
        <v>368</v>
      </c>
      <c r="AE6048" t="str">
        <f>VLOOKUP(Table_Query_from_Actuarial___Production3[[#This Row],[Kor1]],$AI$3:$AK$105,3,FALSE)</f>
        <v>Misc. Expense</v>
      </c>
      <c r="AF6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49" spans="18:32" x14ac:dyDescent="0.2">
      <c r="R6049" t="s">
        <v>38</v>
      </c>
      <c r="S6049" t="s">
        <v>225</v>
      </c>
      <c r="T6049" t="s">
        <v>8</v>
      </c>
      <c r="U6049" s="21">
        <v>243859.94</v>
      </c>
      <c r="V6049" s="21" t="s">
        <v>369</v>
      </c>
      <c r="W6049" t="str">
        <f>VLOOKUP(Table_Query_from_Actuarial___Production[[#This Row],[Kor1]],$AI$3:$AK$105,3,FALSE)</f>
        <v>Misc. Income</v>
      </c>
      <c r="X6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049"/>
      <c r="Z6049" t="s">
        <v>12</v>
      </c>
      <c r="AA6049" t="s">
        <v>228</v>
      </c>
      <c r="AB6049" t="s">
        <v>6</v>
      </c>
      <c r="AC6049" s="21">
        <v>9571.7000000000007</v>
      </c>
      <c r="AD6049" s="21" t="s">
        <v>368</v>
      </c>
      <c r="AE6049" t="str">
        <f>VLOOKUP(Table_Query_from_Actuarial___Production3[[#This Row],[Kor1]],$AI$3:$AK$105,3,FALSE)</f>
        <v>Premium Tax</v>
      </c>
      <c r="AF6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0" spans="18:32" x14ac:dyDescent="0.2">
      <c r="R6050" t="s">
        <v>31</v>
      </c>
      <c r="S6050" t="s">
        <v>246</v>
      </c>
      <c r="T6050" t="s">
        <v>433</v>
      </c>
      <c r="U6050" s="21">
        <v>931.43</v>
      </c>
      <c r="V6050" s="21" t="s">
        <v>368</v>
      </c>
      <c r="W6050" t="str">
        <f>VLOOKUP(Table_Query_from_Actuarial___Production[[#This Row],[Kor1]],$AI$3:$AK$105,3,FALSE)</f>
        <v>Misc. Expense</v>
      </c>
      <c r="X6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0"/>
      <c r="Z6050" t="s">
        <v>16</v>
      </c>
      <c r="AA6050" t="s">
        <v>237</v>
      </c>
      <c r="AB6050" t="s">
        <v>6</v>
      </c>
      <c r="AC6050" s="21">
        <v>10076.870000000001</v>
      </c>
      <c r="AD6050" s="21" t="s">
        <v>368</v>
      </c>
      <c r="AE6050" t="str">
        <f>VLOOKUP(Table_Query_from_Actuarial___Production3[[#This Row],[Kor1]],$AI$3:$AK$105,3,FALSE)</f>
        <v>Losses Outstanding</v>
      </c>
      <c r="AF6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1" spans="18:32" x14ac:dyDescent="0.2">
      <c r="R6051" t="s">
        <v>16</v>
      </c>
      <c r="S6051" t="s">
        <v>252</v>
      </c>
      <c r="T6051" t="s">
        <v>9</v>
      </c>
      <c r="U6051" s="21">
        <v>1996536.02</v>
      </c>
      <c r="V6051" s="21" t="s">
        <v>368</v>
      </c>
      <c r="W6051" t="str">
        <f>VLOOKUP(Table_Query_from_Actuarial___Production[[#This Row],[Kor1]],$AI$3:$AK$105,3,FALSE)</f>
        <v>Losses Outstanding</v>
      </c>
      <c r="X6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1"/>
      <c r="Z6051" t="s">
        <v>21</v>
      </c>
      <c r="AA6051" t="s">
        <v>257</v>
      </c>
      <c r="AB6051" t="s">
        <v>6</v>
      </c>
      <c r="AC6051" s="21">
        <v>3665.47</v>
      </c>
      <c r="AD6051" s="21" t="s">
        <v>368</v>
      </c>
      <c r="AE6051" t="str">
        <f>VLOOKUP(Table_Query_from_Actuarial___Production3[[#This Row],[Kor1]],$AI$3:$AK$105,3,FALSE)</f>
        <v>Misc. Expense</v>
      </c>
      <c r="AF6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2" spans="18:32" x14ac:dyDescent="0.2">
      <c r="R6052" t="s">
        <v>34</v>
      </c>
      <c r="S6052" t="s">
        <v>248</v>
      </c>
      <c r="T6052" t="s">
        <v>433</v>
      </c>
      <c r="U6052" s="21">
        <v>2407.41</v>
      </c>
      <c r="V6052" s="21" t="s">
        <v>368</v>
      </c>
      <c r="W6052" t="str">
        <f>VLOOKUP(Table_Query_from_Actuarial___Production[[#This Row],[Kor1]],$AI$3:$AK$105,3,FALSE)</f>
        <v>Misc. Expense</v>
      </c>
      <c r="X6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2"/>
      <c r="Z6052" t="s">
        <v>39</v>
      </c>
      <c r="AA6052" t="s">
        <v>244</v>
      </c>
      <c r="AB6052" t="s">
        <v>9</v>
      </c>
      <c r="AC6052" s="21">
        <v>13832.01</v>
      </c>
      <c r="AD6052" s="21" t="s">
        <v>368</v>
      </c>
      <c r="AE6052" t="str">
        <f>VLOOKUP(Table_Query_from_Actuarial___Production3[[#This Row],[Kor1]],$AI$3:$AK$105,3,FALSE)</f>
        <v>Misc. Income for Insolvent Companies</v>
      </c>
      <c r="AF6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3" spans="18:32" x14ac:dyDescent="0.2">
      <c r="R6053" t="s">
        <v>47</v>
      </c>
      <c r="S6053" t="s">
        <v>236</v>
      </c>
      <c r="T6053" t="s">
        <v>427</v>
      </c>
      <c r="U6053" s="21">
        <v>621.73</v>
      </c>
      <c r="V6053" s="21" t="s">
        <v>368</v>
      </c>
      <c r="W6053" t="str">
        <f>VLOOKUP(Table_Query_from_Actuarial___Production[[#This Row],[Kor1]],$AI$3:$AK$105,3,FALSE)</f>
        <v>Investment Income</v>
      </c>
      <c r="X6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3"/>
      <c r="Z6053" t="s">
        <v>39</v>
      </c>
      <c r="AA6053" t="s">
        <v>248</v>
      </c>
      <c r="AB6053" t="s">
        <v>7</v>
      </c>
      <c r="AC6053" s="21">
        <v>3</v>
      </c>
      <c r="AD6053" s="21" t="s">
        <v>368</v>
      </c>
      <c r="AE6053" t="str">
        <f>VLOOKUP(Table_Query_from_Actuarial___Production3[[#This Row],[Kor1]],$AI$3:$AK$105,3,FALSE)</f>
        <v>Misc. Income for Insolvent Companies</v>
      </c>
      <c r="AF6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4" spans="18:32" x14ac:dyDescent="0.2">
      <c r="R6054" t="s">
        <v>10</v>
      </c>
      <c r="S6054" t="s">
        <v>267</v>
      </c>
      <c r="T6054" t="s">
        <v>6</v>
      </c>
      <c r="U6054" s="21">
        <v>10569.04</v>
      </c>
      <c r="V6054" s="21" t="s">
        <v>368</v>
      </c>
      <c r="W6054" t="str">
        <f>VLOOKUP(Table_Query_from_Actuarial___Production[[#This Row],[Kor1]],$AI$3:$AK$105,3,FALSE)</f>
        <v>Commissions</v>
      </c>
      <c r="X6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4"/>
      <c r="Z6054" t="s">
        <v>15</v>
      </c>
      <c r="AA6054" t="s">
        <v>248</v>
      </c>
      <c r="AB6054" t="s">
        <v>442</v>
      </c>
      <c r="AC6054" s="21">
        <v>66593.53</v>
      </c>
      <c r="AD6054" s="21" t="s">
        <v>368</v>
      </c>
      <c r="AE6054" t="str">
        <f>VLOOKUP(Table_Query_from_Actuarial___Production3[[#This Row],[Kor1]],$AI$3:$AK$105,3,FALSE)</f>
        <v>Unearned Premiums</v>
      </c>
      <c r="AF6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5" spans="18:32" x14ac:dyDescent="0.2">
      <c r="R6055" t="s">
        <v>41</v>
      </c>
      <c r="S6055" t="s">
        <v>252</v>
      </c>
      <c r="T6055" t="s">
        <v>442</v>
      </c>
      <c r="U6055" s="21">
        <v>2177.7800000000002</v>
      </c>
      <c r="V6055" s="21" t="s">
        <v>368</v>
      </c>
      <c r="W6055" t="str">
        <f>VLOOKUP(Table_Query_from_Actuarial___Production[[#This Row],[Kor1]],$AI$3:$AK$105,3,FALSE)</f>
        <v>Misc. Income</v>
      </c>
      <c r="X6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5"/>
      <c r="Z6055" t="s">
        <v>31</v>
      </c>
      <c r="AA6055" t="s">
        <v>255</v>
      </c>
      <c r="AB6055" t="s">
        <v>441</v>
      </c>
      <c r="AC6055" s="21">
        <v>1330.11</v>
      </c>
      <c r="AD6055" s="21" t="s">
        <v>368</v>
      </c>
      <c r="AE6055" t="str">
        <f>VLOOKUP(Table_Query_from_Actuarial___Production3[[#This Row],[Kor1]],$AI$3:$AK$105,3,FALSE)</f>
        <v>Misc. Expense</v>
      </c>
      <c r="AF6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6" spans="18:32" x14ac:dyDescent="0.2">
      <c r="R6056" t="s">
        <v>43</v>
      </c>
      <c r="S6056" t="s">
        <v>224</v>
      </c>
      <c r="T6056" t="s">
        <v>433</v>
      </c>
      <c r="U6056" s="21">
        <v>100.83</v>
      </c>
      <c r="V6056" s="21" t="s">
        <v>370</v>
      </c>
      <c r="W6056" t="str">
        <f>VLOOKUP(Table_Query_from_Actuarial___Production[[#This Row],[Kor1]],$AI$3:$AK$105,3,FALSE)</f>
        <v>Charge-offs</v>
      </c>
      <c r="X6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056"/>
      <c r="Z6056" t="s">
        <v>39</v>
      </c>
      <c r="AA6056" t="s">
        <v>262</v>
      </c>
      <c r="AB6056" t="s">
        <v>443</v>
      </c>
      <c r="AC6056" s="21">
        <v>3.5</v>
      </c>
      <c r="AD6056" s="21" t="s">
        <v>368</v>
      </c>
      <c r="AE6056" t="str">
        <f>VLOOKUP(Table_Query_from_Actuarial___Production3[[#This Row],[Kor1]],$AI$3:$AK$105,3,FALSE)</f>
        <v>Misc. Income for Insolvent Companies</v>
      </c>
      <c r="AF6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7" spans="18:32" x14ac:dyDescent="0.2">
      <c r="R6057" t="s">
        <v>37</v>
      </c>
      <c r="S6057" t="s">
        <v>246</v>
      </c>
      <c r="T6057" t="s">
        <v>427</v>
      </c>
      <c r="U6057" s="21">
        <v>119.11</v>
      </c>
      <c r="V6057" s="21" t="s">
        <v>368</v>
      </c>
      <c r="W6057" t="str">
        <f>VLOOKUP(Table_Query_from_Actuarial___Production[[#This Row],[Kor1]],$AI$3:$AK$105,3,FALSE)</f>
        <v>Misc. Expense</v>
      </c>
      <c r="X6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7"/>
      <c r="Z6057" t="s">
        <v>44</v>
      </c>
      <c r="AA6057" t="s">
        <v>250</v>
      </c>
      <c r="AB6057" t="s">
        <v>7</v>
      </c>
      <c r="AC6057" s="21">
        <v>688.4</v>
      </c>
      <c r="AD6057" s="21" t="s">
        <v>368</v>
      </c>
      <c r="AE6057" t="str">
        <f>VLOOKUP(Table_Query_from_Actuarial___Production3[[#This Row],[Kor1]],$AI$3:$AK$105,3,FALSE)</f>
        <v>Charge-offs</v>
      </c>
      <c r="AF6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58" spans="18:32" x14ac:dyDescent="0.2">
      <c r="R6058" t="s">
        <v>40</v>
      </c>
      <c r="S6058" t="s">
        <v>240</v>
      </c>
      <c r="T6058" t="s">
        <v>356</v>
      </c>
      <c r="U6058" s="21">
        <v>81.97</v>
      </c>
      <c r="V6058" s="21" t="s">
        <v>368</v>
      </c>
      <c r="W6058" t="str">
        <f>VLOOKUP(Table_Query_from_Actuarial___Production[[#This Row],[Kor1]],$AI$3:$AK$105,3,FALSE)</f>
        <v>Misc. Income</v>
      </c>
      <c r="X6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8"/>
      <c r="Z6058" t="s">
        <v>11</v>
      </c>
      <c r="AA6058" t="s">
        <v>226</v>
      </c>
      <c r="AB6058" t="s">
        <v>441</v>
      </c>
      <c r="AC6058" s="21">
        <v>833742.53</v>
      </c>
      <c r="AD6058" s="21" t="s">
        <v>368</v>
      </c>
      <c r="AE6058" t="str">
        <f>VLOOKUP(Table_Query_from_Actuarial___Production3[[#This Row],[Kor1]],$AI$3:$AK$105,3,FALSE)</f>
        <v>Losses Paid</v>
      </c>
      <c r="AF6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059" spans="18:32" x14ac:dyDescent="0.2">
      <c r="R6059" t="s">
        <v>37</v>
      </c>
      <c r="S6059" t="s">
        <v>254</v>
      </c>
      <c r="T6059" t="s">
        <v>442</v>
      </c>
      <c r="U6059" s="21">
        <v>240059.73</v>
      </c>
      <c r="V6059" s="21" t="s">
        <v>368</v>
      </c>
      <c r="W6059" t="str">
        <f>VLOOKUP(Table_Query_from_Actuarial___Production[[#This Row],[Kor1]],$AI$3:$AK$105,3,FALSE)</f>
        <v>Misc. Expense</v>
      </c>
      <c r="X6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59"/>
      <c r="Z6059" t="s">
        <v>20</v>
      </c>
      <c r="AA6059" t="s">
        <v>239</v>
      </c>
      <c r="AB6059" t="s">
        <v>9</v>
      </c>
      <c r="AC6059" s="21">
        <v>28.87</v>
      </c>
      <c r="AD6059" s="21" t="s">
        <v>368</v>
      </c>
      <c r="AE6059" t="str">
        <f>VLOOKUP(Table_Query_from_Actuarial___Production3[[#This Row],[Kor1]],$AI$3:$AK$105,3,FALSE)</f>
        <v>Misc. Expense</v>
      </c>
      <c r="AF6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0" spans="18:32" x14ac:dyDescent="0.2">
      <c r="R6060" t="s">
        <v>21</v>
      </c>
      <c r="S6060" t="s">
        <v>252</v>
      </c>
      <c r="T6060" t="s">
        <v>443</v>
      </c>
      <c r="U6060" s="21">
        <v>80758.83</v>
      </c>
      <c r="V6060" s="21" t="s">
        <v>368</v>
      </c>
      <c r="W6060" t="str">
        <f>VLOOKUP(Table_Query_from_Actuarial___Production[[#This Row],[Kor1]],$AI$3:$AK$105,3,FALSE)</f>
        <v>Misc. Expense</v>
      </c>
      <c r="X6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0"/>
      <c r="Z6060" t="s">
        <v>44</v>
      </c>
      <c r="AA6060" t="s">
        <v>237</v>
      </c>
      <c r="AB6060" t="s">
        <v>7</v>
      </c>
      <c r="AC6060" s="21">
        <v>141040.31</v>
      </c>
      <c r="AD6060" s="21" t="s">
        <v>368</v>
      </c>
      <c r="AE6060" t="str">
        <f>VLOOKUP(Table_Query_from_Actuarial___Production3[[#This Row],[Kor1]],$AI$3:$AK$105,3,FALSE)</f>
        <v>Charge-offs</v>
      </c>
      <c r="AF6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1" spans="18:32" x14ac:dyDescent="0.2">
      <c r="R6061" t="s">
        <v>41</v>
      </c>
      <c r="S6061" t="s">
        <v>257</v>
      </c>
      <c r="T6061" t="s">
        <v>8</v>
      </c>
      <c r="U6061" s="21">
        <v>699.98</v>
      </c>
      <c r="V6061" s="21" t="s">
        <v>368</v>
      </c>
      <c r="W6061" t="str">
        <f>VLOOKUP(Table_Query_from_Actuarial___Production[[#This Row],[Kor1]],$AI$3:$AK$105,3,FALSE)</f>
        <v>Misc. Income</v>
      </c>
      <c r="X6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1"/>
      <c r="Z6061" t="s">
        <v>12</v>
      </c>
      <c r="AA6061" t="s">
        <v>250</v>
      </c>
      <c r="AB6061" t="s">
        <v>433</v>
      </c>
      <c r="AC6061" s="21">
        <v>21361.88</v>
      </c>
      <c r="AD6061" s="21" t="s">
        <v>368</v>
      </c>
      <c r="AE6061" t="str">
        <f>VLOOKUP(Table_Query_from_Actuarial___Production3[[#This Row],[Kor1]],$AI$3:$AK$105,3,FALSE)</f>
        <v>Premium Tax</v>
      </c>
      <c r="AF6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2" spans="18:32" x14ac:dyDescent="0.2">
      <c r="R6062" t="s">
        <v>44</v>
      </c>
      <c r="S6062" t="s">
        <v>241</v>
      </c>
      <c r="T6062" t="s">
        <v>433</v>
      </c>
      <c r="U6062" s="21">
        <v>250819.08</v>
      </c>
      <c r="V6062" s="21" t="s">
        <v>368</v>
      </c>
      <c r="W6062" t="str">
        <f>VLOOKUP(Table_Query_from_Actuarial___Production[[#This Row],[Kor1]],$AI$3:$AK$105,3,FALSE)</f>
        <v>Charge-offs</v>
      </c>
      <c r="X6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2"/>
      <c r="Z6062" t="s">
        <v>18</v>
      </c>
      <c r="AA6062" t="s">
        <v>354</v>
      </c>
      <c r="AB6062" t="s">
        <v>9</v>
      </c>
      <c r="AC6062" s="21">
        <v>5560522.9299999997</v>
      </c>
      <c r="AD6062" s="21" t="s">
        <v>369</v>
      </c>
      <c r="AE6062" t="str">
        <f>VLOOKUP(Table_Query_from_Actuarial___Production3[[#This Row],[Kor1]],$AI$3:$AK$105,3,FALSE)</f>
        <v>Misc. Expense</v>
      </c>
      <c r="AF6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063" spans="18:32" x14ac:dyDescent="0.2">
      <c r="R6063" t="s">
        <v>49</v>
      </c>
      <c r="S6063" t="s">
        <v>252</v>
      </c>
      <c r="T6063" t="s">
        <v>351</v>
      </c>
      <c r="U6063" s="21">
        <v>1103573.6599999999</v>
      </c>
      <c r="V6063" s="21" t="s">
        <v>368</v>
      </c>
      <c r="W6063" t="str">
        <f>VLOOKUP(Table_Query_from_Actuarial___Production[[#This Row],[Kor1]],$AI$3:$AK$105,3,FALSE)</f>
        <v>ALAE Paid</v>
      </c>
      <c r="X6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3"/>
      <c r="Z6063" t="s">
        <v>38</v>
      </c>
      <c r="AA6063" t="s">
        <v>225</v>
      </c>
      <c r="AB6063" t="s">
        <v>8</v>
      </c>
      <c r="AC6063" s="21">
        <v>243859.94</v>
      </c>
      <c r="AD6063" s="21" t="s">
        <v>369</v>
      </c>
      <c r="AE6063" t="str">
        <f>VLOOKUP(Table_Query_from_Actuarial___Production3[[#This Row],[Kor1]],$AI$3:$AK$105,3,FALSE)</f>
        <v>Misc. Income</v>
      </c>
      <c r="AF6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064" spans="18:32" x14ac:dyDescent="0.2">
      <c r="R6064" t="s">
        <v>36</v>
      </c>
      <c r="S6064" t="s">
        <v>230</v>
      </c>
      <c r="T6064" t="s">
        <v>441</v>
      </c>
      <c r="U6064" s="21">
        <v>27770.18</v>
      </c>
      <c r="V6064" s="21" t="s">
        <v>368</v>
      </c>
      <c r="W6064" t="str">
        <f>VLOOKUP(Table_Query_from_Actuarial___Production[[#This Row],[Kor1]],$AI$3:$AK$105,3,FALSE)</f>
        <v>Misc. Expense</v>
      </c>
      <c r="X6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4"/>
      <c r="Z6064" t="s">
        <v>31</v>
      </c>
      <c r="AA6064" t="s">
        <v>246</v>
      </c>
      <c r="AB6064" t="s">
        <v>433</v>
      </c>
      <c r="AC6064" s="21">
        <v>931.43</v>
      </c>
      <c r="AD6064" s="21" t="s">
        <v>368</v>
      </c>
      <c r="AE6064" t="str">
        <f>VLOOKUP(Table_Query_from_Actuarial___Production3[[#This Row],[Kor1]],$AI$3:$AK$105,3,FALSE)</f>
        <v>Misc. Expense</v>
      </c>
      <c r="AF6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5" spans="18:32" x14ac:dyDescent="0.2">
      <c r="R6065" t="s">
        <v>43</v>
      </c>
      <c r="S6065" t="s">
        <v>249</v>
      </c>
      <c r="T6065" t="s">
        <v>7</v>
      </c>
      <c r="U6065" s="21">
        <v>64.03</v>
      </c>
      <c r="V6065" s="21" t="s">
        <v>368</v>
      </c>
      <c r="W6065" t="str">
        <f>VLOOKUP(Table_Query_from_Actuarial___Production[[#This Row],[Kor1]],$AI$3:$AK$105,3,FALSE)</f>
        <v>Charge-offs</v>
      </c>
      <c r="X6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5"/>
      <c r="Z6065" t="s">
        <v>16</v>
      </c>
      <c r="AA6065" t="s">
        <v>252</v>
      </c>
      <c r="AB6065" t="s">
        <v>9</v>
      </c>
      <c r="AC6065" s="21">
        <v>1562036.4</v>
      </c>
      <c r="AD6065" s="21" t="s">
        <v>368</v>
      </c>
      <c r="AE6065" t="str">
        <f>VLOOKUP(Table_Query_from_Actuarial___Production3[[#This Row],[Kor1]],$AI$3:$AK$105,3,FALSE)</f>
        <v>Losses Outstanding</v>
      </c>
      <c r="AF6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6" spans="18:32" x14ac:dyDescent="0.2">
      <c r="R6066" t="s">
        <v>3</v>
      </c>
      <c r="S6066" t="s">
        <v>249</v>
      </c>
      <c r="T6066" t="s">
        <v>443</v>
      </c>
      <c r="U6066" s="21">
        <v>944424</v>
      </c>
      <c r="V6066" s="21" t="s">
        <v>368</v>
      </c>
      <c r="W6066" t="str">
        <f>VLOOKUP(Table_Query_from_Actuarial___Production[[#This Row],[Kor1]],$AI$3:$AK$105,3,FALSE)</f>
        <v>Premiums Written</v>
      </c>
      <c r="X6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6"/>
      <c r="Z6066" t="s">
        <v>34</v>
      </c>
      <c r="AA6066" t="s">
        <v>248</v>
      </c>
      <c r="AB6066" t="s">
        <v>433</v>
      </c>
      <c r="AC6066" s="21">
        <v>2407.41</v>
      </c>
      <c r="AD6066" s="21" t="s">
        <v>368</v>
      </c>
      <c r="AE6066" t="str">
        <f>VLOOKUP(Table_Query_from_Actuarial___Production3[[#This Row],[Kor1]],$AI$3:$AK$105,3,FALSE)</f>
        <v>Misc. Expense</v>
      </c>
      <c r="AF6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7" spans="18:32" x14ac:dyDescent="0.2">
      <c r="R6067" t="s">
        <v>33</v>
      </c>
      <c r="S6067" t="s">
        <v>241</v>
      </c>
      <c r="T6067" t="s">
        <v>7</v>
      </c>
      <c r="U6067" s="21">
        <v>13893.77</v>
      </c>
      <c r="V6067" s="21" t="s">
        <v>368</v>
      </c>
      <c r="W6067" t="str">
        <f>VLOOKUP(Table_Query_from_Actuarial___Production[[#This Row],[Kor1]],$AI$3:$AK$105,3,FALSE)</f>
        <v>Misc. Expense</v>
      </c>
      <c r="X6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7"/>
      <c r="Z6067" t="s">
        <v>47</v>
      </c>
      <c r="AA6067" t="s">
        <v>236</v>
      </c>
      <c r="AB6067" t="s">
        <v>427</v>
      </c>
      <c r="AC6067" s="21">
        <v>621.73</v>
      </c>
      <c r="AD6067" s="21" t="s">
        <v>368</v>
      </c>
      <c r="AE6067" t="str">
        <f>VLOOKUP(Table_Query_from_Actuarial___Production3[[#This Row],[Kor1]],$AI$3:$AK$105,3,FALSE)</f>
        <v>Investment Income</v>
      </c>
      <c r="AF6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8" spans="18:32" x14ac:dyDescent="0.2">
      <c r="R6068" t="s">
        <v>12</v>
      </c>
      <c r="S6068" t="s">
        <v>264</v>
      </c>
      <c r="T6068" t="s">
        <v>8</v>
      </c>
      <c r="U6068" s="21">
        <v>51815.91</v>
      </c>
      <c r="V6068" s="21" t="s">
        <v>368</v>
      </c>
      <c r="W6068" t="str">
        <f>VLOOKUP(Table_Query_from_Actuarial___Production[[#This Row],[Kor1]],$AI$3:$AK$105,3,FALSE)</f>
        <v>Premium Tax</v>
      </c>
      <c r="X6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8"/>
      <c r="Z6068" t="s">
        <v>10</v>
      </c>
      <c r="AA6068" t="s">
        <v>267</v>
      </c>
      <c r="AB6068" t="s">
        <v>6</v>
      </c>
      <c r="AC6068" s="21">
        <v>10569.04</v>
      </c>
      <c r="AD6068" s="21" t="s">
        <v>368</v>
      </c>
      <c r="AE6068" t="str">
        <f>VLOOKUP(Table_Query_from_Actuarial___Production3[[#This Row],[Kor1]],$AI$3:$AK$105,3,FALSE)</f>
        <v>Commissions</v>
      </c>
      <c r="AF6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69" spans="18:32" x14ac:dyDescent="0.2">
      <c r="R6069" t="s">
        <v>37</v>
      </c>
      <c r="S6069" t="s">
        <v>242</v>
      </c>
      <c r="T6069" t="s">
        <v>351</v>
      </c>
      <c r="U6069" s="21">
        <v>6.29</v>
      </c>
      <c r="V6069" s="21" t="s">
        <v>368</v>
      </c>
      <c r="W6069" t="str">
        <f>VLOOKUP(Table_Query_from_Actuarial___Production[[#This Row],[Kor1]],$AI$3:$AK$105,3,FALSE)</f>
        <v>Misc. Expense</v>
      </c>
      <c r="X6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69"/>
      <c r="Z6069" t="s">
        <v>41</v>
      </c>
      <c r="AA6069" t="s">
        <v>252</v>
      </c>
      <c r="AB6069" t="s">
        <v>442</v>
      </c>
      <c r="AC6069" s="21">
        <v>2177.7800000000002</v>
      </c>
      <c r="AD6069" s="21" t="s">
        <v>368</v>
      </c>
      <c r="AE6069" t="str">
        <f>VLOOKUP(Table_Query_from_Actuarial___Production3[[#This Row],[Kor1]],$AI$3:$AK$105,3,FALSE)</f>
        <v>Misc. Income</v>
      </c>
      <c r="AF6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0" spans="18:32" x14ac:dyDescent="0.2">
      <c r="R6070" t="s">
        <v>47</v>
      </c>
      <c r="S6070" t="s">
        <v>229</v>
      </c>
      <c r="T6070" t="s">
        <v>433</v>
      </c>
      <c r="U6070" s="21">
        <v>855.89</v>
      </c>
      <c r="V6070" s="21" t="s">
        <v>368</v>
      </c>
      <c r="W6070" t="str">
        <f>VLOOKUP(Table_Query_from_Actuarial___Production[[#This Row],[Kor1]],$AI$3:$AK$105,3,FALSE)</f>
        <v>Investment Income</v>
      </c>
      <c r="X6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0"/>
      <c r="Z6070" t="s">
        <v>43</v>
      </c>
      <c r="AA6070" t="s">
        <v>224</v>
      </c>
      <c r="AB6070" t="s">
        <v>433</v>
      </c>
      <c r="AC6070" s="21">
        <v>100.83</v>
      </c>
      <c r="AD6070" s="21" t="s">
        <v>370</v>
      </c>
      <c r="AE6070" t="str">
        <f>VLOOKUP(Table_Query_from_Actuarial___Production3[[#This Row],[Kor1]],$AI$3:$AK$105,3,FALSE)</f>
        <v>Charge-offs</v>
      </c>
      <c r="AF6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071" spans="18:32" x14ac:dyDescent="0.2">
      <c r="R6071" t="s">
        <v>15</v>
      </c>
      <c r="S6071" t="s">
        <v>235</v>
      </c>
      <c r="T6071" t="s">
        <v>445</v>
      </c>
      <c r="U6071" s="21">
        <v>78830.67</v>
      </c>
      <c r="V6071" s="21" t="s">
        <v>368</v>
      </c>
      <c r="W6071" t="str">
        <f>VLOOKUP(Table_Query_from_Actuarial___Production[[#This Row],[Kor1]],$AI$3:$AK$105,3,FALSE)</f>
        <v>Unearned Premiums</v>
      </c>
      <c r="X6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1"/>
      <c r="Z6071" t="s">
        <v>37</v>
      </c>
      <c r="AA6071" t="s">
        <v>246</v>
      </c>
      <c r="AB6071" t="s">
        <v>427</v>
      </c>
      <c r="AC6071" s="21">
        <v>119.11</v>
      </c>
      <c r="AD6071" s="21" t="s">
        <v>368</v>
      </c>
      <c r="AE6071" t="str">
        <f>VLOOKUP(Table_Query_from_Actuarial___Production3[[#This Row],[Kor1]],$AI$3:$AK$105,3,FALSE)</f>
        <v>Misc. Expense</v>
      </c>
      <c r="AF6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2" spans="18:32" x14ac:dyDescent="0.2">
      <c r="R6072" t="s">
        <v>3</v>
      </c>
      <c r="S6072" t="s">
        <v>264</v>
      </c>
      <c r="T6072" t="s">
        <v>7</v>
      </c>
      <c r="U6072" s="21">
        <v>2215926</v>
      </c>
      <c r="V6072" s="21" t="s">
        <v>368</v>
      </c>
      <c r="W6072" t="str">
        <f>VLOOKUP(Table_Query_from_Actuarial___Production[[#This Row],[Kor1]],$AI$3:$AK$105,3,FALSE)</f>
        <v>Premiums Written</v>
      </c>
      <c r="X6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2"/>
      <c r="Z6072" t="s">
        <v>40</v>
      </c>
      <c r="AA6072" t="s">
        <v>227</v>
      </c>
      <c r="AB6072" t="s">
        <v>5</v>
      </c>
      <c r="AC6072" s="21">
        <v>126</v>
      </c>
      <c r="AD6072" s="21" t="s">
        <v>368</v>
      </c>
      <c r="AE6072" t="str">
        <f>VLOOKUP(Table_Query_from_Actuarial___Production3[[#This Row],[Kor1]],$AI$3:$AK$105,3,FALSE)</f>
        <v>Misc. Income</v>
      </c>
      <c r="AF6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3" spans="18:32" x14ac:dyDescent="0.2">
      <c r="R6073" t="s">
        <v>14</v>
      </c>
      <c r="S6073" t="s">
        <v>246</v>
      </c>
      <c r="T6073" t="s">
        <v>433</v>
      </c>
      <c r="U6073" s="21">
        <v>296698.82</v>
      </c>
      <c r="V6073" s="21" t="s">
        <v>368</v>
      </c>
      <c r="W6073" t="str">
        <f>VLOOKUP(Table_Query_from_Actuarial___Production[[#This Row],[Kor1]],$AI$3:$AK$105,3,FALSE)</f>
        <v>Claims Expense</v>
      </c>
      <c r="X6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3"/>
      <c r="Z6073" t="s">
        <v>40</v>
      </c>
      <c r="AA6073" t="s">
        <v>240</v>
      </c>
      <c r="AB6073" t="s">
        <v>356</v>
      </c>
      <c r="AC6073" s="21">
        <v>81.97</v>
      </c>
      <c r="AD6073" s="21" t="s">
        <v>368</v>
      </c>
      <c r="AE6073" t="str">
        <f>VLOOKUP(Table_Query_from_Actuarial___Production3[[#This Row],[Kor1]],$AI$3:$AK$105,3,FALSE)</f>
        <v>Misc. Income</v>
      </c>
      <c r="AF6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4" spans="18:32" x14ac:dyDescent="0.2">
      <c r="R6074" t="s">
        <v>37</v>
      </c>
      <c r="S6074" t="s">
        <v>244</v>
      </c>
      <c r="T6074" t="s">
        <v>441</v>
      </c>
      <c r="U6074" s="21">
        <v>5363.25</v>
      </c>
      <c r="V6074" s="21" t="s">
        <v>368</v>
      </c>
      <c r="W6074" t="str">
        <f>VLOOKUP(Table_Query_from_Actuarial___Production[[#This Row],[Kor1]],$AI$3:$AK$105,3,FALSE)</f>
        <v>Misc. Expense</v>
      </c>
      <c r="X6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4"/>
      <c r="Z6074" t="s">
        <v>37</v>
      </c>
      <c r="AA6074" t="s">
        <v>254</v>
      </c>
      <c r="AB6074" t="s">
        <v>442</v>
      </c>
      <c r="AC6074" s="21">
        <v>241702.47</v>
      </c>
      <c r="AD6074" s="21" t="s">
        <v>368</v>
      </c>
      <c r="AE6074" t="str">
        <f>VLOOKUP(Table_Query_from_Actuarial___Production3[[#This Row],[Kor1]],$AI$3:$AK$105,3,FALSE)</f>
        <v>Misc. Expense</v>
      </c>
      <c r="AF6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5" spans="18:32" x14ac:dyDescent="0.2">
      <c r="R6075" t="s">
        <v>48</v>
      </c>
      <c r="S6075" t="s">
        <v>259</v>
      </c>
      <c r="T6075" t="s">
        <v>445</v>
      </c>
      <c r="U6075" s="21">
        <v>6.27</v>
      </c>
      <c r="V6075" s="21" t="s">
        <v>368</v>
      </c>
      <c r="W6075" t="str">
        <f>VLOOKUP(Table_Query_from_Actuarial___Production[[#This Row],[Kor1]],$AI$3:$AK$105,3,FALSE)</f>
        <v>Anticipated Salvage</v>
      </c>
      <c r="X6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5"/>
      <c r="Z6075" t="s">
        <v>21</v>
      </c>
      <c r="AA6075" t="s">
        <v>252</v>
      </c>
      <c r="AB6075" t="s">
        <v>443</v>
      </c>
      <c r="AC6075" s="21">
        <v>53306.81</v>
      </c>
      <c r="AD6075" s="21" t="s">
        <v>368</v>
      </c>
      <c r="AE6075" t="str">
        <f>VLOOKUP(Table_Query_from_Actuarial___Production3[[#This Row],[Kor1]],$AI$3:$AK$105,3,FALSE)</f>
        <v>Misc. Expense</v>
      </c>
      <c r="AF6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6" spans="18:32" x14ac:dyDescent="0.2">
      <c r="R6076" t="s">
        <v>48</v>
      </c>
      <c r="S6076" t="s">
        <v>224</v>
      </c>
      <c r="T6076" t="s">
        <v>442</v>
      </c>
      <c r="U6076" s="21">
        <v>2817.7</v>
      </c>
      <c r="V6076" s="21" t="s">
        <v>370</v>
      </c>
      <c r="W6076" t="str">
        <f>VLOOKUP(Table_Query_from_Actuarial___Production[[#This Row],[Kor1]],$AI$3:$AK$105,3,FALSE)</f>
        <v>Anticipated Salvage</v>
      </c>
      <c r="X6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076"/>
      <c r="Z6076" t="s">
        <v>41</v>
      </c>
      <c r="AA6076" t="s">
        <v>257</v>
      </c>
      <c r="AB6076" t="s">
        <v>8</v>
      </c>
      <c r="AC6076" s="21">
        <v>699.98</v>
      </c>
      <c r="AD6076" s="21" t="s">
        <v>368</v>
      </c>
      <c r="AE6076" t="str">
        <f>VLOOKUP(Table_Query_from_Actuarial___Production3[[#This Row],[Kor1]],$AI$3:$AK$105,3,FALSE)</f>
        <v>Misc. Income</v>
      </c>
      <c r="AF6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7" spans="18:32" x14ac:dyDescent="0.2">
      <c r="R6077" t="s">
        <v>14</v>
      </c>
      <c r="S6077" t="s">
        <v>240</v>
      </c>
      <c r="T6077" t="s">
        <v>445</v>
      </c>
      <c r="U6077" s="21">
        <v>16353.14</v>
      </c>
      <c r="V6077" s="21" t="s">
        <v>368</v>
      </c>
      <c r="W6077" t="str">
        <f>VLOOKUP(Table_Query_from_Actuarial___Production[[#This Row],[Kor1]],$AI$3:$AK$105,3,FALSE)</f>
        <v>Claims Expense</v>
      </c>
      <c r="X6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7"/>
      <c r="Z6077" t="s">
        <v>44</v>
      </c>
      <c r="AA6077" t="s">
        <v>241</v>
      </c>
      <c r="AB6077" t="s">
        <v>433</v>
      </c>
      <c r="AC6077" s="21">
        <v>250819.08</v>
      </c>
      <c r="AD6077" s="21" t="s">
        <v>368</v>
      </c>
      <c r="AE6077" t="str">
        <f>VLOOKUP(Table_Query_from_Actuarial___Production3[[#This Row],[Kor1]],$AI$3:$AK$105,3,FALSE)</f>
        <v>Charge-offs</v>
      </c>
      <c r="AF6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8" spans="18:32" x14ac:dyDescent="0.2">
      <c r="R6078" t="s">
        <v>41</v>
      </c>
      <c r="S6078" t="s">
        <v>268</v>
      </c>
      <c r="T6078" t="s">
        <v>351</v>
      </c>
      <c r="U6078" s="21">
        <v>450</v>
      </c>
      <c r="V6078" s="21" t="s">
        <v>368</v>
      </c>
      <c r="W6078" t="str">
        <f>VLOOKUP(Table_Query_from_Actuarial___Production[[#This Row],[Kor1]],$AI$3:$AK$105,3,FALSE)</f>
        <v>Misc. Income</v>
      </c>
      <c r="X6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8"/>
      <c r="Z6078" t="s">
        <v>49</v>
      </c>
      <c r="AA6078" t="s">
        <v>252</v>
      </c>
      <c r="AB6078" t="s">
        <v>351</v>
      </c>
      <c r="AC6078" s="21">
        <v>1092661.6299999999</v>
      </c>
      <c r="AD6078" s="21" t="s">
        <v>368</v>
      </c>
      <c r="AE6078" t="str">
        <f>VLOOKUP(Table_Query_from_Actuarial___Production3[[#This Row],[Kor1]],$AI$3:$AK$105,3,FALSE)</f>
        <v>ALAE Paid</v>
      </c>
      <c r="AF6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79" spans="18:32" x14ac:dyDescent="0.2">
      <c r="R6079" t="s">
        <v>33</v>
      </c>
      <c r="S6079" t="s">
        <v>244</v>
      </c>
      <c r="T6079" t="s">
        <v>9</v>
      </c>
      <c r="U6079" s="21">
        <v>15871.49</v>
      </c>
      <c r="V6079" s="21" t="s">
        <v>368</v>
      </c>
      <c r="W6079" t="str">
        <f>VLOOKUP(Table_Query_from_Actuarial___Production[[#This Row],[Kor1]],$AI$3:$AK$105,3,FALSE)</f>
        <v>Misc. Expense</v>
      </c>
      <c r="X6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79"/>
      <c r="Z6079" t="s">
        <v>36</v>
      </c>
      <c r="AA6079" t="s">
        <v>230</v>
      </c>
      <c r="AB6079" t="s">
        <v>441</v>
      </c>
      <c r="AC6079" s="21">
        <v>27770.18</v>
      </c>
      <c r="AD6079" s="21" t="s">
        <v>368</v>
      </c>
      <c r="AE6079" t="str">
        <f>VLOOKUP(Table_Query_from_Actuarial___Production3[[#This Row],[Kor1]],$AI$3:$AK$105,3,FALSE)</f>
        <v>Misc. Expense</v>
      </c>
      <c r="AF6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0" spans="18:32" x14ac:dyDescent="0.2">
      <c r="R6080" t="s">
        <v>34</v>
      </c>
      <c r="S6080" t="s">
        <v>242</v>
      </c>
      <c r="T6080" t="s">
        <v>9</v>
      </c>
      <c r="U6080" s="21">
        <v>377.63</v>
      </c>
      <c r="V6080" s="21" t="s">
        <v>368</v>
      </c>
      <c r="W6080" t="str">
        <f>VLOOKUP(Table_Query_from_Actuarial___Production[[#This Row],[Kor1]],$AI$3:$AK$105,3,FALSE)</f>
        <v>Misc. Expense</v>
      </c>
      <c r="X6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0"/>
      <c r="Z6080" t="s">
        <v>43</v>
      </c>
      <c r="AA6080" t="s">
        <v>249</v>
      </c>
      <c r="AB6080" t="s">
        <v>7</v>
      </c>
      <c r="AC6080" s="21">
        <v>64.03</v>
      </c>
      <c r="AD6080" s="21" t="s">
        <v>368</v>
      </c>
      <c r="AE6080" t="str">
        <f>VLOOKUP(Table_Query_from_Actuarial___Production3[[#This Row],[Kor1]],$AI$3:$AK$105,3,FALSE)</f>
        <v>Charge-offs</v>
      </c>
      <c r="AF6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1" spans="18:32" x14ac:dyDescent="0.2">
      <c r="R6081" t="s">
        <v>13</v>
      </c>
      <c r="S6081" t="s">
        <v>251</v>
      </c>
      <c r="T6081" t="s">
        <v>356</v>
      </c>
      <c r="U6081" s="21">
        <v>194367.35</v>
      </c>
      <c r="V6081" s="21" t="s">
        <v>368</v>
      </c>
      <c r="W6081" t="str">
        <f>VLOOKUP(Table_Query_from_Actuarial___Production[[#This Row],[Kor1]],$AI$3:$AK$105,3,FALSE)</f>
        <v>Operating Service Fees</v>
      </c>
      <c r="X6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1"/>
      <c r="Z6081" t="s">
        <v>3</v>
      </c>
      <c r="AA6081" t="s">
        <v>249</v>
      </c>
      <c r="AB6081" t="s">
        <v>443</v>
      </c>
      <c r="AC6081" s="21">
        <v>228606</v>
      </c>
      <c r="AD6081" s="21" t="s">
        <v>368</v>
      </c>
      <c r="AE6081" t="str">
        <f>VLOOKUP(Table_Query_from_Actuarial___Production3[[#This Row],[Kor1]],$AI$3:$AK$105,3,FALSE)</f>
        <v>Premiums Written</v>
      </c>
      <c r="AF6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2" spans="18:32" x14ac:dyDescent="0.2">
      <c r="R6082" t="s">
        <v>33</v>
      </c>
      <c r="S6082" t="s">
        <v>256</v>
      </c>
      <c r="T6082" t="s">
        <v>445</v>
      </c>
      <c r="U6082" s="21">
        <v>3859.19</v>
      </c>
      <c r="V6082" s="21" t="s">
        <v>368</v>
      </c>
      <c r="W6082" t="str">
        <f>VLOOKUP(Table_Query_from_Actuarial___Production[[#This Row],[Kor1]],$AI$3:$AK$105,3,FALSE)</f>
        <v>Misc. Expense</v>
      </c>
      <c r="X6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2"/>
      <c r="Z6082" t="s">
        <v>14</v>
      </c>
      <c r="AA6082" t="s">
        <v>267</v>
      </c>
      <c r="AB6082" t="s">
        <v>5</v>
      </c>
      <c r="AC6082" s="21">
        <v>53649.87</v>
      </c>
      <c r="AD6082" s="21" t="s">
        <v>368</v>
      </c>
      <c r="AE6082" t="str">
        <f>VLOOKUP(Table_Query_from_Actuarial___Production3[[#This Row],[Kor1]],$AI$3:$AK$105,3,FALSE)</f>
        <v>Claims Expense</v>
      </c>
      <c r="AF6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3" spans="18:32" x14ac:dyDescent="0.2">
      <c r="R6083" t="s">
        <v>30</v>
      </c>
      <c r="S6083" t="s">
        <v>4</v>
      </c>
      <c r="T6083" t="s">
        <v>427</v>
      </c>
      <c r="U6083" s="21">
        <v>-0.27</v>
      </c>
      <c r="V6083" s="21" t="s">
        <v>368</v>
      </c>
      <c r="W6083" t="str">
        <f>VLOOKUP(Table_Query_from_Actuarial___Production[[#This Row],[Kor1]],$AI$3:$AK$105,3,FALSE)</f>
        <v>Misc. Expense</v>
      </c>
      <c r="X6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3"/>
      <c r="Z6083" t="s">
        <v>33</v>
      </c>
      <c r="AA6083" t="s">
        <v>241</v>
      </c>
      <c r="AB6083" t="s">
        <v>7</v>
      </c>
      <c r="AC6083" s="21">
        <v>13893.77</v>
      </c>
      <c r="AD6083" s="21" t="s">
        <v>368</v>
      </c>
      <c r="AE6083" t="str">
        <f>VLOOKUP(Table_Query_from_Actuarial___Production3[[#This Row],[Kor1]],$AI$3:$AK$105,3,FALSE)</f>
        <v>Misc. Expense</v>
      </c>
      <c r="AF6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4" spans="18:32" x14ac:dyDescent="0.2">
      <c r="R6084" t="s">
        <v>16</v>
      </c>
      <c r="S6084" t="s">
        <v>255</v>
      </c>
      <c r="T6084" t="s">
        <v>443</v>
      </c>
      <c r="U6084" s="21">
        <v>9914.51</v>
      </c>
      <c r="V6084" s="21" t="s">
        <v>368</v>
      </c>
      <c r="W6084" t="str">
        <f>VLOOKUP(Table_Query_from_Actuarial___Production[[#This Row],[Kor1]],$AI$3:$AK$105,3,FALSE)</f>
        <v>Losses Outstanding</v>
      </c>
      <c r="X6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4"/>
      <c r="Z6084" t="s">
        <v>12</v>
      </c>
      <c r="AA6084" t="s">
        <v>264</v>
      </c>
      <c r="AB6084" t="s">
        <v>8</v>
      </c>
      <c r="AC6084" s="21">
        <v>51815.91</v>
      </c>
      <c r="AD6084" s="21" t="s">
        <v>368</v>
      </c>
      <c r="AE6084" t="str">
        <f>VLOOKUP(Table_Query_from_Actuarial___Production3[[#This Row],[Kor1]],$AI$3:$AK$105,3,FALSE)</f>
        <v>Premium Tax</v>
      </c>
      <c r="AF6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5" spans="18:32" x14ac:dyDescent="0.2">
      <c r="R6085" t="s">
        <v>17</v>
      </c>
      <c r="S6085" t="s">
        <v>264</v>
      </c>
      <c r="T6085" t="s">
        <v>441</v>
      </c>
      <c r="U6085" s="21">
        <v>302863.71000000002</v>
      </c>
      <c r="V6085" s="21" t="s">
        <v>368</v>
      </c>
      <c r="W6085" t="str">
        <f>VLOOKUP(Table_Query_from_Actuarial___Production[[#This Row],[Kor1]],$AI$3:$AK$105,3,FALSE)</f>
        <v>IBNR</v>
      </c>
      <c r="X6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5"/>
      <c r="Z6085" t="s">
        <v>37</v>
      </c>
      <c r="AA6085" t="s">
        <v>242</v>
      </c>
      <c r="AB6085" t="s">
        <v>351</v>
      </c>
      <c r="AC6085" s="21">
        <v>6.29</v>
      </c>
      <c r="AD6085" s="21" t="s">
        <v>368</v>
      </c>
      <c r="AE6085" t="str">
        <f>VLOOKUP(Table_Query_from_Actuarial___Production3[[#This Row],[Kor1]],$AI$3:$AK$105,3,FALSE)</f>
        <v>Misc. Expense</v>
      </c>
      <c r="AF6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6" spans="18:32" x14ac:dyDescent="0.2">
      <c r="R6086" t="s">
        <v>47</v>
      </c>
      <c r="S6086" t="s">
        <v>236</v>
      </c>
      <c r="T6086" t="s">
        <v>443</v>
      </c>
      <c r="U6086" s="21">
        <v>2204.9699999999998</v>
      </c>
      <c r="V6086" s="21" t="s">
        <v>368</v>
      </c>
      <c r="W6086" t="str">
        <f>VLOOKUP(Table_Query_from_Actuarial___Production[[#This Row],[Kor1]],$AI$3:$AK$105,3,FALSE)</f>
        <v>Investment Income</v>
      </c>
      <c r="X6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6"/>
      <c r="Z6086" t="s">
        <v>47</v>
      </c>
      <c r="AA6086" t="s">
        <v>229</v>
      </c>
      <c r="AB6086" t="s">
        <v>433</v>
      </c>
      <c r="AC6086" s="21">
        <v>855.89</v>
      </c>
      <c r="AD6086" s="21" t="s">
        <v>368</v>
      </c>
      <c r="AE6086" t="str">
        <f>VLOOKUP(Table_Query_from_Actuarial___Production3[[#This Row],[Kor1]],$AI$3:$AK$105,3,FALSE)</f>
        <v>Investment Income</v>
      </c>
      <c r="AF6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7" spans="18:32" x14ac:dyDescent="0.2">
      <c r="R6087" t="s">
        <v>14</v>
      </c>
      <c r="S6087" t="s">
        <v>243</v>
      </c>
      <c r="T6087" t="s">
        <v>7</v>
      </c>
      <c r="U6087" s="21">
        <v>60161.54</v>
      </c>
      <c r="V6087" s="21" t="s">
        <v>368</v>
      </c>
      <c r="W6087" t="str">
        <f>VLOOKUP(Table_Query_from_Actuarial___Production[[#This Row],[Kor1]],$AI$3:$AK$105,3,FALSE)</f>
        <v>Claims Expense</v>
      </c>
      <c r="X6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7"/>
      <c r="Z6087" t="s">
        <v>39</v>
      </c>
      <c r="AA6087" t="s">
        <v>230</v>
      </c>
      <c r="AB6087" t="s">
        <v>5</v>
      </c>
      <c r="AC6087" s="21">
        <v>173896.42</v>
      </c>
      <c r="AD6087" s="21" t="s">
        <v>368</v>
      </c>
      <c r="AE6087" t="str">
        <f>VLOOKUP(Table_Query_from_Actuarial___Production3[[#This Row],[Kor1]],$AI$3:$AK$105,3,FALSE)</f>
        <v>Misc. Income for Insolvent Companies</v>
      </c>
      <c r="AF6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8" spans="18:32" x14ac:dyDescent="0.2">
      <c r="R6088" t="s">
        <v>19</v>
      </c>
      <c r="S6088" t="s">
        <v>229</v>
      </c>
      <c r="T6088" t="s">
        <v>351</v>
      </c>
      <c r="U6088" s="21">
        <v>132</v>
      </c>
      <c r="V6088" s="21" t="s">
        <v>368</v>
      </c>
      <c r="W6088" t="str">
        <f>VLOOKUP(Table_Query_from_Actuarial___Production[[#This Row],[Kor1]],$AI$3:$AK$105,3,FALSE)</f>
        <v>Misc. Expense for Insolvent Companies</v>
      </c>
      <c r="X6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8"/>
      <c r="Z6088" t="s">
        <v>3</v>
      </c>
      <c r="AA6088" t="s">
        <v>264</v>
      </c>
      <c r="AB6088" t="s">
        <v>7</v>
      </c>
      <c r="AC6088" s="21">
        <v>2215926</v>
      </c>
      <c r="AD6088" s="21" t="s">
        <v>368</v>
      </c>
      <c r="AE6088" t="str">
        <f>VLOOKUP(Table_Query_from_Actuarial___Production3[[#This Row],[Kor1]],$AI$3:$AK$105,3,FALSE)</f>
        <v>Premiums Written</v>
      </c>
      <c r="AF6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89" spans="18:32" x14ac:dyDescent="0.2">
      <c r="R6089" t="s">
        <v>20</v>
      </c>
      <c r="S6089" t="s">
        <v>240</v>
      </c>
      <c r="T6089" t="s">
        <v>445</v>
      </c>
      <c r="U6089" s="21">
        <v>142.4</v>
      </c>
      <c r="V6089" s="21" t="s">
        <v>368</v>
      </c>
      <c r="W6089" t="str">
        <f>VLOOKUP(Table_Query_from_Actuarial___Production[[#This Row],[Kor1]],$AI$3:$AK$105,3,FALSE)</f>
        <v>Misc. Expense</v>
      </c>
      <c r="X6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89"/>
      <c r="Z6089" t="s">
        <v>14</v>
      </c>
      <c r="AA6089" t="s">
        <v>246</v>
      </c>
      <c r="AB6089" t="s">
        <v>433</v>
      </c>
      <c r="AC6089" s="21">
        <v>296698.82</v>
      </c>
      <c r="AD6089" s="21" t="s">
        <v>368</v>
      </c>
      <c r="AE6089" t="str">
        <f>VLOOKUP(Table_Query_from_Actuarial___Production3[[#This Row],[Kor1]],$AI$3:$AK$105,3,FALSE)</f>
        <v>Claims Expense</v>
      </c>
      <c r="AF6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0" spans="18:32" x14ac:dyDescent="0.2">
      <c r="R6090" t="s">
        <v>43</v>
      </c>
      <c r="S6090" t="s">
        <v>230</v>
      </c>
      <c r="T6090" t="s">
        <v>442</v>
      </c>
      <c r="U6090" s="21">
        <v>121231.47</v>
      </c>
      <c r="V6090" s="21" t="s">
        <v>368</v>
      </c>
      <c r="W6090" t="str">
        <f>VLOOKUP(Table_Query_from_Actuarial___Production[[#This Row],[Kor1]],$AI$3:$AK$105,3,FALSE)</f>
        <v>Charge-offs</v>
      </c>
      <c r="X6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0"/>
      <c r="Z6090" t="s">
        <v>46</v>
      </c>
      <c r="AA6090" t="s">
        <v>352</v>
      </c>
      <c r="AB6090" t="s">
        <v>5</v>
      </c>
      <c r="AC6090" s="21">
        <v>21.78</v>
      </c>
      <c r="AD6090" s="21" t="s">
        <v>369</v>
      </c>
      <c r="AE6090" t="str">
        <f>VLOOKUP(Table_Query_from_Actuarial___Production3[[#This Row],[Kor1]],$AI$3:$AK$105,3,FALSE)</f>
        <v>Investment Income</v>
      </c>
      <c r="AF6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091" spans="18:32" x14ac:dyDescent="0.2">
      <c r="R6091" t="s">
        <v>44</v>
      </c>
      <c r="S6091" t="s">
        <v>225</v>
      </c>
      <c r="T6091" t="s">
        <v>427</v>
      </c>
      <c r="U6091" s="21">
        <v>140814.42000000001</v>
      </c>
      <c r="V6091" s="21" t="s">
        <v>368</v>
      </c>
      <c r="W6091" t="str">
        <f>VLOOKUP(Table_Query_from_Actuarial___Production[[#This Row],[Kor1]],$AI$3:$AK$105,3,FALSE)</f>
        <v>Charge-offs</v>
      </c>
      <c r="X6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091"/>
      <c r="Z6091" t="s">
        <v>37</v>
      </c>
      <c r="AA6091" t="s">
        <v>244</v>
      </c>
      <c r="AB6091" t="s">
        <v>441</v>
      </c>
      <c r="AC6091" s="21">
        <v>5363.25</v>
      </c>
      <c r="AD6091" s="21" t="s">
        <v>368</v>
      </c>
      <c r="AE6091" t="str">
        <f>VLOOKUP(Table_Query_from_Actuarial___Production3[[#This Row],[Kor1]],$AI$3:$AK$105,3,FALSE)</f>
        <v>Misc. Expense</v>
      </c>
      <c r="AF6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2" spans="18:32" x14ac:dyDescent="0.2">
      <c r="R6092" t="s">
        <v>13</v>
      </c>
      <c r="S6092" t="s">
        <v>225</v>
      </c>
      <c r="T6092" t="s">
        <v>351</v>
      </c>
      <c r="U6092" s="21">
        <v>141128.76999999999</v>
      </c>
      <c r="V6092" s="21" t="s">
        <v>368</v>
      </c>
      <c r="W6092" t="str">
        <f>VLOOKUP(Table_Query_from_Actuarial___Production[[#This Row],[Kor1]],$AI$3:$AK$105,3,FALSE)</f>
        <v>Operating Service Fees</v>
      </c>
      <c r="X6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092"/>
      <c r="Z6092" t="s">
        <v>13</v>
      </c>
      <c r="AA6092" t="s">
        <v>250</v>
      </c>
      <c r="AB6092" t="s">
        <v>5</v>
      </c>
      <c r="AC6092" s="21">
        <v>124214.74</v>
      </c>
      <c r="AD6092" s="21" t="s">
        <v>368</v>
      </c>
      <c r="AE6092" t="str">
        <f>VLOOKUP(Table_Query_from_Actuarial___Production3[[#This Row],[Kor1]],$AI$3:$AK$105,3,FALSE)</f>
        <v>Operating Service Fees</v>
      </c>
      <c r="AF6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3" spans="18:32" x14ac:dyDescent="0.2">
      <c r="R6093" t="s">
        <v>3</v>
      </c>
      <c r="S6093" t="s">
        <v>247</v>
      </c>
      <c r="T6093" t="s">
        <v>441</v>
      </c>
      <c r="U6093" s="21">
        <v>4758</v>
      </c>
      <c r="V6093" s="21" t="s">
        <v>368</v>
      </c>
      <c r="W6093" t="str">
        <f>VLOOKUP(Table_Query_from_Actuarial___Production[[#This Row],[Kor1]],$AI$3:$AK$105,3,FALSE)</f>
        <v>Premiums Written</v>
      </c>
      <c r="X6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3"/>
      <c r="Z6093" t="s">
        <v>75</v>
      </c>
      <c r="AA6093" t="s">
        <v>241</v>
      </c>
      <c r="AB6093" t="s">
        <v>441</v>
      </c>
      <c r="AC6093" s="21">
        <v>250</v>
      </c>
      <c r="AD6093" s="21" t="s">
        <v>368</v>
      </c>
      <c r="AE6093" t="str">
        <f>VLOOKUP(Table_Query_from_Actuarial___Production3[[#This Row],[Kor1]],$AI$3:$AK$105,3,FALSE)</f>
        <v>EBUB</v>
      </c>
      <c r="AF6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4" spans="18:32" x14ac:dyDescent="0.2">
      <c r="R6094" t="s">
        <v>3</v>
      </c>
      <c r="S6094" t="s">
        <v>249</v>
      </c>
      <c r="T6094" t="s">
        <v>427</v>
      </c>
      <c r="U6094" s="21">
        <v>492698</v>
      </c>
      <c r="V6094" s="21" t="s">
        <v>368</v>
      </c>
      <c r="W6094" t="str">
        <f>VLOOKUP(Table_Query_from_Actuarial___Production[[#This Row],[Kor1]],$AI$3:$AK$105,3,FALSE)</f>
        <v>Premiums Written</v>
      </c>
      <c r="X6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4"/>
      <c r="Z6094" t="s">
        <v>48</v>
      </c>
      <c r="AA6094" t="s">
        <v>224</v>
      </c>
      <c r="AB6094" t="s">
        <v>442</v>
      </c>
      <c r="AC6094" s="21">
        <v>2733.73</v>
      </c>
      <c r="AD6094" s="21" t="s">
        <v>370</v>
      </c>
      <c r="AE6094" t="str">
        <f>VLOOKUP(Table_Query_from_Actuarial___Production3[[#This Row],[Kor1]],$AI$3:$AK$105,3,FALSE)</f>
        <v>Anticipated Salvage</v>
      </c>
      <c r="AF6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095" spans="18:32" x14ac:dyDescent="0.2">
      <c r="R6095" t="s">
        <v>13</v>
      </c>
      <c r="S6095" t="s">
        <v>238</v>
      </c>
      <c r="T6095" t="s">
        <v>356</v>
      </c>
      <c r="U6095" s="21">
        <v>355806.19</v>
      </c>
      <c r="V6095" s="21" t="s">
        <v>368</v>
      </c>
      <c r="W6095" t="str">
        <f>VLOOKUP(Table_Query_from_Actuarial___Production[[#This Row],[Kor1]],$AI$3:$AK$105,3,FALSE)</f>
        <v>Operating Service Fees</v>
      </c>
      <c r="X6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5"/>
      <c r="Z6095" t="s">
        <v>41</v>
      </c>
      <c r="AA6095" t="s">
        <v>268</v>
      </c>
      <c r="AB6095" t="s">
        <v>351</v>
      </c>
      <c r="AC6095" s="21">
        <v>450</v>
      </c>
      <c r="AD6095" s="21" t="s">
        <v>368</v>
      </c>
      <c r="AE6095" t="str">
        <f>VLOOKUP(Table_Query_from_Actuarial___Production3[[#This Row],[Kor1]],$AI$3:$AK$105,3,FALSE)</f>
        <v>Misc. Income</v>
      </c>
      <c r="AF6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6" spans="18:32" x14ac:dyDescent="0.2">
      <c r="R6096" t="s">
        <v>15</v>
      </c>
      <c r="S6096" t="s">
        <v>224</v>
      </c>
      <c r="T6096" t="s">
        <v>443</v>
      </c>
      <c r="U6096" s="21">
        <v>16875.13</v>
      </c>
      <c r="V6096" s="21" t="s">
        <v>369</v>
      </c>
      <c r="W6096" t="str">
        <f>VLOOKUP(Table_Query_from_Actuarial___Production[[#This Row],[Kor1]],$AI$3:$AK$105,3,FALSE)</f>
        <v>Unearned Premiums</v>
      </c>
      <c r="X6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096"/>
      <c r="Z6096" t="s">
        <v>33</v>
      </c>
      <c r="AA6096" t="s">
        <v>244</v>
      </c>
      <c r="AB6096" t="s">
        <v>9</v>
      </c>
      <c r="AC6096" s="21">
        <v>15871.49</v>
      </c>
      <c r="AD6096" s="21" t="s">
        <v>368</v>
      </c>
      <c r="AE6096" t="str">
        <f>VLOOKUP(Table_Query_from_Actuarial___Production3[[#This Row],[Kor1]],$AI$3:$AK$105,3,FALSE)</f>
        <v>Misc. Expense</v>
      </c>
      <c r="AF6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7" spans="18:32" x14ac:dyDescent="0.2">
      <c r="R6097" t="s">
        <v>19</v>
      </c>
      <c r="S6097" t="s">
        <v>239</v>
      </c>
      <c r="T6097" t="s">
        <v>443</v>
      </c>
      <c r="U6097" s="21">
        <v>2351</v>
      </c>
      <c r="V6097" s="21" t="s">
        <v>368</v>
      </c>
      <c r="W6097" t="str">
        <f>VLOOKUP(Table_Query_from_Actuarial___Production[[#This Row],[Kor1]],$AI$3:$AK$105,3,FALSE)</f>
        <v>Misc. Expense for Insolvent Companies</v>
      </c>
      <c r="X6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7"/>
      <c r="Z6097" t="s">
        <v>34</v>
      </c>
      <c r="AA6097" t="s">
        <v>242</v>
      </c>
      <c r="AB6097" t="s">
        <v>9</v>
      </c>
      <c r="AC6097" s="21">
        <v>377.63</v>
      </c>
      <c r="AD6097" s="21" t="s">
        <v>368</v>
      </c>
      <c r="AE6097" t="str">
        <f>VLOOKUP(Table_Query_from_Actuarial___Production3[[#This Row],[Kor1]],$AI$3:$AK$105,3,FALSE)</f>
        <v>Misc. Expense</v>
      </c>
      <c r="AF6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8" spans="18:32" x14ac:dyDescent="0.2">
      <c r="R6098" t="s">
        <v>11</v>
      </c>
      <c r="S6098" t="s">
        <v>265</v>
      </c>
      <c r="T6098" t="s">
        <v>443</v>
      </c>
      <c r="U6098" s="21">
        <v>22702.23</v>
      </c>
      <c r="V6098" s="21" t="s">
        <v>368</v>
      </c>
      <c r="W6098" t="str">
        <f>VLOOKUP(Table_Query_from_Actuarial___Production[[#This Row],[Kor1]],$AI$3:$AK$105,3,FALSE)</f>
        <v>Losses Paid</v>
      </c>
      <c r="X6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8"/>
      <c r="Z6098" t="s">
        <v>13</v>
      </c>
      <c r="AA6098" t="s">
        <v>251</v>
      </c>
      <c r="AB6098" t="s">
        <v>356</v>
      </c>
      <c r="AC6098" s="21">
        <v>194367.35</v>
      </c>
      <c r="AD6098" s="21" t="s">
        <v>368</v>
      </c>
      <c r="AE6098" t="str">
        <f>VLOOKUP(Table_Query_from_Actuarial___Production3[[#This Row],[Kor1]],$AI$3:$AK$105,3,FALSE)</f>
        <v>Operating Service Fees</v>
      </c>
      <c r="AF6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099" spans="18:32" x14ac:dyDescent="0.2">
      <c r="R6099" t="s">
        <v>47</v>
      </c>
      <c r="S6099" t="s">
        <v>4</v>
      </c>
      <c r="T6099" t="s">
        <v>427</v>
      </c>
      <c r="U6099" s="21">
        <v>118547.82</v>
      </c>
      <c r="V6099" s="21" t="s">
        <v>368</v>
      </c>
      <c r="W6099" t="str">
        <f>VLOOKUP(Table_Query_from_Actuarial___Production[[#This Row],[Kor1]],$AI$3:$AK$105,3,FALSE)</f>
        <v>Investment Income</v>
      </c>
      <c r="X6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099"/>
      <c r="Z6099" t="s">
        <v>30</v>
      </c>
      <c r="AA6099" t="s">
        <v>4</v>
      </c>
      <c r="AB6099" t="s">
        <v>427</v>
      </c>
      <c r="AC6099" s="21">
        <v>-0.27</v>
      </c>
      <c r="AD6099" s="21" t="s">
        <v>368</v>
      </c>
      <c r="AE6099" t="str">
        <f>VLOOKUP(Table_Query_from_Actuarial___Production3[[#This Row],[Kor1]],$AI$3:$AK$105,3,FALSE)</f>
        <v>Misc. Expense</v>
      </c>
      <c r="AF6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0" spans="18:32" x14ac:dyDescent="0.2">
      <c r="R6100" t="s">
        <v>14</v>
      </c>
      <c r="S6100" t="s">
        <v>263</v>
      </c>
      <c r="T6100" t="s">
        <v>356</v>
      </c>
      <c r="U6100" s="21">
        <v>28662.28</v>
      </c>
      <c r="V6100" s="21" t="s">
        <v>368</v>
      </c>
      <c r="W6100" t="str">
        <f>VLOOKUP(Table_Query_from_Actuarial___Production[[#This Row],[Kor1]],$AI$3:$AK$105,3,FALSE)</f>
        <v>Claims Expense</v>
      </c>
      <c r="X6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0"/>
      <c r="Z6100" t="s">
        <v>17</v>
      </c>
      <c r="AA6100" t="s">
        <v>264</v>
      </c>
      <c r="AB6100" t="s">
        <v>441</v>
      </c>
      <c r="AC6100" s="21">
        <v>436733.27</v>
      </c>
      <c r="AD6100" s="21" t="s">
        <v>368</v>
      </c>
      <c r="AE6100" t="str">
        <f>VLOOKUP(Table_Query_from_Actuarial___Production3[[#This Row],[Kor1]],$AI$3:$AK$105,3,FALSE)</f>
        <v>IBNR</v>
      </c>
      <c r="AF6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1" spans="18:32" x14ac:dyDescent="0.2">
      <c r="R6101" t="s">
        <v>21</v>
      </c>
      <c r="S6101" t="s">
        <v>239</v>
      </c>
      <c r="T6101" t="s">
        <v>433</v>
      </c>
      <c r="U6101" s="21">
        <v>5346.28</v>
      </c>
      <c r="V6101" s="21" t="s">
        <v>368</v>
      </c>
      <c r="W6101" t="str">
        <f>VLOOKUP(Table_Query_from_Actuarial___Production[[#This Row],[Kor1]],$AI$3:$AK$105,3,FALSE)</f>
        <v>Misc. Expense</v>
      </c>
      <c r="X6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1"/>
      <c r="Z6101" t="s">
        <v>47</v>
      </c>
      <c r="AA6101" t="s">
        <v>236</v>
      </c>
      <c r="AB6101" t="s">
        <v>443</v>
      </c>
      <c r="AC6101" s="21">
        <v>504.02</v>
      </c>
      <c r="AD6101" s="21" t="s">
        <v>368</v>
      </c>
      <c r="AE6101" t="str">
        <f>VLOOKUP(Table_Query_from_Actuarial___Production3[[#This Row],[Kor1]],$AI$3:$AK$105,3,FALSE)</f>
        <v>Investment Income</v>
      </c>
      <c r="AF6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2" spans="18:32" x14ac:dyDescent="0.2">
      <c r="R6102" t="s">
        <v>34</v>
      </c>
      <c r="S6102" t="s">
        <v>264</v>
      </c>
      <c r="T6102" t="s">
        <v>441</v>
      </c>
      <c r="U6102" s="21">
        <v>12.41</v>
      </c>
      <c r="V6102" s="21" t="s">
        <v>368</v>
      </c>
      <c r="W6102" t="str">
        <f>VLOOKUP(Table_Query_from_Actuarial___Production[[#This Row],[Kor1]],$AI$3:$AK$105,3,FALSE)</f>
        <v>Misc. Expense</v>
      </c>
      <c r="X6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2"/>
      <c r="Z6102" t="s">
        <v>14</v>
      </c>
      <c r="AA6102" t="s">
        <v>243</v>
      </c>
      <c r="AB6102" t="s">
        <v>7</v>
      </c>
      <c r="AC6102" s="21">
        <v>60161.54</v>
      </c>
      <c r="AD6102" s="21" t="s">
        <v>368</v>
      </c>
      <c r="AE6102" t="str">
        <f>VLOOKUP(Table_Query_from_Actuarial___Production3[[#This Row],[Kor1]],$AI$3:$AK$105,3,FALSE)</f>
        <v>Claims Expense</v>
      </c>
      <c r="AF6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3" spans="18:32" x14ac:dyDescent="0.2">
      <c r="R6103" t="s">
        <v>31</v>
      </c>
      <c r="S6103" t="s">
        <v>261</v>
      </c>
      <c r="T6103" t="s">
        <v>441</v>
      </c>
      <c r="U6103" s="21">
        <v>1106.56</v>
      </c>
      <c r="V6103" s="21" t="s">
        <v>368</v>
      </c>
      <c r="W6103" t="str">
        <f>VLOOKUP(Table_Query_from_Actuarial___Production[[#This Row],[Kor1]],$AI$3:$AK$105,3,FALSE)</f>
        <v>Misc. Expense</v>
      </c>
      <c r="X6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3"/>
      <c r="Z6103" t="s">
        <v>19</v>
      </c>
      <c r="AA6103" t="s">
        <v>229</v>
      </c>
      <c r="AB6103" t="s">
        <v>351</v>
      </c>
      <c r="AC6103" s="21">
        <v>45</v>
      </c>
      <c r="AD6103" s="21" t="s">
        <v>368</v>
      </c>
      <c r="AE6103" t="str">
        <f>VLOOKUP(Table_Query_from_Actuarial___Production3[[#This Row],[Kor1]],$AI$3:$AK$105,3,FALSE)</f>
        <v>Misc. Expense for Insolvent Companies</v>
      </c>
      <c r="AF6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4" spans="18:32" x14ac:dyDescent="0.2">
      <c r="R6104" t="s">
        <v>14</v>
      </c>
      <c r="S6104" t="s">
        <v>226</v>
      </c>
      <c r="T6104" t="s">
        <v>433</v>
      </c>
      <c r="U6104" s="21">
        <v>582170.41</v>
      </c>
      <c r="V6104" s="21" t="s">
        <v>368</v>
      </c>
      <c r="W6104" t="str">
        <f>VLOOKUP(Table_Query_from_Actuarial___Production[[#This Row],[Kor1]],$AI$3:$AK$105,3,FALSE)</f>
        <v>Claims Expense</v>
      </c>
      <c r="X6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104"/>
      <c r="Z6104" t="s">
        <v>43</v>
      </c>
      <c r="AA6104" t="s">
        <v>230</v>
      </c>
      <c r="AB6104" t="s">
        <v>442</v>
      </c>
      <c r="AC6104" s="21">
        <v>-2462.15</v>
      </c>
      <c r="AD6104" s="21" t="s">
        <v>368</v>
      </c>
      <c r="AE6104" t="str">
        <f>VLOOKUP(Table_Query_from_Actuarial___Production3[[#This Row],[Kor1]],$AI$3:$AK$105,3,FALSE)</f>
        <v>Charge-offs</v>
      </c>
      <c r="AF6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5" spans="18:32" x14ac:dyDescent="0.2">
      <c r="R6105" t="s">
        <v>10</v>
      </c>
      <c r="S6105" t="s">
        <v>265</v>
      </c>
      <c r="T6105" t="s">
        <v>8</v>
      </c>
      <c r="U6105" s="21">
        <v>41290</v>
      </c>
      <c r="V6105" s="21" t="s">
        <v>368</v>
      </c>
      <c r="W6105" t="str">
        <f>VLOOKUP(Table_Query_from_Actuarial___Production[[#This Row],[Kor1]],$AI$3:$AK$105,3,FALSE)</f>
        <v>Commissions</v>
      </c>
      <c r="X6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5"/>
      <c r="Z6105" t="s">
        <v>44</v>
      </c>
      <c r="AA6105" t="s">
        <v>225</v>
      </c>
      <c r="AB6105" t="s">
        <v>427</v>
      </c>
      <c r="AC6105" s="21">
        <v>140814.42000000001</v>
      </c>
      <c r="AD6105" s="21" t="s">
        <v>368</v>
      </c>
      <c r="AE6105" t="str">
        <f>VLOOKUP(Table_Query_from_Actuarial___Production3[[#This Row],[Kor1]],$AI$3:$AK$105,3,FALSE)</f>
        <v>Charge-offs</v>
      </c>
      <c r="AF6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106" spans="18:32" x14ac:dyDescent="0.2">
      <c r="R6106" t="s">
        <v>12</v>
      </c>
      <c r="S6106" t="s">
        <v>242</v>
      </c>
      <c r="T6106" t="s">
        <v>443</v>
      </c>
      <c r="U6106" s="21">
        <v>37892.660000000003</v>
      </c>
      <c r="V6106" s="21" t="s">
        <v>368</v>
      </c>
      <c r="W6106" t="str">
        <f>VLOOKUP(Table_Query_from_Actuarial___Production[[#This Row],[Kor1]],$AI$3:$AK$105,3,FALSE)</f>
        <v>Premium Tax</v>
      </c>
      <c r="X6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6"/>
      <c r="Z6106" t="s">
        <v>17</v>
      </c>
      <c r="AA6106" t="s">
        <v>242</v>
      </c>
      <c r="AB6106" t="s">
        <v>6</v>
      </c>
      <c r="AC6106" s="21">
        <v>50000</v>
      </c>
      <c r="AD6106" s="21" t="s">
        <v>368</v>
      </c>
      <c r="AE6106" t="str">
        <f>VLOOKUP(Table_Query_from_Actuarial___Production3[[#This Row],[Kor1]],$AI$3:$AK$105,3,FALSE)</f>
        <v>IBNR</v>
      </c>
      <c r="AF6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7" spans="18:32" x14ac:dyDescent="0.2">
      <c r="R6107" t="s">
        <v>38</v>
      </c>
      <c r="S6107" t="s">
        <v>224</v>
      </c>
      <c r="T6107" t="s">
        <v>433</v>
      </c>
      <c r="U6107" s="21">
        <v>9608.84</v>
      </c>
      <c r="V6107" s="21" t="s">
        <v>425</v>
      </c>
      <c r="W6107" t="str">
        <f>VLOOKUP(Table_Query_from_Actuarial___Production[[#This Row],[Kor1]],$AI$3:$AK$105,3,FALSE)</f>
        <v>Misc. Income</v>
      </c>
      <c r="X6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07"/>
      <c r="Z6107" t="s">
        <v>13</v>
      </c>
      <c r="AA6107" t="s">
        <v>225</v>
      </c>
      <c r="AB6107" t="s">
        <v>351</v>
      </c>
      <c r="AC6107" s="21">
        <v>141128.76999999999</v>
      </c>
      <c r="AD6107" s="21" t="s">
        <v>368</v>
      </c>
      <c r="AE6107" t="str">
        <f>VLOOKUP(Table_Query_from_Actuarial___Production3[[#This Row],[Kor1]],$AI$3:$AK$105,3,FALSE)</f>
        <v>Operating Service Fees</v>
      </c>
      <c r="AF6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108" spans="18:32" x14ac:dyDescent="0.2">
      <c r="R6108" t="s">
        <v>14</v>
      </c>
      <c r="S6108" t="s">
        <v>267</v>
      </c>
      <c r="T6108" t="s">
        <v>441</v>
      </c>
      <c r="U6108" s="21">
        <v>105990.42</v>
      </c>
      <c r="V6108" s="21" t="s">
        <v>368</v>
      </c>
      <c r="W6108" t="str">
        <f>VLOOKUP(Table_Query_from_Actuarial___Production[[#This Row],[Kor1]],$AI$3:$AK$105,3,FALSE)</f>
        <v>Claims Expense</v>
      </c>
      <c r="X6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8"/>
      <c r="Z6108" t="s">
        <v>3</v>
      </c>
      <c r="AA6108" t="s">
        <v>247</v>
      </c>
      <c r="AB6108" t="s">
        <v>441</v>
      </c>
      <c r="AC6108" s="21">
        <v>4758</v>
      </c>
      <c r="AD6108" s="21" t="s">
        <v>368</v>
      </c>
      <c r="AE6108" t="str">
        <f>VLOOKUP(Table_Query_from_Actuarial___Production3[[#This Row],[Kor1]],$AI$3:$AK$105,3,FALSE)</f>
        <v>Premiums Written</v>
      </c>
      <c r="AF6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09" spans="18:32" x14ac:dyDescent="0.2">
      <c r="R6109" t="s">
        <v>39</v>
      </c>
      <c r="S6109" t="s">
        <v>260</v>
      </c>
      <c r="T6109" t="s">
        <v>7</v>
      </c>
      <c r="U6109" s="21">
        <v>147</v>
      </c>
      <c r="V6109" s="21" t="s">
        <v>368</v>
      </c>
      <c r="W6109" t="str">
        <f>VLOOKUP(Table_Query_from_Actuarial___Production[[#This Row],[Kor1]],$AI$3:$AK$105,3,FALSE)</f>
        <v>Misc. Income for Insolvent Companies</v>
      </c>
      <c r="X6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09"/>
      <c r="Z6109" t="s">
        <v>3</v>
      </c>
      <c r="AA6109" t="s">
        <v>249</v>
      </c>
      <c r="AB6109" t="s">
        <v>427</v>
      </c>
      <c r="AC6109" s="21">
        <v>492698</v>
      </c>
      <c r="AD6109" s="21" t="s">
        <v>368</v>
      </c>
      <c r="AE6109" t="str">
        <f>VLOOKUP(Table_Query_from_Actuarial___Production3[[#This Row],[Kor1]],$AI$3:$AK$105,3,FALSE)</f>
        <v>Premiums Written</v>
      </c>
      <c r="AF6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0" spans="18:32" x14ac:dyDescent="0.2">
      <c r="R6110" t="s">
        <v>16</v>
      </c>
      <c r="S6110" t="s">
        <v>225</v>
      </c>
      <c r="T6110" t="s">
        <v>351</v>
      </c>
      <c r="U6110" s="21">
        <v>101</v>
      </c>
      <c r="V6110" s="21" t="s">
        <v>368</v>
      </c>
      <c r="W6110" t="str">
        <f>VLOOKUP(Table_Query_from_Actuarial___Production[[#This Row],[Kor1]],$AI$3:$AK$105,3,FALSE)</f>
        <v>Losses Outstanding</v>
      </c>
      <c r="X6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110"/>
      <c r="Z6110" t="s">
        <v>13</v>
      </c>
      <c r="AA6110" t="s">
        <v>238</v>
      </c>
      <c r="AB6110" t="s">
        <v>356</v>
      </c>
      <c r="AC6110" s="21">
        <v>355806.19</v>
      </c>
      <c r="AD6110" s="21" t="s">
        <v>368</v>
      </c>
      <c r="AE6110" t="str">
        <f>VLOOKUP(Table_Query_from_Actuarial___Production3[[#This Row],[Kor1]],$AI$3:$AK$105,3,FALSE)</f>
        <v>Operating Service Fees</v>
      </c>
      <c r="AF6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1" spans="18:32" x14ac:dyDescent="0.2">
      <c r="R6111" t="s">
        <v>14</v>
      </c>
      <c r="S6111" t="s">
        <v>266</v>
      </c>
      <c r="T6111" t="s">
        <v>433</v>
      </c>
      <c r="U6111" s="21">
        <v>52230.04</v>
      </c>
      <c r="V6111" s="21" t="s">
        <v>368</v>
      </c>
      <c r="W6111" t="str">
        <f>VLOOKUP(Table_Query_from_Actuarial___Production[[#This Row],[Kor1]],$AI$3:$AK$105,3,FALSE)</f>
        <v>Claims Expense</v>
      </c>
      <c r="X6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1"/>
      <c r="Z6111" t="s">
        <v>15</v>
      </c>
      <c r="AA6111" t="s">
        <v>224</v>
      </c>
      <c r="AB6111" t="s">
        <v>443</v>
      </c>
      <c r="AC6111" s="21">
        <v>15124.65</v>
      </c>
      <c r="AD6111" s="21" t="s">
        <v>369</v>
      </c>
      <c r="AE6111" t="str">
        <f>VLOOKUP(Table_Query_from_Actuarial___Production3[[#This Row],[Kor1]],$AI$3:$AK$105,3,FALSE)</f>
        <v>Unearned Premiums</v>
      </c>
      <c r="AF6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112" spans="18:32" x14ac:dyDescent="0.2">
      <c r="R6112" t="s">
        <v>12</v>
      </c>
      <c r="S6112" t="s">
        <v>234</v>
      </c>
      <c r="T6112" t="s">
        <v>427</v>
      </c>
      <c r="U6112" s="21">
        <v>14619.27</v>
      </c>
      <c r="V6112" s="21" t="s">
        <v>368</v>
      </c>
      <c r="W6112" t="str">
        <f>VLOOKUP(Table_Query_from_Actuarial___Production[[#This Row],[Kor1]],$AI$3:$AK$105,3,FALSE)</f>
        <v>Premium Tax</v>
      </c>
      <c r="X6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2"/>
      <c r="Z6112" t="s">
        <v>47</v>
      </c>
      <c r="AA6112" t="s">
        <v>4</v>
      </c>
      <c r="AB6112" t="s">
        <v>427</v>
      </c>
      <c r="AC6112" s="21">
        <v>118547.82</v>
      </c>
      <c r="AD6112" s="21" t="s">
        <v>368</v>
      </c>
      <c r="AE6112" t="str">
        <f>VLOOKUP(Table_Query_from_Actuarial___Production3[[#This Row],[Kor1]],$AI$3:$AK$105,3,FALSE)</f>
        <v>Investment Income</v>
      </c>
      <c r="AF6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3" spans="18:32" x14ac:dyDescent="0.2">
      <c r="R6113" t="s">
        <v>14</v>
      </c>
      <c r="S6113" t="s">
        <v>244</v>
      </c>
      <c r="T6113" t="s">
        <v>356</v>
      </c>
      <c r="U6113" s="21">
        <v>161514.62</v>
      </c>
      <c r="V6113" s="21" t="s">
        <v>368</v>
      </c>
      <c r="W6113" t="str">
        <f>VLOOKUP(Table_Query_from_Actuarial___Production[[#This Row],[Kor1]],$AI$3:$AK$105,3,FALSE)</f>
        <v>Claims Expense</v>
      </c>
      <c r="X6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3"/>
      <c r="Z6113" t="s">
        <v>14</v>
      </c>
      <c r="AA6113" t="s">
        <v>263</v>
      </c>
      <c r="AB6113" t="s">
        <v>356</v>
      </c>
      <c r="AC6113" s="21">
        <v>28662.28</v>
      </c>
      <c r="AD6113" s="21" t="s">
        <v>368</v>
      </c>
      <c r="AE6113" t="str">
        <f>VLOOKUP(Table_Query_from_Actuarial___Production3[[#This Row],[Kor1]],$AI$3:$AK$105,3,FALSE)</f>
        <v>Claims Expense</v>
      </c>
      <c r="AF6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4" spans="18:32" x14ac:dyDescent="0.2">
      <c r="R6114" t="s">
        <v>17</v>
      </c>
      <c r="S6114" t="s">
        <v>234</v>
      </c>
      <c r="T6114" t="s">
        <v>443</v>
      </c>
      <c r="U6114" s="21">
        <v>323229.12</v>
      </c>
      <c r="V6114" s="21" t="s">
        <v>368</v>
      </c>
      <c r="W6114" t="str">
        <f>VLOOKUP(Table_Query_from_Actuarial___Production[[#This Row],[Kor1]],$AI$3:$AK$105,3,FALSE)</f>
        <v>IBNR</v>
      </c>
      <c r="X6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4"/>
      <c r="Z6114" t="s">
        <v>21</v>
      </c>
      <c r="AA6114" t="s">
        <v>239</v>
      </c>
      <c r="AB6114" t="s">
        <v>433</v>
      </c>
      <c r="AC6114" s="21">
        <v>5346.28</v>
      </c>
      <c r="AD6114" s="21" t="s">
        <v>368</v>
      </c>
      <c r="AE6114" t="str">
        <f>VLOOKUP(Table_Query_from_Actuarial___Production3[[#This Row],[Kor1]],$AI$3:$AK$105,3,FALSE)</f>
        <v>Misc. Expense</v>
      </c>
      <c r="AF6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5" spans="18:32" x14ac:dyDescent="0.2">
      <c r="R6115" t="s">
        <v>48</v>
      </c>
      <c r="S6115" t="s">
        <v>235</v>
      </c>
      <c r="T6115" t="s">
        <v>433</v>
      </c>
      <c r="U6115" s="21">
        <v>115.36</v>
      </c>
      <c r="V6115" s="21" t="s">
        <v>368</v>
      </c>
      <c r="W6115" t="str">
        <f>VLOOKUP(Table_Query_from_Actuarial___Production[[#This Row],[Kor1]],$AI$3:$AK$105,3,FALSE)</f>
        <v>Anticipated Salvage</v>
      </c>
      <c r="X6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5"/>
      <c r="Z6115" t="s">
        <v>36</v>
      </c>
      <c r="AA6115" t="s">
        <v>230</v>
      </c>
      <c r="AB6115" t="s">
        <v>5</v>
      </c>
      <c r="AC6115" s="21">
        <v>8642.0499999999993</v>
      </c>
      <c r="AD6115" s="21" t="s">
        <v>368</v>
      </c>
      <c r="AE6115" t="str">
        <f>VLOOKUP(Table_Query_from_Actuarial___Production3[[#This Row],[Kor1]],$AI$3:$AK$105,3,FALSE)</f>
        <v>Misc. Expense</v>
      </c>
      <c r="AF6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6" spans="18:32" x14ac:dyDescent="0.2">
      <c r="R6116" t="s">
        <v>13</v>
      </c>
      <c r="S6116" t="s">
        <v>225</v>
      </c>
      <c r="T6116" t="s">
        <v>356</v>
      </c>
      <c r="U6116" s="21">
        <v>99813.74</v>
      </c>
      <c r="V6116" s="21" t="s">
        <v>369</v>
      </c>
      <c r="W6116" t="str">
        <f>VLOOKUP(Table_Query_from_Actuarial___Production[[#This Row],[Kor1]],$AI$3:$AK$105,3,FALSE)</f>
        <v>Operating Service Fees</v>
      </c>
      <c r="X6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116"/>
      <c r="Z6116" t="s">
        <v>34</v>
      </c>
      <c r="AA6116" t="s">
        <v>264</v>
      </c>
      <c r="AB6116" t="s">
        <v>441</v>
      </c>
      <c r="AC6116" s="21">
        <v>12.41</v>
      </c>
      <c r="AD6116" s="21" t="s">
        <v>368</v>
      </c>
      <c r="AE6116" t="str">
        <f>VLOOKUP(Table_Query_from_Actuarial___Production3[[#This Row],[Kor1]],$AI$3:$AK$105,3,FALSE)</f>
        <v>Misc. Expense</v>
      </c>
      <c r="AF6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7" spans="18:32" x14ac:dyDescent="0.2">
      <c r="R6117" t="s">
        <v>50</v>
      </c>
      <c r="S6117" t="s">
        <v>233</v>
      </c>
      <c r="T6117" t="s">
        <v>427</v>
      </c>
      <c r="U6117" s="21">
        <v>569.25</v>
      </c>
      <c r="V6117" s="21" t="s">
        <v>368</v>
      </c>
      <c r="W6117" t="str">
        <f>VLOOKUP(Table_Query_from_Actuarial___Production[[#This Row],[Kor1]],$AI$3:$AK$105,3,FALSE)</f>
        <v>ALAE Reserve</v>
      </c>
      <c r="X6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17"/>
      <c r="Z6117" t="s">
        <v>31</v>
      </c>
      <c r="AA6117" t="s">
        <v>261</v>
      </c>
      <c r="AB6117" t="s">
        <v>441</v>
      </c>
      <c r="AC6117" s="21">
        <v>1106.56</v>
      </c>
      <c r="AD6117" s="21" t="s">
        <v>368</v>
      </c>
      <c r="AE6117" t="str">
        <f>VLOOKUP(Table_Query_from_Actuarial___Production3[[#This Row],[Kor1]],$AI$3:$AK$105,3,FALSE)</f>
        <v>Misc. Expense</v>
      </c>
      <c r="AF6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18" spans="18:32" x14ac:dyDescent="0.2">
      <c r="R6118" t="s">
        <v>49</v>
      </c>
      <c r="S6118" t="s">
        <v>225</v>
      </c>
      <c r="T6118" t="s">
        <v>441</v>
      </c>
      <c r="U6118" s="21">
        <v>32710.42</v>
      </c>
      <c r="V6118" s="21" t="s">
        <v>368</v>
      </c>
      <c r="W6118" t="str">
        <f>VLOOKUP(Table_Query_from_Actuarial___Production[[#This Row],[Kor1]],$AI$3:$AK$105,3,FALSE)</f>
        <v>ALAE Paid</v>
      </c>
      <c r="X6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118"/>
      <c r="Z6118" t="s">
        <v>14</v>
      </c>
      <c r="AA6118" t="s">
        <v>226</v>
      </c>
      <c r="AB6118" t="s">
        <v>433</v>
      </c>
      <c r="AC6118" s="21">
        <v>582186.13</v>
      </c>
      <c r="AD6118" s="21" t="s">
        <v>368</v>
      </c>
      <c r="AE6118" t="str">
        <f>VLOOKUP(Table_Query_from_Actuarial___Production3[[#This Row],[Kor1]],$AI$3:$AK$105,3,FALSE)</f>
        <v>Claims Expense</v>
      </c>
      <c r="AF6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119" spans="18:32" x14ac:dyDescent="0.2">
      <c r="R6119" t="s">
        <v>10</v>
      </c>
      <c r="S6119" t="s">
        <v>352</v>
      </c>
      <c r="T6119" t="s">
        <v>433</v>
      </c>
      <c r="U6119" s="21">
        <v>9.67</v>
      </c>
      <c r="V6119" s="21" t="s">
        <v>368</v>
      </c>
      <c r="W6119" t="str">
        <f>VLOOKUP(Table_Query_from_Actuarial___Production[[#This Row],[Kor1]],$AI$3:$AK$105,3,FALSE)</f>
        <v>Commissions</v>
      </c>
      <c r="X6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119"/>
      <c r="Z6119" t="s">
        <v>10</v>
      </c>
      <c r="AA6119" t="s">
        <v>265</v>
      </c>
      <c r="AB6119" t="s">
        <v>8</v>
      </c>
      <c r="AC6119" s="21">
        <v>41290</v>
      </c>
      <c r="AD6119" s="21" t="s">
        <v>368</v>
      </c>
      <c r="AE6119" t="str">
        <f>VLOOKUP(Table_Query_from_Actuarial___Production3[[#This Row],[Kor1]],$AI$3:$AK$105,3,FALSE)</f>
        <v>Commissions</v>
      </c>
      <c r="AF6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0" spans="18:32" x14ac:dyDescent="0.2">
      <c r="R6120" t="s">
        <v>47</v>
      </c>
      <c r="S6120" t="s">
        <v>230</v>
      </c>
      <c r="T6120" t="s">
        <v>356</v>
      </c>
      <c r="U6120" s="21">
        <v>56077.46</v>
      </c>
      <c r="V6120" s="21" t="s">
        <v>368</v>
      </c>
      <c r="W6120" t="str">
        <f>VLOOKUP(Table_Query_from_Actuarial___Production[[#This Row],[Kor1]],$AI$3:$AK$105,3,FALSE)</f>
        <v>Investment Income</v>
      </c>
      <c r="X6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0"/>
      <c r="Z6120" t="s">
        <v>12</v>
      </c>
      <c r="AA6120" t="s">
        <v>242</v>
      </c>
      <c r="AB6120" t="s">
        <v>443</v>
      </c>
      <c r="AC6120" s="21">
        <v>2022.45</v>
      </c>
      <c r="AD6120" s="21" t="s">
        <v>368</v>
      </c>
      <c r="AE6120" t="str">
        <f>VLOOKUP(Table_Query_from_Actuarial___Production3[[#This Row],[Kor1]],$AI$3:$AK$105,3,FALSE)</f>
        <v>Premium Tax</v>
      </c>
      <c r="AF6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1" spans="18:32" x14ac:dyDescent="0.2">
      <c r="R6121" t="s">
        <v>18</v>
      </c>
      <c r="S6121" t="s">
        <v>354</v>
      </c>
      <c r="T6121" t="s">
        <v>445</v>
      </c>
      <c r="U6121" s="21">
        <v>404674.36</v>
      </c>
      <c r="V6121" s="21" t="s">
        <v>368</v>
      </c>
      <c r="W6121" t="str">
        <f>VLOOKUP(Table_Query_from_Actuarial___Production[[#This Row],[Kor1]],$AI$3:$AK$105,3,FALSE)</f>
        <v>Misc. Expense</v>
      </c>
      <c r="X6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121"/>
      <c r="Z6121" t="s">
        <v>38</v>
      </c>
      <c r="AA6121" t="s">
        <v>224</v>
      </c>
      <c r="AB6121" t="s">
        <v>433</v>
      </c>
      <c r="AC6121" s="21">
        <v>9608.84</v>
      </c>
      <c r="AD6121" s="21" t="s">
        <v>425</v>
      </c>
      <c r="AE6121" t="str">
        <f>VLOOKUP(Table_Query_from_Actuarial___Production3[[#This Row],[Kor1]],$AI$3:$AK$105,3,FALSE)</f>
        <v>Misc. Income</v>
      </c>
      <c r="AF6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122" spans="18:32" x14ac:dyDescent="0.2">
      <c r="R6122" t="s">
        <v>34</v>
      </c>
      <c r="S6122" t="s">
        <v>252</v>
      </c>
      <c r="T6122" t="s">
        <v>8</v>
      </c>
      <c r="U6122" s="21">
        <v>28.89</v>
      </c>
      <c r="V6122" s="21" t="s">
        <v>368</v>
      </c>
      <c r="W6122" t="str">
        <f>VLOOKUP(Table_Query_from_Actuarial___Production[[#This Row],[Kor1]],$AI$3:$AK$105,3,FALSE)</f>
        <v>Misc. Expense</v>
      </c>
      <c r="X6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2"/>
      <c r="Z6122" t="s">
        <v>14</v>
      </c>
      <c r="AA6122" t="s">
        <v>267</v>
      </c>
      <c r="AB6122" t="s">
        <v>441</v>
      </c>
      <c r="AC6122" s="21">
        <v>105990.42</v>
      </c>
      <c r="AD6122" s="21" t="s">
        <v>368</v>
      </c>
      <c r="AE6122" t="str">
        <f>VLOOKUP(Table_Query_from_Actuarial___Production3[[#This Row],[Kor1]],$AI$3:$AK$105,3,FALSE)</f>
        <v>Claims Expense</v>
      </c>
      <c r="AF6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3" spans="18:32" x14ac:dyDescent="0.2">
      <c r="R6123" t="s">
        <v>14</v>
      </c>
      <c r="S6123" t="s">
        <v>262</v>
      </c>
      <c r="T6123" t="s">
        <v>443</v>
      </c>
      <c r="U6123" s="21">
        <v>5311.4</v>
      </c>
      <c r="V6123" s="21" t="s">
        <v>368</v>
      </c>
      <c r="W6123" t="str">
        <f>VLOOKUP(Table_Query_from_Actuarial___Production[[#This Row],[Kor1]],$AI$3:$AK$105,3,FALSE)</f>
        <v>Claims Expense</v>
      </c>
      <c r="X6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3"/>
      <c r="Z6123" t="s">
        <v>20</v>
      </c>
      <c r="AA6123" t="s">
        <v>263</v>
      </c>
      <c r="AB6123" t="s">
        <v>5</v>
      </c>
      <c r="AC6123" s="21">
        <v>261.24</v>
      </c>
      <c r="AD6123" s="21" t="s">
        <v>368</v>
      </c>
      <c r="AE6123" t="str">
        <f>VLOOKUP(Table_Query_from_Actuarial___Production3[[#This Row],[Kor1]],$AI$3:$AK$105,3,FALSE)</f>
        <v>Misc. Expense</v>
      </c>
      <c r="AF6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4" spans="18:32" x14ac:dyDescent="0.2">
      <c r="R6124" t="s">
        <v>20</v>
      </c>
      <c r="S6124" t="s">
        <v>4</v>
      </c>
      <c r="T6124" t="s">
        <v>7</v>
      </c>
      <c r="U6124" s="21">
        <v>9979.66</v>
      </c>
      <c r="V6124" s="21" t="s">
        <v>368</v>
      </c>
      <c r="W6124" t="str">
        <f>VLOOKUP(Table_Query_from_Actuarial___Production[[#This Row],[Kor1]],$AI$3:$AK$105,3,FALSE)</f>
        <v>Misc. Expense</v>
      </c>
      <c r="X6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4"/>
      <c r="Z6124" t="s">
        <v>39</v>
      </c>
      <c r="AA6124" t="s">
        <v>260</v>
      </c>
      <c r="AB6124" t="s">
        <v>7</v>
      </c>
      <c r="AC6124" s="21">
        <v>147</v>
      </c>
      <c r="AD6124" s="21" t="s">
        <v>368</v>
      </c>
      <c r="AE6124" t="str">
        <f>VLOOKUP(Table_Query_from_Actuarial___Production3[[#This Row],[Kor1]],$AI$3:$AK$105,3,FALSE)</f>
        <v>Misc. Income for Insolvent Companies</v>
      </c>
      <c r="AF6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5" spans="18:32" x14ac:dyDescent="0.2">
      <c r="R6125" t="s">
        <v>14</v>
      </c>
      <c r="S6125" t="s">
        <v>229</v>
      </c>
      <c r="T6125" t="s">
        <v>442</v>
      </c>
      <c r="U6125" s="21">
        <v>12146.69</v>
      </c>
      <c r="V6125" s="21" t="s">
        <v>368</v>
      </c>
      <c r="W6125" t="str">
        <f>VLOOKUP(Table_Query_from_Actuarial___Production[[#This Row],[Kor1]],$AI$3:$AK$105,3,FALSE)</f>
        <v>Claims Expense</v>
      </c>
      <c r="X6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5"/>
      <c r="Z6125" t="s">
        <v>16</v>
      </c>
      <c r="AA6125" t="s">
        <v>225</v>
      </c>
      <c r="AB6125" t="s">
        <v>351</v>
      </c>
      <c r="AC6125" s="21">
        <v>101</v>
      </c>
      <c r="AD6125" s="21" t="s">
        <v>368</v>
      </c>
      <c r="AE6125" t="str">
        <f>VLOOKUP(Table_Query_from_Actuarial___Production3[[#This Row],[Kor1]],$AI$3:$AK$105,3,FALSE)</f>
        <v>Losses Outstanding</v>
      </c>
      <c r="AF6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126" spans="18:32" x14ac:dyDescent="0.2">
      <c r="R6126" t="s">
        <v>40</v>
      </c>
      <c r="S6126" t="s">
        <v>235</v>
      </c>
      <c r="T6126" t="s">
        <v>7</v>
      </c>
      <c r="U6126" s="21">
        <v>580.57000000000005</v>
      </c>
      <c r="V6126" s="21" t="s">
        <v>368</v>
      </c>
      <c r="W6126" t="str">
        <f>VLOOKUP(Table_Query_from_Actuarial___Production[[#This Row],[Kor1]],$AI$3:$AK$105,3,FALSE)</f>
        <v>Misc. Income</v>
      </c>
      <c r="X6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6"/>
      <c r="Z6126" t="s">
        <v>11</v>
      </c>
      <c r="AA6126" t="s">
        <v>267</v>
      </c>
      <c r="AB6126" t="s">
        <v>5</v>
      </c>
      <c r="AC6126" s="21">
        <v>719342.14</v>
      </c>
      <c r="AD6126" s="21" t="s">
        <v>368</v>
      </c>
      <c r="AE6126" t="str">
        <f>VLOOKUP(Table_Query_from_Actuarial___Production3[[#This Row],[Kor1]],$AI$3:$AK$105,3,FALSE)</f>
        <v>Losses Paid</v>
      </c>
      <c r="AF6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7" spans="18:32" x14ac:dyDescent="0.2">
      <c r="R6127" t="s">
        <v>38</v>
      </c>
      <c r="S6127" t="s">
        <v>352</v>
      </c>
      <c r="T6127" t="s">
        <v>433</v>
      </c>
      <c r="U6127" s="21">
        <v>13.98</v>
      </c>
      <c r="V6127" s="21" t="s">
        <v>368</v>
      </c>
      <c r="W6127" t="str">
        <f>VLOOKUP(Table_Query_from_Actuarial___Production[[#This Row],[Kor1]],$AI$3:$AK$105,3,FALSE)</f>
        <v>Misc. Income</v>
      </c>
      <c r="X6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127"/>
      <c r="Z6127" t="s">
        <v>14</v>
      </c>
      <c r="AA6127" t="s">
        <v>266</v>
      </c>
      <c r="AB6127" t="s">
        <v>433</v>
      </c>
      <c r="AC6127" s="21">
        <v>52232.68</v>
      </c>
      <c r="AD6127" s="21" t="s">
        <v>368</v>
      </c>
      <c r="AE6127" t="str">
        <f>VLOOKUP(Table_Query_from_Actuarial___Production3[[#This Row],[Kor1]],$AI$3:$AK$105,3,FALSE)</f>
        <v>Claims Expense</v>
      </c>
      <c r="AF6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8" spans="18:32" x14ac:dyDescent="0.2">
      <c r="R6128" t="s">
        <v>14</v>
      </c>
      <c r="S6128" t="s">
        <v>226</v>
      </c>
      <c r="T6128" t="s">
        <v>351</v>
      </c>
      <c r="U6128" s="21">
        <v>594411.52000000002</v>
      </c>
      <c r="V6128" s="21" t="s">
        <v>368</v>
      </c>
      <c r="W6128" t="str">
        <f>VLOOKUP(Table_Query_from_Actuarial___Production[[#This Row],[Kor1]],$AI$3:$AK$105,3,FALSE)</f>
        <v>Claims Expense</v>
      </c>
      <c r="X6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128"/>
      <c r="Z6128" t="s">
        <v>12</v>
      </c>
      <c r="AA6128" t="s">
        <v>234</v>
      </c>
      <c r="AB6128" t="s">
        <v>427</v>
      </c>
      <c r="AC6128" s="21">
        <v>14619.27</v>
      </c>
      <c r="AD6128" s="21" t="s">
        <v>368</v>
      </c>
      <c r="AE6128" t="str">
        <f>VLOOKUP(Table_Query_from_Actuarial___Production3[[#This Row],[Kor1]],$AI$3:$AK$105,3,FALSE)</f>
        <v>Premium Tax</v>
      </c>
      <c r="AF6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29" spans="18:32" x14ac:dyDescent="0.2">
      <c r="R6129" t="s">
        <v>34</v>
      </c>
      <c r="S6129" t="s">
        <v>228</v>
      </c>
      <c r="T6129" t="s">
        <v>442</v>
      </c>
      <c r="U6129" s="21">
        <v>2784.27</v>
      </c>
      <c r="V6129" s="21" t="s">
        <v>368</v>
      </c>
      <c r="W6129" t="str">
        <f>VLOOKUP(Table_Query_from_Actuarial___Production[[#This Row],[Kor1]],$AI$3:$AK$105,3,FALSE)</f>
        <v>Misc. Expense</v>
      </c>
      <c r="X6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29"/>
      <c r="Z6129" t="s">
        <v>14</v>
      </c>
      <c r="AA6129" t="s">
        <v>244</v>
      </c>
      <c r="AB6129" t="s">
        <v>356</v>
      </c>
      <c r="AC6129" s="21">
        <v>161514.62</v>
      </c>
      <c r="AD6129" s="21" t="s">
        <v>368</v>
      </c>
      <c r="AE6129" t="str">
        <f>VLOOKUP(Table_Query_from_Actuarial___Production3[[#This Row],[Kor1]],$AI$3:$AK$105,3,FALSE)</f>
        <v>Claims Expense</v>
      </c>
      <c r="AF6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0" spans="18:32" x14ac:dyDescent="0.2">
      <c r="R6130" t="s">
        <v>47</v>
      </c>
      <c r="S6130" t="s">
        <v>4</v>
      </c>
      <c r="T6130" t="s">
        <v>443</v>
      </c>
      <c r="U6130" s="21">
        <v>272136.33</v>
      </c>
      <c r="V6130" s="21" t="s">
        <v>368</v>
      </c>
      <c r="W6130" t="str">
        <f>VLOOKUP(Table_Query_from_Actuarial___Production[[#This Row],[Kor1]],$AI$3:$AK$105,3,FALSE)</f>
        <v>Investment Income</v>
      </c>
      <c r="X6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0"/>
      <c r="Z6130" t="s">
        <v>17</v>
      </c>
      <c r="AA6130" t="s">
        <v>234</v>
      </c>
      <c r="AB6130" t="s">
        <v>443</v>
      </c>
      <c r="AC6130" s="21">
        <v>45622.2</v>
      </c>
      <c r="AD6130" s="21" t="s">
        <v>368</v>
      </c>
      <c r="AE6130" t="str">
        <f>VLOOKUP(Table_Query_from_Actuarial___Production3[[#This Row],[Kor1]],$AI$3:$AK$105,3,FALSE)</f>
        <v>IBNR</v>
      </c>
      <c r="AF6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1" spans="18:32" x14ac:dyDescent="0.2">
      <c r="R6131" t="s">
        <v>20</v>
      </c>
      <c r="S6131" t="s">
        <v>262</v>
      </c>
      <c r="T6131" t="s">
        <v>442</v>
      </c>
      <c r="U6131" s="21">
        <v>142.6</v>
      </c>
      <c r="V6131" s="21" t="s">
        <v>368</v>
      </c>
      <c r="W6131" t="str">
        <f>VLOOKUP(Table_Query_from_Actuarial___Production[[#This Row],[Kor1]],$AI$3:$AK$105,3,FALSE)</f>
        <v>Misc. Expense</v>
      </c>
      <c r="X6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1"/>
      <c r="Z6131" t="s">
        <v>48</v>
      </c>
      <c r="AA6131" t="s">
        <v>235</v>
      </c>
      <c r="AB6131" t="s">
        <v>433</v>
      </c>
      <c r="AC6131" s="21">
        <v>202.37</v>
      </c>
      <c r="AD6131" s="21" t="s">
        <v>368</v>
      </c>
      <c r="AE6131" t="str">
        <f>VLOOKUP(Table_Query_from_Actuarial___Production3[[#This Row],[Kor1]],$AI$3:$AK$105,3,FALSE)</f>
        <v>Anticipated Salvage</v>
      </c>
      <c r="AF6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2" spans="18:32" x14ac:dyDescent="0.2">
      <c r="R6132" t="s">
        <v>46</v>
      </c>
      <c r="S6132" t="s">
        <v>352</v>
      </c>
      <c r="T6132" t="s">
        <v>351</v>
      </c>
      <c r="U6132" s="21">
        <v>2406.19</v>
      </c>
      <c r="V6132" s="21" t="s">
        <v>369</v>
      </c>
      <c r="W6132" t="str">
        <f>VLOOKUP(Table_Query_from_Actuarial___Production[[#This Row],[Kor1]],$AI$3:$AK$105,3,FALSE)</f>
        <v>Investment Income</v>
      </c>
      <c r="X6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6132"/>
      <c r="Z6132" t="s">
        <v>13</v>
      </c>
      <c r="AA6132" t="s">
        <v>225</v>
      </c>
      <c r="AB6132" t="s">
        <v>356</v>
      </c>
      <c r="AC6132" s="21">
        <v>99820.58</v>
      </c>
      <c r="AD6132" s="21" t="s">
        <v>369</v>
      </c>
      <c r="AE6132" t="str">
        <f>VLOOKUP(Table_Query_from_Actuarial___Production3[[#This Row],[Kor1]],$AI$3:$AK$105,3,FALSE)</f>
        <v>Operating Service Fees</v>
      </c>
      <c r="AF6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133" spans="18:32" x14ac:dyDescent="0.2">
      <c r="R6133" t="s">
        <v>16</v>
      </c>
      <c r="S6133" t="s">
        <v>268</v>
      </c>
      <c r="T6133" t="s">
        <v>433</v>
      </c>
      <c r="U6133" s="21">
        <v>-288</v>
      </c>
      <c r="V6133" s="21" t="s">
        <v>368</v>
      </c>
      <c r="W6133" t="str">
        <f>VLOOKUP(Table_Query_from_Actuarial___Production[[#This Row],[Kor1]],$AI$3:$AK$105,3,FALSE)</f>
        <v>Losses Outstanding</v>
      </c>
      <c r="X6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3"/>
      <c r="Z6133" t="s">
        <v>47</v>
      </c>
      <c r="AA6133" t="s">
        <v>228</v>
      </c>
      <c r="AB6133" t="s">
        <v>5</v>
      </c>
      <c r="AC6133" s="21">
        <v>0.01</v>
      </c>
      <c r="AD6133" s="21" t="s">
        <v>368</v>
      </c>
      <c r="AE6133" t="str">
        <f>VLOOKUP(Table_Query_from_Actuarial___Production3[[#This Row],[Kor1]],$AI$3:$AK$105,3,FALSE)</f>
        <v>Investment Income</v>
      </c>
      <c r="AF6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4" spans="18:32" x14ac:dyDescent="0.2">
      <c r="R6134" t="s">
        <v>37</v>
      </c>
      <c r="S6134" t="s">
        <v>251</v>
      </c>
      <c r="T6134" t="s">
        <v>442</v>
      </c>
      <c r="U6134" s="21">
        <v>228.87</v>
      </c>
      <c r="V6134" s="21" t="s">
        <v>368</v>
      </c>
      <c r="W6134" t="str">
        <f>VLOOKUP(Table_Query_from_Actuarial___Production[[#This Row],[Kor1]],$AI$3:$AK$105,3,FALSE)</f>
        <v>Misc. Expense</v>
      </c>
      <c r="X6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4"/>
      <c r="Z6134" t="s">
        <v>50</v>
      </c>
      <c r="AA6134" t="s">
        <v>233</v>
      </c>
      <c r="AB6134" t="s">
        <v>427</v>
      </c>
      <c r="AC6134" s="21">
        <v>14915.89</v>
      </c>
      <c r="AD6134" s="21" t="s">
        <v>368</v>
      </c>
      <c r="AE6134" t="str">
        <f>VLOOKUP(Table_Query_from_Actuarial___Production3[[#This Row],[Kor1]],$AI$3:$AK$105,3,FALSE)</f>
        <v>ALAE Reserve</v>
      </c>
      <c r="AF6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5" spans="18:32" x14ac:dyDescent="0.2">
      <c r="R6135" t="s">
        <v>14</v>
      </c>
      <c r="S6135" t="s">
        <v>240</v>
      </c>
      <c r="T6135" t="s">
        <v>6</v>
      </c>
      <c r="U6135" s="21">
        <v>65808.100000000006</v>
      </c>
      <c r="V6135" s="21" t="s">
        <v>368</v>
      </c>
      <c r="W6135" t="str">
        <f>VLOOKUP(Table_Query_from_Actuarial___Production[[#This Row],[Kor1]],$AI$3:$AK$105,3,FALSE)</f>
        <v>Claims Expense</v>
      </c>
      <c r="X6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5"/>
      <c r="Z6135" t="s">
        <v>49</v>
      </c>
      <c r="AA6135" t="s">
        <v>225</v>
      </c>
      <c r="AB6135" t="s">
        <v>441</v>
      </c>
      <c r="AC6135" s="21">
        <v>25225.5</v>
      </c>
      <c r="AD6135" s="21" t="s">
        <v>368</v>
      </c>
      <c r="AE6135" t="str">
        <f>VLOOKUP(Table_Query_from_Actuarial___Production3[[#This Row],[Kor1]],$AI$3:$AK$105,3,FALSE)</f>
        <v>ALAE Paid</v>
      </c>
      <c r="AF6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136" spans="18:32" x14ac:dyDescent="0.2">
      <c r="R6136" t="s">
        <v>16</v>
      </c>
      <c r="S6136" t="s">
        <v>233</v>
      </c>
      <c r="T6136" t="s">
        <v>427</v>
      </c>
      <c r="U6136" s="21">
        <v>17676.14</v>
      </c>
      <c r="V6136" s="21" t="s">
        <v>368</v>
      </c>
      <c r="W6136" t="str">
        <f>VLOOKUP(Table_Query_from_Actuarial___Production[[#This Row],[Kor1]],$AI$3:$AK$105,3,FALSE)</f>
        <v>Losses Outstanding</v>
      </c>
      <c r="X6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6"/>
      <c r="Z6136" t="s">
        <v>10</v>
      </c>
      <c r="AA6136" t="s">
        <v>352</v>
      </c>
      <c r="AB6136" t="s">
        <v>433</v>
      </c>
      <c r="AC6136" s="21">
        <v>9.67</v>
      </c>
      <c r="AD6136" s="21" t="s">
        <v>368</v>
      </c>
      <c r="AE6136" t="str">
        <f>VLOOKUP(Table_Query_from_Actuarial___Production3[[#This Row],[Kor1]],$AI$3:$AK$105,3,FALSE)</f>
        <v>Commissions</v>
      </c>
      <c r="AF6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137" spans="18:32" x14ac:dyDescent="0.2">
      <c r="R6137" t="s">
        <v>15</v>
      </c>
      <c r="S6137" t="s">
        <v>352</v>
      </c>
      <c r="T6137" t="s">
        <v>445</v>
      </c>
      <c r="U6137" s="21">
        <v>18589.91</v>
      </c>
      <c r="V6137" s="21" t="s">
        <v>369</v>
      </c>
      <c r="W6137" t="str">
        <f>VLOOKUP(Table_Query_from_Actuarial___Production[[#This Row],[Kor1]],$AI$3:$AK$105,3,FALSE)</f>
        <v>Unearned Premiums</v>
      </c>
      <c r="X6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6137"/>
      <c r="Z6137" t="s">
        <v>31</v>
      </c>
      <c r="AA6137" t="s">
        <v>231</v>
      </c>
      <c r="AB6137" t="s">
        <v>5</v>
      </c>
      <c r="AC6137" s="21">
        <v>289</v>
      </c>
      <c r="AD6137" s="21" t="s">
        <v>368</v>
      </c>
      <c r="AE6137" t="str">
        <f>VLOOKUP(Table_Query_from_Actuarial___Production3[[#This Row],[Kor1]],$AI$3:$AK$105,3,FALSE)</f>
        <v>Misc. Expense</v>
      </c>
      <c r="AF6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8" spans="18:32" x14ac:dyDescent="0.2">
      <c r="R6138" t="s">
        <v>30</v>
      </c>
      <c r="S6138" t="s">
        <v>4</v>
      </c>
      <c r="T6138" t="s">
        <v>9</v>
      </c>
      <c r="U6138" s="21">
        <v>0.26</v>
      </c>
      <c r="V6138" s="21" t="s">
        <v>368</v>
      </c>
      <c r="W6138" t="str">
        <f>VLOOKUP(Table_Query_from_Actuarial___Production[[#This Row],[Kor1]],$AI$3:$AK$105,3,FALSE)</f>
        <v>Misc. Expense</v>
      </c>
      <c r="X6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38"/>
      <c r="Z6138" t="s">
        <v>47</v>
      </c>
      <c r="AA6138" t="s">
        <v>230</v>
      </c>
      <c r="AB6138" t="s">
        <v>356</v>
      </c>
      <c r="AC6138" s="21">
        <v>56077.46</v>
      </c>
      <c r="AD6138" s="21" t="s">
        <v>368</v>
      </c>
      <c r="AE6138" t="str">
        <f>VLOOKUP(Table_Query_from_Actuarial___Production3[[#This Row],[Kor1]],$AI$3:$AK$105,3,FALSE)</f>
        <v>Investment Income</v>
      </c>
      <c r="AF6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39" spans="18:32" x14ac:dyDescent="0.2">
      <c r="R6139" t="s">
        <v>167</v>
      </c>
      <c r="S6139" t="s">
        <v>354</v>
      </c>
      <c r="T6139" t="s">
        <v>445</v>
      </c>
      <c r="U6139" s="21">
        <v>-13474250</v>
      </c>
      <c r="V6139" s="21" t="s">
        <v>369</v>
      </c>
      <c r="W6139" t="str">
        <f>VLOOKUP(Table_Query_from_Actuarial___Production[[#This Row],[Kor1]],$AI$3:$AK$105,3,FALSE)</f>
        <v>Recoupment</v>
      </c>
      <c r="X6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139"/>
      <c r="Z6139" t="s">
        <v>3</v>
      </c>
      <c r="AA6139" t="s">
        <v>253</v>
      </c>
      <c r="AB6139" t="s">
        <v>5</v>
      </c>
      <c r="AC6139" s="21">
        <v>34328</v>
      </c>
      <c r="AD6139" s="21" t="s">
        <v>368</v>
      </c>
      <c r="AE6139" t="str">
        <f>VLOOKUP(Table_Query_from_Actuarial___Production3[[#This Row],[Kor1]],$AI$3:$AK$105,3,FALSE)</f>
        <v>Premiums Written</v>
      </c>
      <c r="AF6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0" spans="18:32" x14ac:dyDescent="0.2">
      <c r="R6140" t="s">
        <v>12</v>
      </c>
      <c r="S6140" t="s">
        <v>239</v>
      </c>
      <c r="T6140" t="s">
        <v>7</v>
      </c>
      <c r="U6140" s="21">
        <v>2328.19</v>
      </c>
      <c r="V6140" s="21" t="s">
        <v>368</v>
      </c>
      <c r="W6140" t="str">
        <f>VLOOKUP(Table_Query_from_Actuarial___Production[[#This Row],[Kor1]],$AI$3:$AK$105,3,FALSE)</f>
        <v>Premium Tax</v>
      </c>
      <c r="X6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0"/>
      <c r="Z6140" t="s">
        <v>34</v>
      </c>
      <c r="AA6140" t="s">
        <v>252</v>
      </c>
      <c r="AB6140" t="s">
        <v>8</v>
      </c>
      <c r="AC6140" s="21">
        <v>28.89</v>
      </c>
      <c r="AD6140" s="21" t="s">
        <v>368</v>
      </c>
      <c r="AE6140" t="str">
        <f>VLOOKUP(Table_Query_from_Actuarial___Production3[[#This Row],[Kor1]],$AI$3:$AK$105,3,FALSE)</f>
        <v>Misc. Expense</v>
      </c>
      <c r="AF6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1" spans="18:32" x14ac:dyDescent="0.2">
      <c r="R6141" t="s">
        <v>12</v>
      </c>
      <c r="S6141" t="s">
        <v>242</v>
      </c>
      <c r="T6141" t="s">
        <v>427</v>
      </c>
      <c r="U6141" s="21">
        <v>22440.33</v>
      </c>
      <c r="V6141" s="21" t="s">
        <v>368</v>
      </c>
      <c r="W6141" t="str">
        <f>VLOOKUP(Table_Query_from_Actuarial___Production[[#This Row],[Kor1]],$AI$3:$AK$105,3,FALSE)</f>
        <v>Premium Tax</v>
      </c>
      <c r="X6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1"/>
      <c r="Z6141" t="s">
        <v>43</v>
      </c>
      <c r="AA6141" t="s">
        <v>264</v>
      </c>
      <c r="AB6141" t="s">
        <v>5</v>
      </c>
      <c r="AC6141" s="21">
        <v>841.31</v>
      </c>
      <c r="AD6141" s="21" t="s">
        <v>368</v>
      </c>
      <c r="AE6141" t="str">
        <f>VLOOKUP(Table_Query_from_Actuarial___Production3[[#This Row],[Kor1]],$AI$3:$AK$105,3,FALSE)</f>
        <v>Charge-offs</v>
      </c>
      <c r="AF6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2" spans="18:32" x14ac:dyDescent="0.2">
      <c r="R6142" t="s">
        <v>40</v>
      </c>
      <c r="S6142" t="s">
        <v>266</v>
      </c>
      <c r="T6142" t="s">
        <v>9</v>
      </c>
      <c r="U6142" s="21">
        <v>218.01</v>
      </c>
      <c r="V6142" s="21" t="s">
        <v>368</v>
      </c>
      <c r="W6142" t="str">
        <f>VLOOKUP(Table_Query_from_Actuarial___Production[[#This Row],[Kor1]],$AI$3:$AK$105,3,FALSE)</f>
        <v>Misc. Income</v>
      </c>
      <c r="X6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2"/>
      <c r="Z6142" t="s">
        <v>14</v>
      </c>
      <c r="AA6142" t="s">
        <v>262</v>
      </c>
      <c r="AB6142" t="s">
        <v>443</v>
      </c>
      <c r="AC6142" s="21">
        <v>674.72</v>
      </c>
      <c r="AD6142" s="21" t="s">
        <v>368</v>
      </c>
      <c r="AE6142" t="str">
        <f>VLOOKUP(Table_Query_from_Actuarial___Production3[[#This Row],[Kor1]],$AI$3:$AK$105,3,FALSE)</f>
        <v>Claims Expense</v>
      </c>
      <c r="AF6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3" spans="18:32" x14ac:dyDescent="0.2">
      <c r="R6143" t="s">
        <v>14</v>
      </c>
      <c r="S6143" t="s">
        <v>267</v>
      </c>
      <c r="T6143" t="s">
        <v>351</v>
      </c>
      <c r="U6143" s="21">
        <v>14690.77</v>
      </c>
      <c r="V6143" s="21" t="s">
        <v>368</v>
      </c>
      <c r="W6143" t="str">
        <f>VLOOKUP(Table_Query_from_Actuarial___Production[[#This Row],[Kor1]],$AI$3:$AK$105,3,FALSE)</f>
        <v>Claims Expense</v>
      </c>
      <c r="X6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3"/>
      <c r="Z6143" t="s">
        <v>20</v>
      </c>
      <c r="AA6143" t="s">
        <v>4</v>
      </c>
      <c r="AB6143" t="s">
        <v>7</v>
      </c>
      <c r="AC6143" s="21">
        <v>9979.66</v>
      </c>
      <c r="AD6143" s="21" t="s">
        <v>368</v>
      </c>
      <c r="AE6143" t="str">
        <f>VLOOKUP(Table_Query_from_Actuarial___Production3[[#This Row],[Kor1]],$AI$3:$AK$105,3,FALSE)</f>
        <v>Misc. Expense</v>
      </c>
      <c r="AF6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4" spans="18:32" x14ac:dyDescent="0.2">
      <c r="R6144" t="s">
        <v>11</v>
      </c>
      <c r="S6144" t="s">
        <v>264</v>
      </c>
      <c r="T6144" t="s">
        <v>445</v>
      </c>
      <c r="U6144" s="21">
        <v>4956.26</v>
      </c>
      <c r="V6144" s="21" t="s">
        <v>368</v>
      </c>
      <c r="W6144" t="str">
        <f>VLOOKUP(Table_Query_from_Actuarial___Production[[#This Row],[Kor1]],$AI$3:$AK$105,3,FALSE)</f>
        <v>Losses Paid</v>
      </c>
      <c r="X6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4"/>
      <c r="Z6144" t="s">
        <v>48</v>
      </c>
      <c r="AA6144" t="s">
        <v>352</v>
      </c>
      <c r="AB6144" t="s">
        <v>442</v>
      </c>
      <c r="AC6144" s="21">
        <v>15.17</v>
      </c>
      <c r="AD6144" s="21" t="s">
        <v>369</v>
      </c>
      <c r="AE6144" t="str">
        <f>VLOOKUP(Table_Query_from_Actuarial___Production3[[#This Row],[Kor1]],$AI$3:$AK$105,3,FALSE)</f>
        <v>Anticipated Salvage</v>
      </c>
      <c r="AF6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145" spans="18:32" x14ac:dyDescent="0.2">
      <c r="R6145" t="s">
        <v>49</v>
      </c>
      <c r="S6145" t="s">
        <v>234</v>
      </c>
      <c r="T6145" t="s">
        <v>7</v>
      </c>
      <c r="U6145" s="21">
        <v>78174.210000000006</v>
      </c>
      <c r="V6145" s="21" t="s">
        <v>368</v>
      </c>
      <c r="W6145" t="str">
        <f>VLOOKUP(Table_Query_from_Actuarial___Production[[#This Row],[Kor1]],$AI$3:$AK$105,3,FALSE)</f>
        <v>ALAE Paid</v>
      </c>
      <c r="X6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5"/>
      <c r="Z6145" t="s">
        <v>14</v>
      </c>
      <c r="AA6145" t="s">
        <v>229</v>
      </c>
      <c r="AB6145" t="s">
        <v>442</v>
      </c>
      <c r="AC6145" s="21">
        <v>11115.79</v>
      </c>
      <c r="AD6145" s="21" t="s">
        <v>368</v>
      </c>
      <c r="AE6145" t="str">
        <f>VLOOKUP(Table_Query_from_Actuarial___Production3[[#This Row],[Kor1]],$AI$3:$AK$105,3,FALSE)</f>
        <v>Claims Expense</v>
      </c>
      <c r="AF6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6" spans="18:32" x14ac:dyDescent="0.2">
      <c r="R6146" t="s">
        <v>13</v>
      </c>
      <c r="S6146" t="s">
        <v>225</v>
      </c>
      <c r="T6146" t="s">
        <v>441</v>
      </c>
      <c r="U6146" s="21">
        <v>141144.51999999999</v>
      </c>
      <c r="V6146" s="21" t="s">
        <v>368</v>
      </c>
      <c r="W6146" t="str">
        <f>VLOOKUP(Table_Query_from_Actuarial___Production[[#This Row],[Kor1]],$AI$3:$AK$105,3,FALSE)</f>
        <v>Operating Service Fees</v>
      </c>
      <c r="X6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146"/>
      <c r="Z6146" t="s">
        <v>40</v>
      </c>
      <c r="AA6146" t="s">
        <v>235</v>
      </c>
      <c r="AB6146" t="s">
        <v>7</v>
      </c>
      <c r="AC6146" s="21">
        <v>580.57000000000005</v>
      </c>
      <c r="AD6146" s="21" t="s">
        <v>368</v>
      </c>
      <c r="AE6146" t="str">
        <f>VLOOKUP(Table_Query_from_Actuarial___Production3[[#This Row],[Kor1]],$AI$3:$AK$105,3,FALSE)</f>
        <v>Misc. Income</v>
      </c>
      <c r="AF6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47" spans="18:32" x14ac:dyDescent="0.2">
      <c r="R6147" t="s">
        <v>46</v>
      </c>
      <c r="S6147" t="s">
        <v>224</v>
      </c>
      <c r="T6147" t="s">
        <v>356</v>
      </c>
      <c r="U6147" s="21">
        <v>2424.08</v>
      </c>
      <c r="V6147" s="21" t="s">
        <v>369</v>
      </c>
      <c r="W6147" t="str">
        <f>VLOOKUP(Table_Query_from_Actuarial___Production[[#This Row],[Kor1]],$AI$3:$AK$105,3,FALSE)</f>
        <v>Investment Income</v>
      </c>
      <c r="X6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47"/>
      <c r="Z6147" t="s">
        <v>38</v>
      </c>
      <c r="AA6147" t="s">
        <v>352</v>
      </c>
      <c r="AB6147" t="s">
        <v>433</v>
      </c>
      <c r="AC6147" s="21">
        <v>13.98</v>
      </c>
      <c r="AD6147" s="21" t="s">
        <v>368</v>
      </c>
      <c r="AE6147" t="str">
        <f>VLOOKUP(Table_Query_from_Actuarial___Production3[[#This Row],[Kor1]],$AI$3:$AK$105,3,FALSE)</f>
        <v>Misc. Income</v>
      </c>
      <c r="AF6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148" spans="18:32" x14ac:dyDescent="0.2">
      <c r="R6148" t="s">
        <v>33</v>
      </c>
      <c r="S6148" t="s">
        <v>227</v>
      </c>
      <c r="T6148" t="s">
        <v>442</v>
      </c>
      <c r="U6148" s="21">
        <v>12449.84</v>
      </c>
      <c r="V6148" s="21" t="s">
        <v>368</v>
      </c>
      <c r="W6148" t="str">
        <f>VLOOKUP(Table_Query_from_Actuarial___Production[[#This Row],[Kor1]],$AI$3:$AK$105,3,FALSE)</f>
        <v>Misc. Expense</v>
      </c>
      <c r="X6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8"/>
      <c r="Z6148" t="s">
        <v>14</v>
      </c>
      <c r="AA6148" t="s">
        <v>226</v>
      </c>
      <c r="AB6148" t="s">
        <v>351</v>
      </c>
      <c r="AC6148" s="21">
        <v>594411.52000000002</v>
      </c>
      <c r="AD6148" s="21" t="s">
        <v>368</v>
      </c>
      <c r="AE6148" t="str">
        <f>VLOOKUP(Table_Query_from_Actuarial___Production3[[#This Row],[Kor1]],$AI$3:$AK$105,3,FALSE)</f>
        <v>Claims Expense</v>
      </c>
      <c r="AF6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149" spans="18:32" x14ac:dyDescent="0.2">
      <c r="R6149" t="s">
        <v>44</v>
      </c>
      <c r="S6149" t="s">
        <v>243</v>
      </c>
      <c r="T6149" t="s">
        <v>8</v>
      </c>
      <c r="U6149" s="21">
        <v>4220.55</v>
      </c>
      <c r="V6149" s="21" t="s">
        <v>368</v>
      </c>
      <c r="W6149" t="str">
        <f>VLOOKUP(Table_Query_from_Actuarial___Production[[#This Row],[Kor1]],$AI$3:$AK$105,3,FALSE)</f>
        <v>Charge-offs</v>
      </c>
      <c r="X6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49"/>
      <c r="Z6149" t="s">
        <v>34</v>
      </c>
      <c r="AA6149" t="s">
        <v>228</v>
      </c>
      <c r="AB6149" t="s">
        <v>442</v>
      </c>
      <c r="AC6149" s="21">
        <v>2784.27</v>
      </c>
      <c r="AD6149" s="21" t="s">
        <v>368</v>
      </c>
      <c r="AE6149" t="str">
        <f>VLOOKUP(Table_Query_from_Actuarial___Production3[[#This Row],[Kor1]],$AI$3:$AK$105,3,FALSE)</f>
        <v>Misc. Expense</v>
      </c>
      <c r="AF6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0" spans="18:32" x14ac:dyDescent="0.2">
      <c r="R6150" t="s">
        <v>3</v>
      </c>
      <c r="S6150" t="s">
        <v>236</v>
      </c>
      <c r="T6150" t="s">
        <v>442</v>
      </c>
      <c r="U6150" s="21">
        <v>114538</v>
      </c>
      <c r="V6150" s="21" t="s">
        <v>368</v>
      </c>
      <c r="W6150" t="str">
        <f>VLOOKUP(Table_Query_from_Actuarial___Production[[#This Row],[Kor1]],$AI$3:$AK$105,3,FALSE)</f>
        <v>Premiums Written</v>
      </c>
      <c r="X6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0"/>
      <c r="Z6150" t="s">
        <v>47</v>
      </c>
      <c r="AA6150" t="s">
        <v>4</v>
      </c>
      <c r="AB6150" t="s">
        <v>443</v>
      </c>
      <c r="AC6150" s="21">
        <v>73446.62</v>
      </c>
      <c r="AD6150" s="21" t="s">
        <v>368</v>
      </c>
      <c r="AE6150" t="str">
        <f>VLOOKUP(Table_Query_from_Actuarial___Production3[[#This Row],[Kor1]],$AI$3:$AK$105,3,FALSE)</f>
        <v>Investment Income</v>
      </c>
      <c r="AF6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1" spans="18:32" x14ac:dyDescent="0.2">
      <c r="R6151" t="s">
        <v>13</v>
      </c>
      <c r="S6151" t="s">
        <v>252</v>
      </c>
      <c r="T6151" t="s">
        <v>356</v>
      </c>
      <c r="U6151" s="21">
        <v>5268578.25</v>
      </c>
      <c r="V6151" s="21" t="s">
        <v>368</v>
      </c>
      <c r="W6151" t="str">
        <f>VLOOKUP(Table_Query_from_Actuarial___Production[[#This Row],[Kor1]],$AI$3:$AK$105,3,FALSE)</f>
        <v>Operating Service Fees</v>
      </c>
      <c r="X6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1"/>
      <c r="Z6151" t="s">
        <v>20</v>
      </c>
      <c r="AA6151" t="s">
        <v>262</v>
      </c>
      <c r="AB6151" t="s">
        <v>442</v>
      </c>
      <c r="AC6151" s="21">
        <v>142.6</v>
      </c>
      <c r="AD6151" s="21" t="s">
        <v>368</v>
      </c>
      <c r="AE6151" t="str">
        <f>VLOOKUP(Table_Query_from_Actuarial___Production3[[#This Row],[Kor1]],$AI$3:$AK$105,3,FALSE)</f>
        <v>Misc. Expense</v>
      </c>
      <c r="AF6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2" spans="18:32" x14ac:dyDescent="0.2">
      <c r="R6152" t="s">
        <v>37</v>
      </c>
      <c r="S6152" t="s">
        <v>246</v>
      </c>
      <c r="T6152" t="s">
        <v>9</v>
      </c>
      <c r="U6152" s="21">
        <v>26.06</v>
      </c>
      <c r="V6152" s="21" t="s">
        <v>368</v>
      </c>
      <c r="W6152" t="str">
        <f>VLOOKUP(Table_Query_from_Actuarial___Production[[#This Row],[Kor1]],$AI$3:$AK$105,3,FALSE)</f>
        <v>Misc. Expense</v>
      </c>
      <c r="X6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2"/>
      <c r="Z6152" t="s">
        <v>33</v>
      </c>
      <c r="AA6152" t="s">
        <v>266</v>
      </c>
      <c r="AB6152" t="s">
        <v>5</v>
      </c>
      <c r="AC6152" s="21">
        <v>16161.33</v>
      </c>
      <c r="AD6152" s="21" t="s">
        <v>368</v>
      </c>
      <c r="AE6152" t="str">
        <f>VLOOKUP(Table_Query_from_Actuarial___Production3[[#This Row],[Kor1]],$AI$3:$AK$105,3,FALSE)</f>
        <v>Misc. Expense</v>
      </c>
      <c r="AF6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3" spans="18:32" x14ac:dyDescent="0.2">
      <c r="R6153" t="s">
        <v>13</v>
      </c>
      <c r="S6153" t="s">
        <v>241</v>
      </c>
      <c r="T6153" t="s">
        <v>356</v>
      </c>
      <c r="U6153" s="21">
        <v>254499.74</v>
      </c>
      <c r="V6153" s="21" t="s">
        <v>368</v>
      </c>
      <c r="W6153" t="str">
        <f>VLOOKUP(Table_Query_from_Actuarial___Production[[#This Row],[Kor1]],$AI$3:$AK$105,3,FALSE)</f>
        <v>Operating Service Fees</v>
      </c>
      <c r="X6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3"/>
      <c r="Z6153" t="s">
        <v>46</v>
      </c>
      <c r="AA6153" t="s">
        <v>352</v>
      </c>
      <c r="AB6153" t="s">
        <v>351</v>
      </c>
      <c r="AC6153" s="21">
        <v>2406.19</v>
      </c>
      <c r="AD6153" s="21" t="s">
        <v>369</v>
      </c>
      <c r="AE6153" t="str">
        <f>VLOOKUP(Table_Query_from_Actuarial___Production3[[#This Row],[Kor1]],$AI$3:$AK$105,3,FALSE)</f>
        <v>Investment Income</v>
      </c>
      <c r="AF6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154" spans="18:32" x14ac:dyDescent="0.2">
      <c r="R6154" t="s">
        <v>439</v>
      </c>
      <c r="S6154" t="s">
        <v>231</v>
      </c>
      <c r="T6154" t="s">
        <v>443</v>
      </c>
      <c r="U6154" s="21">
        <v>-37186.29</v>
      </c>
      <c r="V6154" s="21" t="s">
        <v>368</v>
      </c>
      <c r="W6154" t="str">
        <f>VLOOKUP(Table_Query_from_Actuarial___Production[[#This Row],[Kor1]],$AI$3:$AK$105,3,FALSE)</f>
        <v>Operating Service Fees</v>
      </c>
      <c r="X6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4"/>
      <c r="Z6154" t="s">
        <v>37</v>
      </c>
      <c r="AA6154" t="s">
        <v>251</v>
      </c>
      <c r="AB6154" t="s">
        <v>442</v>
      </c>
      <c r="AC6154" s="21">
        <v>228.87</v>
      </c>
      <c r="AD6154" s="21" t="s">
        <v>368</v>
      </c>
      <c r="AE6154" t="str">
        <f>VLOOKUP(Table_Query_from_Actuarial___Production3[[#This Row],[Kor1]],$AI$3:$AK$105,3,FALSE)</f>
        <v>Misc. Expense</v>
      </c>
      <c r="AF6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5" spans="18:32" x14ac:dyDescent="0.2">
      <c r="R6155" t="s">
        <v>38</v>
      </c>
      <c r="S6155" t="s">
        <v>224</v>
      </c>
      <c r="T6155" t="s">
        <v>9</v>
      </c>
      <c r="U6155" s="21">
        <v>209148.68</v>
      </c>
      <c r="V6155" s="21" t="s">
        <v>368</v>
      </c>
      <c r="W6155" t="str">
        <f>VLOOKUP(Table_Query_from_Actuarial___Production[[#This Row],[Kor1]],$AI$3:$AK$105,3,FALSE)</f>
        <v>Misc. Income</v>
      </c>
      <c r="X6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155"/>
      <c r="Z6155" t="s">
        <v>14</v>
      </c>
      <c r="AA6155" t="s">
        <v>240</v>
      </c>
      <c r="AB6155" t="s">
        <v>6</v>
      </c>
      <c r="AC6155" s="21">
        <v>65808.100000000006</v>
      </c>
      <c r="AD6155" s="21" t="s">
        <v>368</v>
      </c>
      <c r="AE6155" t="str">
        <f>VLOOKUP(Table_Query_from_Actuarial___Production3[[#This Row],[Kor1]],$AI$3:$AK$105,3,FALSE)</f>
        <v>Claims Expense</v>
      </c>
      <c r="AF6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6" spans="18:32" x14ac:dyDescent="0.2">
      <c r="R6156" t="s">
        <v>40</v>
      </c>
      <c r="S6156" t="s">
        <v>246</v>
      </c>
      <c r="T6156" t="s">
        <v>8</v>
      </c>
      <c r="U6156" s="21">
        <v>966.81</v>
      </c>
      <c r="V6156" s="21" t="s">
        <v>368</v>
      </c>
      <c r="W6156" t="str">
        <f>VLOOKUP(Table_Query_from_Actuarial___Production[[#This Row],[Kor1]],$AI$3:$AK$105,3,FALSE)</f>
        <v>Misc. Income</v>
      </c>
      <c r="X6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6"/>
      <c r="Z6156" t="s">
        <v>16</v>
      </c>
      <c r="AA6156" t="s">
        <v>233</v>
      </c>
      <c r="AB6156" t="s">
        <v>427</v>
      </c>
      <c r="AC6156" s="21">
        <v>26895.87</v>
      </c>
      <c r="AD6156" s="21" t="s">
        <v>368</v>
      </c>
      <c r="AE6156" t="str">
        <f>VLOOKUP(Table_Query_from_Actuarial___Production3[[#This Row],[Kor1]],$AI$3:$AK$105,3,FALSE)</f>
        <v>Losses Outstanding</v>
      </c>
      <c r="AF6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7" spans="18:32" x14ac:dyDescent="0.2">
      <c r="R6157" t="s">
        <v>47</v>
      </c>
      <c r="S6157" t="s">
        <v>239</v>
      </c>
      <c r="T6157" t="s">
        <v>9</v>
      </c>
      <c r="U6157" s="21">
        <v>104.13</v>
      </c>
      <c r="V6157" s="21" t="s">
        <v>368</v>
      </c>
      <c r="W6157" t="str">
        <f>VLOOKUP(Table_Query_from_Actuarial___Production[[#This Row],[Kor1]],$AI$3:$AK$105,3,FALSE)</f>
        <v>Investment Income</v>
      </c>
      <c r="X6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7"/>
      <c r="Z6157" t="s">
        <v>30</v>
      </c>
      <c r="AA6157" t="s">
        <v>4</v>
      </c>
      <c r="AB6157" t="s">
        <v>9</v>
      </c>
      <c r="AC6157" s="21">
        <v>0.26</v>
      </c>
      <c r="AD6157" s="21" t="s">
        <v>368</v>
      </c>
      <c r="AE6157" t="str">
        <f>VLOOKUP(Table_Query_from_Actuarial___Production3[[#This Row],[Kor1]],$AI$3:$AK$105,3,FALSE)</f>
        <v>Misc. Expense</v>
      </c>
      <c r="AF6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8" spans="18:32" x14ac:dyDescent="0.2">
      <c r="R6158" t="s">
        <v>3</v>
      </c>
      <c r="S6158" t="s">
        <v>228</v>
      </c>
      <c r="T6158" t="s">
        <v>6</v>
      </c>
      <c r="U6158" s="21">
        <v>393897</v>
      </c>
      <c r="V6158" s="21" t="s">
        <v>368</v>
      </c>
      <c r="W6158" t="str">
        <f>VLOOKUP(Table_Query_from_Actuarial___Production[[#This Row],[Kor1]],$AI$3:$AK$105,3,FALSE)</f>
        <v>Premiums Written</v>
      </c>
      <c r="X6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8"/>
      <c r="Z6158" t="s">
        <v>12</v>
      </c>
      <c r="AA6158" t="s">
        <v>239</v>
      </c>
      <c r="AB6158" t="s">
        <v>7</v>
      </c>
      <c r="AC6158" s="21">
        <v>2328.19</v>
      </c>
      <c r="AD6158" s="21" t="s">
        <v>368</v>
      </c>
      <c r="AE6158" t="str">
        <f>VLOOKUP(Table_Query_from_Actuarial___Production3[[#This Row],[Kor1]],$AI$3:$AK$105,3,FALSE)</f>
        <v>Premium Tax</v>
      </c>
      <c r="AF6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59" spans="18:32" x14ac:dyDescent="0.2">
      <c r="R6159" t="s">
        <v>44</v>
      </c>
      <c r="S6159" t="s">
        <v>240</v>
      </c>
      <c r="T6159" t="s">
        <v>443</v>
      </c>
      <c r="U6159" s="21">
        <v>45313.760000000002</v>
      </c>
      <c r="V6159" s="21" t="s">
        <v>368</v>
      </c>
      <c r="W6159" t="str">
        <f>VLOOKUP(Table_Query_from_Actuarial___Production[[#This Row],[Kor1]],$AI$3:$AK$105,3,FALSE)</f>
        <v>Charge-offs</v>
      </c>
      <c r="X6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59"/>
      <c r="Z6159" t="s">
        <v>12</v>
      </c>
      <c r="AA6159" t="s">
        <v>242</v>
      </c>
      <c r="AB6159" t="s">
        <v>427</v>
      </c>
      <c r="AC6159" s="21">
        <v>22440.33</v>
      </c>
      <c r="AD6159" s="21" t="s">
        <v>368</v>
      </c>
      <c r="AE6159" t="str">
        <f>VLOOKUP(Table_Query_from_Actuarial___Production3[[#This Row],[Kor1]],$AI$3:$AK$105,3,FALSE)</f>
        <v>Premium Tax</v>
      </c>
      <c r="AF6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0" spans="18:32" x14ac:dyDescent="0.2">
      <c r="R6160" t="s">
        <v>11</v>
      </c>
      <c r="S6160" t="s">
        <v>239</v>
      </c>
      <c r="T6160" t="s">
        <v>7</v>
      </c>
      <c r="U6160" s="21">
        <v>130423.22</v>
      </c>
      <c r="V6160" s="21" t="s">
        <v>368</v>
      </c>
      <c r="W6160" t="str">
        <f>VLOOKUP(Table_Query_from_Actuarial___Production[[#This Row],[Kor1]],$AI$3:$AK$105,3,FALSE)</f>
        <v>Losses Paid</v>
      </c>
      <c r="X6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0"/>
      <c r="Z6160" t="s">
        <v>40</v>
      </c>
      <c r="AA6160" t="s">
        <v>266</v>
      </c>
      <c r="AB6160" t="s">
        <v>9</v>
      </c>
      <c r="AC6160" s="21">
        <v>218.01</v>
      </c>
      <c r="AD6160" s="21" t="s">
        <v>368</v>
      </c>
      <c r="AE6160" t="str">
        <f>VLOOKUP(Table_Query_from_Actuarial___Production3[[#This Row],[Kor1]],$AI$3:$AK$105,3,FALSE)</f>
        <v>Misc. Income</v>
      </c>
      <c r="AF6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1" spans="18:32" x14ac:dyDescent="0.2">
      <c r="R6161" t="s">
        <v>40</v>
      </c>
      <c r="S6161" t="s">
        <v>251</v>
      </c>
      <c r="T6161" t="s">
        <v>9</v>
      </c>
      <c r="U6161" s="21">
        <v>14</v>
      </c>
      <c r="V6161" s="21" t="s">
        <v>368</v>
      </c>
      <c r="W6161" t="str">
        <f>VLOOKUP(Table_Query_from_Actuarial___Production[[#This Row],[Kor1]],$AI$3:$AK$105,3,FALSE)</f>
        <v>Misc. Income</v>
      </c>
      <c r="X6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1"/>
      <c r="Z6161" t="s">
        <v>14</v>
      </c>
      <c r="AA6161" t="s">
        <v>267</v>
      </c>
      <c r="AB6161" t="s">
        <v>351</v>
      </c>
      <c r="AC6161" s="21">
        <v>14690.77</v>
      </c>
      <c r="AD6161" s="21" t="s">
        <v>368</v>
      </c>
      <c r="AE6161" t="str">
        <f>VLOOKUP(Table_Query_from_Actuarial___Production3[[#This Row],[Kor1]],$AI$3:$AK$105,3,FALSE)</f>
        <v>Claims Expense</v>
      </c>
      <c r="AF6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2" spans="18:32" x14ac:dyDescent="0.2">
      <c r="R6162" t="s">
        <v>41</v>
      </c>
      <c r="S6162" t="s">
        <v>258</v>
      </c>
      <c r="T6162" t="s">
        <v>441</v>
      </c>
      <c r="U6162" s="21">
        <v>150.04</v>
      </c>
      <c r="V6162" s="21" t="s">
        <v>368</v>
      </c>
      <c r="W6162" t="str">
        <f>VLOOKUP(Table_Query_from_Actuarial___Production[[#This Row],[Kor1]],$AI$3:$AK$105,3,FALSE)</f>
        <v>Misc. Income</v>
      </c>
      <c r="X6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2"/>
      <c r="Z6162" t="s">
        <v>49</v>
      </c>
      <c r="AA6162" t="s">
        <v>234</v>
      </c>
      <c r="AB6162" t="s">
        <v>7</v>
      </c>
      <c r="AC6162" s="21">
        <v>78174.210000000006</v>
      </c>
      <c r="AD6162" s="21" t="s">
        <v>368</v>
      </c>
      <c r="AE6162" t="str">
        <f>VLOOKUP(Table_Query_from_Actuarial___Production3[[#This Row],[Kor1]],$AI$3:$AK$105,3,FALSE)</f>
        <v>ALAE Paid</v>
      </c>
      <c r="AF6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3" spans="18:32" x14ac:dyDescent="0.2">
      <c r="R6163" t="s">
        <v>44</v>
      </c>
      <c r="S6163" t="s">
        <v>266</v>
      </c>
      <c r="T6163" t="s">
        <v>356</v>
      </c>
      <c r="U6163" s="21">
        <v>2996.41</v>
      </c>
      <c r="V6163" s="21" t="s">
        <v>368</v>
      </c>
      <c r="W6163" t="str">
        <f>VLOOKUP(Table_Query_from_Actuarial___Production[[#This Row],[Kor1]],$AI$3:$AK$105,3,FALSE)</f>
        <v>Charge-offs</v>
      </c>
      <c r="X6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3"/>
      <c r="Z6163" t="s">
        <v>13</v>
      </c>
      <c r="AA6163" t="s">
        <v>225</v>
      </c>
      <c r="AB6163" t="s">
        <v>441</v>
      </c>
      <c r="AC6163" s="21">
        <v>141144.51999999999</v>
      </c>
      <c r="AD6163" s="21" t="s">
        <v>368</v>
      </c>
      <c r="AE6163" t="str">
        <f>VLOOKUP(Table_Query_from_Actuarial___Production3[[#This Row],[Kor1]],$AI$3:$AK$105,3,FALSE)</f>
        <v>Operating Service Fees</v>
      </c>
      <c r="AF6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164" spans="18:32" x14ac:dyDescent="0.2">
      <c r="R6164" t="s">
        <v>20</v>
      </c>
      <c r="S6164" t="s">
        <v>267</v>
      </c>
      <c r="T6164" t="s">
        <v>356</v>
      </c>
      <c r="U6164" s="21">
        <v>193.44</v>
      </c>
      <c r="V6164" s="21" t="s">
        <v>368</v>
      </c>
      <c r="W6164" t="str">
        <f>VLOOKUP(Table_Query_from_Actuarial___Production[[#This Row],[Kor1]],$AI$3:$AK$105,3,FALSE)</f>
        <v>Misc. Expense</v>
      </c>
      <c r="X6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4"/>
      <c r="Z6164" t="s">
        <v>46</v>
      </c>
      <c r="AA6164" t="s">
        <v>224</v>
      </c>
      <c r="AB6164" t="s">
        <v>356</v>
      </c>
      <c r="AC6164" s="21">
        <v>2424.08</v>
      </c>
      <c r="AD6164" s="21" t="s">
        <v>369</v>
      </c>
      <c r="AE6164" t="str">
        <f>VLOOKUP(Table_Query_from_Actuarial___Production3[[#This Row],[Kor1]],$AI$3:$AK$105,3,FALSE)</f>
        <v>Investment Income</v>
      </c>
      <c r="AF6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165" spans="18:32" x14ac:dyDescent="0.2">
      <c r="R6165" t="s">
        <v>50</v>
      </c>
      <c r="S6165" t="s">
        <v>230</v>
      </c>
      <c r="T6165" t="s">
        <v>441</v>
      </c>
      <c r="U6165" s="21">
        <v>2680643.2200000002</v>
      </c>
      <c r="V6165" s="21" t="s">
        <v>368</v>
      </c>
      <c r="W6165" t="str">
        <f>VLOOKUP(Table_Query_from_Actuarial___Production[[#This Row],[Kor1]],$AI$3:$AK$105,3,FALSE)</f>
        <v>ALAE Reserve</v>
      </c>
      <c r="X6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5"/>
      <c r="Z6165" t="s">
        <v>33</v>
      </c>
      <c r="AA6165" t="s">
        <v>227</v>
      </c>
      <c r="AB6165" t="s">
        <v>442</v>
      </c>
      <c r="AC6165" s="21">
        <v>12449.84</v>
      </c>
      <c r="AD6165" s="21" t="s">
        <v>368</v>
      </c>
      <c r="AE6165" t="str">
        <f>VLOOKUP(Table_Query_from_Actuarial___Production3[[#This Row],[Kor1]],$AI$3:$AK$105,3,FALSE)</f>
        <v>Misc. Expense</v>
      </c>
      <c r="AF6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6" spans="18:32" x14ac:dyDescent="0.2">
      <c r="R6166" t="s">
        <v>37</v>
      </c>
      <c r="S6166" t="s">
        <v>266</v>
      </c>
      <c r="T6166" t="s">
        <v>6</v>
      </c>
      <c r="U6166" s="21">
        <v>163.49</v>
      </c>
      <c r="V6166" s="21" t="s">
        <v>368</v>
      </c>
      <c r="W6166" t="str">
        <f>VLOOKUP(Table_Query_from_Actuarial___Production[[#This Row],[Kor1]],$AI$3:$AK$105,3,FALSE)</f>
        <v>Misc. Expense</v>
      </c>
      <c r="X6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6"/>
      <c r="Z6166" t="s">
        <v>44</v>
      </c>
      <c r="AA6166" t="s">
        <v>243</v>
      </c>
      <c r="AB6166" t="s">
        <v>8</v>
      </c>
      <c r="AC6166" s="21">
        <v>4220.55</v>
      </c>
      <c r="AD6166" s="21" t="s">
        <v>368</v>
      </c>
      <c r="AE6166" t="str">
        <f>VLOOKUP(Table_Query_from_Actuarial___Production3[[#This Row],[Kor1]],$AI$3:$AK$105,3,FALSE)</f>
        <v>Charge-offs</v>
      </c>
      <c r="AF6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7" spans="18:32" x14ac:dyDescent="0.2">
      <c r="R6167" t="s">
        <v>31</v>
      </c>
      <c r="S6167" t="s">
        <v>267</v>
      </c>
      <c r="T6167" t="s">
        <v>445</v>
      </c>
      <c r="U6167" s="21">
        <v>2273</v>
      </c>
      <c r="V6167" s="21" t="s">
        <v>368</v>
      </c>
      <c r="W6167" t="str">
        <f>VLOOKUP(Table_Query_from_Actuarial___Production[[#This Row],[Kor1]],$AI$3:$AK$105,3,FALSE)</f>
        <v>Misc. Expense</v>
      </c>
      <c r="X6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7"/>
      <c r="Z6167" t="s">
        <v>3</v>
      </c>
      <c r="AA6167" t="s">
        <v>236</v>
      </c>
      <c r="AB6167" t="s">
        <v>442</v>
      </c>
      <c r="AC6167" s="21">
        <v>134962</v>
      </c>
      <c r="AD6167" s="21" t="s">
        <v>368</v>
      </c>
      <c r="AE6167" t="str">
        <f>VLOOKUP(Table_Query_from_Actuarial___Production3[[#This Row],[Kor1]],$AI$3:$AK$105,3,FALSE)</f>
        <v>Premiums Written</v>
      </c>
      <c r="AF6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8" spans="18:32" x14ac:dyDescent="0.2">
      <c r="R6168" t="s">
        <v>50</v>
      </c>
      <c r="S6168" t="s">
        <v>237</v>
      </c>
      <c r="T6168" t="s">
        <v>356</v>
      </c>
      <c r="U6168" s="21">
        <v>81818.929999999993</v>
      </c>
      <c r="V6168" s="21" t="s">
        <v>368</v>
      </c>
      <c r="W6168" t="str">
        <f>VLOOKUP(Table_Query_from_Actuarial___Production[[#This Row],[Kor1]],$AI$3:$AK$105,3,FALSE)</f>
        <v>ALAE Reserve</v>
      </c>
      <c r="X6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8"/>
      <c r="Z6168" t="s">
        <v>13</v>
      </c>
      <c r="AA6168" t="s">
        <v>252</v>
      </c>
      <c r="AB6168" t="s">
        <v>356</v>
      </c>
      <c r="AC6168" s="21">
        <v>5268578.25</v>
      </c>
      <c r="AD6168" s="21" t="s">
        <v>368</v>
      </c>
      <c r="AE6168" t="str">
        <f>VLOOKUP(Table_Query_from_Actuarial___Production3[[#This Row],[Kor1]],$AI$3:$AK$105,3,FALSE)</f>
        <v>Operating Service Fees</v>
      </c>
      <c r="AF6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69" spans="18:32" x14ac:dyDescent="0.2">
      <c r="R6169" t="s">
        <v>11</v>
      </c>
      <c r="S6169" t="s">
        <v>265</v>
      </c>
      <c r="T6169" t="s">
        <v>7</v>
      </c>
      <c r="U6169" s="21">
        <v>45075.83</v>
      </c>
      <c r="V6169" s="21" t="s">
        <v>368</v>
      </c>
      <c r="W6169" t="str">
        <f>VLOOKUP(Table_Query_from_Actuarial___Production[[#This Row],[Kor1]],$AI$3:$AK$105,3,FALSE)</f>
        <v>Losses Paid</v>
      </c>
      <c r="X6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69"/>
      <c r="Z6169" t="s">
        <v>37</v>
      </c>
      <c r="AA6169" t="s">
        <v>246</v>
      </c>
      <c r="AB6169" t="s">
        <v>9</v>
      </c>
      <c r="AC6169" s="21">
        <v>26.06</v>
      </c>
      <c r="AD6169" s="21" t="s">
        <v>368</v>
      </c>
      <c r="AE6169" t="str">
        <f>VLOOKUP(Table_Query_from_Actuarial___Production3[[#This Row],[Kor1]],$AI$3:$AK$105,3,FALSE)</f>
        <v>Misc. Expense</v>
      </c>
      <c r="AF6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0" spans="18:32" x14ac:dyDescent="0.2">
      <c r="R6170" t="s">
        <v>444</v>
      </c>
      <c r="S6170" t="s">
        <v>234</v>
      </c>
      <c r="T6170" t="s">
        <v>443</v>
      </c>
      <c r="U6170" s="21">
        <v>23464.15</v>
      </c>
      <c r="V6170" s="21" t="s">
        <v>368</v>
      </c>
      <c r="W6170" t="str">
        <f>VLOOKUP(Table_Query_from_Actuarial___Production[[#This Row],[Kor1]],$AI$3:$AK$105,3,FALSE)</f>
        <v>Misc. Expense</v>
      </c>
      <c r="X6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0"/>
      <c r="Z6170" t="s">
        <v>13</v>
      </c>
      <c r="AA6170" t="s">
        <v>241</v>
      </c>
      <c r="AB6170" t="s">
        <v>356</v>
      </c>
      <c r="AC6170" s="21">
        <v>254499.74</v>
      </c>
      <c r="AD6170" s="21" t="s">
        <v>368</v>
      </c>
      <c r="AE6170" t="str">
        <f>VLOOKUP(Table_Query_from_Actuarial___Production3[[#This Row],[Kor1]],$AI$3:$AK$105,3,FALSE)</f>
        <v>Operating Service Fees</v>
      </c>
      <c r="AF6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1" spans="18:32" x14ac:dyDescent="0.2">
      <c r="R6171" t="s">
        <v>14</v>
      </c>
      <c r="S6171" t="s">
        <v>354</v>
      </c>
      <c r="T6171" t="s">
        <v>9</v>
      </c>
      <c r="U6171" s="21">
        <v>11639907.800000001</v>
      </c>
      <c r="V6171" s="21" t="s">
        <v>368</v>
      </c>
      <c r="W6171" t="str">
        <f>VLOOKUP(Table_Query_from_Actuarial___Production[[#This Row],[Kor1]],$AI$3:$AK$105,3,FALSE)</f>
        <v>Claims Expense</v>
      </c>
      <c r="X6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171"/>
      <c r="Z6171" t="s">
        <v>439</v>
      </c>
      <c r="AA6171" t="s">
        <v>231</v>
      </c>
      <c r="AB6171" t="s">
        <v>443</v>
      </c>
      <c r="AC6171" s="21">
        <v>-37186.29</v>
      </c>
      <c r="AD6171" s="21" t="s">
        <v>368</v>
      </c>
      <c r="AE6171" t="str">
        <f>VLOOKUP(Table_Query_from_Actuarial___Production3[[#This Row],[Kor1]],$AI$3:$AK$105,3,FALSE)</f>
        <v>Operating Service Fees</v>
      </c>
      <c r="AF6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2" spans="18:32" x14ac:dyDescent="0.2">
      <c r="R6172" t="s">
        <v>13</v>
      </c>
      <c r="S6172" t="s">
        <v>258</v>
      </c>
      <c r="T6172" t="s">
        <v>356</v>
      </c>
      <c r="U6172" s="21">
        <v>482892.71</v>
      </c>
      <c r="V6172" s="21" t="s">
        <v>368</v>
      </c>
      <c r="W6172" t="str">
        <f>VLOOKUP(Table_Query_from_Actuarial___Production[[#This Row],[Kor1]],$AI$3:$AK$105,3,FALSE)</f>
        <v>Operating Service Fees</v>
      </c>
      <c r="X6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2"/>
      <c r="Z6172" t="s">
        <v>77</v>
      </c>
      <c r="AA6172" t="s">
        <v>257</v>
      </c>
      <c r="AB6172" t="s">
        <v>442</v>
      </c>
      <c r="AC6172" s="21">
        <v>138627</v>
      </c>
      <c r="AD6172" s="21" t="s">
        <v>368</v>
      </c>
      <c r="AE6172" t="str">
        <f>VLOOKUP(Table_Query_from_Actuarial___Production3[[#This Row],[Kor1]],$AI$3:$AK$105,3,FALSE)</f>
        <v>PDR</v>
      </c>
      <c r="AF6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3" spans="18:32" x14ac:dyDescent="0.2">
      <c r="R6173" t="s">
        <v>20</v>
      </c>
      <c r="S6173" t="s">
        <v>265</v>
      </c>
      <c r="T6173" t="s">
        <v>445</v>
      </c>
      <c r="U6173" s="21">
        <v>56.95</v>
      </c>
      <c r="V6173" s="21" t="s">
        <v>368</v>
      </c>
      <c r="W6173" t="str">
        <f>VLOOKUP(Table_Query_from_Actuarial___Production[[#This Row],[Kor1]],$AI$3:$AK$105,3,FALSE)</f>
        <v>Misc. Expense</v>
      </c>
      <c r="X6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3"/>
      <c r="Z6173" t="s">
        <v>31</v>
      </c>
      <c r="AA6173" t="s">
        <v>263</v>
      </c>
      <c r="AB6173" t="s">
        <v>5</v>
      </c>
      <c r="AC6173" s="21">
        <v>-36</v>
      </c>
      <c r="AD6173" s="21" t="s">
        <v>368</v>
      </c>
      <c r="AE6173" t="str">
        <f>VLOOKUP(Table_Query_from_Actuarial___Production3[[#This Row],[Kor1]],$AI$3:$AK$105,3,FALSE)</f>
        <v>Misc. Expense</v>
      </c>
      <c r="AF6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4" spans="18:32" x14ac:dyDescent="0.2">
      <c r="R6174" t="s">
        <v>43</v>
      </c>
      <c r="S6174" t="s">
        <v>247</v>
      </c>
      <c r="T6174" t="s">
        <v>441</v>
      </c>
      <c r="U6174" s="21">
        <v>-1.23</v>
      </c>
      <c r="V6174" s="21" t="s">
        <v>368</v>
      </c>
      <c r="W6174" t="str">
        <f>VLOOKUP(Table_Query_from_Actuarial___Production[[#This Row],[Kor1]],$AI$3:$AK$105,3,FALSE)</f>
        <v>Charge-offs</v>
      </c>
      <c r="X6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4"/>
      <c r="Z6174" t="s">
        <v>38</v>
      </c>
      <c r="AA6174" t="s">
        <v>224</v>
      </c>
      <c r="AB6174" t="s">
        <v>9</v>
      </c>
      <c r="AC6174" s="21">
        <v>209148.68</v>
      </c>
      <c r="AD6174" s="21" t="s">
        <v>368</v>
      </c>
      <c r="AE6174" t="str">
        <f>VLOOKUP(Table_Query_from_Actuarial___Production3[[#This Row],[Kor1]],$AI$3:$AK$105,3,FALSE)</f>
        <v>Misc. Income</v>
      </c>
      <c r="AF6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175" spans="18:32" x14ac:dyDescent="0.2">
      <c r="R6175" t="s">
        <v>14</v>
      </c>
      <c r="S6175" t="s">
        <v>259</v>
      </c>
      <c r="T6175" t="s">
        <v>356</v>
      </c>
      <c r="U6175" s="21">
        <v>31852.46</v>
      </c>
      <c r="V6175" s="21" t="s">
        <v>368</v>
      </c>
      <c r="W6175" t="str">
        <f>VLOOKUP(Table_Query_from_Actuarial___Production[[#This Row],[Kor1]],$AI$3:$AK$105,3,FALSE)</f>
        <v>Claims Expense</v>
      </c>
      <c r="X6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5"/>
      <c r="Z6175" t="s">
        <v>40</v>
      </c>
      <c r="AA6175" t="s">
        <v>246</v>
      </c>
      <c r="AB6175" t="s">
        <v>8</v>
      </c>
      <c r="AC6175" s="21">
        <v>966.81</v>
      </c>
      <c r="AD6175" s="21" t="s">
        <v>368</v>
      </c>
      <c r="AE6175" t="str">
        <f>VLOOKUP(Table_Query_from_Actuarial___Production3[[#This Row],[Kor1]],$AI$3:$AK$105,3,FALSE)</f>
        <v>Misc. Income</v>
      </c>
      <c r="AF6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6" spans="18:32" x14ac:dyDescent="0.2">
      <c r="R6176" t="s">
        <v>37</v>
      </c>
      <c r="S6176" t="s">
        <v>252</v>
      </c>
      <c r="T6176" t="s">
        <v>433</v>
      </c>
      <c r="U6176" s="21">
        <v>28124.91</v>
      </c>
      <c r="V6176" s="21" t="s">
        <v>368</v>
      </c>
      <c r="W6176" t="str">
        <f>VLOOKUP(Table_Query_from_Actuarial___Production[[#This Row],[Kor1]],$AI$3:$AK$105,3,FALSE)</f>
        <v>Misc. Expense</v>
      </c>
      <c r="X6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6"/>
      <c r="Z6176" t="s">
        <v>47</v>
      </c>
      <c r="AA6176" t="s">
        <v>239</v>
      </c>
      <c r="AB6176" t="s">
        <v>9</v>
      </c>
      <c r="AC6176" s="21">
        <v>104.13</v>
      </c>
      <c r="AD6176" s="21" t="s">
        <v>368</v>
      </c>
      <c r="AE6176" t="str">
        <f>VLOOKUP(Table_Query_from_Actuarial___Production3[[#This Row],[Kor1]],$AI$3:$AK$105,3,FALSE)</f>
        <v>Investment Income</v>
      </c>
      <c r="AF6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7" spans="18:32" x14ac:dyDescent="0.2">
      <c r="R6177" t="s">
        <v>47</v>
      </c>
      <c r="S6177" t="s">
        <v>268</v>
      </c>
      <c r="T6177" t="s">
        <v>443</v>
      </c>
      <c r="U6177" s="21">
        <v>3379.85</v>
      </c>
      <c r="V6177" s="21" t="s">
        <v>368</v>
      </c>
      <c r="W6177" t="str">
        <f>VLOOKUP(Table_Query_from_Actuarial___Production[[#This Row],[Kor1]],$AI$3:$AK$105,3,FALSE)</f>
        <v>Investment Income</v>
      </c>
      <c r="X6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77"/>
      <c r="Z6177" t="s">
        <v>17</v>
      </c>
      <c r="AA6177" t="s">
        <v>234</v>
      </c>
      <c r="AB6177" t="s">
        <v>427</v>
      </c>
      <c r="AC6177" s="21">
        <v>50973.26</v>
      </c>
      <c r="AD6177" s="21" t="s">
        <v>368</v>
      </c>
      <c r="AE6177" t="str">
        <f>VLOOKUP(Table_Query_from_Actuarial___Production3[[#This Row],[Kor1]],$AI$3:$AK$105,3,FALSE)</f>
        <v>IBNR</v>
      </c>
      <c r="AF6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8" spans="18:32" x14ac:dyDescent="0.2">
      <c r="R6178" t="s">
        <v>48</v>
      </c>
      <c r="S6178" t="s">
        <v>354</v>
      </c>
      <c r="T6178" t="s">
        <v>442</v>
      </c>
      <c r="U6178" s="21">
        <v>234011.96</v>
      </c>
      <c r="V6178" s="21" t="s">
        <v>368</v>
      </c>
      <c r="W6178" t="str">
        <f>VLOOKUP(Table_Query_from_Actuarial___Production[[#This Row],[Kor1]],$AI$3:$AK$105,3,FALSE)</f>
        <v>Anticipated Salvage</v>
      </c>
      <c r="X6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178"/>
      <c r="Z6178" t="s">
        <v>3</v>
      </c>
      <c r="AA6178" t="s">
        <v>228</v>
      </c>
      <c r="AB6178" t="s">
        <v>6</v>
      </c>
      <c r="AC6178" s="21">
        <v>393897</v>
      </c>
      <c r="AD6178" s="21" t="s">
        <v>368</v>
      </c>
      <c r="AE6178" t="str">
        <f>VLOOKUP(Table_Query_from_Actuarial___Production3[[#This Row],[Kor1]],$AI$3:$AK$105,3,FALSE)</f>
        <v>Premiums Written</v>
      </c>
      <c r="AF6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79" spans="18:32" x14ac:dyDescent="0.2">
      <c r="R6179" t="s">
        <v>10</v>
      </c>
      <c r="S6179" t="s">
        <v>224</v>
      </c>
      <c r="T6179" t="s">
        <v>7</v>
      </c>
      <c r="U6179" s="21">
        <v>2210.9499999999998</v>
      </c>
      <c r="V6179" s="21" t="s">
        <v>369</v>
      </c>
      <c r="W6179" t="str">
        <f>VLOOKUP(Table_Query_from_Actuarial___Production[[#This Row],[Kor1]],$AI$3:$AK$105,3,FALSE)</f>
        <v>Commissions</v>
      </c>
      <c r="X6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79"/>
      <c r="Z6179" t="s">
        <v>11</v>
      </c>
      <c r="AA6179" t="s">
        <v>224</v>
      </c>
      <c r="AB6179" t="s">
        <v>5</v>
      </c>
      <c r="AC6179" s="21">
        <v>596078.37</v>
      </c>
      <c r="AD6179" s="21" t="s">
        <v>368</v>
      </c>
      <c r="AE6179" t="str">
        <f>VLOOKUP(Table_Query_from_Actuarial___Production3[[#This Row],[Kor1]],$AI$3:$AK$105,3,FALSE)</f>
        <v>Losses Paid</v>
      </c>
      <c r="AF6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180" spans="18:32" x14ac:dyDescent="0.2">
      <c r="R6180" t="s">
        <v>12</v>
      </c>
      <c r="S6180" t="s">
        <v>248</v>
      </c>
      <c r="T6180" t="s">
        <v>8</v>
      </c>
      <c r="U6180" s="21">
        <v>834.42</v>
      </c>
      <c r="V6180" s="21" t="s">
        <v>368</v>
      </c>
      <c r="W6180" t="str">
        <f>VLOOKUP(Table_Query_from_Actuarial___Production[[#This Row],[Kor1]],$AI$3:$AK$105,3,FALSE)</f>
        <v>Premium Tax</v>
      </c>
      <c r="X6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0"/>
      <c r="Z6180" t="s">
        <v>11</v>
      </c>
      <c r="AA6180" t="s">
        <v>239</v>
      </c>
      <c r="AB6180" t="s">
        <v>7</v>
      </c>
      <c r="AC6180" s="21">
        <v>130423.22</v>
      </c>
      <c r="AD6180" s="21" t="s">
        <v>368</v>
      </c>
      <c r="AE6180" t="str">
        <f>VLOOKUP(Table_Query_from_Actuarial___Production3[[#This Row],[Kor1]],$AI$3:$AK$105,3,FALSE)</f>
        <v>Losses Paid</v>
      </c>
      <c r="AF6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1" spans="18:32" x14ac:dyDescent="0.2">
      <c r="R6181" t="s">
        <v>19</v>
      </c>
      <c r="S6181" t="s">
        <v>265</v>
      </c>
      <c r="T6181" t="s">
        <v>427</v>
      </c>
      <c r="U6181" s="21">
        <v>9618</v>
      </c>
      <c r="V6181" s="21" t="s">
        <v>368</v>
      </c>
      <c r="W6181" t="str">
        <f>VLOOKUP(Table_Query_from_Actuarial___Production[[#This Row],[Kor1]],$AI$3:$AK$105,3,FALSE)</f>
        <v>Misc. Expense for Insolvent Companies</v>
      </c>
      <c r="X6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1"/>
      <c r="Z6181" t="s">
        <v>40</v>
      </c>
      <c r="AA6181" t="s">
        <v>251</v>
      </c>
      <c r="AB6181" t="s">
        <v>9</v>
      </c>
      <c r="AC6181" s="21">
        <v>14</v>
      </c>
      <c r="AD6181" s="21" t="s">
        <v>368</v>
      </c>
      <c r="AE6181" t="str">
        <f>VLOOKUP(Table_Query_from_Actuarial___Production3[[#This Row],[Kor1]],$AI$3:$AK$105,3,FALSE)</f>
        <v>Misc. Income</v>
      </c>
      <c r="AF6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2" spans="18:32" x14ac:dyDescent="0.2">
      <c r="R6182" t="s">
        <v>11</v>
      </c>
      <c r="S6182" t="s">
        <v>266</v>
      </c>
      <c r="T6182" t="s">
        <v>351</v>
      </c>
      <c r="U6182" s="21">
        <v>65069.72</v>
      </c>
      <c r="V6182" s="21" t="s">
        <v>368</v>
      </c>
      <c r="W6182" t="str">
        <f>VLOOKUP(Table_Query_from_Actuarial___Production[[#This Row],[Kor1]],$AI$3:$AK$105,3,FALSE)</f>
        <v>Losses Paid</v>
      </c>
      <c r="X6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2"/>
      <c r="Z6182" t="s">
        <v>41</v>
      </c>
      <c r="AA6182" t="s">
        <v>258</v>
      </c>
      <c r="AB6182" t="s">
        <v>441</v>
      </c>
      <c r="AC6182" s="21">
        <v>150.04</v>
      </c>
      <c r="AD6182" s="21" t="s">
        <v>368</v>
      </c>
      <c r="AE6182" t="str">
        <f>VLOOKUP(Table_Query_from_Actuarial___Production3[[#This Row],[Kor1]],$AI$3:$AK$105,3,FALSE)</f>
        <v>Misc. Income</v>
      </c>
      <c r="AF6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3" spans="18:32" x14ac:dyDescent="0.2">
      <c r="R6183" t="s">
        <v>12</v>
      </c>
      <c r="S6183" t="s">
        <v>233</v>
      </c>
      <c r="T6183" t="s">
        <v>6</v>
      </c>
      <c r="U6183" s="21">
        <v>4169.7</v>
      </c>
      <c r="V6183" s="21" t="s">
        <v>368</v>
      </c>
      <c r="W6183" t="str">
        <f>VLOOKUP(Table_Query_from_Actuarial___Production[[#This Row],[Kor1]],$AI$3:$AK$105,3,FALSE)</f>
        <v>Premium Tax</v>
      </c>
      <c r="X6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3"/>
      <c r="Z6183" t="s">
        <v>44</v>
      </c>
      <c r="AA6183" t="s">
        <v>266</v>
      </c>
      <c r="AB6183" t="s">
        <v>356</v>
      </c>
      <c r="AC6183" s="21">
        <v>2996.41</v>
      </c>
      <c r="AD6183" s="21" t="s">
        <v>368</v>
      </c>
      <c r="AE6183" t="str">
        <f>VLOOKUP(Table_Query_from_Actuarial___Production3[[#This Row],[Kor1]],$AI$3:$AK$105,3,FALSE)</f>
        <v>Charge-offs</v>
      </c>
      <c r="AF6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4" spans="18:32" x14ac:dyDescent="0.2">
      <c r="R6184" t="s">
        <v>44</v>
      </c>
      <c r="S6184" t="s">
        <v>255</v>
      </c>
      <c r="T6184" t="s">
        <v>6</v>
      </c>
      <c r="U6184" s="21">
        <v>4</v>
      </c>
      <c r="V6184" s="21" t="s">
        <v>368</v>
      </c>
      <c r="W6184" t="str">
        <f>VLOOKUP(Table_Query_from_Actuarial___Production[[#This Row],[Kor1]],$AI$3:$AK$105,3,FALSE)</f>
        <v>Charge-offs</v>
      </c>
      <c r="X6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4"/>
      <c r="Z6184" t="s">
        <v>20</v>
      </c>
      <c r="AA6184" t="s">
        <v>267</v>
      </c>
      <c r="AB6184" t="s">
        <v>356</v>
      </c>
      <c r="AC6184" s="21">
        <v>193.44</v>
      </c>
      <c r="AD6184" s="21" t="s">
        <v>368</v>
      </c>
      <c r="AE6184" t="str">
        <f>VLOOKUP(Table_Query_from_Actuarial___Production3[[#This Row],[Kor1]],$AI$3:$AK$105,3,FALSE)</f>
        <v>Misc. Expense</v>
      </c>
      <c r="AF6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5" spans="18:32" x14ac:dyDescent="0.2">
      <c r="R6185" t="s">
        <v>13</v>
      </c>
      <c r="S6185" t="s">
        <v>224</v>
      </c>
      <c r="T6185" t="s">
        <v>6</v>
      </c>
      <c r="U6185" s="21">
        <v>18513.87</v>
      </c>
      <c r="V6185" s="21" t="s">
        <v>425</v>
      </c>
      <c r="W6185" t="str">
        <f>VLOOKUP(Table_Query_from_Actuarial___Production[[#This Row],[Kor1]],$AI$3:$AK$105,3,FALSE)</f>
        <v>Operating Service Fees</v>
      </c>
      <c r="X6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85"/>
      <c r="Z6185" t="s">
        <v>50</v>
      </c>
      <c r="AA6185" t="s">
        <v>230</v>
      </c>
      <c r="AB6185" t="s">
        <v>441</v>
      </c>
      <c r="AC6185" s="21">
        <v>3158602.85</v>
      </c>
      <c r="AD6185" s="21" t="s">
        <v>368</v>
      </c>
      <c r="AE6185" t="str">
        <f>VLOOKUP(Table_Query_from_Actuarial___Production3[[#This Row],[Kor1]],$AI$3:$AK$105,3,FALSE)</f>
        <v>ALAE Reserve</v>
      </c>
      <c r="AF6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6" spans="18:32" x14ac:dyDescent="0.2">
      <c r="R6186" t="s">
        <v>10</v>
      </c>
      <c r="S6186" t="s">
        <v>266</v>
      </c>
      <c r="T6186" t="s">
        <v>445</v>
      </c>
      <c r="U6186" s="21">
        <v>50016.9</v>
      </c>
      <c r="V6186" s="21" t="s">
        <v>368</v>
      </c>
      <c r="W6186" t="str">
        <f>VLOOKUP(Table_Query_from_Actuarial___Production[[#This Row],[Kor1]],$AI$3:$AK$105,3,FALSE)</f>
        <v>Commissions</v>
      </c>
      <c r="X6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6"/>
      <c r="Z6186" t="s">
        <v>37</v>
      </c>
      <c r="AA6186" t="s">
        <v>266</v>
      </c>
      <c r="AB6186" t="s">
        <v>6</v>
      </c>
      <c r="AC6186" s="21">
        <v>163.49</v>
      </c>
      <c r="AD6186" s="21" t="s">
        <v>368</v>
      </c>
      <c r="AE6186" t="str">
        <f>VLOOKUP(Table_Query_from_Actuarial___Production3[[#This Row],[Kor1]],$AI$3:$AK$105,3,FALSE)</f>
        <v>Misc. Expense</v>
      </c>
      <c r="AF6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7" spans="18:32" x14ac:dyDescent="0.2">
      <c r="R6187" t="s">
        <v>33</v>
      </c>
      <c r="S6187" t="s">
        <v>241</v>
      </c>
      <c r="T6187" t="s">
        <v>427</v>
      </c>
      <c r="U6187" s="21">
        <v>13085.31</v>
      </c>
      <c r="V6187" s="21" t="s">
        <v>368</v>
      </c>
      <c r="W6187" t="str">
        <f>VLOOKUP(Table_Query_from_Actuarial___Production[[#This Row],[Kor1]],$AI$3:$AK$105,3,FALSE)</f>
        <v>Misc. Expense</v>
      </c>
      <c r="X6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7"/>
      <c r="Z6187" t="s">
        <v>50</v>
      </c>
      <c r="AA6187" t="s">
        <v>237</v>
      </c>
      <c r="AB6187" t="s">
        <v>356</v>
      </c>
      <c r="AC6187" s="21">
        <v>206716.35</v>
      </c>
      <c r="AD6187" s="21" t="s">
        <v>368</v>
      </c>
      <c r="AE6187" t="str">
        <f>VLOOKUP(Table_Query_from_Actuarial___Production3[[#This Row],[Kor1]],$AI$3:$AK$105,3,FALSE)</f>
        <v>ALAE Reserve</v>
      </c>
      <c r="AF6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8" spans="18:32" x14ac:dyDescent="0.2">
      <c r="R6188" t="s">
        <v>36</v>
      </c>
      <c r="S6188" t="s">
        <v>230</v>
      </c>
      <c r="T6188" t="s">
        <v>351</v>
      </c>
      <c r="U6188" s="21">
        <v>31790.03</v>
      </c>
      <c r="V6188" s="21" t="s">
        <v>368</v>
      </c>
      <c r="W6188" t="str">
        <f>VLOOKUP(Table_Query_from_Actuarial___Production[[#This Row],[Kor1]],$AI$3:$AK$105,3,FALSE)</f>
        <v>Misc. Expense</v>
      </c>
      <c r="X6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88"/>
      <c r="Z6188" t="s">
        <v>11</v>
      </c>
      <c r="AA6188" t="s">
        <v>265</v>
      </c>
      <c r="AB6188" t="s">
        <v>7</v>
      </c>
      <c r="AC6188" s="21">
        <v>45075.83</v>
      </c>
      <c r="AD6188" s="21" t="s">
        <v>368</v>
      </c>
      <c r="AE6188" t="str">
        <f>VLOOKUP(Table_Query_from_Actuarial___Production3[[#This Row],[Kor1]],$AI$3:$AK$105,3,FALSE)</f>
        <v>Losses Paid</v>
      </c>
      <c r="AF6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89" spans="18:32" x14ac:dyDescent="0.2">
      <c r="R6189" t="s">
        <v>18</v>
      </c>
      <c r="S6189" t="s">
        <v>226</v>
      </c>
      <c r="T6189" t="s">
        <v>356</v>
      </c>
      <c r="U6189" s="21">
        <v>36199.040000000001</v>
      </c>
      <c r="V6189" s="21" t="s">
        <v>368</v>
      </c>
      <c r="W6189" t="str">
        <f>VLOOKUP(Table_Query_from_Actuarial___Production[[#This Row],[Kor1]],$AI$3:$AK$105,3,FALSE)</f>
        <v>Misc. Expense</v>
      </c>
      <c r="X6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189"/>
      <c r="Z6189" t="s">
        <v>14</v>
      </c>
      <c r="AA6189" t="s">
        <v>354</v>
      </c>
      <c r="AB6189" t="s">
        <v>9</v>
      </c>
      <c r="AC6189" s="21">
        <v>11639750.5</v>
      </c>
      <c r="AD6189" s="21" t="s">
        <v>368</v>
      </c>
      <c r="AE6189" t="str">
        <f>VLOOKUP(Table_Query_from_Actuarial___Production3[[#This Row],[Kor1]],$AI$3:$AK$105,3,FALSE)</f>
        <v>Claims Expense</v>
      </c>
      <c r="AF6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190" spans="18:32" x14ac:dyDescent="0.2">
      <c r="R6190" t="s">
        <v>19</v>
      </c>
      <c r="S6190" t="s">
        <v>239</v>
      </c>
      <c r="T6190" t="s">
        <v>427</v>
      </c>
      <c r="U6190" s="21">
        <v>1538</v>
      </c>
      <c r="V6190" s="21" t="s">
        <v>368</v>
      </c>
      <c r="W6190" t="str">
        <f>VLOOKUP(Table_Query_from_Actuarial___Production[[#This Row],[Kor1]],$AI$3:$AK$105,3,FALSE)</f>
        <v>Misc. Expense for Insolvent Companies</v>
      </c>
      <c r="X6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0"/>
      <c r="Z6190" t="s">
        <v>13</v>
      </c>
      <c r="AA6190" t="s">
        <v>258</v>
      </c>
      <c r="AB6190" t="s">
        <v>356</v>
      </c>
      <c r="AC6190" s="21">
        <v>482892.71</v>
      </c>
      <c r="AD6190" s="21" t="s">
        <v>368</v>
      </c>
      <c r="AE6190" t="str">
        <f>VLOOKUP(Table_Query_from_Actuarial___Production3[[#This Row],[Kor1]],$AI$3:$AK$105,3,FALSE)</f>
        <v>Operating Service Fees</v>
      </c>
      <c r="AF6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1" spans="18:32" x14ac:dyDescent="0.2">
      <c r="R6191" t="s">
        <v>40</v>
      </c>
      <c r="S6191" t="s">
        <v>255</v>
      </c>
      <c r="T6191" t="s">
        <v>6</v>
      </c>
      <c r="U6191" s="21">
        <v>57</v>
      </c>
      <c r="V6191" s="21" t="s">
        <v>368</v>
      </c>
      <c r="W6191" t="str">
        <f>VLOOKUP(Table_Query_from_Actuarial___Production[[#This Row],[Kor1]],$AI$3:$AK$105,3,FALSE)</f>
        <v>Misc. Income</v>
      </c>
      <c r="X6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1"/>
      <c r="Z6191" t="s">
        <v>43</v>
      </c>
      <c r="AA6191" t="s">
        <v>247</v>
      </c>
      <c r="AB6191" t="s">
        <v>441</v>
      </c>
      <c r="AC6191" s="21">
        <v>-1.23</v>
      </c>
      <c r="AD6191" s="21" t="s">
        <v>368</v>
      </c>
      <c r="AE6191" t="str">
        <f>VLOOKUP(Table_Query_from_Actuarial___Production3[[#This Row],[Kor1]],$AI$3:$AK$105,3,FALSE)</f>
        <v>Charge-offs</v>
      </c>
      <c r="AF6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2" spans="18:32" x14ac:dyDescent="0.2">
      <c r="R6192" t="s">
        <v>14</v>
      </c>
      <c r="S6192" t="s">
        <v>254</v>
      </c>
      <c r="T6192" t="s">
        <v>433</v>
      </c>
      <c r="U6192" s="21">
        <v>2439591.21</v>
      </c>
      <c r="V6192" s="21" t="s">
        <v>368</v>
      </c>
      <c r="W6192" t="str">
        <f>VLOOKUP(Table_Query_from_Actuarial___Production[[#This Row],[Kor1]],$AI$3:$AK$105,3,FALSE)</f>
        <v>Claims Expense</v>
      </c>
      <c r="X6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2"/>
      <c r="Z6192" t="s">
        <v>14</v>
      </c>
      <c r="AA6192" t="s">
        <v>259</v>
      </c>
      <c r="AB6192" t="s">
        <v>356</v>
      </c>
      <c r="AC6192" s="21">
        <v>31852.46</v>
      </c>
      <c r="AD6192" s="21" t="s">
        <v>368</v>
      </c>
      <c r="AE6192" t="str">
        <f>VLOOKUP(Table_Query_from_Actuarial___Production3[[#This Row],[Kor1]],$AI$3:$AK$105,3,FALSE)</f>
        <v>Claims Expense</v>
      </c>
      <c r="AF6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3" spans="18:32" x14ac:dyDescent="0.2">
      <c r="R6193" t="s">
        <v>31</v>
      </c>
      <c r="S6193" t="s">
        <v>245</v>
      </c>
      <c r="T6193" t="s">
        <v>9</v>
      </c>
      <c r="U6193" s="21">
        <v>-555.20000000000005</v>
      </c>
      <c r="V6193" s="21" t="s">
        <v>368</v>
      </c>
      <c r="W6193" t="str">
        <f>VLOOKUP(Table_Query_from_Actuarial___Production[[#This Row],[Kor1]],$AI$3:$AK$105,3,FALSE)</f>
        <v>Misc. Expense</v>
      </c>
      <c r="X6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3"/>
      <c r="Z6193" t="s">
        <v>37</v>
      </c>
      <c r="AA6193" t="s">
        <v>252</v>
      </c>
      <c r="AB6193" t="s">
        <v>433</v>
      </c>
      <c r="AC6193" s="21">
        <v>28124.91</v>
      </c>
      <c r="AD6193" s="21" t="s">
        <v>368</v>
      </c>
      <c r="AE6193" t="str">
        <f>VLOOKUP(Table_Query_from_Actuarial___Production3[[#This Row],[Kor1]],$AI$3:$AK$105,3,FALSE)</f>
        <v>Misc. Expense</v>
      </c>
      <c r="AF6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4" spans="18:32" x14ac:dyDescent="0.2">
      <c r="R6194" t="s">
        <v>11</v>
      </c>
      <c r="S6194" t="s">
        <v>226</v>
      </c>
      <c r="T6194" t="s">
        <v>433</v>
      </c>
      <c r="U6194" s="21">
        <v>2162595.83</v>
      </c>
      <c r="V6194" s="21" t="s">
        <v>368</v>
      </c>
      <c r="W6194" t="str">
        <f>VLOOKUP(Table_Query_from_Actuarial___Production[[#This Row],[Kor1]],$AI$3:$AK$105,3,FALSE)</f>
        <v>Losses Paid</v>
      </c>
      <c r="X6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194"/>
      <c r="Z6194" t="s">
        <v>47</v>
      </c>
      <c r="AA6194" t="s">
        <v>268</v>
      </c>
      <c r="AB6194" t="s">
        <v>443</v>
      </c>
      <c r="AC6194" s="21">
        <v>1051.8800000000001</v>
      </c>
      <c r="AD6194" s="21" t="s">
        <v>368</v>
      </c>
      <c r="AE6194" t="str">
        <f>VLOOKUP(Table_Query_from_Actuarial___Production3[[#This Row],[Kor1]],$AI$3:$AK$105,3,FALSE)</f>
        <v>Investment Income</v>
      </c>
      <c r="AF6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5" spans="18:32" x14ac:dyDescent="0.2">
      <c r="R6195" t="s">
        <v>13</v>
      </c>
      <c r="S6195" t="s">
        <v>237</v>
      </c>
      <c r="T6195" t="s">
        <v>433</v>
      </c>
      <c r="U6195" s="21">
        <v>9791090.0600000005</v>
      </c>
      <c r="V6195" s="21" t="s">
        <v>368</v>
      </c>
      <c r="W6195" t="str">
        <f>VLOOKUP(Table_Query_from_Actuarial___Production[[#This Row],[Kor1]],$AI$3:$AK$105,3,FALSE)</f>
        <v>Operating Service Fees</v>
      </c>
      <c r="X6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5"/>
      <c r="Z6195" t="s">
        <v>48</v>
      </c>
      <c r="AA6195" t="s">
        <v>354</v>
      </c>
      <c r="AB6195" t="s">
        <v>442</v>
      </c>
      <c r="AC6195" s="21">
        <v>485737.17</v>
      </c>
      <c r="AD6195" s="21" t="s">
        <v>368</v>
      </c>
      <c r="AE6195" t="str">
        <f>VLOOKUP(Table_Query_from_Actuarial___Production3[[#This Row],[Kor1]],$AI$3:$AK$105,3,FALSE)</f>
        <v>Anticipated Salvage</v>
      </c>
      <c r="AF6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196" spans="18:32" x14ac:dyDescent="0.2">
      <c r="R6196" t="s">
        <v>14</v>
      </c>
      <c r="S6196" t="s">
        <v>243</v>
      </c>
      <c r="T6196" t="s">
        <v>351</v>
      </c>
      <c r="U6196" s="21">
        <v>48027.53</v>
      </c>
      <c r="V6196" s="21" t="s">
        <v>368</v>
      </c>
      <c r="W6196" t="str">
        <f>VLOOKUP(Table_Query_from_Actuarial___Production[[#This Row],[Kor1]],$AI$3:$AK$105,3,FALSE)</f>
        <v>Claims Expense</v>
      </c>
      <c r="X6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6"/>
      <c r="Z6196" t="s">
        <v>10</v>
      </c>
      <c r="AA6196" t="s">
        <v>224</v>
      </c>
      <c r="AB6196" t="s">
        <v>7</v>
      </c>
      <c r="AC6196" s="21">
        <v>2210.9499999999998</v>
      </c>
      <c r="AD6196" s="21" t="s">
        <v>369</v>
      </c>
      <c r="AE6196" t="str">
        <f>VLOOKUP(Table_Query_from_Actuarial___Production3[[#This Row],[Kor1]],$AI$3:$AK$105,3,FALSE)</f>
        <v>Commissions</v>
      </c>
      <c r="AF6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197" spans="18:32" x14ac:dyDescent="0.2">
      <c r="R6197" t="s">
        <v>16</v>
      </c>
      <c r="S6197" t="s">
        <v>224</v>
      </c>
      <c r="T6197" t="s">
        <v>427</v>
      </c>
      <c r="U6197" s="21">
        <v>-583</v>
      </c>
      <c r="V6197" s="21" t="s">
        <v>425</v>
      </c>
      <c r="W6197" t="str">
        <f>VLOOKUP(Table_Query_from_Actuarial___Production[[#This Row],[Kor1]],$AI$3:$AK$105,3,FALSE)</f>
        <v>Losses Outstanding</v>
      </c>
      <c r="X6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197"/>
      <c r="Z6197" t="s">
        <v>12</v>
      </c>
      <c r="AA6197" t="s">
        <v>248</v>
      </c>
      <c r="AB6197" t="s">
        <v>8</v>
      </c>
      <c r="AC6197" s="21">
        <v>834.42</v>
      </c>
      <c r="AD6197" s="21" t="s">
        <v>368</v>
      </c>
      <c r="AE6197" t="str">
        <f>VLOOKUP(Table_Query_from_Actuarial___Production3[[#This Row],[Kor1]],$AI$3:$AK$105,3,FALSE)</f>
        <v>Premium Tax</v>
      </c>
      <c r="AF6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8" spans="18:32" x14ac:dyDescent="0.2">
      <c r="R6198" t="s">
        <v>12</v>
      </c>
      <c r="S6198" t="s">
        <v>268</v>
      </c>
      <c r="T6198" t="s">
        <v>442</v>
      </c>
      <c r="U6198" s="21">
        <v>7462.61</v>
      </c>
      <c r="V6198" s="21" t="s">
        <v>368</v>
      </c>
      <c r="W6198" t="str">
        <f>VLOOKUP(Table_Query_from_Actuarial___Production[[#This Row],[Kor1]],$AI$3:$AK$105,3,FALSE)</f>
        <v>Premium Tax</v>
      </c>
      <c r="X6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8"/>
      <c r="Z6198" t="s">
        <v>19</v>
      </c>
      <c r="AA6198" t="s">
        <v>265</v>
      </c>
      <c r="AB6198" t="s">
        <v>427</v>
      </c>
      <c r="AC6198" s="21">
        <v>9618</v>
      </c>
      <c r="AD6198" s="21" t="s">
        <v>368</v>
      </c>
      <c r="AE6198" t="str">
        <f>VLOOKUP(Table_Query_from_Actuarial___Production3[[#This Row],[Kor1]],$AI$3:$AK$105,3,FALSE)</f>
        <v>Misc. Expense for Insolvent Companies</v>
      </c>
      <c r="AF6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199" spans="18:32" x14ac:dyDescent="0.2">
      <c r="R6199" t="s">
        <v>36</v>
      </c>
      <c r="S6199" t="s">
        <v>252</v>
      </c>
      <c r="T6199" t="s">
        <v>8</v>
      </c>
      <c r="U6199" s="21">
        <v>125959.5</v>
      </c>
      <c r="V6199" s="21" t="s">
        <v>368</v>
      </c>
      <c r="W6199" t="str">
        <f>VLOOKUP(Table_Query_from_Actuarial___Production[[#This Row],[Kor1]],$AI$3:$AK$105,3,FALSE)</f>
        <v>Misc. Expense</v>
      </c>
      <c r="X6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199"/>
      <c r="Z6199" t="s">
        <v>11</v>
      </c>
      <c r="AA6199" t="s">
        <v>266</v>
      </c>
      <c r="AB6199" t="s">
        <v>351</v>
      </c>
      <c r="AC6199" s="21">
        <v>65069.72</v>
      </c>
      <c r="AD6199" s="21" t="s">
        <v>368</v>
      </c>
      <c r="AE6199" t="str">
        <f>VLOOKUP(Table_Query_from_Actuarial___Production3[[#This Row],[Kor1]],$AI$3:$AK$105,3,FALSE)</f>
        <v>Losses Paid</v>
      </c>
      <c r="AF6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0" spans="18:32" x14ac:dyDescent="0.2">
      <c r="R6200" t="s">
        <v>37</v>
      </c>
      <c r="S6200" t="s">
        <v>234</v>
      </c>
      <c r="T6200" t="s">
        <v>433</v>
      </c>
      <c r="U6200" s="21">
        <v>30.67</v>
      </c>
      <c r="V6200" s="21" t="s">
        <v>368</v>
      </c>
      <c r="W6200" t="str">
        <f>VLOOKUP(Table_Query_from_Actuarial___Production[[#This Row],[Kor1]],$AI$3:$AK$105,3,FALSE)</f>
        <v>Misc. Expense</v>
      </c>
      <c r="X6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0"/>
      <c r="Z6200" t="s">
        <v>12</v>
      </c>
      <c r="AA6200" t="s">
        <v>233</v>
      </c>
      <c r="AB6200" t="s">
        <v>6</v>
      </c>
      <c r="AC6200" s="21">
        <v>4169.7</v>
      </c>
      <c r="AD6200" s="21" t="s">
        <v>368</v>
      </c>
      <c r="AE6200" t="str">
        <f>VLOOKUP(Table_Query_from_Actuarial___Production3[[#This Row],[Kor1]],$AI$3:$AK$105,3,FALSE)</f>
        <v>Premium Tax</v>
      </c>
      <c r="AF6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1" spans="18:32" x14ac:dyDescent="0.2">
      <c r="R6201" t="s">
        <v>40</v>
      </c>
      <c r="S6201" t="s">
        <v>254</v>
      </c>
      <c r="T6201" t="s">
        <v>7</v>
      </c>
      <c r="U6201" s="21">
        <v>-44</v>
      </c>
      <c r="V6201" s="21" t="s">
        <v>368</v>
      </c>
      <c r="W6201" t="str">
        <f>VLOOKUP(Table_Query_from_Actuarial___Production[[#This Row],[Kor1]],$AI$3:$AK$105,3,FALSE)</f>
        <v>Misc. Income</v>
      </c>
      <c r="X6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1"/>
      <c r="Z6201" t="s">
        <v>44</v>
      </c>
      <c r="AA6201" t="s">
        <v>255</v>
      </c>
      <c r="AB6201" t="s">
        <v>6</v>
      </c>
      <c r="AC6201" s="21">
        <v>4</v>
      </c>
      <c r="AD6201" s="21" t="s">
        <v>368</v>
      </c>
      <c r="AE6201" t="str">
        <f>VLOOKUP(Table_Query_from_Actuarial___Production3[[#This Row],[Kor1]],$AI$3:$AK$105,3,FALSE)</f>
        <v>Charge-offs</v>
      </c>
      <c r="AF6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2" spans="18:32" x14ac:dyDescent="0.2">
      <c r="R6202" t="s">
        <v>77</v>
      </c>
      <c r="S6202" t="s">
        <v>238</v>
      </c>
      <c r="T6202" t="s">
        <v>445</v>
      </c>
      <c r="U6202" s="21">
        <v>662330</v>
      </c>
      <c r="V6202" s="21" t="s">
        <v>368</v>
      </c>
      <c r="W6202" t="str">
        <f>VLOOKUP(Table_Query_from_Actuarial___Production[[#This Row],[Kor1]],$AI$3:$AK$105,3,FALSE)</f>
        <v>PDR</v>
      </c>
      <c r="X6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2"/>
      <c r="Z6202" t="s">
        <v>13</v>
      </c>
      <c r="AA6202" t="s">
        <v>224</v>
      </c>
      <c r="AB6202" t="s">
        <v>6</v>
      </c>
      <c r="AC6202" s="21">
        <v>18513.87</v>
      </c>
      <c r="AD6202" s="21" t="s">
        <v>425</v>
      </c>
      <c r="AE6202" t="str">
        <f>VLOOKUP(Table_Query_from_Actuarial___Production3[[#This Row],[Kor1]],$AI$3:$AK$105,3,FALSE)</f>
        <v>Operating Service Fees</v>
      </c>
      <c r="AF6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203" spans="18:32" x14ac:dyDescent="0.2">
      <c r="R6203" t="s">
        <v>18</v>
      </c>
      <c r="S6203" t="s">
        <v>225</v>
      </c>
      <c r="T6203" t="s">
        <v>356</v>
      </c>
      <c r="U6203" s="21">
        <v>679012.01</v>
      </c>
      <c r="V6203" s="21" t="s">
        <v>369</v>
      </c>
      <c r="W6203" t="str">
        <f>VLOOKUP(Table_Query_from_Actuarial___Production[[#This Row],[Kor1]],$AI$3:$AK$105,3,FALSE)</f>
        <v>Misc. Expense</v>
      </c>
      <c r="X6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203"/>
      <c r="Z6203" t="s">
        <v>37</v>
      </c>
      <c r="AA6203" t="s">
        <v>242</v>
      </c>
      <c r="AB6203" t="s">
        <v>5</v>
      </c>
      <c r="AC6203" s="21">
        <v>356.3</v>
      </c>
      <c r="AD6203" s="21" t="s">
        <v>368</v>
      </c>
      <c r="AE6203" t="str">
        <f>VLOOKUP(Table_Query_from_Actuarial___Production3[[#This Row],[Kor1]],$AI$3:$AK$105,3,FALSE)</f>
        <v>Misc. Expense</v>
      </c>
      <c r="AF6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4" spans="18:32" x14ac:dyDescent="0.2">
      <c r="R6204" t="s">
        <v>10</v>
      </c>
      <c r="S6204" t="s">
        <v>240</v>
      </c>
      <c r="T6204" t="s">
        <v>356</v>
      </c>
      <c r="U6204" s="21">
        <v>248404.57</v>
      </c>
      <c r="V6204" s="21" t="s">
        <v>368</v>
      </c>
      <c r="W6204" t="str">
        <f>VLOOKUP(Table_Query_from_Actuarial___Production[[#This Row],[Kor1]],$AI$3:$AK$105,3,FALSE)</f>
        <v>Commissions</v>
      </c>
      <c r="X6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4"/>
      <c r="Z6204" t="s">
        <v>33</v>
      </c>
      <c r="AA6204" t="s">
        <v>241</v>
      </c>
      <c r="AB6204" t="s">
        <v>427</v>
      </c>
      <c r="AC6204" s="21">
        <v>13085.31</v>
      </c>
      <c r="AD6204" s="21" t="s">
        <v>368</v>
      </c>
      <c r="AE6204" t="str">
        <f>VLOOKUP(Table_Query_from_Actuarial___Production3[[#This Row],[Kor1]],$AI$3:$AK$105,3,FALSE)</f>
        <v>Misc. Expense</v>
      </c>
      <c r="AF6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5" spans="18:32" x14ac:dyDescent="0.2">
      <c r="R6205" t="s">
        <v>40</v>
      </c>
      <c r="S6205" t="s">
        <v>254</v>
      </c>
      <c r="T6205" t="s">
        <v>433</v>
      </c>
      <c r="U6205" s="21">
        <v>10.95</v>
      </c>
      <c r="V6205" s="21" t="s">
        <v>368</v>
      </c>
      <c r="W6205" t="str">
        <f>VLOOKUP(Table_Query_from_Actuarial___Production[[#This Row],[Kor1]],$AI$3:$AK$105,3,FALSE)</f>
        <v>Misc. Income</v>
      </c>
      <c r="X6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5"/>
      <c r="Z6205" t="s">
        <v>36</v>
      </c>
      <c r="AA6205" t="s">
        <v>230</v>
      </c>
      <c r="AB6205" t="s">
        <v>351</v>
      </c>
      <c r="AC6205" s="21">
        <v>31790.03</v>
      </c>
      <c r="AD6205" s="21" t="s">
        <v>368</v>
      </c>
      <c r="AE6205" t="str">
        <f>VLOOKUP(Table_Query_from_Actuarial___Production3[[#This Row],[Kor1]],$AI$3:$AK$105,3,FALSE)</f>
        <v>Misc. Expense</v>
      </c>
      <c r="AF6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6" spans="18:32" x14ac:dyDescent="0.2">
      <c r="R6206" t="s">
        <v>47</v>
      </c>
      <c r="S6206" t="s">
        <v>228</v>
      </c>
      <c r="T6206" t="s">
        <v>441</v>
      </c>
      <c r="U6206" s="21">
        <v>15.9</v>
      </c>
      <c r="V6206" s="21" t="s">
        <v>368</v>
      </c>
      <c r="W6206" t="str">
        <f>VLOOKUP(Table_Query_from_Actuarial___Production[[#This Row],[Kor1]],$AI$3:$AK$105,3,FALSE)</f>
        <v>Investment Income</v>
      </c>
      <c r="X6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6"/>
      <c r="Z6206" t="s">
        <v>18</v>
      </c>
      <c r="AA6206" t="s">
        <v>226</v>
      </c>
      <c r="AB6206" t="s">
        <v>356</v>
      </c>
      <c r="AC6206" s="21">
        <v>36199.040000000001</v>
      </c>
      <c r="AD6206" s="21" t="s">
        <v>368</v>
      </c>
      <c r="AE6206" t="str">
        <f>VLOOKUP(Table_Query_from_Actuarial___Production3[[#This Row],[Kor1]],$AI$3:$AK$105,3,FALSE)</f>
        <v>Misc. Expense</v>
      </c>
      <c r="AF6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207" spans="18:32" x14ac:dyDescent="0.2">
      <c r="R6207" t="s">
        <v>48</v>
      </c>
      <c r="S6207" t="s">
        <v>354</v>
      </c>
      <c r="T6207" t="s">
        <v>351</v>
      </c>
      <c r="U6207" s="21">
        <v>181047.62</v>
      </c>
      <c r="V6207" s="21" t="s">
        <v>369</v>
      </c>
      <c r="W6207" t="str">
        <f>VLOOKUP(Table_Query_from_Actuarial___Production[[#This Row],[Kor1]],$AI$3:$AK$105,3,FALSE)</f>
        <v>Anticipated Salvage</v>
      </c>
      <c r="X6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207"/>
      <c r="Z6207" t="s">
        <v>19</v>
      </c>
      <c r="AA6207" t="s">
        <v>239</v>
      </c>
      <c r="AB6207" t="s">
        <v>427</v>
      </c>
      <c r="AC6207" s="21">
        <v>1538</v>
      </c>
      <c r="AD6207" s="21" t="s">
        <v>368</v>
      </c>
      <c r="AE6207" t="str">
        <f>VLOOKUP(Table_Query_from_Actuarial___Production3[[#This Row],[Kor1]],$AI$3:$AK$105,3,FALSE)</f>
        <v>Misc. Expense for Insolvent Companies</v>
      </c>
      <c r="AF6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8" spans="18:32" x14ac:dyDescent="0.2">
      <c r="R6208" t="s">
        <v>21</v>
      </c>
      <c r="S6208" t="s">
        <v>228</v>
      </c>
      <c r="T6208" t="s">
        <v>8</v>
      </c>
      <c r="U6208" s="21">
        <v>381.49</v>
      </c>
      <c r="V6208" s="21" t="s">
        <v>368</v>
      </c>
      <c r="W6208" t="str">
        <f>VLOOKUP(Table_Query_from_Actuarial___Production[[#This Row],[Kor1]],$AI$3:$AK$105,3,FALSE)</f>
        <v>Misc. Expense</v>
      </c>
      <c r="X6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8"/>
      <c r="Z6208" t="s">
        <v>40</v>
      </c>
      <c r="AA6208" t="s">
        <v>255</v>
      </c>
      <c r="AB6208" t="s">
        <v>6</v>
      </c>
      <c r="AC6208" s="21">
        <v>57</v>
      </c>
      <c r="AD6208" s="21" t="s">
        <v>368</v>
      </c>
      <c r="AE6208" t="str">
        <f>VLOOKUP(Table_Query_from_Actuarial___Production3[[#This Row],[Kor1]],$AI$3:$AK$105,3,FALSE)</f>
        <v>Misc. Income</v>
      </c>
      <c r="AF6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09" spans="18:32" x14ac:dyDescent="0.2">
      <c r="R6209" t="s">
        <v>49</v>
      </c>
      <c r="S6209" t="s">
        <v>252</v>
      </c>
      <c r="T6209" t="s">
        <v>433</v>
      </c>
      <c r="U6209" s="21">
        <v>670252.72</v>
      </c>
      <c r="V6209" s="21" t="s">
        <v>368</v>
      </c>
      <c r="W6209" t="str">
        <f>VLOOKUP(Table_Query_from_Actuarial___Production[[#This Row],[Kor1]],$AI$3:$AK$105,3,FALSE)</f>
        <v>ALAE Paid</v>
      </c>
      <c r="X6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09"/>
      <c r="Z6209" t="s">
        <v>14</v>
      </c>
      <c r="AA6209" t="s">
        <v>254</v>
      </c>
      <c r="AB6209" t="s">
        <v>433</v>
      </c>
      <c r="AC6209" s="21">
        <v>2439591.21</v>
      </c>
      <c r="AD6209" s="21" t="s">
        <v>368</v>
      </c>
      <c r="AE6209" t="str">
        <f>VLOOKUP(Table_Query_from_Actuarial___Production3[[#This Row],[Kor1]],$AI$3:$AK$105,3,FALSE)</f>
        <v>Claims Expense</v>
      </c>
      <c r="AF6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0" spans="18:32" x14ac:dyDescent="0.2">
      <c r="R6210" t="s">
        <v>46</v>
      </c>
      <c r="S6210" t="s">
        <v>354</v>
      </c>
      <c r="T6210" t="s">
        <v>356</v>
      </c>
      <c r="U6210" s="21">
        <v>17499980.280000001</v>
      </c>
      <c r="V6210" s="21" t="s">
        <v>369</v>
      </c>
      <c r="W6210" t="str">
        <f>VLOOKUP(Table_Query_from_Actuarial___Production[[#This Row],[Kor1]],$AI$3:$AK$105,3,FALSE)</f>
        <v>Investment Income</v>
      </c>
      <c r="X6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210"/>
      <c r="Z6210" t="s">
        <v>20</v>
      </c>
      <c r="AA6210" t="s">
        <v>260</v>
      </c>
      <c r="AB6210" t="s">
        <v>5</v>
      </c>
      <c r="AC6210" s="21">
        <v>5.25</v>
      </c>
      <c r="AD6210" s="21" t="s">
        <v>368</v>
      </c>
      <c r="AE6210" t="str">
        <f>VLOOKUP(Table_Query_from_Actuarial___Production3[[#This Row],[Kor1]],$AI$3:$AK$105,3,FALSE)</f>
        <v>Misc. Expense</v>
      </c>
      <c r="AF6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1" spans="18:32" x14ac:dyDescent="0.2">
      <c r="R6211" t="s">
        <v>38</v>
      </c>
      <c r="S6211" t="s">
        <v>352</v>
      </c>
      <c r="T6211" t="s">
        <v>6</v>
      </c>
      <c r="U6211" s="21">
        <v>505.46</v>
      </c>
      <c r="V6211" s="21" t="s">
        <v>368</v>
      </c>
      <c r="W6211" t="str">
        <f>VLOOKUP(Table_Query_from_Actuarial___Production[[#This Row],[Kor1]],$AI$3:$AK$105,3,FALSE)</f>
        <v>Misc. Income</v>
      </c>
      <c r="X6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211"/>
      <c r="Z6211" t="s">
        <v>31</v>
      </c>
      <c r="AA6211" t="s">
        <v>245</v>
      </c>
      <c r="AB6211" t="s">
        <v>9</v>
      </c>
      <c r="AC6211" s="21">
        <v>-555.20000000000005</v>
      </c>
      <c r="AD6211" s="21" t="s">
        <v>368</v>
      </c>
      <c r="AE6211" t="str">
        <f>VLOOKUP(Table_Query_from_Actuarial___Production3[[#This Row],[Kor1]],$AI$3:$AK$105,3,FALSE)</f>
        <v>Misc. Expense</v>
      </c>
      <c r="AF6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2" spans="18:32" x14ac:dyDescent="0.2">
      <c r="R6212" t="s">
        <v>3</v>
      </c>
      <c r="S6212" t="s">
        <v>239</v>
      </c>
      <c r="T6212" t="s">
        <v>356</v>
      </c>
      <c r="U6212" s="21">
        <v>517239</v>
      </c>
      <c r="V6212" s="21" t="s">
        <v>368</v>
      </c>
      <c r="W6212" t="str">
        <f>VLOOKUP(Table_Query_from_Actuarial___Production[[#This Row],[Kor1]],$AI$3:$AK$105,3,FALSE)</f>
        <v>Premiums Written</v>
      </c>
      <c r="X6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2"/>
      <c r="Z6212" t="s">
        <v>11</v>
      </c>
      <c r="AA6212" t="s">
        <v>226</v>
      </c>
      <c r="AB6212" t="s">
        <v>433</v>
      </c>
      <c r="AC6212" s="21">
        <v>1512314.73</v>
      </c>
      <c r="AD6212" s="21" t="s">
        <v>368</v>
      </c>
      <c r="AE6212" t="str">
        <f>VLOOKUP(Table_Query_from_Actuarial___Production3[[#This Row],[Kor1]],$AI$3:$AK$105,3,FALSE)</f>
        <v>Losses Paid</v>
      </c>
      <c r="AF6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213" spans="18:32" x14ac:dyDescent="0.2">
      <c r="R6213" t="s">
        <v>37</v>
      </c>
      <c r="S6213" t="s">
        <v>258</v>
      </c>
      <c r="T6213" t="s">
        <v>442</v>
      </c>
      <c r="U6213" s="21">
        <v>6277.86</v>
      </c>
      <c r="V6213" s="21" t="s">
        <v>368</v>
      </c>
      <c r="W6213" t="str">
        <f>VLOOKUP(Table_Query_from_Actuarial___Production[[#This Row],[Kor1]],$AI$3:$AK$105,3,FALSE)</f>
        <v>Misc. Expense</v>
      </c>
      <c r="X6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3"/>
      <c r="Z6213" t="s">
        <v>13</v>
      </c>
      <c r="AA6213" t="s">
        <v>237</v>
      </c>
      <c r="AB6213" t="s">
        <v>433</v>
      </c>
      <c r="AC6213" s="21">
        <v>9791090.0600000005</v>
      </c>
      <c r="AD6213" s="21" t="s">
        <v>368</v>
      </c>
      <c r="AE6213" t="str">
        <f>VLOOKUP(Table_Query_from_Actuarial___Production3[[#This Row],[Kor1]],$AI$3:$AK$105,3,FALSE)</f>
        <v>Operating Service Fees</v>
      </c>
      <c r="AF6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4" spans="18:32" x14ac:dyDescent="0.2">
      <c r="R6214" t="s">
        <v>33</v>
      </c>
      <c r="S6214" t="s">
        <v>233</v>
      </c>
      <c r="T6214" t="s">
        <v>427</v>
      </c>
      <c r="U6214" s="21">
        <v>12576.03</v>
      </c>
      <c r="V6214" s="21" t="s">
        <v>368</v>
      </c>
      <c r="W6214" t="str">
        <f>VLOOKUP(Table_Query_from_Actuarial___Production[[#This Row],[Kor1]],$AI$3:$AK$105,3,FALSE)</f>
        <v>Misc. Expense</v>
      </c>
      <c r="X6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4"/>
      <c r="Z6214" t="s">
        <v>14</v>
      </c>
      <c r="AA6214" t="s">
        <v>243</v>
      </c>
      <c r="AB6214" t="s">
        <v>351</v>
      </c>
      <c r="AC6214" s="21">
        <v>48027.53</v>
      </c>
      <c r="AD6214" s="21" t="s">
        <v>368</v>
      </c>
      <c r="AE6214" t="str">
        <f>VLOOKUP(Table_Query_from_Actuarial___Production3[[#This Row],[Kor1]],$AI$3:$AK$105,3,FALSE)</f>
        <v>Claims Expense</v>
      </c>
      <c r="AF6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5" spans="18:32" x14ac:dyDescent="0.2">
      <c r="R6215" t="s">
        <v>77</v>
      </c>
      <c r="S6215" t="s">
        <v>252</v>
      </c>
      <c r="T6215" t="s">
        <v>445</v>
      </c>
      <c r="U6215" s="21">
        <v>2699680</v>
      </c>
      <c r="V6215" s="21" t="s">
        <v>368</v>
      </c>
      <c r="W6215" t="str">
        <f>VLOOKUP(Table_Query_from_Actuarial___Production[[#This Row],[Kor1]],$AI$3:$AK$105,3,FALSE)</f>
        <v>PDR</v>
      </c>
      <c r="X6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5"/>
      <c r="Z6215" t="s">
        <v>12</v>
      </c>
      <c r="AA6215" t="s">
        <v>268</v>
      </c>
      <c r="AB6215" t="s">
        <v>442</v>
      </c>
      <c r="AC6215" s="21">
        <v>7462.61</v>
      </c>
      <c r="AD6215" s="21" t="s">
        <v>368</v>
      </c>
      <c r="AE6215" t="str">
        <f>VLOOKUP(Table_Query_from_Actuarial___Production3[[#This Row],[Kor1]],$AI$3:$AK$105,3,FALSE)</f>
        <v>Premium Tax</v>
      </c>
      <c r="AF6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6" spans="18:32" x14ac:dyDescent="0.2">
      <c r="R6216" t="s">
        <v>18</v>
      </c>
      <c r="S6216" t="s">
        <v>352</v>
      </c>
      <c r="T6216" t="s">
        <v>9</v>
      </c>
      <c r="U6216" s="21">
        <v>156049.24</v>
      </c>
      <c r="V6216" s="21" t="s">
        <v>369</v>
      </c>
      <c r="W6216" t="str">
        <f>VLOOKUP(Table_Query_from_Actuarial___Production[[#This Row],[Kor1]],$AI$3:$AK$105,3,FALSE)</f>
        <v>Misc. Expense</v>
      </c>
      <c r="X6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6216"/>
      <c r="Z6216" t="s">
        <v>36</v>
      </c>
      <c r="AA6216" t="s">
        <v>252</v>
      </c>
      <c r="AB6216" t="s">
        <v>8</v>
      </c>
      <c r="AC6216" s="21">
        <v>125959.5</v>
      </c>
      <c r="AD6216" s="21" t="s">
        <v>368</v>
      </c>
      <c r="AE6216" t="str">
        <f>VLOOKUP(Table_Query_from_Actuarial___Production3[[#This Row],[Kor1]],$AI$3:$AK$105,3,FALSE)</f>
        <v>Misc. Expense</v>
      </c>
      <c r="AF6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7" spans="18:32" x14ac:dyDescent="0.2">
      <c r="R6217" t="s">
        <v>14</v>
      </c>
      <c r="S6217" t="s">
        <v>4</v>
      </c>
      <c r="T6217" t="s">
        <v>445</v>
      </c>
      <c r="U6217" s="21">
        <v>307657.83</v>
      </c>
      <c r="V6217" s="21" t="s">
        <v>368</v>
      </c>
      <c r="W6217" t="str">
        <f>VLOOKUP(Table_Query_from_Actuarial___Production[[#This Row],[Kor1]],$AI$3:$AK$105,3,FALSE)</f>
        <v>Claims Expense</v>
      </c>
      <c r="X6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7"/>
      <c r="Z6217" t="s">
        <v>37</v>
      </c>
      <c r="AA6217" t="s">
        <v>234</v>
      </c>
      <c r="AB6217" t="s">
        <v>433</v>
      </c>
      <c r="AC6217" s="21">
        <v>30.67</v>
      </c>
      <c r="AD6217" s="21" t="s">
        <v>368</v>
      </c>
      <c r="AE6217" t="str">
        <f>VLOOKUP(Table_Query_from_Actuarial___Production3[[#This Row],[Kor1]],$AI$3:$AK$105,3,FALSE)</f>
        <v>Misc. Expense</v>
      </c>
      <c r="AF6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8" spans="18:32" x14ac:dyDescent="0.2">
      <c r="R6218" t="s">
        <v>103</v>
      </c>
      <c r="S6218" t="s">
        <v>259</v>
      </c>
      <c r="T6218" t="s">
        <v>9</v>
      </c>
      <c r="U6218" s="21">
        <v>700.42</v>
      </c>
      <c r="V6218" s="21" t="s">
        <v>368</v>
      </c>
      <c r="W6218" t="str">
        <f>VLOOKUP(Table_Query_from_Actuarial___Production[[#This Row],[Kor1]],$AI$3:$AK$105,3,FALSE)</f>
        <v>Misc. Expense</v>
      </c>
      <c r="X6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8"/>
      <c r="Z6218" t="s">
        <v>40</v>
      </c>
      <c r="AA6218" t="s">
        <v>254</v>
      </c>
      <c r="AB6218" t="s">
        <v>7</v>
      </c>
      <c r="AC6218" s="21">
        <v>-44</v>
      </c>
      <c r="AD6218" s="21" t="s">
        <v>368</v>
      </c>
      <c r="AE6218" t="str">
        <f>VLOOKUP(Table_Query_from_Actuarial___Production3[[#This Row],[Kor1]],$AI$3:$AK$105,3,FALSE)</f>
        <v>Misc. Income</v>
      </c>
      <c r="AF6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19" spans="18:32" x14ac:dyDescent="0.2">
      <c r="R6219" t="s">
        <v>47</v>
      </c>
      <c r="S6219" t="s">
        <v>4</v>
      </c>
      <c r="T6219" t="s">
        <v>7</v>
      </c>
      <c r="U6219" s="21">
        <v>1880.33</v>
      </c>
      <c r="V6219" s="21" t="s">
        <v>368</v>
      </c>
      <c r="W6219" t="str">
        <f>VLOOKUP(Table_Query_from_Actuarial___Production[[#This Row],[Kor1]],$AI$3:$AK$105,3,FALSE)</f>
        <v>Investment Income</v>
      </c>
      <c r="X6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19"/>
      <c r="Z6219" t="s">
        <v>18</v>
      </c>
      <c r="AA6219" t="s">
        <v>225</v>
      </c>
      <c r="AB6219" t="s">
        <v>356</v>
      </c>
      <c r="AC6219" s="21">
        <v>679012.01</v>
      </c>
      <c r="AD6219" s="21" t="s">
        <v>369</v>
      </c>
      <c r="AE6219" t="str">
        <f>VLOOKUP(Table_Query_from_Actuarial___Production3[[#This Row],[Kor1]],$AI$3:$AK$105,3,FALSE)</f>
        <v>Misc. Expense</v>
      </c>
      <c r="AF6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220" spans="18:32" x14ac:dyDescent="0.2">
      <c r="R6220" t="s">
        <v>31</v>
      </c>
      <c r="S6220" t="s">
        <v>261</v>
      </c>
      <c r="T6220" t="s">
        <v>433</v>
      </c>
      <c r="U6220" s="21">
        <v>920.01</v>
      </c>
      <c r="V6220" s="21" t="s">
        <v>368</v>
      </c>
      <c r="W6220" t="str">
        <f>VLOOKUP(Table_Query_from_Actuarial___Production[[#This Row],[Kor1]],$AI$3:$AK$105,3,FALSE)</f>
        <v>Misc. Expense</v>
      </c>
      <c r="X6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0"/>
      <c r="Z6220" t="s">
        <v>10</v>
      </c>
      <c r="AA6220" t="s">
        <v>240</v>
      </c>
      <c r="AB6220" t="s">
        <v>356</v>
      </c>
      <c r="AC6220" s="21">
        <v>248404.57</v>
      </c>
      <c r="AD6220" s="21" t="s">
        <v>368</v>
      </c>
      <c r="AE6220" t="str">
        <f>VLOOKUP(Table_Query_from_Actuarial___Production3[[#This Row],[Kor1]],$AI$3:$AK$105,3,FALSE)</f>
        <v>Commissions</v>
      </c>
      <c r="AF6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1" spans="18:32" x14ac:dyDescent="0.2">
      <c r="R6221" t="s">
        <v>41</v>
      </c>
      <c r="S6221" t="s">
        <v>244</v>
      </c>
      <c r="T6221" t="s">
        <v>7</v>
      </c>
      <c r="U6221" s="21">
        <v>350.4</v>
      </c>
      <c r="V6221" s="21" t="s">
        <v>368</v>
      </c>
      <c r="W6221" t="str">
        <f>VLOOKUP(Table_Query_from_Actuarial___Production[[#This Row],[Kor1]],$AI$3:$AK$105,3,FALSE)</f>
        <v>Misc. Income</v>
      </c>
      <c r="X6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1"/>
      <c r="Z6221" t="s">
        <v>40</v>
      </c>
      <c r="AA6221" t="s">
        <v>254</v>
      </c>
      <c r="AB6221" t="s">
        <v>433</v>
      </c>
      <c r="AC6221" s="21">
        <v>10.95</v>
      </c>
      <c r="AD6221" s="21" t="s">
        <v>368</v>
      </c>
      <c r="AE6221" t="str">
        <f>VLOOKUP(Table_Query_from_Actuarial___Production3[[#This Row],[Kor1]],$AI$3:$AK$105,3,FALSE)</f>
        <v>Misc. Income</v>
      </c>
      <c r="AF6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2" spans="18:32" x14ac:dyDescent="0.2">
      <c r="R6222" t="s">
        <v>21</v>
      </c>
      <c r="S6222" t="s">
        <v>252</v>
      </c>
      <c r="T6222" t="s">
        <v>9</v>
      </c>
      <c r="U6222" s="21">
        <v>26277.66</v>
      </c>
      <c r="V6222" s="21" t="s">
        <v>368</v>
      </c>
      <c r="W6222" t="str">
        <f>VLOOKUP(Table_Query_from_Actuarial___Production[[#This Row],[Kor1]],$AI$3:$AK$105,3,FALSE)</f>
        <v>Misc. Expense</v>
      </c>
      <c r="X6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2"/>
      <c r="Z6222" t="s">
        <v>47</v>
      </c>
      <c r="AA6222" t="s">
        <v>228</v>
      </c>
      <c r="AB6222" t="s">
        <v>441</v>
      </c>
      <c r="AC6222" s="21">
        <v>15.9</v>
      </c>
      <c r="AD6222" s="21" t="s">
        <v>368</v>
      </c>
      <c r="AE6222" t="str">
        <f>VLOOKUP(Table_Query_from_Actuarial___Production3[[#This Row],[Kor1]],$AI$3:$AK$105,3,FALSE)</f>
        <v>Investment Income</v>
      </c>
      <c r="AF6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3" spans="18:32" x14ac:dyDescent="0.2">
      <c r="R6223" t="s">
        <v>18</v>
      </c>
      <c r="S6223" t="s">
        <v>352</v>
      </c>
      <c r="T6223" t="s">
        <v>6</v>
      </c>
      <c r="U6223" s="21">
        <v>6278.34</v>
      </c>
      <c r="V6223" s="21" t="s">
        <v>368</v>
      </c>
      <c r="W6223" t="str">
        <f>VLOOKUP(Table_Query_from_Actuarial___Production[[#This Row],[Kor1]],$AI$3:$AK$105,3,FALSE)</f>
        <v>Misc. Expense</v>
      </c>
      <c r="X6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223"/>
      <c r="Z6223" t="s">
        <v>48</v>
      </c>
      <c r="AA6223" t="s">
        <v>354</v>
      </c>
      <c r="AB6223" t="s">
        <v>351</v>
      </c>
      <c r="AC6223" s="21">
        <v>234579.35</v>
      </c>
      <c r="AD6223" s="21" t="s">
        <v>369</v>
      </c>
      <c r="AE6223" t="str">
        <f>VLOOKUP(Table_Query_from_Actuarial___Production3[[#This Row],[Kor1]],$AI$3:$AK$105,3,FALSE)</f>
        <v>Anticipated Salvage</v>
      </c>
      <c r="AF6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224" spans="18:32" x14ac:dyDescent="0.2">
      <c r="R6224" t="s">
        <v>11</v>
      </c>
      <c r="S6224" t="s">
        <v>267</v>
      </c>
      <c r="T6224" t="s">
        <v>433</v>
      </c>
      <c r="U6224" s="21">
        <v>395266.43</v>
      </c>
      <c r="V6224" s="21" t="s">
        <v>368</v>
      </c>
      <c r="W6224" t="str">
        <f>VLOOKUP(Table_Query_from_Actuarial___Production[[#This Row],[Kor1]],$AI$3:$AK$105,3,FALSE)</f>
        <v>Losses Paid</v>
      </c>
      <c r="X6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4"/>
      <c r="Z6224" t="s">
        <v>21</v>
      </c>
      <c r="AA6224" t="s">
        <v>228</v>
      </c>
      <c r="AB6224" t="s">
        <v>8</v>
      </c>
      <c r="AC6224" s="21">
        <v>381.49</v>
      </c>
      <c r="AD6224" s="21" t="s">
        <v>368</v>
      </c>
      <c r="AE6224" t="str">
        <f>VLOOKUP(Table_Query_from_Actuarial___Production3[[#This Row],[Kor1]],$AI$3:$AK$105,3,FALSE)</f>
        <v>Misc. Expense</v>
      </c>
      <c r="AF6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5" spans="18:32" x14ac:dyDescent="0.2">
      <c r="R6225" t="s">
        <v>12</v>
      </c>
      <c r="S6225" t="s">
        <v>249</v>
      </c>
      <c r="T6225" t="s">
        <v>9</v>
      </c>
      <c r="U6225" s="21">
        <v>19524.64</v>
      </c>
      <c r="V6225" s="21" t="s">
        <v>368</v>
      </c>
      <c r="W6225" t="str">
        <f>VLOOKUP(Table_Query_from_Actuarial___Production[[#This Row],[Kor1]],$AI$3:$AK$105,3,FALSE)</f>
        <v>Premium Tax</v>
      </c>
      <c r="X6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5"/>
      <c r="Z6225" t="s">
        <v>49</v>
      </c>
      <c r="AA6225" t="s">
        <v>252</v>
      </c>
      <c r="AB6225" t="s">
        <v>433</v>
      </c>
      <c r="AC6225" s="21">
        <v>488467.27</v>
      </c>
      <c r="AD6225" s="21" t="s">
        <v>368</v>
      </c>
      <c r="AE6225" t="str">
        <f>VLOOKUP(Table_Query_from_Actuarial___Production3[[#This Row],[Kor1]],$AI$3:$AK$105,3,FALSE)</f>
        <v>ALAE Paid</v>
      </c>
      <c r="AF6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6" spans="18:32" x14ac:dyDescent="0.2">
      <c r="R6226" t="s">
        <v>21</v>
      </c>
      <c r="S6226" t="s">
        <v>239</v>
      </c>
      <c r="T6226" t="s">
        <v>441</v>
      </c>
      <c r="U6226" s="21">
        <v>5909.13</v>
      </c>
      <c r="V6226" s="21" t="s">
        <v>368</v>
      </c>
      <c r="W6226" t="str">
        <f>VLOOKUP(Table_Query_from_Actuarial___Production[[#This Row],[Kor1]],$AI$3:$AK$105,3,FALSE)</f>
        <v>Misc. Expense</v>
      </c>
      <c r="X6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6"/>
      <c r="Z6226" t="s">
        <v>46</v>
      </c>
      <c r="AA6226" t="s">
        <v>354</v>
      </c>
      <c r="AB6226" t="s">
        <v>356</v>
      </c>
      <c r="AC6226" s="21">
        <v>17499980.280000001</v>
      </c>
      <c r="AD6226" s="21" t="s">
        <v>369</v>
      </c>
      <c r="AE6226" t="str">
        <f>VLOOKUP(Table_Query_from_Actuarial___Production3[[#This Row],[Kor1]],$AI$3:$AK$105,3,FALSE)</f>
        <v>Investment Income</v>
      </c>
      <c r="AF6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227" spans="18:32" x14ac:dyDescent="0.2">
      <c r="R6227" t="s">
        <v>29</v>
      </c>
      <c r="S6227" t="s">
        <v>238</v>
      </c>
      <c r="T6227" t="s">
        <v>427</v>
      </c>
      <c r="U6227" s="21">
        <v>65677.070000000007</v>
      </c>
      <c r="V6227" s="21" t="s">
        <v>368</v>
      </c>
      <c r="W6227" t="str">
        <f>VLOOKUP(Table_Query_from_Actuarial___Production[[#This Row],[Kor1]],$AI$3:$AK$105,3,FALSE)</f>
        <v>Misc. Expense</v>
      </c>
      <c r="X6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7"/>
      <c r="Z6227" t="s">
        <v>38</v>
      </c>
      <c r="AA6227" t="s">
        <v>352</v>
      </c>
      <c r="AB6227" t="s">
        <v>6</v>
      </c>
      <c r="AC6227" s="21">
        <v>505.46</v>
      </c>
      <c r="AD6227" s="21" t="s">
        <v>368</v>
      </c>
      <c r="AE6227" t="str">
        <f>VLOOKUP(Table_Query_from_Actuarial___Production3[[#This Row],[Kor1]],$AI$3:$AK$105,3,FALSE)</f>
        <v>Misc. Income</v>
      </c>
      <c r="AF6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228" spans="18:32" x14ac:dyDescent="0.2">
      <c r="R6228" t="s">
        <v>48</v>
      </c>
      <c r="S6228" t="s">
        <v>240</v>
      </c>
      <c r="T6228" t="s">
        <v>433</v>
      </c>
      <c r="U6228" s="21">
        <v>13141.44</v>
      </c>
      <c r="V6228" s="21" t="s">
        <v>368</v>
      </c>
      <c r="W6228" t="str">
        <f>VLOOKUP(Table_Query_from_Actuarial___Production[[#This Row],[Kor1]],$AI$3:$AK$105,3,FALSE)</f>
        <v>Anticipated Salvage</v>
      </c>
      <c r="X6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8"/>
      <c r="Z6228" t="s">
        <v>3</v>
      </c>
      <c r="AA6228" t="s">
        <v>239</v>
      </c>
      <c r="AB6228" t="s">
        <v>356</v>
      </c>
      <c r="AC6228" s="21">
        <v>517239</v>
      </c>
      <c r="AD6228" s="21" t="s">
        <v>368</v>
      </c>
      <c r="AE6228" t="str">
        <f>VLOOKUP(Table_Query_from_Actuarial___Production3[[#This Row],[Kor1]],$AI$3:$AK$105,3,FALSE)</f>
        <v>Premiums Written</v>
      </c>
      <c r="AF6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29" spans="18:32" x14ac:dyDescent="0.2">
      <c r="R6229" t="s">
        <v>44</v>
      </c>
      <c r="S6229" t="s">
        <v>227</v>
      </c>
      <c r="T6229" t="s">
        <v>6</v>
      </c>
      <c r="U6229" s="21">
        <v>11963.62</v>
      </c>
      <c r="V6229" s="21" t="s">
        <v>368</v>
      </c>
      <c r="W6229" t="str">
        <f>VLOOKUP(Table_Query_from_Actuarial___Production[[#This Row],[Kor1]],$AI$3:$AK$105,3,FALSE)</f>
        <v>Charge-offs</v>
      </c>
      <c r="X6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29"/>
      <c r="Z6229" t="s">
        <v>13</v>
      </c>
      <c r="AA6229" t="s">
        <v>256</v>
      </c>
      <c r="AB6229" t="s">
        <v>5</v>
      </c>
      <c r="AC6229" s="21">
        <v>12037.69</v>
      </c>
      <c r="AD6229" s="21" t="s">
        <v>368</v>
      </c>
      <c r="AE6229" t="str">
        <f>VLOOKUP(Table_Query_from_Actuarial___Production3[[#This Row],[Kor1]],$AI$3:$AK$105,3,FALSE)</f>
        <v>Operating Service Fees</v>
      </c>
      <c r="AF6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0" spans="18:32" x14ac:dyDescent="0.2">
      <c r="R6230" t="s">
        <v>10</v>
      </c>
      <c r="S6230" t="s">
        <v>224</v>
      </c>
      <c r="T6230" t="s">
        <v>427</v>
      </c>
      <c r="U6230" s="21">
        <v>2042.97</v>
      </c>
      <c r="V6230" s="21" t="s">
        <v>369</v>
      </c>
      <c r="W6230" t="str">
        <f>VLOOKUP(Table_Query_from_Actuarial___Production[[#This Row],[Kor1]],$AI$3:$AK$105,3,FALSE)</f>
        <v>Commissions</v>
      </c>
      <c r="X6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230"/>
      <c r="Z6230" t="s">
        <v>34</v>
      </c>
      <c r="AA6230" t="s">
        <v>264</v>
      </c>
      <c r="AB6230" t="s">
        <v>5</v>
      </c>
      <c r="AC6230" s="21">
        <v>22.94</v>
      </c>
      <c r="AD6230" s="21" t="s">
        <v>368</v>
      </c>
      <c r="AE6230" t="str">
        <f>VLOOKUP(Table_Query_from_Actuarial___Production3[[#This Row],[Kor1]],$AI$3:$AK$105,3,FALSE)</f>
        <v>Misc. Expense</v>
      </c>
      <c r="AF6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1" spans="18:32" x14ac:dyDescent="0.2">
      <c r="R6231" t="s">
        <v>41</v>
      </c>
      <c r="S6231" t="s">
        <v>228</v>
      </c>
      <c r="T6231" t="s">
        <v>427</v>
      </c>
      <c r="U6231" s="21">
        <v>249.89</v>
      </c>
      <c r="V6231" s="21" t="s">
        <v>368</v>
      </c>
      <c r="W6231" t="str">
        <f>VLOOKUP(Table_Query_from_Actuarial___Production[[#This Row],[Kor1]],$AI$3:$AK$105,3,FALSE)</f>
        <v>Misc. Income</v>
      </c>
      <c r="X6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1"/>
      <c r="Z6231" t="s">
        <v>37</v>
      </c>
      <c r="AA6231" t="s">
        <v>258</v>
      </c>
      <c r="AB6231" t="s">
        <v>442</v>
      </c>
      <c r="AC6231" s="21">
        <v>6335.89</v>
      </c>
      <c r="AD6231" s="21" t="s">
        <v>368</v>
      </c>
      <c r="AE6231" t="str">
        <f>VLOOKUP(Table_Query_from_Actuarial___Production3[[#This Row],[Kor1]],$AI$3:$AK$105,3,FALSE)</f>
        <v>Misc. Expense</v>
      </c>
      <c r="AF6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2" spans="18:32" x14ac:dyDescent="0.2">
      <c r="R6232" t="s">
        <v>11</v>
      </c>
      <c r="S6232" t="s">
        <v>259</v>
      </c>
      <c r="T6232" t="s">
        <v>356</v>
      </c>
      <c r="U6232" s="21">
        <v>89217.279999999999</v>
      </c>
      <c r="V6232" s="21" t="s">
        <v>368</v>
      </c>
      <c r="W6232" t="str">
        <f>VLOOKUP(Table_Query_from_Actuarial___Production[[#This Row],[Kor1]],$AI$3:$AK$105,3,FALSE)</f>
        <v>Losses Paid</v>
      </c>
      <c r="X6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2"/>
      <c r="Z6232" t="s">
        <v>33</v>
      </c>
      <c r="AA6232" t="s">
        <v>233</v>
      </c>
      <c r="AB6232" t="s">
        <v>427</v>
      </c>
      <c r="AC6232" s="21">
        <v>12576.03</v>
      </c>
      <c r="AD6232" s="21" t="s">
        <v>368</v>
      </c>
      <c r="AE6232" t="str">
        <f>VLOOKUP(Table_Query_from_Actuarial___Production3[[#This Row],[Kor1]],$AI$3:$AK$105,3,FALSE)</f>
        <v>Misc. Expense</v>
      </c>
      <c r="AF6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3" spans="18:32" x14ac:dyDescent="0.2">
      <c r="R6233" t="s">
        <v>37</v>
      </c>
      <c r="S6233" t="s">
        <v>241</v>
      </c>
      <c r="T6233" t="s">
        <v>443</v>
      </c>
      <c r="U6233" s="21">
        <v>588.29</v>
      </c>
      <c r="V6233" s="21" t="s">
        <v>368</v>
      </c>
      <c r="W6233" t="str">
        <f>VLOOKUP(Table_Query_from_Actuarial___Production[[#This Row],[Kor1]],$AI$3:$AK$105,3,FALSE)</f>
        <v>Misc. Expense</v>
      </c>
      <c r="X6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3"/>
      <c r="Z6233" t="s">
        <v>19</v>
      </c>
      <c r="AA6233" t="s">
        <v>229</v>
      </c>
      <c r="AB6233" t="s">
        <v>5</v>
      </c>
      <c r="AC6233" s="21">
        <v>11</v>
      </c>
      <c r="AD6233" s="21" t="s">
        <v>368</v>
      </c>
      <c r="AE6233" t="str">
        <f>VLOOKUP(Table_Query_from_Actuarial___Production3[[#This Row],[Kor1]],$AI$3:$AK$105,3,FALSE)</f>
        <v>Misc. Expense for Insolvent Companies</v>
      </c>
      <c r="AF6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4" spans="18:32" x14ac:dyDescent="0.2">
      <c r="R6234" t="s">
        <v>14</v>
      </c>
      <c r="S6234" t="s">
        <v>231</v>
      </c>
      <c r="T6234" t="s">
        <v>7</v>
      </c>
      <c r="U6234" s="21">
        <v>5596.86</v>
      </c>
      <c r="V6234" s="21" t="s">
        <v>368</v>
      </c>
      <c r="W6234" t="str">
        <f>VLOOKUP(Table_Query_from_Actuarial___Production[[#This Row],[Kor1]],$AI$3:$AK$105,3,FALSE)</f>
        <v>Claims Expense</v>
      </c>
      <c r="X6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4"/>
      <c r="Z6234" t="s">
        <v>18</v>
      </c>
      <c r="AA6234" t="s">
        <v>352</v>
      </c>
      <c r="AB6234" t="s">
        <v>9</v>
      </c>
      <c r="AC6234" s="21">
        <v>156049.24</v>
      </c>
      <c r="AD6234" s="21" t="s">
        <v>369</v>
      </c>
      <c r="AE6234" t="str">
        <f>VLOOKUP(Table_Query_from_Actuarial___Production3[[#This Row],[Kor1]],$AI$3:$AK$105,3,FALSE)</f>
        <v>Misc. Expense</v>
      </c>
      <c r="AF6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235" spans="18:32" x14ac:dyDescent="0.2">
      <c r="R6235" t="s">
        <v>20</v>
      </c>
      <c r="S6235" t="s">
        <v>4</v>
      </c>
      <c r="T6235" t="s">
        <v>443</v>
      </c>
      <c r="U6235" s="21">
        <v>8686.7800000000007</v>
      </c>
      <c r="V6235" s="21" t="s">
        <v>368</v>
      </c>
      <c r="W6235" t="str">
        <f>VLOOKUP(Table_Query_from_Actuarial___Production[[#This Row],[Kor1]],$AI$3:$AK$105,3,FALSE)</f>
        <v>Misc. Expense</v>
      </c>
      <c r="X6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5"/>
      <c r="Z6235" t="s">
        <v>103</v>
      </c>
      <c r="AA6235" t="s">
        <v>259</v>
      </c>
      <c r="AB6235" t="s">
        <v>9</v>
      </c>
      <c r="AC6235" s="21">
        <v>700.42</v>
      </c>
      <c r="AD6235" s="21" t="s">
        <v>368</v>
      </c>
      <c r="AE6235" t="str">
        <f>VLOOKUP(Table_Query_from_Actuarial___Production3[[#This Row],[Kor1]],$AI$3:$AK$105,3,FALSE)</f>
        <v>Misc. Expense</v>
      </c>
      <c r="AF6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6" spans="18:32" x14ac:dyDescent="0.2">
      <c r="R6236" t="s">
        <v>44</v>
      </c>
      <c r="S6236" t="s">
        <v>225</v>
      </c>
      <c r="T6236" t="s">
        <v>7</v>
      </c>
      <c r="U6236" s="21">
        <v>27180.45</v>
      </c>
      <c r="V6236" s="21" t="s">
        <v>368</v>
      </c>
      <c r="W6236" t="str">
        <f>VLOOKUP(Table_Query_from_Actuarial___Production[[#This Row],[Kor1]],$AI$3:$AK$105,3,FALSE)</f>
        <v>Charge-offs</v>
      </c>
      <c r="X6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236"/>
      <c r="Z6236" t="s">
        <v>47</v>
      </c>
      <c r="AA6236" t="s">
        <v>4</v>
      </c>
      <c r="AB6236" t="s">
        <v>7</v>
      </c>
      <c r="AC6236" s="21">
        <v>1880.33</v>
      </c>
      <c r="AD6236" s="21" t="s">
        <v>368</v>
      </c>
      <c r="AE6236" t="str">
        <f>VLOOKUP(Table_Query_from_Actuarial___Production3[[#This Row],[Kor1]],$AI$3:$AK$105,3,FALSE)</f>
        <v>Investment Income</v>
      </c>
      <c r="AF6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7" spans="18:32" x14ac:dyDescent="0.2">
      <c r="R6237" t="s">
        <v>32</v>
      </c>
      <c r="S6237" t="s">
        <v>230</v>
      </c>
      <c r="T6237" t="s">
        <v>351</v>
      </c>
      <c r="U6237" s="21">
        <v>128803.67</v>
      </c>
      <c r="V6237" s="21" t="s">
        <v>368</v>
      </c>
      <c r="W6237" t="str">
        <f>VLOOKUP(Table_Query_from_Actuarial___Production[[#This Row],[Kor1]],$AI$3:$AK$105,3,FALSE)</f>
        <v>Misc. Expense</v>
      </c>
      <c r="X6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7"/>
      <c r="Z6237" t="s">
        <v>31</v>
      </c>
      <c r="AA6237" t="s">
        <v>261</v>
      </c>
      <c r="AB6237" t="s">
        <v>433</v>
      </c>
      <c r="AC6237" s="21">
        <v>920.01</v>
      </c>
      <c r="AD6237" s="21" t="s">
        <v>368</v>
      </c>
      <c r="AE6237" t="str">
        <f>VLOOKUP(Table_Query_from_Actuarial___Production3[[#This Row],[Kor1]],$AI$3:$AK$105,3,FALSE)</f>
        <v>Misc. Expense</v>
      </c>
      <c r="AF6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8" spans="18:32" x14ac:dyDescent="0.2">
      <c r="R6238" t="s">
        <v>31</v>
      </c>
      <c r="S6238" t="s">
        <v>4</v>
      </c>
      <c r="T6238" t="s">
        <v>443</v>
      </c>
      <c r="U6238" s="21">
        <v>-433.46</v>
      </c>
      <c r="V6238" s="21" t="s">
        <v>368</v>
      </c>
      <c r="W6238" t="str">
        <f>VLOOKUP(Table_Query_from_Actuarial___Production[[#This Row],[Kor1]],$AI$3:$AK$105,3,FALSE)</f>
        <v>Misc. Expense</v>
      </c>
      <c r="X6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8"/>
      <c r="Z6238" t="s">
        <v>41</v>
      </c>
      <c r="AA6238" t="s">
        <v>244</v>
      </c>
      <c r="AB6238" t="s">
        <v>7</v>
      </c>
      <c r="AC6238" s="21">
        <v>350.4</v>
      </c>
      <c r="AD6238" s="21" t="s">
        <v>368</v>
      </c>
      <c r="AE6238" t="str">
        <f>VLOOKUP(Table_Query_from_Actuarial___Production3[[#This Row],[Kor1]],$AI$3:$AK$105,3,FALSE)</f>
        <v>Misc. Income</v>
      </c>
      <c r="AF6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39" spans="18:32" x14ac:dyDescent="0.2">
      <c r="R6239" t="s">
        <v>31</v>
      </c>
      <c r="S6239" t="s">
        <v>263</v>
      </c>
      <c r="T6239" t="s">
        <v>441</v>
      </c>
      <c r="U6239" s="21">
        <v>962.8</v>
      </c>
      <c r="V6239" s="21" t="s">
        <v>368</v>
      </c>
      <c r="W6239" t="str">
        <f>VLOOKUP(Table_Query_from_Actuarial___Production[[#This Row],[Kor1]],$AI$3:$AK$105,3,FALSE)</f>
        <v>Misc. Expense</v>
      </c>
      <c r="X6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39"/>
      <c r="Z6239" t="s">
        <v>21</v>
      </c>
      <c r="AA6239" t="s">
        <v>252</v>
      </c>
      <c r="AB6239" t="s">
        <v>9</v>
      </c>
      <c r="AC6239" s="21">
        <v>26277.66</v>
      </c>
      <c r="AD6239" s="21" t="s">
        <v>368</v>
      </c>
      <c r="AE6239" t="str">
        <f>VLOOKUP(Table_Query_from_Actuarial___Production3[[#This Row],[Kor1]],$AI$3:$AK$105,3,FALSE)</f>
        <v>Misc. Expense</v>
      </c>
      <c r="AF6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0" spans="18:32" x14ac:dyDescent="0.2">
      <c r="R6240" t="s">
        <v>47</v>
      </c>
      <c r="S6240" t="s">
        <v>228</v>
      </c>
      <c r="T6240" t="s">
        <v>351</v>
      </c>
      <c r="U6240" s="21">
        <v>872.48</v>
      </c>
      <c r="V6240" s="21" t="s">
        <v>368</v>
      </c>
      <c r="W6240" t="str">
        <f>VLOOKUP(Table_Query_from_Actuarial___Production[[#This Row],[Kor1]],$AI$3:$AK$105,3,FALSE)</f>
        <v>Investment Income</v>
      </c>
      <c r="X6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0"/>
      <c r="Z6240" t="s">
        <v>18</v>
      </c>
      <c r="AA6240" t="s">
        <v>352</v>
      </c>
      <c r="AB6240" t="s">
        <v>6</v>
      </c>
      <c r="AC6240" s="21">
        <v>6278.34</v>
      </c>
      <c r="AD6240" s="21" t="s">
        <v>368</v>
      </c>
      <c r="AE6240" t="str">
        <f>VLOOKUP(Table_Query_from_Actuarial___Production3[[#This Row],[Kor1]],$AI$3:$AK$105,3,FALSE)</f>
        <v>Misc. Expense</v>
      </c>
      <c r="AF6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241" spans="18:32" x14ac:dyDescent="0.2">
      <c r="R6241" t="s">
        <v>16</v>
      </c>
      <c r="S6241" t="s">
        <v>239</v>
      </c>
      <c r="T6241" t="s">
        <v>433</v>
      </c>
      <c r="U6241" s="21">
        <v>3115938.35</v>
      </c>
      <c r="V6241" s="21" t="s">
        <v>368</v>
      </c>
      <c r="W6241" t="str">
        <f>VLOOKUP(Table_Query_from_Actuarial___Production[[#This Row],[Kor1]],$AI$3:$AK$105,3,FALSE)</f>
        <v>Losses Outstanding</v>
      </c>
      <c r="X6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1"/>
      <c r="Z6241" t="s">
        <v>11</v>
      </c>
      <c r="AA6241" t="s">
        <v>267</v>
      </c>
      <c r="AB6241" t="s">
        <v>433</v>
      </c>
      <c r="AC6241" s="21">
        <v>305266.43</v>
      </c>
      <c r="AD6241" s="21" t="s">
        <v>368</v>
      </c>
      <c r="AE6241" t="str">
        <f>VLOOKUP(Table_Query_from_Actuarial___Production3[[#This Row],[Kor1]],$AI$3:$AK$105,3,FALSE)</f>
        <v>Losses Paid</v>
      </c>
      <c r="AF6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2" spans="18:32" x14ac:dyDescent="0.2">
      <c r="R6242" t="s">
        <v>49</v>
      </c>
      <c r="S6242" t="s">
        <v>237</v>
      </c>
      <c r="T6242" t="s">
        <v>7</v>
      </c>
      <c r="U6242" s="21">
        <v>606767.85</v>
      </c>
      <c r="V6242" s="21" t="s">
        <v>368</v>
      </c>
      <c r="W6242" t="str">
        <f>VLOOKUP(Table_Query_from_Actuarial___Production[[#This Row],[Kor1]],$AI$3:$AK$105,3,FALSE)</f>
        <v>ALAE Paid</v>
      </c>
      <c r="X6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2"/>
      <c r="Z6242" t="s">
        <v>12</v>
      </c>
      <c r="AA6242" t="s">
        <v>249</v>
      </c>
      <c r="AB6242" t="s">
        <v>9</v>
      </c>
      <c r="AC6242" s="21">
        <v>19524.64</v>
      </c>
      <c r="AD6242" s="21" t="s">
        <v>368</v>
      </c>
      <c r="AE6242" t="str">
        <f>VLOOKUP(Table_Query_from_Actuarial___Production3[[#This Row],[Kor1]],$AI$3:$AK$105,3,FALSE)</f>
        <v>Premium Tax</v>
      </c>
      <c r="AF6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3" spans="18:32" x14ac:dyDescent="0.2">
      <c r="R6243" t="s">
        <v>15</v>
      </c>
      <c r="S6243" t="s">
        <v>255</v>
      </c>
      <c r="T6243" t="s">
        <v>443</v>
      </c>
      <c r="U6243" s="21">
        <v>55710.43</v>
      </c>
      <c r="V6243" s="21" t="s">
        <v>368</v>
      </c>
      <c r="W6243" t="str">
        <f>VLOOKUP(Table_Query_from_Actuarial___Production[[#This Row],[Kor1]],$AI$3:$AK$105,3,FALSE)</f>
        <v>Unearned Premiums</v>
      </c>
      <c r="X6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3"/>
      <c r="Z6243" t="s">
        <v>21</v>
      </c>
      <c r="AA6243" t="s">
        <v>239</v>
      </c>
      <c r="AB6243" t="s">
        <v>441</v>
      </c>
      <c r="AC6243" s="21">
        <v>5909.13</v>
      </c>
      <c r="AD6243" s="21" t="s">
        <v>368</v>
      </c>
      <c r="AE6243" t="str">
        <f>VLOOKUP(Table_Query_from_Actuarial___Production3[[#This Row],[Kor1]],$AI$3:$AK$105,3,FALSE)</f>
        <v>Misc. Expense</v>
      </c>
      <c r="AF6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4" spans="18:32" x14ac:dyDescent="0.2">
      <c r="R6244" t="s">
        <v>44</v>
      </c>
      <c r="S6244" t="s">
        <v>224</v>
      </c>
      <c r="T6244" t="s">
        <v>7</v>
      </c>
      <c r="U6244" s="21">
        <v>555.44000000000005</v>
      </c>
      <c r="V6244" s="21" t="s">
        <v>425</v>
      </c>
      <c r="W6244" t="str">
        <f>VLOOKUP(Table_Query_from_Actuarial___Production[[#This Row],[Kor1]],$AI$3:$AK$105,3,FALSE)</f>
        <v>Charge-offs</v>
      </c>
      <c r="X6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244"/>
      <c r="Z6244" t="s">
        <v>29</v>
      </c>
      <c r="AA6244" t="s">
        <v>238</v>
      </c>
      <c r="AB6244" t="s">
        <v>427</v>
      </c>
      <c r="AC6244" s="21">
        <v>65677.070000000007</v>
      </c>
      <c r="AD6244" s="21" t="s">
        <v>368</v>
      </c>
      <c r="AE6244" t="str">
        <f>VLOOKUP(Table_Query_from_Actuarial___Production3[[#This Row],[Kor1]],$AI$3:$AK$105,3,FALSE)</f>
        <v>Misc. Expense</v>
      </c>
      <c r="AF6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5" spans="18:32" x14ac:dyDescent="0.2">
      <c r="R6245" t="s">
        <v>3</v>
      </c>
      <c r="S6245" t="s">
        <v>229</v>
      </c>
      <c r="T6245" t="s">
        <v>9</v>
      </c>
      <c r="U6245" s="21">
        <v>66127</v>
      </c>
      <c r="V6245" s="21" t="s">
        <v>368</v>
      </c>
      <c r="W6245" t="str">
        <f>VLOOKUP(Table_Query_from_Actuarial___Production[[#This Row],[Kor1]],$AI$3:$AK$105,3,FALSE)</f>
        <v>Premiums Written</v>
      </c>
      <c r="X6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5"/>
      <c r="Z6245" t="s">
        <v>48</v>
      </c>
      <c r="AA6245" t="s">
        <v>240</v>
      </c>
      <c r="AB6245" t="s">
        <v>433</v>
      </c>
      <c r="AC6245" s="21">
        <v>25537.39</v>
      </c>
      <c r="AD6245" s="21" t="s">
        <v>368</v>
      </c>
      <c r="AE6245" t="str">
        <f>VLOOKUP(Table_Query_from_Actuarial___Production3[[#This Row],[Kor1]],$AI$3:$AK$105,3,FALSE)</f>
        <v>Anticipated Salvage</v>
      </c>
      <c r="AF6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6" spans="18:32" x14ac:dyDescent="0.2">
      <c r="R6246" t="s">
        <v>19</v>
      </c>
      <c r="S6246" t="s">
        <v>236</v>
      </c>
      <c r="T6246" t="s">
        <v>8</v>
      </c>
      <c r="U6246" s="21">
        <v>44</v>
      </c>
      <c r="V6246" s="21" t="s">
        <v>368</v>
      </c>
      <c r="W6246" t="str">
        <f>VLOOKUP(Table_Query_from_Actuarial___Production[[#This Row],[Kor1]],$AI$3:$AK$105,3,FALSE)</f>
        <v>Misc. Expense for Insolvent Companies</v>
      </c>
      <c r="X6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6"/>
      <c r="Z6246" t="s">
        <v>44</v>
      </c>
      <c r="AA6246" t="s">
        <v>227</v>
      </c>
      <c r="AB6246" t="s">
        <v>6</v>
      </c>
      <c r="AC6246" s="21">
        <v>11963.62</v>
      </c>
      <c r="AD6246" s="21" t="s">
        <v>368</v>
      </c>
      <c r="AE6246" t="str">
        <f>VLOOKUP(Table_Query_from_Actuarial___Production3[[#This Row],[Kor1]],$AI$3:$AK$105,3,FALSE)</f>
        <v>Charge-offs</v>
      </c>
      <c r="AF6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7" spans="18:32" x14ac:dyDescent="0.2">
      <c r="R6247" t="s">
        <v>43</v>
      </c>
      <c r="S6247" t="s">
        <v>264</v>
      </c>
      <c r="T6247" t="s">
        <v>433</v>
      </c>
      <c r="U6247" s="21">
        <v>-1805.66</v>
      </c>
      <c r="V6247" s="21" t="s">
        <v>368</v>
      </c>
      <c r="W6247" t="str">
        <f>VLOOKUP(Table_Query_from_Actuarial___Production[[#This Row],[Kor1]],$AI$3:$AK$105,3,FALSE)</f>
        <v>Charge-offs</v>
      </c>
      <c r="X6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7"/>
      <c r="Z6247" t="s">
        <v>10</v>
      </c>
      <c r="AA6247" t="s">
        <v>224</v>
      </c>
      <c r="AB6247" t="s">
        <v>427</v>
      </c>
      <c r="AC6247" s="21">
        <v>2042.97</v>
      </c>
      <c r="AD6247" s="21" t="s">
        <v>369</v>
      </c>
      <c r="AE6247" t="str">
        <f>VLOOKUP(Table_Query_from_Actuarial___Production3[[#This Row],[Kor1]],$AI$3:$AK$105,3,FALSE)</f>
        <v>Commissions</v>
      </c>
      <c r="AF6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248" spans="18:32" x14ac:dyDescent="0.2">
      <c r="R6248" t="s">
        <v>10</v>
      </c>
      <c r="S6248" t="s">
        <v>227</v>
      </c>
      <c r="T6248" t="s">
        <v>433</v>
      </c>
      <c r="U6248" s="21">
        <v>1557.45</v>
      </c>
      <c r="V6248" s="21" t="s">
        <v>368</v>
      </c>
      <c r="W6248" t="str">
        <f>VLOOKUP(Table_Query_from_Actuarial___Production[[#This Row],[Kor1]],$AI$3:$AK$105,3,FALSE)</f>
        <v>Commissions</v>
      </c>
      <c r="X6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8"/>
      <c r="Z6248" t="s">
        <v>41</v>
      </c>
      <c r="AA6248" t="s">
        <v>228</v>
      </c>
      <c r="AB6248" t="s">
        <v>427</v>
      </c>
      <c r="AC6248" s="21">
        <v>249.89</v>
      </c>
      <c r="AD6248" s="21" t="s">
        <v>368</v>
      </c>
      <c r="AE6248" t="str">
        <f>VLOOKUP(Table_Query_from_Actuarial___Production3[[#This Row],[Kor1]],$AI$3:$AK$105,3,FALSE)</f>
        <v>Misc. Income</v>
      </c>
      <c r="AF6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49" spans="18:32" x14ac:dyDescent="0.2">
      <c r="R6249" t="s">
        <v>41</v>
      </c>
      <c r="S6249" t="s">
        <v>266</v>
      </c>
      <c r="T6249" t="s">
        <v>445</v>
      </c>
      <c r="U6249" s="21">
        <v>50.01</v>
      </c>
      <c r="V6249" s="21" t="s">
        <v>368</v>
      </c>
      <c r="W6249" t="str">
        <f>VLOOKUP(Table_Query_from_Actuarial___Production[[#This Row],[Kor1]],$AI$3:$AK$105,3,FALSE)</f>
        <v>Misc. Income</v>
      </c>
      <c r="X6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49"/>
      <c r="Z6249" t="s">
        <v>11</v>
      </c>
      <c r="AA6249" t="s">
        <v>259</v>
      </c>
      <c r="AB6249" t="s">
        <v>356</v>
      </c>
      <c r="AC6249" s="21">
        <v>89217.279999999999</v>
      </c>
      <c r="AD6249" s="21" t="s">
        <v>368</v>
      </c>
      <c r="AE6249" t="str">
        <f>VLOOKUP(Table_Query_from_Actuarial___Production3[[#This Row],[Kor1]],$AI$3:$AK$105,3,FALSE)</f>
        <v>Losses Paid</v>
      </c>
      <c r="AF6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0" spans="18:32" x14ac:dyDescent="0.2">
      <c r="R6250" t="s">
        <v>17</v>
      </c>
      <c r="S6250" t="s">
        <v>228</v>
      </c>
      <c r="T6250" t="s">
        <v>433</v>
      </c>
      <c r="U6250" s="21">
        <v>68951.679999999993</v>
      </c>
      <c r="V6250" s="21" t="s">
        <v>368</v>
      </c>
      <c r="W6250" t="str">
        <f>VLOOKUP(Table_Query_from_Actuarial___Production[[#This Row],[Kor1]],$AI$3:$AK$105,3,FALSE)</f>
        <v>IBNR</v>
      </c>
      <c r="X6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0"/>
      <c r="Z6250" t="s">
        <v>37</v>
      </c>
      <c r="AA6250" t="s">
        <v>241</v>
      </c>
      <c r="AB6250" t="s">
        <v>443</v>
      </c>
      <c r="AC6250" s="21">
        <v>582.54999999999995</v>
      </c>
      <c r="AD6250" s="21" t="s">
        <v>368</v>
      </c>
      <c r="AE6250" t="str">
        <f>VLOOKUP(Table_Query_from_Actuarial___Production3[[#This Row],[Kor1]],$AI$3:$AK$105,3,FALSE)</f>
        <v>Misc. Expense</v>
      </c>
      <c r="AF6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1" spans="18:32" x14ac:dyDescent="0.2">
      <c r="R6251" t="s">
        <v>37</v>
      </c>
      <c r="S6251" t="s">
        <v>262</v>
      </c>
      <c r="T6251" t="s">
        <v>8</v>
      </c>
      <c r="U6251" s="21">
        <v>-0.95</v>
      </c>
      <c r="V6251" s="21" t="s">
        <v>368</v>
      </c>
      <c r="W6251" t="str">
        <f>VLOOKUP(Table_Query_from_Actuarial___Production[[#This Row],[Kor1]],$AI$3:$AK$105,3,FALSE)</f>
        <v>Misc. Expense</v>
      </c>
      <c r="X6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1"/>
      <c r="Z6251" t="s">
        <v>14</v>
      </c>
      <c r="AA6251" t="s">
        <v>231</v>
      </c>
      <c r="AB6251" t="s">
        <v>7</v>
      </c>
      <c r="AC6251" s="21">
        <v>5596.86</v>
      </c>
      <c r="AD6251" s="21" t="s">
        <v>368</v>
      </c>
      <c r="AE6251" t="str">
        <f>VLOOKUP(Table_Query_from_Actuarial___Production3[[#This Row],[Kor1]],$AI$3:$AK$105,3,FALSE)</f>
        <v>Claims Expense</v>
      </c>
      <c r="AF6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2" spans="18:32" x14ac:dyDescent="0.2">
      <c r="R6252" t="s">
        <v>48</v>
      </c>
      <c r="S6252" t="s">
        <v>265</v>
      </c>
      <c r="T6252" t="s">
        <v>441</v>
      </c>
      <c r="U6252" s="21">
        <v>1760.46</v>
      </c>
      <c r="V6252" s="21" t="s">
        <v>368</v>
      </c>
      <c r="W6252" t="str">
        <f>VLOOKUP(Table_Query_from_Actuarial___Production[[#This Row],[Kor1]],$AI$3:$AK$105,3,FALSE)</f>
        <v>Anticipated Salvage</v>
      </c>
      <c r="X6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2"/>
      <c r="Z6252" t="s">
        <v>44</v>
      </c>
      <c r="AA6252" t="s">
        <v>225</v>
      </c>
      <c r="AB6252" t="s">
        <v>7</v>
      </c>
      <c r="AC6252" s="21">
        <v>27180.45</v>
      </c>
      <c r="AD6252" s="21" t="s">
        <v>368</v>
      </c>
      <c r="AE6252" t="str">
        <f>VLOOKUP(Table_Query_from_Actuarial___Production3[[#This Row],[Kor1]],$AI$3:$AK$105,3,FALSE)</f>
        <v>Charge-offs</v>
      </c>
      <c r="AF6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253" spans="18:32" x14ac:dyDescent="0.2">
      <c r="R6253" t="s">
        <v>10</v>
      </c>
      <c r="S6253" t="s">
        <v>255</v>
      </c>
      <c r="T6253" t="s">
        <v>441</v>
      </c>
      <c r="U6253" s="21">
        <v>43956.19</v>
      </c>
      <c r="V6253" s="21" t="s">
        <v>368</v>
      </c>
      <c r="W6253" t="str">
        <f>VLOOKUP(Table_Query_from_Actuarial___Production[[#This Row],[Kor1]],$AI$3:$AK$105,3,FALSE)</f>
        <v>Commissions</v>
      </c>
      <c r="X6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3"/>
      <c r="Z6253" t="s">
        <v>32</v>
      </c>
      <c r="AA6253" t="s">
        <v>230</v>
      </c>
      <c r="AB6253" t="s">
        <v>351</v>
      </c>
      <c r="AC6253" s="21">
        <v>128803.67</v>
      </c>
      <c r="AD6253" s="21" t="s">
        <v>368</v>
      </c>
      <c r="AE6253" t="str">
        <f>VLOOKUP(Table_Query_from_Actuarial___Production3[[#This Row],[Kor1]],$AI$3:$AK$105,3,FALSE)</f>
        <v>Misc. Expense</v>
      </c>
      <c r="AF6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4" spans="18:32" x14ac:dyDescent="0.2">
      <c r="R6254" t="s">
        <v>37</v>
      </c>
      <c r="S6254" t="s">
        <v>232</v>
      </c>
      <c r="T6254" t="s">
        <v>442</v>
      </c>
      <c r="U6254" s="21">
        <v>-613.24</v>
      </c>
      <c r="V6254" s="21" t="s">
        <v>368</v>
      </c>
      <c r="W6254" t="str">
        <f>VLOOKUP(Table_Query_from_Actuarial___Production[[#This Row],[Kor1]],$AI$3:$AK$105,3,FALSE)</f>
        <v>Misc. Expense</v>
      </c>
      <c r="X6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4"/>
      <c r="Z6254" t="s">
        <v>31</v>
      </c>
      <c r="AA6254" t="s">
        <v>4</v>
      </c>
      <c r="AB6254" t="s">
        <v>443</v>
      </c>
      <c r="AC6254" s="21">
        <v>8280.08</v>
      </c>
      <c r="AD6254" s="21" t="s">
        <v>368</v>
      </c>
      <c r="AE6254" t="str">
        <f>VLOOKUP(Table_Query_from_Actuarial___Production3[[#This Row],[Kor1]],$AI$3:$AK$105,3,FALSE)</f>
        <v>Misc. Expense</v>
      </c>
      <c r="AF6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5" spans="18:32" x14ac:dyDescent="0.2">
      <c r="R6255" t="s">
        <v>37</v>
      </c>
      <c r="S6255" t="s">
        <v>238</v>
      </c>
      <c r="T6255" t="s">
        <v>442</v>
      </c>
      <c r="U6255" s="21">
        <v>16518.060000000001</v>
      </c>
      <c r="V6255" s="21" t="s">
        <v>368</v>
      </c>
      <c r="W6255" t="str">
        <f>VLOOKUP(Table_Query_from_Actuarial___Production[[#This Row],[Kor1]],$AI$3:$AK$105,3,FALSE)</f>
        <v>Misc. Expense</v>
      </c>
      <c r="X6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5"/>
      <c r="Z6255" t="s">
        <v>31</v>
      </c>
      <c r="AA6255" t="s">
        <v>263</v>
      </c>
      <c r="AB6255" t="s">
        <v>441</v>
      </c>
      <c r="AC6255" s="21">
        <v>962.8</v>
      </c>
      <c r="AD6255" s="21" t="s">
        <v>368</v>
      </c>
      <c r="AE6255" t="str">
        <f>VLOOKUP(Table_Query_from_Actuarial___Production3[[#This Row],[Kor1]],$AI$3:$AK$105,3,FALSE)</f>
        <v>Misc. Expense</v>
      </c>
      <c r="AF6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6" spans="18:32" x14ac:dyDescent="0.2">
      <c r="R6256" t="s">
        <v>13</v>
      </c>
      <c r="S6256" t="s">
        <v>258</v>
      </c>
      <c r="T6256" t="s">
        <v>445</v>
      </c>
      <c r="U6256" s="21">
        <v>264258.28000000003</v>
      </c>
      <c r="V6256" s="21" t="s">
        <v>368</v>
      </c>
      <c r="W6256" t="str">
        <f>VLOOKUP(Table_Query_from_Actuarial___Production[[#This Row],[Kor1]],$AI$3:$AK$105,3,FALSE)</f>
        <v>Operating Service Fees</v>
      </c>
      <c r="X6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6"/>
      <c r="Z6256" t="s">
        <v>47</v>
      </c>
      <c r="AA6256" t="s">
        <v>228</v>
      </c>
      <c r="AB6256" t="s">
        <v>351</v>
      </c>
      <c r="AC6256" s="21">
        <v>872.48</v>
      </c>
      <c r="AD6256" s="21" t="s">
        <v>368</v>
      </c>
      <c r="AE6256" t="str">
        <f>VLOOKUP(Table_Query_from_Actuarial___Production3[[#This Row],[Kor1]],$AI$3:$AK$105,3,FALSE)</f>
        <v>Investment Income</v>
      </c>
      <c r="AF6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7" spans="18:32" x14ac:dyDescent="0.2">
      <c r="R6257" t="s">
        <v>37</v>
      </c>
      <c r="S6257" t="s">
        <v>243</v>
      </c>
      <c r="T6257" t="s">
        <v>442</v>
      </c>
      <c r="U6257" s="21">
        <v>-4.75</v>
      </c>
      <c r="V6257" s="21" t="s">
        <v>368</v>
      </c>
      <c r="W6257" t="str">
        <f>VLOOKUP(Table_Query_from_Actuarial___Production[[#This Row],[Kor1]],$AI$3:$AK$105,3,FALSE)</f>
        <v>Misc. Expense</v>
      </c>
      <c r="X6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7"/>
      <c r="Z6257" t="s">
        <v>16</v>
      </c>
      <c r="AA6257" t="s">
        <v>239</v>
      </c>
      <c r="AB6257" t="s">
        <v>433</v>
      </c>
      <c r="AC6257" s="21">
        <v>3533617.7</v>
      </c>
      <c r="AD6257" s="21" t="s">
        <v>368</v>
      </c>
      <c r="AE6257" t="str">
        <f>VLOOKUP(Table_Query_from_Actuarial___Production3[[#This Row],[Kor1]],$AI$3:$AK$105,3,FALSE)</f>
        <v>Losses Outstanding</v>
      </c>
      <c r="AF6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8" spans="18:32" x14ac:dyDescent="0.2">
      <c r="R6258" t="s">
        <v>48</v>
      </c>
      <c r="S6258" t="s">
        <v>254</v>
      </c>
      <c r="T6258" t="s">
        <v>427</v>
      </c>
      <c r="U6258" s="21">
        <v>4377.0600000000004</v>
      </c>
      <c r="V6258" s="21" t="s">
        <v>368</v>
      </c>
      <c r="W6258" t="str">
        <f>VLOOKUP(Table_Query_from_Actuarial___Production[[#This Row],[Kor1]],$AI$3:$AK$105,3,FALSE)</f>
        <v>Anticipated Salvage</v>
      </c>
      <c r="X6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58"/>
      <c r="Z6258" t="s">
        <v>49</v>
      </c>
      <c r="AA6258" t="s">
        <v>237</v>
      </c>
      <c r="AB6258" t="s">
        <v>7</v>
      </c>
      <c r="AC6258" s="21">
        <v>606767.85</v>
      </c>
      <c r="AD6258" s="21" t="s">
        <v>368</v>
      </c>
      <c r="AE6258" t="str">
        <f>VLOOKUP(Table_Query_from_Actuarial___Production3[[#This Row],[Kor1]],$AI$3:$AK$105,3,FALSE)</f>
        <v>ALAE Paid</v>
      </c>
      <c r="AF6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59" spans="18:32" x14ac:dyDescent="0.2">
      <c r="R6259" t="s">
        <v>15</v>
      </c>
      <c r="S6259" t="s">
        <v>224</v>
      </c>
      <c r="T6259" t="s">
        <v>445</v>
      </c>
      <c r="U6259" s="21">
        <v>362849.53</v>
      </c>
      <c r="V6259" s="21" t="s">
        <v>370</v>
      </c>
      <c r="W6259" t="str">
        <f>VLOOKUP(Table_Query_from_Actuarial___Production[[#This Row],[Kor1]],$AI$3:$AK$105,3,FALSE)</f>
        <v>Unearned Premiums</v>
      </c>
      <c r="X6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259"/>
      <c r="Z6259" t="s">
        <v>15</v>
      </c>
      <c r="AA6259" t="s">
        <v>255</v>
      </c>
      <c r="AB6259" t="s">
        <v>443</v>
      </c>
      <c r="AC6259" s="21">
        <v>132156.22</v>
      </c>
      <c r="AD6259" s="21" t="s">
        <v>368</v>
      </c>
      <c r="AE6259" t="str">
        <f>VLOOKUP(Table_Query_from_Actuarial___Production3[[#This Row],[Kor1]],$AI$3:$AK$105,3,FALSE)</f>
        <v>Unearned Premiums</v>
      </c>
      <c r="AF6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0" spans="18:32" x14ac:dyDescent="0.2">
      <c r="R6260" t="s">
        <v>3</v>
      </c>
      <c r="S6260" t="s">
        <v>4</v>
      </c>
      <c r="T6260" t="s">
        <v>356</v>
      </c>
      <c r="U6260" s="21">
        <v>37046736</v>
      </c>
      <c r="V6260" s="21" t="s">
        <v>368</v>
      </c>
      <c r="W6260" t="str">
        <f>VLOOKUP(Table_Query_from_Actuarial___Production[[#This Row],[Kor1]],$AI$3:$AK$105,3,FALSE)</f>
        <v>Premiums Written</v>
      </c>
      <c r="X6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0"/>
      <c r="Z6260" t="s">
        <v>31</v>
      </c>
      <c r="AA6260" t="s">
        <v>260</v>
      </c>
      <c r="AB6260" t="s">
        <v>5</v>
      </c>
      <c r="AC6260" s="21">
        <v>144.87</v>
      </c>
      <c r="AD6260" s="21" t="s">
        <v>368</v>
      </c>
      <c r="AE6260" t="str">
        <f>VLOOKUP(Table_Query_from_Actuarial___Production3[[#This Row],[Kor1]],$AI$3:$AK$105,3,FALSE)</f>
        <v>Misc. Expense</v>
      </c>
      <c r="AF6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1" spans="18:32" x14ac:dyDescent="0.2">
      <c r="R6261" t="s">
        <v>33</v>
      </c>
      <c r="S6261" t="s">
        <v>232</v>
      </c>
      <c r="T6261" t="s">
        <v>9</v>
      </c>
      <c r="U6261" s="21">
        <v>16395</v>
      </c>
      <c r="V6261" s="21" t="s">
        <v>368</v>
      </c>
      <c r="W6261" t="str">
        <f>VLOOKUP(Table_Query_from_Actuarial___Production[[#This Row],[Kor1]],$AI$3:$AK$105,3,FALSE)</f>
        <v>Misc. Expense</v>
      </c>
      <c r="X6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1"/>
      <c r="Z6261" t="s">
        <v>44</v>
      </c>
      <c r="AA6261" t="s">
        <v>224</v>
      </c>
      <c r="AB6261" t="s">
        <v>7</v>
      </c>
      <c r="AC6261" s="21">
        <v>555.44000000000005</v>
      </c>
      <c r="AD6261" s="21" t="s">
        <v>425</v>
      </c>
      <c r="AE6261" t="str">
        <f>VLOOKUP(Table_Query_from_Actuarial___Production3[[#This Row],[Kor1]],$AI$3:$AK$105,3,FALSE)</f>
        <v>Charge-offs</v>
      </c>
      <c r="AF6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262" spans="18:32" x14ac:dyDescent="0.2">
      <c r="R6262" t="s">
        <v>39</v>
      </c>
      <c r="S6262" t="s">
        <v>240</v>
      </c>
      <c r="T6262" t="s">
        <v>445</v>
      </c>
      <c r="U6262" s="21">
        <v>355.6</v>
      </c>
      <c r="V6262" s="21" t="s">
        <v>368</v>
      </c>
      <c r="W6262" t="str">
        <f>VLOOKUP(Table_Query_from_Actuarial___Production[[#This Row],[Kor1]],$AI$3:$AK$105,3,FALSE)</f>
        <v>Misc. Income for Insolvent Companies</v>
      </c>
      <c r="X6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2"/>
      <c r="Z6262" t="s">
        <v>3</v>
      </c>
      <c r="AA6262" t="s">
        <v>229</v>
      </c>
      <c r="AB6262" t="s">
        <v>9</v>
      </c>
      <c r="AC6262" s="21">
        <v>66127</v>
      </c>
      <c r="AD6262" s="21" t="s">
        <v>368</v>
      </c>
      <c r="AE6262" t="str">
        <f>VLOOKUP(Table_Query_from_Actuarial___Production3[[#This Row],[Kor1]],$AI$3:$AK$105,3,FALSE)</f>
        <v>Premiums Written</v>
      </c>
      <c r="AF6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3" spans="18:32" x14ac:dyDescent="0.2">
      <c r="R6263" t="s">
        <v>44</v>
      </c>
      <c r="S6263" t="s">
        <v>232</v>
      </c>
      <c r="T6263" t="s">
        <v>443</v>
      </c>
      <c r="U6263" s="21">
        <v>89605.91</v>
      </c>
      <c r="V6263" s="21" t="s">
        <v>368</v>
      </c>
      <c r="W6263" t="str">
        <f>VLOOKUP(Table_Query_from_Actuarial___Production[[#This Row],[Kor1]],$AI$3:$AK$105,3,FALSE)</f>
        <v>Charge-offs</v>
      </c>
      <c r="X6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3"/>
      <c r="Z6263" t="s">
        <v>19</v>
      </c>
      <c r="AA6263" t="s">
        <v>236</v>
      </c>
      <c r="AB6263" t="s">
        <v>8</v>
      </c>
      <c r="AC6263" s="21">
        <v>44</v>
      </c>
      <c r="AD6263" s="21" t="s">
        <v>368</v>
      </c>
      <c r="AE6263" t="str">
        <f>VLOOKUP(Table_Query_from_Actuarial___Production3[[#This Row],[Kor1]],$AI$3:$AK$105,3,FALSE)</f>
        <v>Misc. Expense for Insolvent Companies</v>
      </c>
      <c r="AF6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4" spans="18:32" x14ac:dyDescent="0.2">
      <c r="R6264" t="s">
        <v>48</v>
      </c>
      <c r="S6264" t="s">
        <v>256</v>
      </c>
      <c r="T6264" t="s">
        <v>442</v>
      </c>
      <c r="U6264" s="21">
        <v>10.43</v>
      </c>
      <c r="V6264" s="21" t="s">
        <v>368</v>
      </c>
      <c r="W6264" t="str">
        <f>VLOOKUP(Table_Query_from_Actuarial___Production[[#This Row],[Kor1]],$AI$3:$AK$105,3,FALSE)</f>
        <v>Anticipated Salvage</v>
      </c>
      <c r="X6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4"/>
      <c r="Z6264" t="s">
        <v>43</v>
      </c>
      <c r="AA6264" t="s">
        <v>264</v>
      </c>
      <c r="AB6264" t="s">
        <v>433</v>
      </c>
      <c r="AC6264" s="21">
        <v>-1805.66</v>
      </c>
      <c r="AD6264" s="21" t="s">
        <v>368</v>
      </c>
      <c r="AE6264" t="str">
        <f>VLOOKUP(Table_Query_from_Actuarial___Production3[[#This Row],[Kor1]],$AI$3:$AK$105,3,FALSE)</f>
        <v>Charge-offs</v>
      </c>
      <c r="AF6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5" spans="18:32" x14ac:dyDescent="0.2">
      <c r="R6265" t="s">
        <v>10</v>
      </c>
      <c r="S6265" t="s">
        <v>224</v>
      </c>
      <c r="T6265" t="s">
        <v>443</v>
      </c>
      <c r="U6265" s="21">
        <v>7468.1</v>
      </c>
      <c r="V6265" s="21" t="s">
        <v>369</v>
      </c>
      <c r="W6265" t="str">
        <f>VLOOKUP(Table_Query_from_Actuarial___Production[[#This Row],[Kor1]],$AI$3:$AK$105,3,FALSE)</f>
        <v>Commissions</v>
      </c>
      <c r="X6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265"/>
      <c r="Z6265" t="s">
        <v>10</v>
      </c>
      <c r="AA6265" t="s">
        <v>227</v>
      </c>
      <c r="AB6265" t="s">
        <v>433</v>
      </c>
      <c r="AC6265" s="21">
        <v>1557.45</v>
      </c>
      <c r="AD6265" s="21" t="s">
        <v>368</v>
      </c>
      <c r="AE6265" t="str">
        <f>VLOOKUP(Table_Query_from_Actuarial___Production3[[#This Row],[Kor1]],$AI$3:$AK$105,3,FALSE)</f>
        <v>Commissions</v>
      </c>
      <c r="AF6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6" spans="18:32" x14ac:dyDescent="0.2">
      <c r="R6266" t="s">
        <v>11</v>
      </c>
      <c r="S6266" t="s">
        <v>255</v>
      </c>
      <c r="T6266" t="s">
        <v>9</v>
      </c>
      <c r="U6266" s="21">
        <v>37258.559999999998</v>
      </c>
      <c r="V6266" s="21" t="s">
        <v>368</v>
      </c>
      <c r="W6266" t="str">
        <f>VLOOKUP(Table_Query_from_Actuarial___Production[[#This Row],[Kor1]],$AI$3:$AK$105,3,FALSE)</f>
        <v>Losses Paid</v>
      </c>
      <c r="X6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6"/>
      <c r="Z6266" t="s">
        <v>17</v>
      </c>
      <c r="AA6266" t="s">
        <v>228</v>
      </c>
      <c r="AB6266" t="s">
        <v>433</v>
      </c>
      <c r="AC6266" s="21">
        <v>1997.89</v>
      </c>
      <c r="AD6266" s="21" t="s">
        <v>368</v>
      </c>
      <c r="AE6266" t="str">
        <f>VLOOKUP(Table_Query_from_Actuarial___Production3[[#This Row],[Kor1]],$AI$3:$AK$105,3,FALSE)</f>
        <v>IBNR</v>
      </c>
      <c r="AF6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7" spans="18:32" x14ac:dyDescent="0.2">
      <c r="R6267" t="s">
        <v>27</v>
      </c>
      <c r="S6267" t="s">
        <v>259</v>
      </c>
      <c r="T6267" t="s">
        <v>356</v>
      </c>
      <c r="U6267" s="21">
        <v>140.47999999999999</v>
      </c>
      <c r="V6267" s="21" t="s">
        <v>368</v>
      </c>
      <c r="W6267" t="str">
        <f>VLOOKUP(Table_Query_from_Actuarial___Production[[#This Row],[Kor1]],$AI$3:$AK$105,3,FALSE)</f>
        <v>Misc. Expense</v>
      </c>
      <c r="X6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7"/>
      <c r="Z6267" t="s">
        <v>37</v>
      </c>
      <c r="AA6267" t="s">
        <v>252</v>
      </c>
      <c r="AB6267" t="s">
        <v>5</v>
      </c>
      <c r="AC6267" s="21">
        <v>81766.78</v>
      </c>
      <c r="AD6267" s="21" t="s">
        <v>368</v>
      </c>
      <c r="AE6267" t="str">
        <f>VLOOKUP(Table_Query_from_Actuarial___Production3[[#This Row],[Kor1]],$AI$3:$AK$105,3,FALSE)</f>
        <v>Misc. Expense</v>
      </c>
      <c r="AF6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8" spans="18:32" x14ac:dyDescent="0.2">
      <c r="R6268" t="s">
        <v>10</v>
      </c>
      <c r="S6268" t="s">
        <v>224</v>
      </c>
      <c r="T6268" t="s">
        <v>442</v>
      </c>
      <c r="U6268" s="21">
        <v>101045.33</v>
      </c>
      <c r="V6268" s="21" t="s">
        <v>368</v>
      </c>
      <c r="W6268" t="str">
        <f>VLOOKUP(Table_Query_from_Actuarial___Production[[#This Row],[Kor1]],$AI$3:$AK$105,3,FALSE)</f>
        <v>Commissions</v>
      </c>
      <c r="X6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268"/>
      <c r="Z6268" t="s">
        <v>37</v>
      </c>
      <c r="AA6268" t="s">
        <v>262</v>
      </c>
      <c r="AB6268" t="s">
        <v>8</v>
      </c>
      <c r="AC6268" s="21">
        <v>-0.95</v>
      </c>
      <c r="AD6268" s="21" t="s">
        <v>368</v>
      </c>
      <c r="AE6268" t="str">
        <f>VLOOKUP(Table_Query_from_Actuarial___Production3[[#This Row],[Kor1]],$AI$3:$AK$105,3,FALSE)</f>
        <v>Misc. Expense</v>
      </c>
      <c r="AF6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69" spans="18:32" x14ac:dyDescent="0.2">
      <c r="R6269" t="s">
        <v>3</v>
      </c>
      <c r="S6269" t="s">
        <v>233</v>
      </c>
      <c r="T6269" t="s">
        <v>441</v>
      </c>
      <c r="U6269" s="21">
        <v>981513</v>
      </c>
      <c r="V6269" s="21" t="s">
        <v>368</v>
      </c>
      <c r="W6269" t="str">
        <f>VLOOKUP(Table_Query_from_Actuarial___Production[[#This Row],[Kor1]],$AI$3:$AK$105,3,FALSE)</f>
        <v>Premiums Written</v>
      </c>
      <c r="X6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69"/>
      <c r="Z6269" t="s">
        <v>48</v>
      </c>
      <c r="AA6269" t="s">
        <v>265</v>
      </c>
      <c r="AB6269" t="s">
        <v>441</v>
      </c>
      <c r="AC6269" s="21">
        <v>1610.89</v>
      </c>
      <c r="AD6269" s="21" t="s">
        <v>368</v>
      </c>
      <c r="AE6269" t="str">
        <f>VLOOKUP(Table_Query_from_Actuarial___Production3[[#This Row],[Kor1]],$AI$3:$AK$105,3,FALSE)</f>
        <v>Anticipated Salvage</v>
      </c>
      <c r="AF6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0" spans="18:32" x14ac:dyDescent="0.2">
      <c r="R6270" t="s">
        <v>31</v>
      </c>
      <c r="S6270" t="s">
        <v>259</v>
      </c>
      <c r="T6270" t="s">
        <v>9</v>
      </c>
      <c r="U6270" s="21">
        <v>612.19000000000005</v>
      </c>
      <c r="V6270" s="21" t="s">
        <v>368</v>
      </c>
      <c r="W6270" t="str">
        <f>VLOOKUP(Table_Query_from_Actuarial___Production[[#This Row],[Kor1]],$AI$3:$AK$105,3,FALSE)</f>
        <v>Misc. Expense</v>
      </c>
      <c r="X6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0"/>
      <c r="Z6270" t="s">
        <v>10</v>
      </c>
      <c r="AA6270" t="s">
        <v>255</v>
      </c>
      <c r="AB6270" t="s">
        <v>441</v>
      </c>
      <c r="AC6270" s="21">
        <v>43956.19</v>
      </c>
      <c r="AD6270" s="21" t="s">
        <v>368</v>
      </c>
      <c r="AE6270" t="str">
        <f>VLOOKUP(Table_Query_from_Actuarial___Production3[[#This Row],[Kor1]],$AI$3:$AK$105,3,FALSE)</f>
        <v>Commissions</v>
      </c>
      <c r="AF6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1" spans="18:32" x14ac:dyDescent="0.2">
      <c r="R6271" t="s">
        <v>33</v>
      </c>
      <c r="S6271" t="s">
        <v>257</v>
      </c>
      <c r="T6271" t="s">
        <v>351</v>
      </c>
      <c r="U6271" s="21">
        <v>19446.11</v>
      </c>
      <c r="V6271" s="21" t="s">
        <v>368</v>
      </c>
      <c r="W6271" t="str">
        <f>VLOOKUP(Table_Query_from_Actuarial___Production[[#This Row],[Kor1]],$AI$3:$AK$105,3,FALSE)</f>
        <v>Misc. Expense</v>
      </c>
      <c r="X6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1"/>
      <c r="Z6271" t="s">
        <v>37</v>
      </c>
      <c r="AA6271" t="s">
        <v>232</v>
      </c>
      <c r="AB6271" t="s">
        <v>442</v>
      </c>
      <c r="AC6271" s="21">
        <v>-602.19000000000005</v>
      </c>
      <c r="AD6271" s="21" t="s">
        <v>368</v>
      </c>
      <c r="AE6271" t="str">
        <f>VLOOKUP(Table_Query_from_Actuarial___Production3[[#This Row],[Kor1]],$AI$3:$AK$105,3,FALSE)</f>
        <v>Misc. Expense</v>
      </c>
      <c r="AF6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2" spans="18:32" x14ac:dyDescent="0.2">
      <c r="R6272" t="s">
        <v>14</v>
      </c>
      <c r="S6272" t="s">
        <v>236</v>
      </c>
      <c r="T6272" t="s">
        <v>443</v>
      </c>
      <c r="U6272" s="21">
        <v>1135.6099999999999</v>
      </c>
      <c r="V6272" s="21" t="s">
        <v>368</v>
      </c>
      <c r="W6272" t="str">
        <f>VLOOKUP(Table_Query_from_Actuarial___Production[[#This Row],[Kor1]],$AI$3:$AK$105,3,FALSE)</f>
        <v>Claims Expense</v>
      </c>
      <c r="X6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2"/>
      <c r="Z6272" t="s">
        <v>37</v>
      </c>
      <c r="AA6272" t="s">
        <v>238</v>
      </c>
      <c r="AB6272" t="s">
        <v>442</v>
      </c>
      <c r="AC6272" s="21">
        <v>16518.060000000001</v>
      </c>
      <c r="AD6272" s="21" t="s">
        <v>368</v>
      </c>
      <c r="AE6272" t="str">
        <f>VLOOKUP(Table_Query_from_Actuarial___Production3[[#This Row],[Kor1]],$AI$3:$AK$105,3,FALSE)</f>
        <v>Misc. Expense</v>
      </c>
      <c r="AF6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3" spans="18:32" x14ac:dyDescent="0.2">
      <c r="R6273" t="s">
        <v>40</v>
      </c>
      <c r="S6273" t="s">
        <v>235</v>
      </c>
      <c r="T6273" t="s">
        <v>427</v>
      </c>
      <c r="U6273" s="21">
        <v>51.01</v>
      </c>
      <c r="V6273" s="21" t="s">
        <v>368</v>
      </c>
      <c r="W6273" t="str">
        <f>VLOOKUP(Table_Query_from_Actuarial___Production[[#This Row],[Kor1]],$AI$3:$AK$105,3,FALSE)</f>
        <v>Misc. Income</v>
      </c>
      <c r="X6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3"/>
      <c r="Z6273" t="s">
        <v>48</v>
      </c>
      <c r="AA6273" t="s">
        <v>254</v>
      </c>
      <c r="AB6273" t="s">
        <v>427</v>
      </c>
      <c r="AC6273" s="21">
        <v>8746.49</v>
      </c>
      <c r="AD6273" s="21" t="s">
        <v>368</v>
      </c>
      <c r="AE6273" t="str">
        <f>VLOOKUP(Table_Query_from_Actuarial___Production3[[#This Row],[Kor1]],$AI$3:$AK$105,3,FALSE)</f>
        <v>Anticipated Salvage</v>
      </c>
      <c r="AF6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4" spans="18:32" x14ac:dyDescent="0.2">
      <c r="R6274" t="s">
        <v>16</v>
      </c>
      <c r="S6274" t="s">
        <v>226</v>
      </c>
      <c r="T6274" t="s">
        <v>356</v>
      </c>
      <c r="U6274" s="21">
        <v>305500</v>
      </c>
      <c r="V6274" s="21" t="s">
        <v>368</v>
      </c>
      <c r="W6274" t="str">
        <f>VLOOKUP(Table_Query_from_Actuarial___Production[[#This Row],[Kor1]],$AI$3:$AK$105,3,FALSE)</f>
        <v>Losses Outstanding</v>
      </c>
      <c r="X6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274"/>
      <c r="Z6274" t="s">
        <v>3</v>
      </c>
      <c r="AA6274" t="s">
        <v>4</v>
      </c>
      <c r="AB6274" t="s">
        <v>356</v>
      </c>
      <c r="AC6274" s="21">
        <v>37046736</v>
      </c>
      <c r="AD6274" s="21" t="s">
        <v>368</v>
      </c>
      <c r="AE6274" t="str">
        <f>VLOOKUP(Table_Query_from_Actuarial___Production3[[#This Row],[Kor1]],$AI$3:$AK$105,3,FALSE)</f>
        <v>Premiums Written</v>
      </c>
      <c r="AF6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5" spans="18:32" x14ac:dyDescent="0.2">
      <c r="R6275" t="s">
        <v>20</v>
      </c>
      <c r="S6275" t="s">
        <v>4</v>
      </c>
      <c r="T6275" t="s">
        <v>427</v>
      </c>
      <c r="U6275" s="21">
        <v>3855.88</v>
      </c>
      <c r="V6275" s="21" t="s">
        <v>368</v>
      </c>
      <c r="W6275" t="str">
        <f>VLOOKUP(Table_Query_from_Actuarial___Production[[#This Row],[Kor1]],$AI$3:$AK$105,3,FALSE)</f>
        <v>Misc. Expense</v>
      </c>
      <c r="X6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5"/>
      <c r="Z6275" t="s">
        <v>33</v>
      </c>
      <c r="AA6275" t="s">
        <v>232</v>
      </c>
      <c r="AB6275" t="s">
        <v>9</v>
      </c>
      <c r="AC6275" s="21">
        <v>16395</v>
      </c>
      <c r="AD6275" s="21" t="s">
        <v>368</v>
      </c>
      <c r="AE6275" t="str">
        <f>VLOOKUP(Table_Query_from_Actuarial___Production3[[#This Row],[Kor1]],$AI$3:$AK$105,3,FALSE)</f>
        <v>Misc. Expense</v>
      </c>
      <c r="AF6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6" spans="18:32" x14ac:dyDescent="0.2">
      <c r="R6276" t="s">
        <v>40</v>
      </c>
      <c r="S6276" t="s">
        <v>227</v>
      </c>
      <c r="T6276" t="s">
        <v>351</v>
      </c>
      <c r="U6276" s="21">
        <v>150</v>
      </c>
      <c r="V6276" s="21" t="s">
        <v>368</v>
      </c>
      <c r="W6276" t="str">
        <f>VLOOKUP(Table_Query_from_Actuarial___Production[[#This Row],[Kor1]],$AI$3:$AK$105,3,FALSE)</f>
        <v>Misc. Income</v>
      </c>
      <c r="X6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6"/>
      <c r="Z6276" t="s">
        <v>16</v>
      </c>
      <c r="AA6276" t="s">
        <v>234</v>
      </c>
      <c r="AB6276" t="s">
        <v>433</v>
      </c>
      <c r="AC6276" s="21">
        <v>2320.39</v>
      </c>
      <c r="AD6276" s="21" t="s">
        <v>368</v>
      </c>
      <c r="AE6276" t="str">
        <f>VLOOKUP(Table_Query_from_Actuarial___Production3[[#This Row],[Kor1]],$AI$3:$AK$105,3,FALSE)</f>
        <v>Losses Outstanding</v>
      </c>
      <c r="AF6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7" spans="18:32" x14ac:dyDescent="0.2">
      <c r="R6277" t="s">
        <v>49</v>
      </c>
      <c r="S6277" t="s">
        <v>236</v>
      </c>
      <c r="T6277" t="s">
        <v>433</v>
      </c>
      <c r="U6277" s="21">
        <v>23983.86</v>
      </c>
      <c r="V6277" s="21" t="s">
        <v>368</v>
      </c>
      <c r="W6277" t="str">
        <f>VLOOKUP(Table_Query_from_Actuarial___Production[[#This Row],[Kor1]],$AI$3:$AK$105,3,FALSE)</f>
        <v>ALAE Paid</v>
      </c>
      <c r="X6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7"/>
      <c r="Z6277" t="s">
        <v>44</v>
      </c>
      <c r="AA6277" t="s">
        <v>232</v>
      </c>
      <c r="AB6277" t="s">
        <v>443</v>
      </c>
      <c r="AC6277" s="21">
        <v>25837</v>
      </c>
      <c r="AD6277" s="21" t="s">
        <v>368</v>
      </c>
      <c r="AE6277" t="str">
        <f>VLOOKUP(Table_Query_from_Actuarial___Production3[[#This Row],[Kor1]],$AI$3:$AK$105,3,FALSE)</f>
        <v>Charge-offs</v>
      </c>
      <c r="AF6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8" spans="18:32" x14ac:dyDescent="0.2">
      <c r="R6278" t="s">
        <v>3</v>
      </c>
      <c r="S6278" t="s">
        <v>224</v>
      </c>
      <c r="T6278" t="s">
        <v>6</v>
      </c>
      <c r="U6278" s="21">
        <v>3094270.17</v>
      </c>
      <c r="V6278" s="21" t="s">
        <v>370</v>
      </c>
      <c r="W6278" t="str">
        <f>VLOOKUP(Table_Query_from_Actuarial___Production[[#This Row],[Kor1]],$AI$3:$AK$105,3,FALSE)</f>
        <v>Premiums Written</v>
      </c>
      <c r="X6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278"/>
      <c r="Z6278" t="s">
        <v>48</v>
      </c>
      <c r="AA6278" t="s">
        <v>256</v>
      </c>
      <c r="AB6278" t="s">
        <v>442</v>
      </c>
      <c r="AC6278" s="21">
        <v>22.26</v>
      </c>
      <c r="AD6278" s="21" t="s">
        <v>368</v>
      </c>
      <c r="AE6278" t="str">
        <f>VLOOKUP(Table_Query_from_Actuarial___Production3[[#This Row],[Kor1]],$AI$3:$AK$105,3,FALSE)</f>
        <v>Anticipated Salvage</v>
      </c>
      <c r="AF6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79" spans="18:32" x14ac:dyDescent="0.2">
      <c r="R6279" t="s">
        <v>10</v>
      </c>
      <c r="S6279" t="s">
        <v>264</v>
      </c>
      <c r="T6279" t="s">
        <v>7</v>
      </c>
      <c r="U6279" s="21">
        <v>134082.26999999999</v>
      </c>
      <c r="V6279" s="21" t="s">
        <v>368</v>
      </c>
      <c r="W6279" t="str">
        <f>VLOOKUP(Table_Query_from_Actuarial___Production[[#This Row],[Kor1]],$AI$3:$AK$105,3,FALSE)</f>
        <v>Commissions</v>
      </c>
      <c r="X6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79"/>
      <c r="Z6279" t="s">
        <v>10</v>
      </c>
      <c r="AA6279" t="s">
        <v>224</v>
      </c>
      <c r="AB6279" t="s">
        <v>443</v>
      </c>
      <c r="AC6279" s="21">
        <v>1618.8</v>
      </c>
      <c r="AD6279" s="21" t="s">
        <v>369</v>
      </c>
      <c r="AE6279" t="str">
        <f>VLOOKUP(Table_Query_from_Actuarial___Production3[[#This Row],[Kor1]],$AI$3:$AK$105,3,FALSE)</f>
        <v>Commissions</v>
      </c>
      <c r="AF6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280" spans="18:32" x14ac:dyDescent="0.2">
      <c r="R6280" t="s">
        <v>13</v>
      </c>
      <c r="S6280" t="s">
        <v>257</v>
      </c>
      <c r="T6280" t="s">
        <v>442</v>
      </c>
      <c r="U6280" s="21">
        <v>402400.96</v>
      </c>
      <c r="V6280" s="21" t="s">
        <v>368</v>
      </c>
      <c r="W6280" t="str">
        <f>VLOOKUP(Table_Query_from_Actuarial___Production[[#This Row],[Kor1]],$AI$3:$AK$105,3,FALSE)</f>
        <v>Operating Service Fees</v>
      </c>
      <c r="X6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0"/>
      <c r="Z6280" t="s">
        <v>11</v>
      </c>
      <c r="AA6280" t="s">
        <v>255</v>
      </c>
      <c r="AB6280" t="s">
        <v>9</v>
      </c>
      <c r="AC6280" s="21">
        <v>37258.559999999998</v>
      </c>
      <c r="AD6280" s="21" t="s">
        <v>368</v>
      </c>
      <c r="AE6280" t="str">
        <f>VLOOKUP(Table_Query_from_Actuarial___Production3[[#This Row],[Kor1]],$AI$3:$AK$105,3,FALSE)</f>
        <v>Losses Paid</v>
      </c>
      <c r="AF6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1" spans="18:32" x14ac:dyDescent="0.2">
      <c r="R6281" t="s">
        <v>34</v>
      </c>
      <c r="S6281" t="s">
        <v>264</v>
      </c>
      <c r="T6281" t="s">
        <v>433</v>
      </c>
      <c r="U6281" s="21">
        <v>2847.01</v>
      </c>
      <c r="V6281" s="21" t="s">
        <v>368</v>
      </c>
      <c r="W6281" t="str">
        <f>VLOOKUP(Table_Query_from_Actuarial___Production[[#This Row],[Kor1]],$AI$3:$AK$105,3,FALSE)</f>
        <v>Misc. Expense</v>
      </c>
      <c r="X6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1"/>
      <c r="Z6281" t="s">
        <v>27</v>
      </c>
      <c r="AA6281" t="s">
        <v>259</v>
      </c>
      <c r="AB6281" t="s">
        <v>356</v>
      </c>
      <c r="AC6281" s="21">
        <v>140.47999999999999</v>
      </c>
      <c r="AD6281" s="21" t="s">
        <v>368</v>
      </c>
      <c r="AE6281" t="str">
        <f>VLOOKUP(Table_Query_from_Actuarial___Production3[[#This Row],[Kor1]],$AI$3:$AK$105,3,FALSE)</f>
        <v>Misc. Expense</v>
      </c>
      <c r="AF6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2" spans="18:32" x14ac:dyDescent="0.2">
      <c r="R6282" t="s">
        <v>41</v>
      </c>
      <c r="S6282" t="s">
        <v>267</v>
      </c>
      <c r="T6282" t="s">
        <v>7</v>
      </c>
      <c r="U6282" s="21">
        <v>550</v>
      </c>
      <c r="V6282" s="21" t="s">
        <v>368</v>
      </c>
      <c r="W6282" t="str">
        <f>VLOOKUP(Table_Query_from_Actuarial___Production[[#This Row],[Kor1]],$AI$3:$AK$105,3,FALSE)</f>
        <v>Misc. Income</v>
      </c>
      <c r="X6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2"/>
      <c r="Z6282" t="s">
        <v>36</v>
      </c>
      <c r="AA6282" t="s">
        <v>252</v>
      </c>
      <c r="AB6282" t="s">
        <v>5</v>
      </c>
      <c r="AC6282" s="21">
        <v>22613.78</v>
      </c>
      <c r="AD6282" s="21" t="s">
        <v>368</v>
      </c>
      <c r="AE6282" t="str">
        <f>VLOOKUP(Table_Query_from_Actuarial___Production3[[#This Row],[Kor1]],$AI$3:$AK$105,3,FALSE)</f>
        <v>Misc. Expense</v>
      </c>
      <c r="AF6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3" spans="18:32" x14ac:dyDescent="0.2">
      <c r="R6283" t="s">
        <v>13</v>
      </c>
      <c r="S6283" t="s">
        <v>226</v>
      </c>
      <c r="T6283" t="s">
        <v>442</v>
      </c>
      <c r="U6283" s="21">
        <v>947150.01</v>
      </c>
      <c r="V6283" s="21" t="s">
        <v>368</v>
      </c>
      <c r="W6283" t="str">
        <f>VLOOKUP(Table_Query_from_Actuarial___Production[[#This Row],[Kor1]],$AI$3:$AK$105,3,FALSE)</f>
        <v>Operating Service Fees</v>
      </c>
      <c r="X6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283"/>
      <c r="Z6283" t="s">
        <v>10</v>
      </c>
      <c r="AA6283" t="s">
        <v>224</v>
      </c>
      <c r="AB6283" t="s">
        <v>442</v>
      </c>
      <c r="AC6283" s="21">
        <v>101175.58</v>
      </c>
      <c r="AD6283" s="21" t="s">
        <v>368</v>
      </c>
      <c r="AE6283" t="str">
        <f>VLOOKUP(Table_Query_from_Actuarial___Production3[[#This Row],[Kor1]],$AI$3:$AK$105,3,FALSE)</f>
        <v>Commissions</v>
      </c>
      <c r="AF6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284" spans="18:32" x14ac:dyDescent="0.2">
      <c r="R6284" t="s">
        <v>14</v>
      </c>
      <c r="S6284" t="s">
        <v>226</v>
      </c>
      <c r="T6284" t="s">
        <v>441</v>
      </c>
      <c r="U6284" s="21">
        <v>381212.94</v>
      </c>
      <c r="V6284" s="21" t="s">
        <v>368</v>
      </c>
      <c r="W6284" t="str">
        <f>VLOOKUP(Table_Query_from_Actuarial___Production[[#This Row],[Kor1]],$AI$3:$AK$105,3,FALSE)</f>
        <v>Claims Expense</v>
      </c>
      <c r="X6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284"/>
      <c r="Z6284" t="s">
        <v>3</v>
      </c>
      <c r="AA6284" t="s">
        <v>233</v>
      </c>
      <c r="AB6284" t="s">
        <v>441</v>
      </c>
      <c r="AC6284" s="21">
        <v>981513</v>
      </c>
      <c r="AD6284" s="21" t="s">
        <v>368</v>
      </c>
      <c r="AE6284" t="str">
        <f>VLOOKUP(Table_Query_from_Actuarial___Production3[[#This Row],[Kor1]],$AI$3:$AK$105,3,FALSE)</f>
        <v>Premiums Written</v>
      </c>
      <c r="AF6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5" spans="18:32" x14ac:dyDescent="0.2">
      <c r="R6285" t="s">
        <v>31</v>
      </c>
      <c r="S6285" t="s">
        <v>247</v>
      </c>
      <c r="T6285" t="s">
        <v>7</v>
      </c>
      <c r="U6285" s="21">
        <v>552.89</v>
      </c>
      <c r="V6285" s="21" t="s">
        <v>368</v>
      </c>
      <c r="W6285" t="str">
        <f>VLOOKUP(Table_Query_from_Actuarial___Production[[#This Row],[Kor1]],$AI$3:$AK$105,3,FALSE)</f>
        <v>Misc. Expense</v>
      </c>
      <c r="X6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5"/>
      <c r="Z6285" t="s">
        <v>31</v>
      </c>
      <c r="AA6285" t="s">
        <v>259</v>
      </c>
      <c r="AB6285" t="s">
        <v>9</v>
      </c>
      <c r="AC6285" s="21">
        <v>612.19000000000005</v>
      </c>
      <c r="AD6285" s="21" t="s">
        <v>368</v>
      </c>
      <c r="AE6285" t="str">
        <f>VLOOKUP(Table_Query_from_Actuarial___Production3[[#This Row],[Kor1]],$AI$3:$AK$105,3,FALSE)</f>
        <v>Misc. Expense</v>
      </c>
      <c r="AF6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6" spans="18:32" x14ac:dyDescent="0.2">
      <c r="R6286" t="s">
        <v>41</v>
      </c>
      <c r="S6286" t="s">
        <v>228</v>
      </c>
      <c r="T6286" t="s">
        <v>443</v>
      </c>
      <c r="U6286" s="21">
        <v>100.01</v>
      </c>
      <c r="V6286" s="21" t="s">
        <v>368</v>
      </c>
      <c r="W6286" t="str">
        <f>VLOOKUP(Table_Query_from_Actuarial___Production[[#This Row],[Kor1]],$AI$3:$AK$105,3,FALSE)</f>
        <v>Misc. Income</v>
      </c>
      <c r="X6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6"/>
      <c r="Z6286" t="s">
        <v>33</v>
      </c>
      <c r="AA6286" t="s">
        <v>257</v>
      </c>
      <c r="AB6286" t="s">
        <v>351</v>
      </c>
      <c r="AC6286" s="21">
        <v>19446.11</v>
      </c>
      <c r="AD6286" s="21" t="s">
        <v>368</v>
      </c>
      <c r="AE6286" t="str">
        <f>VLOOKUP(Table_Query_from_Actuarial___Production3[[#This Row],[Kor1]],$AI$3:$AK$105,3,FALSE)</f>
        <v>Misc. Expense</v>
      </c>
      <c r="AF6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7" spans="18:32" x14ac:dyDescent="0.2">
      <c r="R6287" t="s">
        <v>42</v>
      </c>
      <c r="S6287" t="s">
        <v>4</v>
      </c>
      <c r="T6287" t="s">
        <v>6</v>
      </c>
      <c r="U6287" s="21">
        <v>945.87</v>
      </c>
      <c r="V6287" s="21" t="s">
        <v>368</v>
      </c>
      <c r="W6287" t="str">
        <f>VLOOKUP(Table_Query_from_Actuarial___Production[[#This Row],[Kor1]],$AI$3:$AK$105,3,FALSE)</f>
        <v>Misc. Income</v>
      </c>
      <c r="X6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7"/>
      <c r="Z6287" t="s">
        <v>14</v>
      </c>
      <c r="AA6287" t="s">
        <v>236</v>
      </c>
      <c r="AB6287" t="s">
        <v>443</v>
      </c>
      <c r="AC6287" s="21">
        <v>61.57</v>
      </c>
      <c r="AD6287" s="21" t="s">
        <v>368</v>
      </c>
      <c r="AE6287" t="str">
        <f>VLOOKUP(Table_Query_from_Actuarial___Production3[[#This Row],[Kor1]],$AI$3:$AK$105,3,FALSE)</f>
        <v>Claims Expense</v>
      </c>
      <c r="AF6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8" spans="18:32" x14ac:dyDescent="0.2">
      <c r="R6288" t="s">
        <v>37</v>
      </c>
      <c r="S6288" t="s">
        <v>241</v>
      </c>
      <c r="T6288" t="s">
        <v>427</v>
      </c>
      <c r="U6288" s="21">
        <v>-1808.42</v>
      </c>
      <c r="V6288" s="21" t="s">
        <v>368</v>
      </c>
      <c r="W6288" t="str">
        <f>VLOOKUP(Table_Query_from_Actuarial___Production[[#This Row],[Kor1]],$AI$3:$AK$105,3,FALSE)</f>
        <v>Misc. Expense</v>
      </c>
      <c r="X6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8"/>
      <c r="Z6288" t="s">
        <v>39</v>
      </c>
      <c r="AA6288" t="s">
        <v>239</v>
      </c>
      <c r="AB6288" t="s">
        <v>5</v>
      </c>
      <c r="AC6288" s="21">
        <v>13069.56</v>
      </c>
      <c r="AD6288" s="21" t="s">
        <v>368</v>
      </c>
      <c r="AE6288" t="str">
        <f>VLOOKUP(Table_Query_from_Actuarial___Production3[[#This Row],[Kor1]],$AI$3:$AK$105,3,FALSE)</f>
        <v>Misc. Income for Insolvent Companies</v>
      </c>
      <c r="AF6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89" spans="18:32" x14ac:dyDescent="0.2">
      <c r="R6289" t="s">
        <v>44</v>
      </c>
      <c r="S6289" t="s">
        <v>254</v>
      </c>
      <c r="T6289" t="s">
        <v>445</v>
      </c>
      <c r="U6289" s="21">
        <v>82.2</v>
      </c>
      <c r="V6289" s="21" t="s">
        <v>368</v>
      </c>
      <c r="W6289" t="str">
        <f>VLOOKUP(Table_Query_from_Actuarial___Production[[#This Row],[Kor1]],$AI$3:$AK$105,3,FALSE)</f>
        <v>Charge-offs</v>
      </c>
      <c r="X6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89"/>
      <c r="Z6289" t="s">
        <v>40</v>
      </c>
      <c r="AA6289" t="s">
        <v>235</v>
      </c>
      <c r="AB6289" t="s">
        <v>427</v>
      </c>
      <c r="AC6289" s="21">
        <v>51.01</v>
      </c>
      <c r="AD6289" s="21" t="s">
        <v>368</v>
      </c>
      <c r="AE6289" t="str">
        <f>VLOOKUP(Table_Query_from_Actuarial___Production3[[#This Row],[Kor1]],$AI$3:$AK$105,3,FALSE)</f>
        <v>Misc. Income</v>
      </c>
      <c r="AF6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0" spans="18:32" x14ac:dyDescent="0.2">
      <c r="R6290" t="s">
        <v>13</v>
      </c>
      <c r="S6290" t="s">
        <v>256</v>
      </c>
      <c r="T6290" t="s">
        <v>441</v>
      </c>
      <c r="U6290" s="21">
        <v>16252.79</v>
      </c>
      <c r="V6290" s="21" t="s">
        <v>368</v>
      </c>
      <c r="W6290" t="str">
        <f>VLOOKUP(Table_Query_from_Actuarial___Production[[#This Row],[Kor1]],$AI$3:$AK$105,3,FALSE)</f>
        <v>Operating Service Fees</v>
      </c>
      <c r="X6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0"/>
      <c r="Z6290" t="s">
        <v>16</v>
      </c>
      <c r="AA6290" t="s">
        <v>226</v>
      </c>
      <c r="AB6290" t="s">
        <v>356</v>
      </c>
      <c r="AC6290" s="21">
        <v>371896.67</v>
      </c>
      <c r="AD6290" s="21" t="s">
        <v>368</v>
      </c>
      <c r="AE6290" t="str">
        <f>VLOOKUP(Table_Query_from_Actuarial___Production3[[#This Row],[Kor1]],$AI$3:$AK$105,3,FALSE)</f>
        <v>Losses Outstanding</v>
      </c>
      <c r="AF6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291" spans="18:32" x14ac:dyDescent="0.2">
      <c r="R6291" t="s">
        <v>3</v>
      </c>
      <c r="S6291" t="s">
        <v>253</v>
      </c>
      <c r="T6291" t="s">
        <v>8</v>
      </c>
      <c r="U6291" s="21">
        <v>5608</v>
      </c>
      <c r="V6291" s="21" t="s">
        <v>368</v>
      </c>
      <c r="W6291" t="str">
        <f>VLOOKUP(Table_Query_from_Actuarial___Production[[#This Row],[Kor1]],$AI$3:$AK$105,3,FALSE)</f>
        <v>Premiums Written</v>
      </c>
      <c r="X6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1"/>
      <c r="Z6291" t="s">
        <v>20</v>
      </c>
      <c r="AA6291" t="s">
        <v>4</v>
      </c>
      <c r="AB6291" t="s">
        <v>427</v>
      </c>
      <c r="AC6291" s="21">
        <v>3855.88</v>
      </c>
      <c r="AD6291" s="21" t="s">
        <v>368</v>
      </c>
      <c r="AE6291" t="str">
        <f>VLOOKUP(Table_Query_from_Actuarial___Production3[[#This Row],[Kor1]],$AI$3:$AK$105,3,FALSE)</f>
        <v>Misc. Expense</v>
      </c>
      <c r="AF6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2" spans="18:32" x14ac:dyDescent="0.2">
      <c r="R6292" t="s">
        <v>48</v>
      </c>
      <c r="S6292" t="s">
        <v>264</v>
      </c>
      <c r="T6292" t="s">
        <v>442</v>
      </c>
      <c r="U6292" s="21">
        <v>21838.17</v>
      </c>
      <c r="V6292" s="21" t="s">
        <v>368</v>
      </c>
      <c r="W6292" t="str">
        <f>VLOOKUP(Table_Query_from_Actuarial___Production[[#This Row],[Kor1]],$AI$3:$AK$105,3,FALSE)</f>
        <v>Anticipated Salvage</v>
      </c>
      <c r="X6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2"/>
      <c r="Z6292" t="s">
        <v>40</v>
      </c>
      <c r="AA6292" t="s">
        <v>227</v>
      </c>
      <c r="AB6292" t="s">
        <v>351</v>
      </c>
      <c r="AC6292" s="21">
        <v>150</v>
      </c>
      <c r="AD6292" s="21" t="s">
        <v>368</v>
      </c>
      <c r="AE6292" t="str">
        <f>VLOOKUP(Table_Query_from_Actuarial___Production3[[#This Row],[Kor1]],$AI$3:$AK$105,3,FALSE)</f>
        <v>Misc. Income</v>
      </c>
      <c r="AF6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3" spans="18:32" x14ac:dyDescent="0.2">
      <c r="R6293" t="s">
        <v>12</v>
      </c>
      <c r="S6293" t="s">
        <v>237</v>
      </c>
      <c r="T6293" t="s">
        <v>441</v>
      </c>
      <c r="U6293" s="21">
        <v>1333275.5</v>
      </c>
      <c r="V6293" s="21" t="s">
        <v>368</v>
      </c>
      <c r="W6293" t="str">
        <f>VLOOKUP(Table_Query_from_Actuarial___Production[[#This Row],[Kor1]],$AI$3:$AK$105,3,FALSE)</f>
        <v>Premium Tax</v>
      </c>
      <c r="X6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3"/>
      <c r="Z6293" t="s">
        <v>14</v>
      </c>
      <c r="AA6293" t="s">
        <v>230</v>
      </c>
      <c r="AB6293" t="s">
        <v>5</v>
      </c>
      <c r="AC6293" s="21">
        <v>640456.73</v>
      </c>
      <c r="AD6293" s="21" t="s">
        <v>368</v>
      </c>
      <c r="AE6293" t="str">
        <f>VLOOKUP(Table_Query_from_Actuarial___Production3[[#This Row],[Kor1]],$AI$3:$AK$105,3,FALSE)</f>
        <v>Claims Expense</v>
      </c>
      <c r="AF6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4" spans="18:32" x14ac:dyDescent="0.2">
      <c r="R6294" t="s">
        <v>43</v>
      </c>
      <c r="S6294" t="s">
        <v>237</v>
      </c>
      <c r="T6294" t="s">
        <v>443</v>
      </c>
      <c r="U6294" s="21">
        <v>11366.51</v>
      </c>
      <c r="V6294" s="21" t="s">
        <v>368</v>
      </c>
      <c r="W6294" t="str">
        <f>VLOOKUP(Table_Query_from_Actuarial___Production[[#This Row],[Kor1]],$AI$3:$AK$105,3,FALSE)</f>
        <v>Charge-offs</v>
      </c>
      <c r="X6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4"/>
      <c r="Z6294" t="s">
        <v>49</v>
      </c>
      <c r="AA6294" t="s">
        <v>236</v>
      </c>
      <c r="AB6294" t="s">
        <v>433</v>
      </c>
      <c r="AC6294" s="21">
        <v>2926.12</v>
      </c>
      <c r="AD6294" s="21" t="s">
        <v>368</v>
      </c>
      <c r="AE6294" t="str">
        <f>VLOOKUP(Table_Query_from_Actuarial___Production3[[#This Row],[Kor1]],$AI$3:$AK$105,3,FALSE)</f>
        <v>ALAE Paid</v>
      </c>
      <c r="AF6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5" spans="18:32" x14ac:dyDescent="0.2">
      <c r="R6295" t="s">
        <v>49</v>
      </c>
      <c r="S6295" t="s">
        <v>249</v>
      </c>
      <c r="T6295" t="s">
        <v>7</v>
      </c>
      <c r="U6295" s="21">
        <v>3361.48</v>
      </c>
      <c r="V6295" s="21" t="s">
        <v>368</v>
      </c>
      <c r="W6295" t="str">
        <f>VLOOKUP(Table_Query_from_Actuarial___Production[[#This Row],[Kor1]],$AI$3:$AK$105,3,FALSE)</f>
        <v>ALAE Paid</v>
      </c>
      <c r="X6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5"/>
      <c r="Z6295" t="s">
        <v>3</v>
      </c>
      <c r="AA6295" t="s">
        <v>224</v>
      </c>
      <c r="AB6295" t="s">
        <v>6</v>
      </c>
      <c r="AC6295" s="21">
        <v>3094270.17</v>
      </c>
      <c r="AD6295" s="21" t="s">
        <v>370</v>
      </c>
      <c r="AE6295" t="str">
        <f>VLOOKUP(Table_Query_from_Actuarial___Production3[[#This Row],[Kor1]],$AI$3:$AK$105,3,FALSE)</f>
        <v>Premiums Written</v>
      </c>
      <c r="AF6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296" spans="18:32" x14ac:dyDescent="0.2">
      <c r="R6296" t="s">
        <v>17</v>
      </c>
      <c r="S6296" t="s">
        <v>264</v>
      </c>
      <c r="T6296" t="s">
        <v>433</v>
      </c>
      <c r="U6296" s="21">
        <v>382620.65</v>
      </c>
      <c r="V6296" s="21" t="s">
        <v>368</v>
      </c>
      <c r="W6296" t="str">
        <f>VLOOKUP(Table_Query_from_Actuarial___Production[[#This Row],[Kor1]],$AI$3:$AK$105,3,FALSE)</f>
        <v>IBNR</v>
      </c>
      <c r="X6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6"/>
      <c r="Z6296" t="s">
        <v>10</v>
      </c>
      <c r="AA6296" t="s">
        <v>264</v>
      </c>
      <c r="AB6296" t="s">
        <v>7</v>
      </c>
      <c r="AC6296" s="21">
        <v>134082.26999999999</v>
      </c>
      <c r="AD6296" s="21" t="s">
        <v>368</v>
      </c>
      <c r="AE6296" t="str">
        <f>VLOOKUP(Table_Query_from_Actuarial___Production3[[#This Row],[Kor1]],$AI$3:$AK$105,3,FALSE)</f>
        <v>Commissions</v>
      </c>
      <c r="AF6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7" spans="18:32" x14ac:dyDescent="0.2">
      <c r="R6297" t="s">
        <v>31</v>
      </c>
      <c r="S6297" t="s">
        <v>263</v>
      </c>
      <c r="T6297" t="s">
        <v>351</v>
      </c>
      <c r="U6297" s="21">
        <v>582.94000000000005</v>
      </c>
      <c r="V6297" s="21" t="s">
        <v>368</v>
      </c>
      <c r="W6297" t="str">
        <f>VLOOKUP(Table_Query_from_Actuarial___Production[[#This Row],[Kor1]],$AI$3:$AK$105,3,FALSE)</f>
        <v>Misc. Expense</v>
      </c>
      <c r="X6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7"/>
      <c r="Z6297" t="s">
        <v>13</v>
      </c>
      <c r="AA6297" t="s">
        <v>257</v>
      </c>
      <c r="AB6297" t="s">
        <v>442</v>
      </c>
      <c r="AC6297" s="21">
        <v>414204</v>
      </c>
      <c r="AD6297" s="21" t="s">
        <v>368</v>
      </c>
      <c r="AE6297" t="str">
        <f>VLOOKUP(Table_Query_from_Actuarial___Production3[[#This Row],[Kor1]],$AI$3:$AK$105,3,FALSE)</f>
        <v>Operating Service Fees</v>
      </c>
      <c r="AF6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8" spans="18:32" x14ac:dyDescent="0.2">
      <c r="R6298" t="s">
        <v>33</v>
      </c>
      <c r="S6298" t="s">
        <v>258</v>
      </c>
      <c r="T6298" t="s">
        <v>443</v>
      </c>
      <c r="U6298" s="21">
        <v>23202.57</v>
      </c>
      <c r="V6298" s="21" t="s">
        <v>368</v>
      </c>
      <c r="W6298" t="str">
        <f>VLOOKUP(Table_Query_from_Actuarial___Production[[#This Row],[Kor1]],$AI$3:$AK$105,3,FALSE)</f>
        <v>Misc. Expense</v>
      </c>
      <c r="X6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298"/>
      <c r="Z6298" t="s">
        <v>34</v>
      </c>
      <c r="AA6298" t="s">
        <v>264</v>
      </c>
      <c r="AB6298" t="s">
        <v>433</v>
      </c>
      <c r="AC6298" s="21">
        <v>2847.01</v>
      </c>
      <c r="AD6298" s="21" t="s">
        <v>368</v>
      </c>
      <c r="AE6298" t="str">
        <f>VLOOKUP(Table_Query_from_Actuarial___Production3[[#This Row],[Kor1]],$AI$3:$AK$105,3,FALSE)</f>
        <v>Misc. Expense</v>
      </c>
      <c r="AF6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299" spans="18:32" x14ac:dyDescent="0.2">
      <c r="R6299" t="s">
        <v>46</v>
      </c>
      <c r="S6299" t="s">
        <v>226</v>
      </c>
      <c r="T6299" t="s">
        <v>442</v>
      </c>
      <c r="U6299" s="21">
        <v>57612.82</v>
      </c>
      <c r="V6299" s="21" t="s">
        <v>368</v>
      </c>
      <c r="W6299" t="str">
        <f>VLOOKUP(Table_Query_from_Actuarial___Production[[#This Row],[Kor1]],$AI$3:$AK$105,3,FALSE)</f>
        <v>Investment Income</v>
      </c>
      <c r="X6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299"/>
      <c r="Z6299" t="s">
        <v>41</v>
      </c>
      <c r="AA6299" t="s">
        <v>267</v>
      </c>
      <c r="AB6299" t="s">
        <v>7</v>
      </c>
      <c r="AC6299" s="21">
        <v>550</v>
      </c>
      <c r="AD6299" s="21" t="s">
        <v>368</v>
      </c>
      <c r="AE6299" t="str">
        <f>VLOOKUP(Table_Query_from_Actuarial___Production3[[#This Row],[Kor1]],$AI$3:$AK$105,3,FALSE)</f>
        <v>Misc. Income</v>
      </c>
      <c r="AF6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0" spans="18:32" x14ac:dyDescent="0.2">
      <c r="R6300" t="s">
        <v>36</v>
      </c>
      <c r="S6300" t="s">
        <v>251</v>
      </c>
      <c r="T6300" t="s">
        <v>443</v>
      </c>
      <c r="U6300" s="21">
        <v>400</v>
      </c>
      <c r="V6300" s="21" t="s">
        <v>368</v>
      </c>
      <c r="W6300" t="str">
        <f>VLOOKUP(Table_Query_from_Actuarial___Production[[#This Row],[Kor1]],$AI$3:$AK$105,3,FALSE)</f>
        <v>Misc. Expense</v>
      </c>
      <c r="X6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0"/>
      <c r="Z6300" t="s">
        <v>13</v>
      </c>
      <c r="AA6300" t="s">
        <v>226</v>
      </c>
      <c r="AB6300" t="s">
        <v>442</v>
      </c>
      <c r="AC6300" s="21">
        <v>947657.61</v>
      </c>
      <c r="AD6300" s="21" t="s">
        <v>368</v>
      </c>
      <c r="AE6300" t="str">
        <f>VLOOKUP(Table_Query_from_Actuarial___Production3[[#This Row],[Kor1]],$AI$3:$AK$105,3,FALSE)</f>
        <v>Operating Service Fees</v>
      </c>
      <c r="AF6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01" spans="18:32" x14ac:dyDescent="0.2">
      <c r="R6301" t="s">
        <v>10</v>
      </c>
      <c r="S6301" t="s">
        <v>263</v>
      </c>
      <c r="T6301" t="s">
        <v>442</v>
      </c>
      <c r="U6301" s="21">
        <v>43206.1</v>
      </c>
      <c r="V6301" s="21" t="s">
        <v>368</v>
      </c>
      <c r="W6301" t="str">
        <f>VLOOKUP(Table_Query_from_Actuarial___Production[[#This Row],[Kor1]],$AI$3:$AK$105,3,FALSE)</f>
        <v>Commissions</v>
      </c>
      <c r="X6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1"/>
      <c r="Z6301" t="s">
        <v>14</v>
      </c>
      <c r="AA6301" t="s">
        <v>226</v>
      </c>
      <c r="AB6301" t="s">
        <v>441</v>
      </c>
      <c r="AC6301" s="21">
        <v>381212.94</v>
      </c>
      <c r="AD6301" s="21" t="s">
        <v>368</v>
      </c>
      <c r="AE6301" t="str">
        <f>VLOOKUP(Table_Query_from_Actuarial___Production3[[#This Row],[Kor1]],$AI$3:$AK$105,3,FALSE)</f>
        <v>Claims Expense</v>
      </c>
      <c r="AF6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02" spans="18:32" x14ac:dyDescent="0.2">
      <c r="R6302" t="s">
        <v>44</v>
      </c>
      <c r="S6302" t="s">
        <v>224</v>
      </c>
      <c r="T6302" t="s">
        <v>356</v>
      </c>
      <c r="U6302" s="21">
        <v>1003.58</v>
      </c>
      <c r="V6302" s="21" t="s">
        <v>368</v>
      </c>
      <c r="W6302" t="str">
        <f>VLOOKUP(Table_Query_from_Actuarial___Production[[#This Row],[Kor1]],$AI$3:$AK$105,3,FALSE)</f>
        <v>Charge-offs</v>
      </c>
      <c r="X6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302"/>
      <c r="Z6302" t="s">
        <v>31</v>
      </c>
      <c r="AA6302" t="s">
        <v>247</v>
      </c>
      <c r="AB6302" t="s">
        <v>7</v>
      </c>
      <c r="AC6302" s="21">
        <v>552.89</v>
      </c>
      <c r="AD6302" s="21" t="s">
        <v>368</v>
      </c>
      <c r="AE6302" t="str">
        <f>VLOOKUP(Table_Query_from_Actuarial___Production3[[#This Row],[Kor1]],$AI$3:$AK$105,3,FALSE)</f>
        <v>Misc. Expense</v>
      </c>
      <c r="AF6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3" spans="18:32" x14ac:dyDescent="0.2">
      <c r="R6303" t="s">
        <v>11</v>
      </c>
      <c r="S6303" t="s">
        <v>224</v>
      </c>
      <c r="T6303" t="s">
        <v>351</v>
      </c>
      <c r="U6303" s="21">
        <v>738369.93</v>
      </c>
      <c r="V6303" s="21" t="s">
        <v>370</v>
      </c>
      <c r="W6303" t="str">
        <f>VLOOKUP(Table_Query_from_Actuarial___Production[[#This Row],[Kor1]],$AI$3:$AK$105,3,FALSE)</f>
        <v>Losses Paid</v>
      </c>
      <c r="X6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303"/>
      <c r="Z6303" t="s">
        <v>42</v>
      </c>
      <c r="AA6303" t="s">
        <v>4</v>
      </c>
      <c r="AB6303" t="s">
        <v>6</v>
      </c>
      <c r="AC6303" s="21">
        <v>945.55</v>
      </c>
      <c r="AD6303" s="21" t="s">
        <v>368</v>
      </c>
      <c r="AE6303" t="str">
        <f>VLOOKUP(Table_Query_from_Actuarial___Production3[[#This Row],[Kor1]],$AI$3:$AK$105,3,FALSE)</f>
        <v>Misc. Income</v>
      </c>
      <c r="AF6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4" spans="18:32" x14ac:dyDescent="0.2">
      <c r="R6304" t="s">
        <v>11</v>
      </c>
      <c r="S6304" t="s">
        <v>263</v>
      </c>
      <c r="T6304" t="s">
        <v>8</v>
      </c>
      <c r="U6304" s="21">
        <v>45515.55</v>
      </c>
      <c r="V6304" s="21" t="s">
        <v>368</v>
      </c>
      <c r="W6304" t="str">
        <f>VLOOKUP(Table_Query_from_Actuarial___Production[[#This Row],[Kor1]],$AI$3:$AK$105,3,FALSE)</f>
        <v>Losses Paid</v>
      </c>
      <c r="X6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4"/>
      <c r="Z6304" t="s">
        <v>37</v>
      </c>
      <c r="AA6304" t="s">
        <v>241</v>
      </c>
      <c r="AB6304" t="s">
        <v>427</v>
      </c>
      <c r="AC6304" s="21">
        <v>-1808.42</v>
      </c>
      <c r="AD6304" s="21" t="s">
        <v>368</v>
      </c>
      <c r="AE6304" t="str">
        <f>VLOOKUP(Table_Query_from_Actuarial___Production3[[#This Row],[Kor1]],$AI$3:$AK$105,3,FALSE)</f>
        <v>Misc. Expense</v>
      </c>
      <c r="AF6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5" spans="18:32" x14ac:dyDescent="0.2">
      <c r="R6305" t="s">
        <v>14</v>
      </c>
      <c r="S6305" t="s">
        <v>267</v>
      </c>
      <c r="T6305" t="s">
        <v>433</v>
      </c>
      <c r="U6305" s="21">
        <v>21707.65</v>
      </c>
      <c r="V6305" s="21" t="s">
        <v>368</v>
      </c>
      <c r="W6305" t="str">
        <f>VLOOKUP(Table_Query_from_Actuarial___Production[[#This Row],[Kor1]],$AI$3:$AK$105,3,FALSE)</f>
        <v>Claims Expense</v>
      </c>
      <c r="X6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5"/>
      <c r="Z6305" t="s">
        <v>13</v>
      </c>
      <c r="AA6305" t="s">
        <v>256</v>
      </c>
      <c r="AB6305" t="s">
        <v>441</v>
      </c>
      <c r="AC6305" s="21">
        <v>16252.79</v>
      </c>
      <c r="AD6305" s="21" t="s">
        <v>368</v>
      </c>
      <c r="AE6305" t="str">
        <f>VLOOKUP(Table_Query_from_Actuarial___Production3[[#This Row],[Kor1]],$AI$3:$AK$105,3,FALSE)</f>
        <v>Operating Service Fees</v>
      </c>
      <c r="AF6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6" spans="18:32" x14ac:dyDescent="0.2">
      <c r="R6306" t="s">
        <v>47</v>
      </c>
      <c r="S6306" t="s">
        <v>242</v>
      </c>
      <c r="T6306" t="s">
        <v>445</v>
      </c>
      <c r="U6306" s="21">
        <v>16809.689999999999</v>
      </c>
      <c r="V6306" s="21" t="s">
        <v>368</v>
      </c>
      <c r="W6306" t="str">
        <f>VLOOKUP(Table_Query_from_Actuarial___Production[[#This Row],[Kor1]],$AI$3:$AK$105,3,FALSE)</f>
        <v>Investment Income</v>
      </c>
      <c r="X6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6"/>
      <c r="Z6306" t="s">
        <v>3</v>
      </c>
      <c r="AA6306" t="s">
        <v>253</v>
      </c>
      <c r="AB6306" t="s">
        <v>8</v>
      </c>
      <c r="AC6306" s="21">
        <v>5608</v>
      </c>
      <c r="AD6306" s="21" t="s">
        <v>368</v>
      </c>
      <c r="AE6306" t="str">
        <f>VLOOKUP(Table_Query_from_Actuarial___Production3[[#This Row],[Kor1]],$AI$3:$AK$105,3,FALSE)</f>
        <v>Premiums Written</v>
      </c>
      <c r="AF6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7" spans="18:32" x14ac:dyDescent="0.2">
      <c r="R6307" t="s">
        <v>38</v>
      </c>
      <c r="S6307" t="s">
        <v>224</v>
      </c>
      <c r="T6307" t="s">
        <v>441</v>
      </c>
      <c r="U6307" s="21">
        <v>6899.5</v>
      </c>
      <c r="V6307" s="21" t="s">
        <v>425</v>
      </c>
      <c r="W6307" t="str">
        <f>VLOOKUP(Table_Query_from_Actuarial___Production[[#This Row],[Kor1]],$AI$3:$AK$105,3,FALSE)</f>
        <v>Misc. Income</v>
      </c>
      <c r="X6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307"/>
      <c r="Z6307" t="s">
        <v>48</v>
      </c>
      <c r="AA6307" t="s">
        <v>264</v>
      </c>
      <c r="AB6307" t="s">
        <v>442</v>
      </c>
      <c r="AC6307" s="21">
        <v>47595.97</v>
      </c>
      <c r="AD6307" s="21" t="s">
        <v>368</v>
      </c>
      <c r="AE6307" t="str">
        <f>VLOOKUP(Table_Query_from_Actuarial___Production3[[#This Row],[Kor1]],$AI$3:$AK$105,3,FALSE)</f>
        <v>Anticipated Salvage</v>
      </c>
      <c r="AF6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8" spans="18:32" x14ac:dyDescent="0.2">
      <c r="R6308" t="s">
        <v>33</v>
      </c>
      <c r="S6308" t="s">
        <v>240</v>
      </c>
      <c r="T6308" t="s">
        <v>7</v>
      </c>
      <c r="U6308" s="21">
        <v>13558.3</v>
      </c>
      <c r="V6308" s="21" t="s">
        <v>368</v>
      </c>
      <c r="W6308" t="str">
        <f>VLOOKUP(Table_Query_from_Actuarial___Production[[#This Row],[Kor1]],$AI$3:$AK$105,3,FALSE)</f>
        <v>Misc. Expense</v>
      </c>
      <c r="X6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8"/>
      <c r="Z6308" t="s">
        <v>12</v>
      </c>
      <c r="AA6308" t="s">
        <v>237</v>
      </c>
      <c r="AB6308" t="s">
        <v>441</v>
      </c>
      <c r="AC6308" s="21">
        <v>1342618.06</v>
      </c>
      <c r="AD6308" s="21" t="s">
        <v>368</v>
      </c>
      <c r="AE6308" t="str">
        <f>VLOOKUP(Table_Query_from_Actuarial___Production3[[#This Row],[Kor1]],$AI$3:$AK$105,3,FALSE)</f>
        <v>Premium Tax</v>
      </c>
      <c r="AF6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09" spans="18:32" x14ac:dyDescent="0.2">
      <c r="R6309" t="s">
        <v>50</v>
      </c>
      <c r="S6309" t="s">
        <v>239</v>
      </c>
      <c r="T6309" t="s">
        <v>427</v>
      </c>
      <c r="U6309" s="21">
        <v>264360.94</v>
      </c>
      <c r="V6309" s="21" t="s">
        <v>368</v>
      </c>
      <c r="W6309" t="str">
        <f>VLOOKUP(Table_Query_from_Actuarial___Production[[#This Row],[Kor1]],$AI$3:$AK$105,3,FALSE)</f>
        <v>ALAE Reserve</v>
      </c>
      <c r="X6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09"/>
      <c r="Z6309" t="s">
        <v>43</v>
      </c>
      <c r="AA6309" t="s">
        <v>237</v>
      </c>
      <c r="AB6309" t="s">
        <v>443</v>
      </c>
      <c r="AC6309" s="21">
        <v>6676.04</v>
      </c>
      <c r="AD6309" s="21" t="s">
        <v>368</v>
      </c>
      <c r="AE6309" t="str">
        <f>VLOOKUP(Table_Query_from_Actuarial___Production3[[#This Row],[Kor1]],$AI$3:$AK$105,3,FALSE)</f>
        <v>Charge-offs</v>
      </c>
      <c r="AF6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0" spans="18:32" x14ac:dyDescent="0.2">
      <c r="R6310" t="s">
        <v>11</v>
      </c>
      <c r="S6310" t="s">
        <v>265</v>
      </c>
      <c r="T6310" t="s">
        <v>427</v>
      </c>
      <c r="U6310" s="21">
        <v>155186.78</v>
      </c>
      <c r="V6310" s="21" t="s">
        <v>368</v>
      </c>
      <c r="W6310" t="str">
        <f>VLOOKUP(Table_Query_from_Actuarial___Production[[#This Row],[Kor1]],$AI$3:$AK$105,3,FALSE)</f>
        <v>Losses Paid</v>
      </c>
      <c r="X6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0"/>
      <c r="Z6310" t="s">
        <v>49</v>
      </c>
      <c r="AA6310" t="s">
        <v>249</v>
      </c>
      <c r="AB6310" t="s">
        <v>7</v>
      </c>
      <c r="AC6310" s="21">
        <v>3361.48</v>
      </c>
      <c r="AD6310" s="21" t="s">
        <v>368</v>
      </c>
      <c r="AE6310" t="str">
        <f>VLOOKUP(Table_Query_from_Actuarial___Production3[[#This Row],[Kor1]],$AI$3:$AK$105,3,FALSE)</f>
        <v>ALAE Paid</v>
      </c>
      <c r="AF6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1" spans="18:32" x14ac:dyDescent="0.2">
      <c r="R6311" t="s">
        <v>16</v>
      </c>
      <c r="S6311" t="s">
        <v>238</v>
      </c>
      <c r="T6311" t="s">
        <v>443</v>
      </c>
      <c r="U6311" s="21">
        <v>795840.33</v>
      </c>
      <c r="V6311" s="21" t="s">
        <v>368</v>
      </c>
      <c r="W6311" t="str">
        <f>VLOOKUP(Table_Query_from_Actuarial___Production[[#This Row],[Kor1]],$AI$3:$AK$105,3,FALSE)</f>
        <v>Losses Outstanding</v>
      </c>
      <c r="X6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1"/>
      <c r="Z6311" t="s">
        <v>17</v>
      </c>
      <c r="AA6311" t="s">
        <v>264</v>
      </c>
      <c r="AB6311" t="s">
        <v>433</v>
      </c>
      <c r="AC6311" s="21">
        <v>300109.63</v>
      </c>
      <c r="AD6311" s="21" t="s">
        <v>368</v>
      </c>
      <c r="AE6311" t="str">
        <f>VLOOKUP(Table_Query_from_Actuarial___Production3[[#This Row],[Kor1]],$AI$3:$AK$105,3,FALSE)</f>
        <v>IBNR</v>
      </c>
      <c r="AF6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2" spans="18:32" x14ac:dyDescent="0.2">
      <c r="R6312" t="s">
        <v>43</v>
      </c>
      <c r="S6312" t="s">
        <v>250</v>
      </c>
      <c r="T6312" t="s">
        <v>7</v>
      </c>
      <c r="U6312" s="21">
        <v>61.09</v>
      </c>
      <c r="V6312" s="21" t="s">
        <v>368</v>
      </c>
      <c r="W6312" t="str">
        <f>VLOOKUP(Table_Query_from_Actuarial___Production[[#This Row],[Kor1]],$AI$3:$AK$105,3,FALSE)</f>
        <v>Charge-offs</v>
      </c>
      <c r="X6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2"/>
      <c r="Z6312" t="s">
        <v>31</v>
      </c>
      <c r="AA6312" t="s">
        <v>263</v>
      </c>
      <c r="AB6312" t="s">
        <v>351</v>
      </c>
      <c r="AC6312" s="21">
        <v>582.94000000000005</v>
      </c>
      <c r="AD6312" s="21" t="s">
        <v>368</v>
      </c>
      <c r="AE6312" t="str">
        <f>VLOOKUP(Table_Query_from_Actuarial___Production3[[#This Row],[Kor1]],$AI$3:$AK$105,3,FALSE)</f>
        <v>Misc. Expense</v>
      </c>
      <c r="AF6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3" spans="18:32" x14ac:dyDescent="0.2">
      <c r="R6313" t="s">
        <v>46</v>
      </c>
      <c r="S6313" t="s">
        <v>226</v>
      </c>
      <c r="T6313" t="s">
        <v>6</v>
      </c>
      <c r="U6313" s="21">
        <v>161.84</v>
      </c>
      <c r="V6313" s="21" t="s">
        <v>368</v>
      </c>
      <c r="W6313" t="str">
        <f>VLOOKUP(Table_Query_from_Actuarial___Production[[#This Row],[Kor1]],$AI$3:$AK$105,3,FALSE)</f>
        <v>Investment Income</v>
      </c>
      <c r="X6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313"/>
      <c r="Z6313" t="s">
        <v>33</v>
      </c>
      <c r="AA6313" t="s">
        <v>258</v>
      </c>
      <c r="AB6313" t="s">
        <v>443</v>
      </c>
      <c r="AC6313" s="21">
        <v>12166.48</v>
      </c>
      <c r="AD6313" s="21" t="s">
        <v>368</v>
      </c>
      <c r="AE6313" t="str">
        <f>VLOOKUP(Table_Query_from_Actuarial___Production3[[#This Row],[Kor1]],$AI$3:$AK$105,3,FALSE)</f>
        <v>Misc. Expense</v>
      </c>
      <c r="AF6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4" spans="18:32" x14ac:dyDescent="0.2">
      <c r="R6314" t="s">
        <v>13</v>
      </c>
      <c r="S6314" t="s">
        <v>242</v>
      </c>
      <c r="T6314" t="s">
        <v>7</v>
      </c>
      <c r="U6314" s="21">
        <v>42583.64</v>
      </c>
      <c r="V6314" s="21" t="s">
        <v>368</v>
      </c>
      <c r="W6314" t="str">
        <f>VLOOKUP(Table_Query_from_Actuarial___Production[[#This Row],[Kor1]],$AI$3:$AK$105,3,FALSE)</f>
        <v>Operating Service Fees</v>
      </c>
      <c r="X6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4"/>
      <c r="Z6314" t="s">
        <v>46</v>
      </c>
      <c r="AA6314" t="s">
        <v>226</v>
      </c>
      <c r="AB6314" t="s">
        <v>442</v>
      </c>
      <c r="AC6314" s="21">
        <v>57612.82</v>
      </c>
      <c r="AD6314" s="21" t="s">
        <v>368</v>
      </c>
      <c r="AE6314" t="str">
        <f>VLOOKUP(Table_Query_from_Actuarial___Production3[[#This Row],[Kor1]],$AI$3:$AK$105,3,FALSE)</f>
        <v>Investment Income</v>
      </c>
      <c r="AF6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15" spans="18:32" x14ac:dyDescent="0.2">
      <c r="R6315" t="s">
        <v>16</v>
      </c>
      <c r="S6315" t="s">
        <v>251</v>
      </c>
      <c r="T6315" t="s">
        <v>443</v>
      </c>
      <c r="U6315" s="21">
        <v>329785.14</v>
      </c>
      <c r="V6315" s="21" t="s">
        <v>368</v>
      </c>
      <c r="W6315" t="str">
        <f>VLOOKUP(Table_Query_from_Actuarial___Production[[#This Row],[Kor1]],$AI$3:$AK$105,3,FALSE)</f>
        <v>Losses Outstanding</v>
      </c>
      <c r="X6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5"/>
      <c r="Z6315" t="s">
        <v>10</v>
      </c>
      <c r="AA6315" t="s">
        <v>263</v>
      </c>
      <c r="AB6315" t="s">
        <v>442</v>
      </c>
      <c r="AC6315" s="21">
        <v>43203.4</v>
      </c>
      <c r="AD6315" s="21" t="s">
        <v>368</v>
      </c>
      <c r="AE6315" t="str">
        <f>VLOOKUP(Table_Query_from_Actuarial___Production3[[#This Row],[Kor1]],$AI$3:$AK$105,3,FALSE)</f>
        <v>Commissions</v>
      </c>
      <c r="AF6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6" spans="18:32" x14ac:dyDescent="0.2">
      <c r="R6316" t="s">
        <v>25</v>
      </c>
      <c r="S6316" t="s">
        <v>250</v>
      </c>
      <c r="T6316" t="s">
        <v>441</v>
      </c>
      <c r="U6316" s="21">
        <v>418.59</v>
      </c>
      <c r="V6316" s="21" t="s">
        <v>368</v>
      </c>
      <c r="W6316" t="str">
        <f>VLOOKUP(Table_Query_from_Actuarial___Production[[#This Row],[Kor1]],$AI$3:$AK$105,3,FALSE)</f>
        <v>Misc. Expense</v>
      </c>
      <c r="X6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6"/>
      <c r="Z6316" t="s">
        <v>19</v>
      </c>
      <c r="AA6316" t="s">
        <v>247</v>
      </c>
      <c r="AB6316" t="s">
        <v>5</v>
      </c>
      <c r="AC6316" s="21">
        <v>77</v>
      </c>
      <c r="AD6316" s="21" t="s">
        <v>368</v>
      </c>
      <c r="AE6316" t="str">
        <f>VLOOKUP(Table_Query_from_Actuarial___Production3[[#This Row],[Kor1]],$AI$3:$AK$105,3,FALSE)</f>
        <v>Misc. Expense for Insolvent Companies</v>
      </c>
      <c r="AF6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17" spans="18:32" x14ac:dyDescent="0.2">
      <c r="R6317" t="s">
        <v>50</v>
      </c>
      <c r="S6317" t="s">
        <v>231</v>
      </c>
      <c r="T6317" t="s">
        <v>356</v>
      </c>
      <c r="U6317" s="21">
        <v>11444.45</v>
      </c>
      <c r="V6317" s="21" t="s">
        <v>368</v>
      </c>
      <c r="W6317" t="str">
        <f>VLOOKUP(Table_Query_from_Actuarial___Production[[#This Row],[Kor1]],$AI$3:$AK$105,3,FALSE)</f>
        <v>ALAE Reserve</v>
      </c>
      <c r="X6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7"/>
      <c r="Z6317" t="s">
        <v>44</v>
      </c>
      <c r="AA6317" t="s">
        <v>224</v>
      </c>
      <c r="AB6317" t="s">
        <v>356</v>
      </c>
      <c r="AC6317" s="21">
        <v>1003.58</v>
      </c>
      <c r="AD6317" s="21" t="s">
        <v>368</v>
      </c>
      <c r="AE6317" t="str">
        <f>VLOOKUP(Table_Query_from_Actuarial___Production3[[#This Row],[Kor1]],$AI$3:$AK$105,3,FALSE)</f>
        <v>Charge-offs</v>
      </c>
      <c r="AF6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318" spans="18:32" x14ac:dyDescent="0.2">
      <c r="R6318" t="s">
        <v>50</v>
      </c>
      <c r="S6318" t="s">
        <v>238</v>
      </c>
      <c r="T6318" t="s">
        <v>441</v>
      </c>
      <c r="U6318" s="21">
        <v>124614.65</v>
      </c>
      <c r="V6318" s="21" t="s">
        <v>368</v>
      </c>
      <c r="W6318" t="str">
        <f>VLOOKUP(Table_Query_from_Actuarial___Production[[#This Row],[Kor1]],$AI$3:$AK$105,3,FALSE)</f>
        <v>ALAE Reserve</v>
      </c>
      <c r="X6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8"/>
      <c r="Z6318" t="s">
        <v>11</v>
      </c>
      <c r="AA6318" t="s">
        <v>224</v>
      </c>
      <c r="AB6318" t="s">
        <v>351</v>
      </c>
      <c r="AC6318" s="21">
        <v>738369.93</v>
      </c>
      <c r="AD6318" s="21" t="s">
        <v>370</v>
      </c>
      <c r="AE6318" t="str">
        <f>VLOOKUP(Table_Query_from_Actuarial___Production3[[#This Row],[Kor1]],$AI$3:$AK$105,3,FALSE)</f>
        <v>Losses Paid</v>
      </c>
      <c r="AF6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319" spans="18:32" x14ac:dyDescent="0.2">
      <c r="R6319" t="s">
        <v>44</v>
      </c>
      <c r="S6319" t="s">
        <v>242</v>
      </c>
      <c r="T6319" t="s">
        <v>6</v>
      </c>
      <c r="U6319" s="21">
        <v>-2</v>
      </c>
      <c r="V6319" s="21" t="s">
        <v>368</v>
      </c>
      <c r="W6319" t="str">
        <f>VLOOKUP(Table_Query_from_Actuarial___Production[[#This Row],[Kor1]],$AI$3:$AK$105,3,FALSE)</f>
        <v>Charge-offs</v>
      </c>
      <c r="X6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19"/>
      <c r="Z6319" t="s">
        <v>11</v>
      </c>
      <c r="AA6319" t="s">
        <v>263</v>
      </c>
      <c r="AB6319" t="s">
        <v>8</v>
      </c>
      <c r="AC6319" s="21">
        <v>45515.55</v>
      </c>
      <c r="AD6319" s="21" t="s">
        <v>368</v>
      </c>
      <c r="AE6319" t="str">
        <f>VLOOKUP(Table_Query_from_Actuarial___Production3[[#This Row],[Kor1]],$AI$3:$AK$105,3,FALSE)</f>
        <v>Losses Paid</v>
      </c>
      <c r="AF6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0" spans="18:32" x14ac:dyDescent="0.2">
      <c r="R6320" t="s">
        <v>44</v>
      </c>
      <c r="S6320" t="s">
        <v>258</v>
      </c>
      <c r="T6320" t="s">
        <v>6</v>
      </c>
      <c r="U6320" s="21">
        <v>11371.31</v>
      </c>
      <c r="V6320" s="21" t="s">
        <v>368</v>
      </c>
      <c r="W6320" t="str">
        <f>VLOOKUP(Table_Query_from_Actuarial___Production[[#This Row],[Kor1]],$AI$3:$AK$105,3,FALSE)</f>
        <v>Charge-offs</v>
      </c>
      <c r="X6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0"/>
      <c r="Z6320" t="s">
        <v>14</v>
      </c>
      <c r="AA6320" t="s">
        <v>267</v>
      </c>
      <c r="AB6320" t="s">
        <v>433</v>
      </c>
      <c r="AC6320" s="21">
        <v>21707.65</v>
      </c>
      <c r="AD6320" s="21" t="s">
        <v>368</v>
      </c>
      <c r="AE6320" t="str">
        <f>VLOOKUP(Table_Query_from_Actuarial___Production3[[#This Row],[Kor1]],$AI$3:$AK$105,3,FALSE)</f>
        <v>Claims Expense</v>
      </c>
      <c r="AF6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1" spans="18:32" x14ac:dyDescent="0.2">
      <c r="R6321" t="s">
        <v>39</v>
      </c>
      <c r="S6321" t="s">
        <v>230</v>
      </c>
      <c r="T6321" t="s">
        <v>441</v>
      </c>
      <c r="U6321" s="21">
        <v>19011.73</v>
      </c>
      <c r="V6321" s="21" t="s">
        <v>368</v>
      </c>
      <c r="W6321" t="str">
        <f>VLOOKUP(Table_Query_from_Actuarial___Production[[#This Row],[Kor1]],$AI$3:$AK$105,3,FALSE)</f>
        <v>Misc. Income for Insolvent Companies</v>
      </c>
      <c r="X6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1"/>
      <c r="Z6321" t="s">
        <v>38</v>
      </c>
      <c r="AA6321" t="s">
        <v>224</v>
      </c>
      <c r="AB6321" t="s">
        <v>441</v>
      </c>
      <c r="AC6321" s="21">
        <v>6899.5</v>
      </c>
      <c r="AD6321" s="21" t="s">
        <v>425</v>
      </c>
      <c r="AE6321" t="str">
        <f>VLOOKUP(Table_Query_from_Actuarial___Production3[[#This Row],[Kor1]],$AI$3:$AK$105,3,FALSE)</f>
        <v>Misc. Income</v>
      </c>
      <c r="AF6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322" spans="18:32" x14ac:dyDescent="0.2">
      <c r="R6322" t="s">
        <v>10</v>
      </c>
      <c r="S6322" t="s">
        <v>259</v>
      </c>
      <c r="T6322" t="s">
        <v>427</v>
      </c>
      <c r="U6322" s="21">
        <v>39256.81</v>
      </c>
      <c r="V6322" s="21" t="s">
        <v>368</v>
      </c>
      <c r="W6322" t="str">
        <f>VLOOKUP(Table_Query_from_Actuarial___Production[[#This Row],[Kor1]],$AI$3:$AK$105,3,FALSE)</f>
        <v>Commissions</v>
      </c>
      <c r="X6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2"/>
      <c r="Z6322" t="s">
        <v>33</v>
      </c>
      <c r="AA6322" t="s">
        <v>240</v>
      </c>
      <c r="AB6322" t="s">
        <v>7</v>
      </c>
      <c r="AC6322" s="21">
        <v>13558.3</v>
      </c>
      <c r="AD6322" s="21" t="s">
        <v>368</v>
      </c>
      <c r="AE6322" t="str">
        <f>VLOOKUP(Table_Query_from_Actuarial___Production3[[#This Row],[Kor1]],$AI$3:$AK$105,3,FALSE)</f>
        <v>Misc. Expense</v>
      </c>
      <c r="AF6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3" spans="18:32" x14ac:dyDescent="0.2">
      <c r="R6323" t="s">
        <v>39</v>
      </c>
      <c r="S6323" t="s">
        <v>231</v>
      </c>
      <c r="T6323" t="s">
        <v>427</v>
      </c>
      <c r="U6323" s="21">
        <v>1021.71</v>
      </c>
      <c r="V6323" s="21" t="s">
        <v>368</v>
      </c>
      <c r="W6323" t="str">
        <f>VLOOKUP(Table_Query_from_Actuarial___Production[[#This Row],[Kor1]],$AI$3:$AK$105,3,FALSE)</f>
        <v>Misc. Income for Insolvent Companies</v>
      </c>
      <c r="X6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3"/>
      <c r="Z6323" t="s">
        <v>50</v>
      </c>
      <c r="AA6323" t="s">
        <v>239</v>
      </c>
      <c r="AB6323" t="s">
        <v>427</v>
      </c>
      <c r="AC6323" s="21">
        <v>301977.67</v>
      </c>
      <c r="AD6323" s="21" t="s">
        <v>368</v>
      </c>
      <c r="AE6323" t="str">
        <f>VLOOKUP(Table_Query_from_Actuarial___Production3[[#This Row],[Kor1]],$AI$3:$AK$105,3,FALSE)</f>
        <v>ALAE Reserve</v>
      </c>
      <c r="AF6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4" spans="18:32" x14ac:dyDescent="0.2">
      <c r="R6324" t="s">
        <v>33</v>
      </c>
      <c r="S6324" t="s">
        <v>227</v>
      </c>
      <c r="T6324" t="s">
        <v>6</v>
      </c>
      <c r="U6324" s="21">
        <v>16082.99</v>
      </c>
      <c r="V6324" s="21" t="s">
        <v>368</v>
      </c>
      <c r="W6324" t="str">
        <f>VLOOKUP(Table_Query_from_Actuarial___Production[[#This Row],[Kor1]],$AI$3:$AK$105,3,FALSE)</f>
        <v>Misc. Expense</v>
      </c>
      <c r="X6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4"/>
      <c r="Z6324" t="s">
        <v>11</v>
      </c>
      <c r="AA6324" t="s">
        <v>265</v>
      </c>
      <c r="AB6324" t="s">
        <v>427</v>
      </c>
      <c r="AC6324" s="21">
        <v>155386.78</v>
      </c>
      <c r="AD6324" s="21" t="s">
        <v>368</v>
      </c>
      <c r="AE6324" t="str">
        <f>VLOOKUP(Table_Query_from_Actuarial___Production3[[#This Row],[Kor1]],$AI$3:$AK$105,3,FALSE)</f>
        <v>Losses Paid</v>
      </c>
      <c r="AF6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5" spans="18:32" x14ac:dyDescent="0.2">
      <c r="R6325" t="s">
        <v>3</v>
      </c>
      <c r="S6325" t="s">
        <v>231</v>
      </c>
      <c r="T6325" t="s">
        <v>442</v>
      </c>
      <c r="U6325" s="21">
        <v>2370908</v>
      </c>
      <c r="V6325" s="21" t="s">
        <v>368</v>
      </c>
      <c r="W6325" t="str">
        <f>VLOOKUP(Table_Query_from_Actuarial___Production[[#This Row],[Kor1]],$AI$3:$AK$105,3,FALSE)</f>
        <v>Premiums Written</v>
      </c>
      <c r="X6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5"/>
      <c r="Z6325" t="s">
        <v>43</v>
      </c>
      <c r="AA6325" t="s">
        <v>250</v>
      </c>
      <c r="AB6325" t="s">
        <v>7</v>
      </c>
      <c r="AC6325" s="21">
        <v>61.09</v>
      </c>
      <c r="AD6325" s="21" t="s">
        <v>368</v>
      </c>
      <c r="AE6325" t="str">
        <f>VLOOKUP(Table_Query_from_Actuarial___Production3[[#This Row],[Kor1]],$AI$3:$AK$105,3,FALSE)</f>
        <v>Charge-offs</v>
      </c>
      <c r="AF6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6" spans="18:32" x14ac:dyDescent="0.2">
      <c r="R6326" t="s">
        <v>40</v>
      </c>
      <c r="S6326" t="s">
        <v>227</v>
      </c>
      <c r="T6326" t="s">
        <v>441</v>
      </c>
      <c r="U6326" s="21">
        <v>6</v>
      </c>
      <c r="V6326" s="21" t="s">
        <v>368</v>
      </c>
      <c r="W6326" t="str">
        <f>VLOOKUP(Table_Query_from_Actuarial___Production[[#This Row],[Kor1]],$AI$3:$AK$105,3,FALSE)</f>
        <v>Misc. Income</v>
      </c>
      <c r="X6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6"/>
      <c r="Z6326" t="s">
        <v>46</v>
      </c>
      <c r="AA6326" t="s">
        <v>226</v>
      </c>
      <c r="AB6326" t="s">
        <v>6</v>
      </c>
      <c r="AC6326" s="21">
        <v>161.84</v>
      </c>
      <c r="AD6326" s="21" t="s">
        <v>368</v>
      </c>
      <c r="AE6326" t="str">
        <f>VLOOKUP(Table_Query_from_Actuarial___Production3[[#This Row],[Kor1]],$AI$3:$AK$105,3,FALSE)</f>
        <v>Investment Income</v>
      </c>
      <c r="AF6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27" spans="18:32" x14ac:dyDescent="0.2">
      <c r="R6327" t="s">
        <v>44</v>
      </c>
      <c r="S6327" t="s">
        <v>244</v>
      </c>
      <c r="T6327" t="s">
        <v>356</v>
      </c>
      <c r="U6327" s="21">
        <v>10811.55</v>
      </c>
      <c r="V6327" s="21" t="s">
        <v>368</v>
      </c>
      <c r="W6327" t="str">
        <f>VLOOKUP(Table_Query_from_Actuarial___Production[[#This Row],[Kor1]],$AI$3:$AK$105,3,FALSE)</f>
        <v>Charge-offs</v>
      </c>
      <c r="X6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7"/>
      <c r="Z6327" t="s">
        <v>13</v>
      </c>
      <c r="AA6327" t="s">
        <v>242</v>
      </c>
      <c r="AB6327" t="s">
        <v>7</v>
      </c>
      <c r="AC6327" s="21">
        <v>42583.64</v>
      </c>
      <c r="AD6327" s="21" t="s">
        <v>368</v>
      </c>
      <c r="AE6327" t="str">
        <f>VLOOKUP(Table_Query_from_Actuarial___Production3[[#This Row],[Kor1]],$AI$3:$AK$105,3,FALSE)</f>
        <v>Operating Service Fees</v>
      </c>
      <c r="AF6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8" spans="18:32" x14ac:dyDescent="0.2">
      <c r="R6328" t="s">
        <v>29</v>
      </c>
      <c r="S6328" t="s">
        <v>259</v>
      </c>
      <c r="T6328" t="s">
        <v>351</v>
      </c>
      <c r="U6328" s="21">
        <v>6526.16</v>
      </c>
      <c r="V6328" s="21" t="s">
        <v>368</v>
      </c>
      <c r="W6328" t="str">
        <f>VLOOKUP(Table_Query_from_Actuarial___Production[[#This Row],[Kor1]],$AI$3:$AK$105,3,FALSE)</f>
        <v>Misc. Expense</v>
      </c>
      <c r="X6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8"/>
      <c r="Z6328" t="s">
        <v>25</v>
      </c>
      <c r="AA6328" t="s">
        <v>250</v>
      </c>
      <c r="AB6328" t="s">
        <v>441</v>
      </c>
      <c r="AC6328" s="21">
        <v>418.59</v>
      </c>
      <c r="AD6328" s="21" t="s">
        <v>368</v>
      </c>
      <c r="AE6328" t="str">
        <f>VLOOKUP(Table_Query_from_Actuarial___Production3[[#This Row],[Kor1]],$AI$3:$AK$105,3,FALSE)</f>
        <v>Misc. Expense</v>
      </c>
      <c r="AF6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29" spans="18:32" x14ac:dyDescent="0.2">
      <c r="R6329" t="s">
        <v>10</v>
      </c>
      <c r="S6329" t="s">
        <v>267</v>
      </c>
      <c r="T6329" t="s">
        <v>445</v>
      </c>
      <c r="U6329" s="21">
        <v>9212.7900000000009</v>
      </c>
      <c r="V6329" s="21" t="s">
        <v>368</v>
      </c>
      <c r="W6329" t="str">
        <f>VLOOKUP(Table_Query_from_Actuarial___Production[[#This Row],[Kor1]],$AI$3:$AK$105,3,FALSE)</f>
        <v>Commissions</v>
      </c>
      <c r="X6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29"/>
      <c r="Z6329" t="s">
        <v>50</v>
      </c>
      <c r="AA6329" t="s">
        <v>231</v>
      </c>
      <c r="AB6329" t="s">
        <v>356</v>
      </c>
      <c r="AC6329" s="21">
        <v>10793.46</v>
      </c>
      <c r="AD6329" s="21" t="s">
        <v>368</v>
      </c>
      <c r="AE6329" t="str">
        <f>VLOOKUP(Table_Query_from_Actuarial___Production3[[#This Row],[Kor1]],$AI$3:$AK$105,3,FALSE)</f>
        <v>ALAE Reserve</v>
      </c>
      <c r="AF6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0" spans="18:32" x14ac:dyDescent="0.2">
      <c r="R6330" t="s">
        <v>41</v>
      </c>
      <c r="S6330" t="s">
        <v>244</v>
      </c>
      <c r="T6330" t="s">
        <v>443</v>
      </c>
      <c r="U6330" s="21">
        <v>1215.1500000000001</v>
      </c>
      <c r="V6330" s="21" t="s">
        <v>368</v>
      </c>
      <c r="W6330" t="str">
        <f>VLOOKUP(Table_Query_from_Actuarial___Production[[#This Row],[Kor1]],$AI$3:$AK$105,3,FALSE)</f>
        <v>Misc. Income</v>
      </c>
      <c r="X6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0"/>
      <c r="Z6330" t="s">
        <v>50</v>
      </c>
      <c r="AA6330" t="s">
        <v>238</v>
      </c>
      <c r="AB6330" t="s">
        <v>441</v>
      </c>
      <c r="AC6330" s="21">
        <v>151699.54999999999</v>
      </c>
      <c r="AD6330" s="21" t="s">
        <v>368</v>
      </c>
      <c r="AE6330" t="str">
        <f>VLOOKUP(Table_Query_from_Actuarial___Production3[[#This Row],[Kor1]],$AI$3:$AK$105,3,FALSE)</f>
        <v>ALAE Reserve</v>
      </c>
      <c r="AF6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1" spans="18:32" x14ac:dyDescent="0.2">
      <c r="R6331" t="s">
        <v>17</v>
      </c>
      <c r="S6331" t="s">
        <v>254</v>
      </c>
      <c r="T6331" t="s">
        <v>441</v>
      </c>
      <c r="U6331" s="21">
        <v>2635129.19</v>
      </c>
      <c r="V6331" s="21" t="s">
        <v>368</v>
      </c>
      <c r="W6331" t="str">
        <f>VLOOKUP(Table_Query_from_Actuarial___Production[[#This Row],[Kor1]],$AI$3:$AK$105,3,FALSE)</f>
        <v>IBNR</v>
      </c>
      <c r="X6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1"/>
      <c r="Z6331" t="s">
        <v>44</v>
      </c>
      <c r="AA6331" t="s">
        <v>242</v>
      </c>
      <c r="AB6331" t="s">
        <v>6</v>
      </c>
      <c r="AC6331" s="21">
        <v>-2</v>
      </c>
      <c r="AD6331" s="21" t="s">
        <v>368</v>
      </c>
      <c r="AE6331" t="str">
        <f>VLOOKUP(Table_Query_from_Actuarial___Production3[[#This Row],[Kor1]],$AI$3:$AK$105,3,FALSE)</f>
        <v>Charge-offs</v>
      </c>
      <c r="AF6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2" spans="18:32" x14ac:dyDescent="0.2">
      <c r="R6332" t="s">
        <v>11</v>
      </c>
      <c r="S6332" t="s">
        <v>224</v>
      </c>
      <c r="T6332" t="s">
        <v>8</v>
      </c>
      <c r="U6332" s="21">
        <v>1502059.91</v>
      </c>
      <c r="V6332" s="21" t="s">
        <v>368</v>
      </c>
      <c r="W6332" t="str">
        <f>VLOOKUP(Table_Query_from_Actuarial___Production[[#This Row],[Kor1]],$AI$3:$AK$105,3,FALSE)</f>
        <v>Losses Paid</v>
      </c>
      <c r="X6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332"/>
      <c r="Z6332" t="s">
        <v>38</v>
      </c>
      <c r="AA6332" t="s">
        <v>224</v>
      </c>
      <c r="AB6332" t="s">
        <v>5</v>
      </c>
      <c r="AC6332" s="21">
        <v>22934.74</v>
      </c>
      <c r="AD6332" s="21" t="s">
        <v>425</v>
      </c>
      <c r="AE6332" t="str">
        <f>VLOOKUP(Table_Query_from_Actuarial___Production3[[#This Row],[Kor1]],$AI$3:$AK$105,3,FALSE)</f>
        <v>Misc. Income</v>
      </c>
      <c r="AF6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333" spans="18:32" x14ac:dyDescent="0.2">
      <c r="R6333" t="s">
        <v>16</v>
      </c>
      <c r="S6333" t="s">
        <v>232</v>
      </c>
      <c r="T6333" t="s">
        <v>427</v>
      </c>
      <c r="U6333" s="21">
        <v>-10</v>
      </c>
      <c r="V6333" s="21" t="s">
        <v>368</v>
      </c>
      <c r="W6333" t="str">
        <f>VLOOKUP(Table_Query_from_Actuarial___Production[[#This Row],[Kor1]],$AI$3:$AK$105,3,FALSE)</f>
        <v>Losses Outstanding</v>
      </c>
      <c r="X6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3"/>
      <c r="Z6333" t="s">
        <v>44</v>
      </c>
      <c r="AA6333" t="s">
        <v>258</v>
      </c>
      <c r="AB6333" t="s">
        <v>6</v>
      </c>
      <c r="AC6333" s="21">
        <v>11371.31</v>
      </c>
      <c r="AD6333" s="21" t="s">
        <v>368</v>
      </c>
      <c r="AE6333" t="str">
        <f>VLOOKUP(Table_Query_from_Actuarial___Production3[[#This Row],[Kor1]],$AI$3:$AK$105,3,FALSE)</f>
        <v>Charge-offs</v>
      </c>
      <c r="AF6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4" spans="18:32" x14ac:dyDescent="0.2">
      <c r="R6334" t="s">
        <v>3</v>
      </c>
      <c r="S6334" t="s">
        <v>242</v>
      </c>
      <c r="T6334" t="s">
        <v>7</v>
      </c>
      <c r="U6334" s="21">
        <v>202370</v>
      </c>
      <c r="V6334" s="21" t="s">
        <v>368</v>
      </c>
      <c r="W6334" t="str">
        <f>VLOOKUP(Table_Query_from_Actuarial___Production[[#This Row],[Kor1]],$AI$3:$AK$105,3,FALSE)</f>
        <v>Premiums Written</v>
      </c>
      <c r="X6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4"/>
      <c r="Z6334" t="s">
        <v>39</v>
      </c>
      <c r="AA6334" t="s">
        <v>230</v>
      </c>
      <c r="AB6334" t="s">
        <v>441</v>
      </c>
      <c r="AC6334" s="21">
        <v>19011.73</v>
      </c>
      <c r="AD6334" s="21" t="s">
        <v>368</v>
      </c>
      <c r="AE6334" t="str">
        <f>VLOOKUP(Table_Query_from_Actuarial___Production3[[#This Row],[Kor1]],$AI$3:$AK$105,3,FALSE)</f>
        <v>Misc. Income for Insolvent Companies</v>
      </c>
      <c r="AF6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5" spans="18:32" x14ac:dyDescent="0.2">
      <c r="R6335" t="s">
        <v>11</v>
      </c>
      <c r="S6335" t="s">
        <v>267</v>
      </c>
      <c r="T6335" t="s">
        <v>351</v>
      </c>
      <c r="U6335" s="21">
        <v>772890.97</v>
      </c>
      <c r="V6335" s="21" t="s">
        <v>368</v>
      </c>
      <c r="W6335" t="str">
        <f>VLOOKUP(Table_Query_from_Actuarial___Production[[#This Row],[Kor1]],$AI$3:$AK$105,3,FALSE)</f>
        <v>Losses Paid</v>
      </c>
      <c r="X6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5"/>
      <c r="Z6335" t="s">
        <v>10</v>
      </c>
      <c r="AA6335" t="s">
        <v>259</v>
      </c>
      <c r="AB6335" t="s">
        <v>427</v>
      </c>
      <c r="AC6335" s="21">
        <v>39256.81</v>
      </c>
      <c r="AD6335" s="21" t="s">
        <v>368</v>
      </c>
      <c r="AE6335" t="str">
        <f>VLOOKUP(Table_Query_from_Actuarial___Production3[[#This Row],[Kor1]],$AI$3:$AK$105,3,FALSE)</f>
        <v>Commissions</v>
      </c>
      <c r="AF6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6" spans="18:32" x14ac:dyDescent="0.2">
      <c r="R6336" t="s">
        <v>31</v>
      </c>
      <c r="S6336" t="s">
        <v>256</v>
      </c>
      <c r="T6336" t="s">
        <v>427</v>
      </c>
      <c r="U6336" s="21">
        <v>369.53</v>
      </c>
      <c r="V6336" s="21" t="s">
        <v>368</v>
      </c>
      <c r="W6336" t="str">
        <f>VLOOKUP(Table_Query_from_Actuarial___Production[[#This Row],[Kor1]],$AI$3:$AK$105,3,FALSE)</f>
        <v>Misc. Expense</v>
      </c>
      <c r="X6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6"/>
      <c r="Z6336" t="s">
        <v>39</v>
      </c>
      <c r="AA6336" t="s">
        <v>231</v>
      </c>
      <c r="AB6336" t="s">
        <v>427</v>
      </c>
      <c r="AC6336" s="21">
        <v>1021.71</v>
      </c>
      <c r="AD6336" s="21" t="s">
        <v>368</v>
      </c>
      <c r="AE6336" t="str">
        <f>VLOOKUP(Table_Query_from_Actuarial___Production3[[#This Row],[Kor1]],$AI$3:$AK$105,3,FALSE)</f>
        <v>Misc. Income for Insolvent Companies</v>
      </c>
      <c r="AF6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7" spans="18:32" x14ac:dyDescent="0.2">
      <c r="R6337" t="s">
        <v>17</v>
      </c>
      <c r="S6337" t="s">
        <v>224</v>
      </c>
      <c r="T6337" t="s">
        <v>445</v>
      </c>
      <c r="U6337" s="21">
        <v>3450.85</v>
      </c>
      <c r="V6337" s="21" t="s">
        <v>425</v>
      </c>
      <c r="W6337" t="str">
        <f>VLOOKUP(Table_Query_from_Actuarial___Production[[#This Row],[Kor1]],$AI$3:$AK$105,3,FALSE)</f>
        <v>IBNR</v>
      </c>
      <c r="X6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337"/>
      <c r="Z6337" t="s">
        <v>33</v>
      </c>
      <c r="AA6337" t="s">
        <v>227</v>
      </c>
      <c r="AB6337" t="s">
        <v>6</v>
      </c>
      <c r="AC6337" s="21">
        <v>16082.99</v>
      </c>
      <c r="AD6337" s="21" t="s">
        <v>368</v>
      </c>
      <c r="AE6337" t="str">
        <f>VLOOKUP(Table_Query_from_Actuarial___Production3[[#This Row],[Kor1]],$AI$3:$AK$105,3,FALSE)</f>
        <v>Misc. Expense</v>
      </c>
      <c r="AF6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8" spans="18:32" x14ac:dyDescent="0.2">
      <c r="R6338" t="s">
        <v>12</v>
      </c>
      <c r="S6338" t="s">
        <v>258</v>
      </c>
      <c r="T6338" t="s">
        <v>445</v>
      </c>
      <c r="U6338" s="21">
        <v>30978.46</v>
      </c>
      <c r="V6338" s="21" t="s">
        <v>368</v>
      </c>
      <c r="W6338" t="str">
        <f>VLOOKUP(Table_Query_from_Actuarial___Production[[#This Row],[Kor1]],$AI$3:$AK$105,3,FALSE)</f>
        <v>Premium Tax</v>
      </c>
      <c r="X6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8"/>
      <c r="Z6338" t="s">
        <v>3</v>
      </c>
      <c r="AA6338" t="s">
        <v>231</v>
      </c>
      <c r="AB6338" t="s">
        <v>442</v>
      </c>
      <c r="AC6338" s="21">
        <v>2382549</v>
      </c>
      <c r="AD6338" s="21" t="s">
        <v>368</v>
      </c>
      <c r="AE6338" t="str">
        <f>VLOOKUP(Table_Query_from_Actuarial___Production3[[#This Row],[Kor1]],$AI$3:$AK$105,3,FALSE)</f>
        <v>Premiums Written</v>
      </c>
      <c r="AF6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39" spans="18:32" x14ac:dyDescent="0.2">
      <c r="R6339" t="s">
        <v>33</v>
      </c>
      <c r="S6339" t="s">
        <v>255</v>
      </c>
      <c r="T6339" t="s">
        <v>442</v>
      </c>
      <c r="U6339" s="21">
        <v>12110.56</v>
      </c>
      <c r="V6339" s="21" t="s">
        <v>368</v>
      </c>
      <c r="W6339" t="str">
        <f>VLOOKUP(Table_Query_from_Actuarial___Production[[#This Row],[Kor1]],$AI$3:$AK$105,3,FALSE)</f>
        <v>Misc. Expense</v>
      </c>
      <c r="X6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39"/>
      <c r="Z6339" t="s">
        <v>40</v>
      </c>
      <c r="AA6339" t="s">
        <v>227</v>
      </c>
      <c r="AB6339" t="s">
        <v>441</v>
      </c>
      <c r="AC6339" s="21">
        <v>6</v>
      </c>
      <c r="AD6339" s="21" t="s">
        <v>368</v>
      </c>
      <c r="AE6339" t="str">
        <f>VLOOKUP(Table_Query_from_Actuarial___Production3[[#This Row],[Kor1]],$AI$3:$AK$105,3,FALSE)</f>
        <v>Misc. Income</v>
      </c>
      <c r="AF6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0" spans="18:32" x14ac:dyDescent="0.2">
      <c r="R6340" t="s">
        <v>15</v>
      </c>
      <c r="S6340" t="s">
        <v>262</v>
      </c>
      <c r="T6340" t="s">
        <v>443</v>
      </c>
      <c r="U6340" s="21">
        <v>22167.65</v>
      </c>
      <c r="V6340" s="21" t="s">
        <v>368</v>
      </c>
      <c r="W6340" t="str">
        <f>VLOOKUP(Table_Query_from_Actuarial___Production[[#This Row],[Kor1]],$AI$3:$AK$105,3,FALSE)</f>
        <v>Unearned Premiums</v>
      </c>
      <c r="X6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0"/>
      <c r="Z6340" t="s">
        <v>44</v>
      </c>
      <c r="AA6340" t="s">
        <v>244</v>
      </c>
      <c r="AB6340" t="s">
        <v>356</v>
      </c>
      <c r="AC6340" s="21">
        <v>10811.55</v>
      </c>
      <c r="AD6340" s="21" t="s">
        <v>368</v>
      </c>
      <c r="AE6340" t="str">
        <f>VLOOKUP(Table_Query_from_Actuarial___Production3[[#This Row],[Kor1]],$AI$3:$AK$105,3,FALSE)</f>
        <v>Charge-offs</v>
      </c>
      <c r="AF6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1" spans="18:32" x14ac:dyDescent="0.2">
      <c r="R6341" t="s">
        <v>18</v>
      </c>
      <c r="S6341" t="s">
        <v>352</v>
      </c>
      <c r="T6341" t="s">
        <v>433</v>
      </c>
      <c r="U6341" s="21">
        <v>315.25</v>
      </c>
      <c r="V6341" s="21" t="s">
        <v>368</v>
      </c>
      <c r="W6341" t="str">
        <f>VLOOKUP(Table_Query_from_Actuarial___Production[[#This Row],[Kor1]],$AI$3:$AK$105,3,FALSE)</f>
        <v>Misc. Expense</v>
      </c>
      <c r="X6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341"/>
      <c r="Z6341" t="s">
        <v>29</v>
      </c>
      <c r="AA6341" t="s">
        <v>259</v>
      </c>
      <c r="AB6341" t="s">
        <v>351</v>
      </c>
      <c r="AC6341" s="21">
        <v>6526.16</v>
      </c>
      <c r="AD6341" s="21" t="s">
        <v>368</v>
      </c>
      <c r="AE6341" t="str">
        <f>VLOOKUP(Table_Query_from_Actuarial___Production3[[#This Row],[Kor1]],$AI$3:$AK$105,3,FALSE)</f>
        <v>Misc. Expense</v>
      </c>
      <c r="AF6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2" spans="18:32" x14ac:dyDescent="0.2">
      <c r="R6342" t="s">
        <v>33</v>
      </c>
      <c r="S6342" t="s">
        <v>268</v>
      </c>
      <c r="T6342" t="s">
        <v>433</v>
      </c>
      <c r="U6342" s="21">
        <v>18001.11</v>
      </c>
      <c r="V6342" s="21" t="s">
        <v>368</v>
      </c>
      <c r="W6342" t="str">
        <f>VLOOKUP(Table_Query_from_Actuarial___Production[[#This Row],[Kor1]],$AI$3:$AK$105,3,FALSE)</f>
        <v>Misc. Expense</v>
      </c>
      <c r="X6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2"/>
      <c r="Z6342" t="s">
        <v>41</v>
      </c>
      <c r="AA6342" t="s">
        <v>244</v>
      </c>
      <c r="AB6342" t="s">
        <v>443</v>
      </c>
      <c r="AC6342" s="21">
        <v>100.03</v>
      </c>
      <c r="AD6342" s="21" t="s">
        <v>368</v>
      </c>
      <c r="AE6342" t="str">
        <f>VLOOKUP(Table_Query_from_Actuarial___Production3[[#This Row],[Kor1]],$AI$3:$AK$105,3,FALSE)</f>
        <v>Misc. Income</v>
      </c>
      <c r="AF6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3" spans="18:32" x14ac:dyDescent="0.2">
      <c r="R6343" t="s">
        <v>37</v>
      </c>
      <c r="S6343" t="s">
        <v>263</v>
      </c>
      <c r="T6343" t="s">
        <v>442</v>
      </c>
      <c r="U6343" s="21">
        <v>66.92</v>
      </c>
      <c r="V6343" s="21" t="s">
        <v>368</v>
      </c>
      <c r="W6343" t="str">
        <f>VLOOKUP(Table_Query_from_Actuarial___Production[[#This Row],[Kor1]],$AI$3:$AK$105,3,FALSE)</f>
        <v>Misc. Expense</v>
      </c>
      <c r="X6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3"/>
      <c r="Z6343" t="s">
        <v>17</v>
      </c>
      <c r="AA6343" t="s">
        <v>254</v>
      </c>
      <c r="AB6343" t="s">
        <v>441</v>
      </c>
      <c r="AC6343" s="21">
        <v>4048950.51</v>
      </c>
      <c r="AD6343" s="21" t="s">
        <v>368</v>
      </c>
      <c r="AE6343" t="str">
        <f>VLOOKUP(Table_Query_from_Actuarial___Production3[[#This Row],[Kor1]],$AI$3:$AK$105,3,FALSE)</f>
        <v>IBNR</v>
      </c>
      <c r="AF6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4" spans="18:32" x14ac:dyDescent="0.2">
      <c r="R6344" t="s">
        <v>31</v>
      </c>
      <c r="S6344" t="s">
        <v>229</v>
      </c>
      <c r="T6344" t="s">
        <v>356</v>
      </c>
      <c r="U6344" s="21">
        <v>822.54</v>
      </c>
      <c r="V6344" s="21" t="s">
        <v>368</v>
      </c>
      <c r="W6344" t="str">
        <f>VLOOKUP(Table_Query_from_Actuarial___Production[[#This Row],[Kor1]],$AI$3:$AK$105,3,FALSE)</f>
        <v>Misc. Expense</v>
      </c>
      <c r="X6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4"/>
      <c r="Z6344" t="s">
        <v>11</v>
      </c>
      <c r="AA6344" t="s">
        <v>224</v>
      </c>
      <c r="AB6344" t="s">
        <v>8</v>
      </c>
      <c r="AC6344" s="21">
        <v>1502059.91</v>
      </c>
      <c r="AD6344" s="21" t="s">
        <v>368</v>
      </c>
      <c r="AE6344" t="str">
        <f>VLOOKUP(Table_Query_from_Actuarial___Production3[[#This Row],[Kor1]],$AI$3:$AK$105,3,FALSE)</f>
        <v>Losses Paid</v>
      </c>
      <c r="AF6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345" spans="18:32" x14ac:dyDescent="0.2">
      <c r="R6345" t="s">
        <v>37</v>
      </c>
      <c r="S6345" t="s">
        <v>234</v>
      </c>
      <c r="T6345" t="s">
        <v>351</v>
      </c>
      <c r="U6345" s="21">
        <v>819.21</v>
      </c>
      <c r="V6345" s="21" t="s">
        <v>368</v>
      </c>
      <c r="W6345" t="str">
        <f>VLOOKUP(Table_Query_from_Actuarial___Production[[#This Row],[Kor1]],$AI$3:$AK$105,3,FALSE)</f>
        <v>Misc. Expense</v>
      </c>
      <c r="X6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5"/>
      <c r="Z6345" t="s">
        <v>16</v>
      </c>
      <c r="AA6345" t="s">
        <v>232</v>
      </c>
      <c r="AB6345" t="s">
        <v>427</v>
      </c>
      <c r="AC6345" s="21">
        <v>12745.27</v>
      </c>
      <c r="AD6345" s="21" t="s">
        <v>368</v>
      </c>
      <c r="AE6345" t="str">
        <f>VLOOKUP(Table_Query_from_Actuarial___Production3[[#This Row],[Kor1]],$AI$3:$AK$105,3,FALSE)</f>
        <v>Losses Outstanding</v>
      </c>
      <c r="AF6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6" spans="18:32" x14ac:dyDescent="0.2">
      <c r="R6346" t="s">
        <v>16</v>
      </c>
      <c r="S6346" t="s">
        <v>234</v>
      </c>
      <c r="T6346" t="s">
        <v>441</v>
      </c>
      <c r="U6346" s="21">
        <v>198591.23</v>
      </c>
      <c r="V6346" s="21" t="s">
        <v>368</v>
      </c>
      <c r="W6346" t="str">
        <f>VLOOKUP(Table_Query_from_Actuarial___Production[[#This Row],[Kor1]],$AI$3:$AK$105,3,FALSE)</f>
        <v>Losses Outstanding</v>
      </c>
      <c r="X6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6"/>
      <c r="Z6346" t="s">
        <v>3</v>
      </c>
      <c r="AA6346" t="s">
        <v>242</v>
      </c>
      <c r="AB6346" t="s">
        <v>7</v>
      </c>
      <c r="AC6346" s="21">
        <v>202370</v>
      </c>
      <c r="AD6346" s="21" t="s">
        <v>368</v>
      </c>
      <c r="AE6346" t="str">
        <f>VLOOKUP(Table_Query_from_Actuarial___Production3[[#This Row],[Kor1]],$AI$3:$AK$105,3,FALSE)</f>
        <v>Premiums Written</v>
      </c>
      <c r="AF6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7" spans="18:32" x14ac:dyDescent="0.2">
      <c r="R6347" t="s">
        <v>13</v>
      </c>
      <c r="S6347" t="s">
        <v>225</v>
      </c>
      <c r="T6347" t="s">
        <v>433</v>
      </c>
      <c r="U6347" s="21">
        <v>148264.98000000001</v>
      </c>
      <c r="V6347" s="21" t="s">
        <v>368</v>
      </c>
      <c r="W6347" t="str">
        <f>VLOOKUP(Table_Query_from_Actuarial___Production[[#This Row],[Kor1]],$AI$3:$AK$105,3,FALSE)</f>
        <v>Operating Service Fees</v>
      </c>
      <c r="X6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347"/>
      <c r="Z6347" t="s">
        <v>11</v>
      </c>
      <c r="AA6347" t="s">
        <v>267</v>
      </c>
      <c r="AB6347" t="s">
        <v>351</v>
      </c>
      <c r="AC6347" s="21">
        <v>772890.97</v>
      </c>
      <c r="AD6347" s="21" t="s">
        <v>368</v>
      </c>
      <c r="AE6347" t="str">
        <f>VLOOKUP(Table_Query_from_Actuarial___Production3[[#This Row],[Kor1]],$AI$3:$AK$105,3,FALSE)</f>
        <v>Losses Paid</v>
      </c>
      <c r="AF6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8" spans="18:32" x14ac:dyDescent="0.2">
      <c r="R6348" t="s">
        <v>13</v>
      </c>
      <c r="S6348" t="s">
        <v>256</v>
      </c>
      <c r="T6348" t="s">
        <v>351</v>
      </c>
      <c r="U6348" s="21">
        <v>31208.32</v>
      </c>
      <c r="V6348" s="21" t="s">
        <v>368</v>
      </c>
      <c r="W6348" t="str">
        <f>VLOOKUP(Table_Query_from_Actuarial___Production[[#This Row],[Kor1]],$AI$3:$AK$105,3,FALSE)</f>
        <v>Operating Service Fees</v>
      </c>
      <c r="X6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48"/>
      <c r="Z6348" t="s">
        <v>31</v>
      </c>
      <c r="AA6348" t="s">
        <v>256</v>
      </c>
      <c r="AB6348" t="s">
        <v>427</v>
      </c>
      <c r="AC6348" s="21">
        <v>369.53</v>
      </c>
      <c r="AD6348" s="21" t="s">
        <v>368</v>
      </c>
      <c r="AE6348" t="str">
        <f>VLOOKUP(Table_Query_from_Actuarial___Production3[[#This Row],[Kor1]],$AI$3:$AK$105,3,FALSE)</f>
        <v>Misc. Expense</v>
      </c>
      <c r="AF6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49" spans="18:32" x14ac:dyDescent="0.2">
      <c r="R6349" t="s">
        <v>46</v>
      </c>
      <c r="S6349" t="s">
        <v>354</v>
      </c>
      <c r="T6349" t="s">
        <v>8</v>
      </c>
      <c r="U6349" s="21">
        <v>1843946.97</v>
      </c>
      <c r="V6349" s="21" t="s">
        <v>368</v>
      </c>
      <c r="W6349" t="str">
        <f>VLOOKUP(Table_Query_from_Actuarial___Production[[#This Row],[Kor1]],$AI$3:$AK$105,3,FALSE)</f>
        <v>Investment Income</v>
      </c>
      <c r="X6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349"/>
      <c r="Z6349" t="s">
        <v>33</v>
      </c>
      <c r="AA6349" t="s">
        <v>255</v>
      </c>
      <c r="AB6349" t="s">
        <v>442</v>
      </c>
      <c r="AC6349" s="21">
        <v>12110.56</v>
      </c>
      <c r="AD6349" s="21" t="s">
        <v>368</v>
      </c>
      <c r="AE6349" t="str">
        <f>VLOOKUP(Table_Query_from_Actuarial___Production3[[#This Row],[Kor1]],$AI$3:$AK$105,3,FALSE)</f>
        <v>Misc. Expense</v>
      </c>
      <c r="AF6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0" spans="18:32" x14ac:dyDescent="0.2">
      <c r="R6350" t="s">
        <v>10</v>
      </c>
      <c r="S6350" t="s">
        <v>229</v>
      </c>
      <c r="T6350" t="s">
        <v>9</v>
      </c>
      <c r="U6350" s="21">
        <v>3479</v>
      </c>
      <c r="V6350" s="21" t="s">
        <v>368</v>
      </c>
      <c r="W6350" t="str">
        <f>VLOOKUP(Table_Query_from_Actuarial___Production[[#This Row],[Kor1]],$AI$3:$AK$105,3,FALSE)</f>
        <v>Commissions</v>
      </c>
      <c r="X6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0"/>
      <c r="Z6350" t="s">
        <v>15</v>
      </c>
      <c r="AA6350" t="s">
        <v>262</v>
      </c>
      <c r="AB6350" t="s">
        <v>443</v>
      </c>
      <c r="AC6350" s="21">
        <v>48717.21</v>
      </c>
      <c r="AD6350" s="21" t="s">
        <v>368</v>
      </c>
      <c r="AE6350" t="str">
        <f>VLOOKUP(Table_Query_from_Actuarial___Production3[[#This Row],[Kor1]],$AI$3:$AK$105,3,FALSE)</f>
        <v>Unearned Premiums</v>
      </c>
      <c r="AF6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1" spans="18:32" x14ac:dyDescent="0.2">
      <c r="R6351" t="s">
        <v>46</v>
      </c>
      <c r="S6351" t="s">
        <v>224</v>
      </c>
      <c r="T6351" t="s">
        <v>433</v>
      </c>
      <c r="U6351" s="21">
        <v>9065.5</v>
      </c>
      <c r="V6351" s="21" t="s">
        <v>368</v>
      </c>
      <c r="W6351" t="str">
        <f>VLOOKUP(Table_Query_from_Actuarial___Production[[#This Row],[Kor1]],$AI$3:$AK$105,3,FALSE)</f>
        <v>Investment Income</v>
      </c>
      <c r="X6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351"/>
      <c r="Z6351" t="s">
        <v>18</v>
      </c>
      <c r="AA6351" t="s">
        <v>352</v>
      </c>
      <c r="AB6351" t="s">
        <v>433</v>
      </c>
      <c r="AC6351" s="21">
        <v>315.25</v>
      </c>
      <c r="AD6351" s="21" t="s">
        <v>368</v>
      </c>
      <c r="AE6351" t="str">
        <f>VLOOKUP(Table_Query_from_Actuarial___Production3[[#This Row],[Kor1]],$AI$3:$AK$105,3,FALSE)</f>
        <v>Misc. Expense</v>
      </c>
      <c r="AF6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352" spans="18:32" x14ac:dyDescent="0.2">
      <c r="R6352" t="s">
        <v>18</v>
      </c>
      <c r="S6352" t="s">
        <v>224</v>
      </c>
      <c r="T6352" t="s">
        <v>8</v>
      </c>
      <c r="U6352" s="21">
        <v>11987.24</v>
      </c>
      <c r="V6352" s="21" t="s">
        <v>369</v>
      </c>
      <c r="W6352" t="str">
        <f>VLOOKUP(Table_Query_from_Actuarial___Production[[#This Row],[Kor1]],$AI$3:$AK$105,3,FALSE)</f>
        <v>Misc. Expense</v>
      </c>
      <c r="X6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352"/>
      <c r="Z6352" t="s">
        <v>33</v>
      </c>
      <c r="AA6352" t="s">
        <v>268</v>
      </c>
      <c r="AB6352" t="s">
        <v>433</v>
      </c>
      <c r="AC6352" s="21">
        <v>18001.11</v>
      </c>
      <c r="AD6352" s="21" t="s">
        <v>368</v>
      </c>
      <c r="AE6352" t="str">
        <f>VLOOKUP(Table_Query_from_Actuarial___Production3[[#This Row],[Kor1]],$AI$3:$AK$105,3,FALSE)</f>
        <v>Misc. Expense</v>
      </c>
      <c r="AF6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3" spans="18:32" x14ac:dyDescent="0.2">
      <c r="R6353" t="s">
        <v>3</v>
      </c>
      <c r="S6353" t="s">
        <v>224</v>
      </c>
      <c r="T6353" t="s">
        <v>445</v>
      </c>
      <c r="U6353" s="21">
        <v>490537</v>
      </c>
      <c r="V6353" s="21" t="s">
        <v>370</v>
      </c>
      <c r="W6353" t="str">
        <f>VLOOKUP(Table_Query_from_Actuarial___Production[[#This Row],[Kor1]],$AI$3:$AK$105,3,FALSE)</f>
        <v>Premiums Written</v>
      </c>
      <c r="X6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353"/>
      <c r="Z6353" t="s">
        <v>37</v>
      </c>
      <c r="AA6353" t="s">
        <v>263</v>
      </c>
      <c r="AB6353" t="s">
        <v>442</v>
      </c>
      <c r="AC6353" s="21">
        <v>66.92</v>
      </c>
      <c r="AD6353" s="21" t="s">
        <v>368</v>
      </c>
      <c r="AE6353" t="str">
        <f>VLOOKUP(Table_Query_from_Actuarial___Production3[[#This Row],[Kor1]],$AI$3:$AK$105,3,FALSE)</f>
        <v>Misc. Expense</v>
      </c>
      <c r="AF6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4" spans="18:32" x14ac:dyDescent="0.2">
      <c r="R6354" t="s">
        <v>16</v>
      </c>
      <c r="S6354" t="s">
        <v>224</v>
      </c>
      <c r="T6354" t="s">
        <v>443</v>
      </c>
      <c r="U6354" s="21">
        <v>-0.03</v>
      </c>
      <c r="V6354" s="21" t="s">
        <v>369</v>
      </c>
      <c r="W6354" t="str">
        <f>VLOOKUP(Table_Query_from_Actuarial___Production[[#This Row],[Kor1]],$AI$3:$AK$105,3,FALSE)</f>
        <v>Losses Outstanding</v>
      </c>
      <c r="X6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354"/>
      <c r="Z6354" t="s">
        <v>31</v>
      </c>
      <c r="AA6354" t="s">
        <v>229</v>
      </c>
      <c r="AB6354" t="s">
        <v>356</v>
      </c>
      <c r="AC6354" s="21">
        <v>822.54</v>
      </c>
      <c r="AD6354" s="21" t="s">
        <v>368</v>
      </c>
      <c r="AE6354" t="str">
        <f>VLOOKUP(Table_Query_from_Actuarial___Production3[[#This Row],[Kor1]],$AI$3:$AK$105,3,FALSE)</f>
        <v>Misc. Expense</v>
      </c>
      <c r="AF6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5" spans="18:32" x14ac:dyDescent="0.2">
      <c r="R6355" t="s">
        <v>21</v>
      </c>
      <c r="S6355" t="s">
        <v>239</v>
      </c>
      <c r="T6355" t="s">
        <v>351</v>
      </c>
      <c r="U6355" s="21">
        <v>1325.77</v>
      </c>
      <c r="V6355" s="21" t="s">
        <v>368</v>
      </c>
      <c r="W6355" t="str">
        <f>VLOOKUP(Table_Query_from_Actuarial___Production[[#This Row],[Kor1]],$AI$3:$AK$105,3,FALSE)</f>
        <v>Misc. Expense</v>
      </c>
      <c r="X6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5"/>
      <c r="Z6355" t="s">
        <v>37</v>
      </c>
      <c r="AA6355" t="s">
        <v>234</v>
      </c>
      <c r="AB6355" t="s">
        <v>351</v>
      </c>
      <c r="AC6355" s="21">
        <v>819.21</v>
      </c>
      <c r="AD6355" s="21" t="s">
        <v>368</v>
      </c>
      <c r="AE6355" t="str">
        <f>VLOOKUP(Table_Query_from_Actuarial___Production3[[#This Row],[Kor1]],$AI$3:$AK$105,3,FALSE)</f>
        <v>Misc. Expense</v>
      </c>
      <c r="AF6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6" spans="18:32" x14ac:dyDescent="0.2">
      <c r="R6356" t="s">
        <v>41</v>
      </c>
      <c r="S6356" t="s">
        <v>242</v>
      </c>
      <c r="T6356" t="s">
        <v>9</v>
      </c>
      <c r="U6356" s="21">
        <v>500</v>
      </c>
      <c r="V6356" s="21" t="s">
        <v>368</v>
      </c>
      <c r="W6356" t="str">
        <f>VLOOKUP(Table_Query_from_Actuarial___Production[[#This Row],[Kor1]],$AI$3:$AK$105,3,FALSE)</f>
        <v>Misc. Income</v>
      </c>
      <c r="X6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6"/>
      <c r="Z6356" t="s">
        <v>16</v>
      </c>
      <c r="AA6356" t="s">
        <v>234</v>
      </c>
      <c r="AB6356" t="s">
        <v>441</v>
      </c>
      <c r="AC6356" s="21">
        <v>379956.89</v>
      </c>
      <c r="AD6356" s="21" t="s">
        <v>368</v>
      </c>
      <c r="AE6356" t="str">
        <f>VLOOKUP(Table_Query_from_Actuarial___Production3[[#This Row],[Kor1]],$AI$3:$AK$105,3,FALSE)</f>
        <v>Losses Outstanding</v>
      </c>
      <c r="AF6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7" spans="18:32" x14ac:dyDescent="0.2">
      <c r="R6357" t="s">
        <v>14</v>
      </c>
      <c r="S6357" t="s">
        <v>227</v>
      </c>
      <c r="T6357" t="s">
        <v>442</v>
      </c>
      <c r="U6357" s="21">
        <v>869.51</v>
      </c>
      <c r="V6357" s="21" t="s">
        <v>368</v>
      </c>
      <c r="W6357" t="str">
        <f>VLOOKUP(Table_Query_from_Actuarial___Production[[#This Row],[Kor1]],$AI$3:$AK$105,3,FALSE)</f>
        <v>Claims Expense</v>
      </c>
      <c r="X6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7"/>
      <c r="Z6357" t="s">
        <v>13</v>
      </c>
      <c r="AA6357" t="s">
        <v>225</v>
      </c>
      <c r="AB6357" t="s">
        <v>433</v>
      </c>
      <c r="AC6357" s="21">
        <v>148264.98000000001</v>
      </c>
      <c r="AD6357" s="21" t="s">
        <v>368</v>
      </c>
      <c r="AE6357" t="str">
        <f>VLOOKUP(Table_Query_from_Actuarial___Production3[[#This Row],[Kor1]],$AI$3:$AK$105,3,FALSE)</f>
        <v>Operating Service Fees</v>
      </c>
      <c r="AF6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358" spans="18:32" x14ac:dyDescent="0.2">
      <c r="R6358" t="s">
        <v>14</v>
      </c>
      <c r="S6358" t="s">
        <v>354</v>
      </c>
      <c r="T6358" t="s">
        <v>8</v>
      </c>
      <c r="U6358" s="21">
        <v>99320920.629999995</v>
      </c>
      <c r="V6358" s="21" t="s">
        <v>369</v>
      </c>
      <c r="W6358" t="str">
        <f>VLOOKUP(Table_Query_from_Actuarial___Production[[#This Row],[Kor1]],$AI$3:$AK$105,3,FALSE)</f>
        <v>Claims Expense</v>
      </c>
      <c r="X6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358"/>
      <c r="Z6358" t="s">
        <v>13</v>
      </c>
      <c r="AA6358" t="s">
        <v>256</v>
      </c>
      <c r="AB6358" t="s">
        <v>351</v>
      </c>
      <c r="AC6358" s="21">
        <v>31208.32</v>
      </c>
      <c r="AD6358" s="21" t="s">
        <v>368</v>
      </c>
      <c r="AE6358" t="str">
        <f>VLOOKUP(Table_Query_from_Actuarial___Production3[[#This Row],[Kor1]],$AI$3:$AK$105,3,FALSE)</f>
        <v>Operating Service Fees</v>
      </c>
      <c r="AF6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59" spans="18:32" x14ac:dyDescent="0.2">
      <c r="R6359" t="s">
        <v>10</v>
      </c>
      <c r="S6359" t="s">
        <v>255</v>
      </c>
      <c r="T6359" t="s">
        <v>433</v>
      </c>
      <c r="U6359" s="21">
        <v>15364.06</v>
      </c>
      <c r="V6359" s="21" t="s">
        <v>368</v>
      </c>
      <c r="W6359" t="str">
        <f>VLOOKUP(Table_Query_from_Actuarial___Production[[#This Row],[Kor1]],$AI$3:$AK$105,3,FALSE)</f>
        <v>Commissions</v>
      </c>
      <c r="X6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59"/>
      <c r="Z6359" t="s">
        <v>46</v>
      </c>
      <c r="AA6359" t="s">
        <v>354</v>
      </c>
      <c r="AB6359" t="s">
        <v>8</v>
      </c>
      <c r="AC6359" s="21">
        <v>1843946.97</v>
      </c>
      <c r="AD6359" s="21" t="s">
        <v>368</v>
      </c>
      <c r="AE6359" t="str">
        <f>VLOOKUP(Table_Query_from_Actuarial___Production3[[#This Row],[Kor1]],$AI$3:$AK$105,3,FALSE)</f>
        <v>Investment Income</v>
      </c>
      <c r="AF6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360" spans="18:32" x14ac:dyDescent="0.2">
      <c r="R6360" t="s">
        <v>17</v>
      </c>
      <c r="S6360" t="s">
        <v>242</v>
      </c>
      <c r="T6360" t="s">
        <v>445</v>
      </c>
      <c r="U6360" s="21">
        <v>72485.649999999994</v>
      </c>
      <c r="V6360" s="21" t="s">
        <v>368</v>
      </c>
      <c r="W6360" t="str">
        <f>VLOOKUP(Table_Query_from_Actuarial___Production[[#This Row],[Kor1]],$AI$3:$AK$105,3,FALSE)</f>
        <v>IBNR</v>
      </c>
      <c r="X6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0"/>
      <c r="Z6360" t="s">
        <v>10</v>
      </c>
      <c r="AA6360" t="s">
        <v>229</v>
      </c>
      <c r="AB6360" t="s">
        <v>9</v>
      </c>
      <c r="AC6360" s="21">
        <v>3479</v>
      </c>
      <c r="AD6360" s="21" t="s">
        <v>368</v>
      </c>
      <c r="AE6360" t="str">
        <f>VLOOKUP(Table_Query_from_Actuarial___Production3[[#This Row],[Kor1]],$AI$3:$AK$105,3,FALSE)</f>
        <v>Commissions</v>
      </c>
      <c r="AF6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1" spans="18:32" x14ac:dyDescent="0.2">
      <c r="R6361" t="s">
        <v>40</v>
      </c>
      <c r="S6361" t="s">
        <v>254</v>
      </c>
      <c r="T6361" t="s">
        <v>441</v>
      </c>
      <c r="U6361" s="21">
        <v>7.11</v>
      </c>
      <c r="V6361" s="21" t="s">
        <v>368</v>
      </c>
      <c r="W6361" t="str">
        <f>VLOOKUP(Table_Query_from_Actuarial___Production[[#This Row],[Kor1]],$AI$3:$AK$105,3,FALSE)</f>
        <v>Misc. Income</v>
      </c>
      <c r="X6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1"/>
      <c r="Z6361" t="s">
        <v>46</v>
      </c>
      <c r="AA6361" t="s">
        <v>224</v>
      </c>
      <c r="AB6361" t="s">
        <v>433</v>
      </c>
      <c r="AC6361" s="21">
        <v>9065.5</v>
      </c>
      <c r="AD6361" s="21" t="s">
        <v>368</v>
      </c>
      <c r="AE6361" t="str">
        <f>VLOOKUP(Table_Query_from_Actuarial___Production3[[#This Row],[Kor1]],$AI$3:$AK$105,3,FALSE)</f>
        <v>Investment Income</v>
      </c>
      <c r="AF6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362" spans="18:32" x14ac:dyDescent="0.2">
      <c r="R6362" t="s">
        <v>41</v>
      </c>
      <c r="S6362" t="s">
        <v>233</v>
      </c>
      <c r="T6362" t="s">
        <v>442</v>
      </c>
      <c r="U6362" s="21">
        <v>500</v>
      </c>
      <c r="V6362" s="21" t="s">
        <v>368</v>
      </c>
      <c r="W6362" t="str">
        <f>VLOOKUP(Table_Query_from_Actuarial___Production[[#This Row],[Kor1]],$AI$3:$AK$105,3,FALSE)</f>
        <v>Misc. Income</v>
      </c>
      <c r="X6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2"/>
      <c r="Z6362" t="s">
        <v>18</v>
      </c>
      <c r="AA6362" t="s">
        <v>224</v>
      </c>
      <c r="AB6362" t="s">
        <v>8</v>
      </c>
      <c r="AC6362" s="21">
        <v>11987.24</v>
      </c>
      <c r="AD6362" s="21" t="s">
        <v>369</v>
      </c>
      <c r="AE6362" t="str">
        <f>VLOOKUP(Table_Query_from_Actuarial___Production3[[#This Row],[Kor1]],$AI$3:$AK$105,3,FALSE)</f>
        <v>Misc. Expense</v>
      </c>
      <c r="AF6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363" spans="18:32" x14ac:dyDescent="0.2">
      <c r="R6363" t="s">
        <v>14</v>
      </c>
      <c r="S6363" t="s">
        <v>260</v>
      </c>
      <c r="T6363" t="s">
        <v>7</v>
      </c>
      <c r="U6363" s="21">
        <v>1850.88</v>
      </c>
      <c r="V6363" s="21" t="s">
        <v>368</v>
      </c>
      <c r="W6363" t="str">
        <f>VLOOKUP(Table_Query_from_Actuarial___Production[[#This Row],[Kor1]],$AI$3:$AK$105,3,FALSE)</f>
        <v>Claims Expense</v>
      </c>
      <c r="X6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3"/>
      <c r="Z6363" t="s">
        <v>21</v>
      </c>
      <c r="AA6363" t="s">
        <v>239</v>
      </c>
      <c r="AB6363" t="s">
        <v>351</v>
      </c>
      <c r="AC6363" s="21">
        <v>1325.77</v>
      </c>
      <c r="AD6363" s="21" t="s">
        <v>368</v>
      </c>
      <c r="AE6363" t="str">
        <f>VLOOKUP(Table_Query_from_Actuarial___Production3[[#This Row],[Kor1]],$AI$3:$AK$105,3,FALSE)</f>
        <v>Misc. Expense</v>
      </c>
      <c r="AF6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4" spans="18:32" x14ac:dyDescent="0.2">
      <c r="R6364" t="s">
        <v>29</v>
      </c>
      <c r="S6364" t="s">
        <v>259</v>
      </c>
      <c r="T6364" t="s">
        <v>441</v>
      </c>
      <c r="U6364" s="21">
        <v>680</v>
      </c>
      <c r="V6364" s="21" t="s">
        <v>368</v>
      </c>
      <c r="W6364" t="str">
        <f>VLOOKUP(Table_Query_from_Actuarial___Production[[#This Row],[Kor1]],$AI$3:$AK$105,3,FALSE)</f>
        <v>Misc. Expense</v>
      </c>
      <c r="X6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4"/>
      <c r="Z6364" t="s">
        <v>75</v>
      </c>
      <c r="AA6364" t="s">
        <v>233</v>
      </c>
      <c r="AB6364" t="s">
        <v>441</v>
      </c>
      <c r="AC6364" s="21">
        <v>719</v>
      </c>
      <c r="AD6364" s="21" t="s">
        <v>368</v>
      </c>
      <c r="AE6364" t="str">
        <f>VLOOKUP(Table_Query_from_Actuarial___Production3[[#This Row],[Kor1]],$AI$3:$AK$105,3,FALSE)</f>
        <v>EBUB</v>
      </c>
      <c r="AF6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5" spans="18:32" x14ac:dyDescent="0.2">
      <c r="R6365" t="s">
        <v>18</v>
      </c>
      <c r="S6365" t="s">
        <v>225</v>
      </c>
      <c r="T6365" t="s">
        <v>433</v>
      </c>
      <c r="U6365" s="21">
        <v>1104606.22</v>
      </c>
      <c r="V6365" s="21" t="s">
        <v>368</v>
      </c>
      <c r="W6365" t="str">
        <f>VLOOKUP(Table_Query_from_Actuarial___Production[[#This Row],[Kor1]],$AI$3:$AK$105,3,FALSE)</f>
        <v>Misc. Expense</v>
      </c>
      <c r="X6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365"/>
      <c r="Z6365" t="s">
        <v>14</v>
      </c>
      <c r="AA6365" t="s">
        <v>226</v>
      </c>
      <c r="AB6365" t="s">
        <v>5</v>
      </c>
      <c r="AC6365" s="21">
        <v>347649.18</v>
      </c>
      <c r="AD6365" s="21" t="s">
        <v>368</v>
      </c>
      <c r="AE6365" t="str">
        <f>VLOOKUP(Table_Query_from_Actuarial___Production3[[#This Row],[Kor1]],$AI$3:$AK$105,3,FALSE)</f>
        <v>Claims Expense</v>
      </c>
      <c r="AF6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366" spans="18:32" x14ac:dyDescent="0.2">
      <c r="R6366" t="s">
        <v>12</v>
      </c>
      <c r="S6366" t="s">
        <v>268</v>
      </c>
      <c r="T6366" t="s">
        <v>427</v>
      </c>
      <c r="U6366" s="21">
        <v>28.8</v>
      </c>
      <c r="V6366" s="21" t="s">
        <v>368</v>
      </c>
      <c r="W6366" t="str">
        <f>VLOOKUP(Table_Query_from_Actuarial___Production[[#This Row],[Kor1]],$AI$3:$AK$105,3,FALSE)</f>
        <v>Premium Tax</v>
      </c>
      <c r="X6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6"/>
      <c r="Z6366" t="s">
        <v>41</v>
      </c>
      <c r="AA6366" t="s">
        <v>242</v>
      </c>
      <c r="AB6366" t="s">
        <v>9</v>
      </c>
      <c r="AC6366" s="21">
        <v>500</v>
      </c>
      <c r="AD6366" s="21" t="s">
        <v>368</v>
      </c>
      <c r="AE6366" t="str">
        <f>VLOOKUP(Table_Query_from_Actuarial___Production3[[#This Row],[Kor1]],$AI$3:$AK$105,3,FALSE)</f>
        <v>Misc. Income</v>
      </c>
      <c r="AF6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7" spans="18:32" x14ac:dyDescent="0.2">
      <c r="R6367" t="s">
        <v>39</v>
      </c>
      <c r="S6367" t="s">
        <v>230</v>
      </c>
      <c r="T6367" t="s">
        <v>351</v>
      </c>
      <c r="U6367" s="21">
        <v>132685.23000000001</v>
      </c>
      <c r="V6367" s="21" t="s">
        <v>368</v>
      </c>
      <c r="W6367" t="str">
        <f>VLOOKUP(Table_Query_from_Actuarial___Production[[#This Row],[Kor1]],$AI$3:$AK$105,3,FALSE)</f>
        <v>Misc. Income for Insolvent Companies</v>
      </c>
      <c r="X6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7"/>
      <c r="Z6367" t="s">
        <v>14</v>
      </c>
      <c r="AA6367" t="s">
        <v>227</v>
      </c>
      <c r="AB6367" t="s">
        <v>442</v>
      </c>
      <c r="AC6367" s="21">
        <v>869.51</v>
      </c>
      <c r="AD6367" s="21" t="s">
        <v>368</v>
      </c>
      <c r="AE6367" t="str">
        <f>VLOOKUP(Table_Query_from_Actuarial___Production3[[#This Row],[Kor1]],$AI$3:$AK$105,3,FALSE)</f>
        <v>Claims Expense</v>
      </c>
      <c r="AF6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68" spans="18:32" x14ac:dyDescent="0.2">
      <c r="R6368" t="s">
        <v>10</v>
      </c>
      <c r="S6368" t="s">
        <v>259</v>
      </c>
      <c r="T6368" t="s">
        <v>443</v>
      </c>
      <c r="U6368" s="21">
        <v>5201.51</v>
      </c>
      <c r="V6368" s="21" t="s">
        <v>368</v>
      </c>
      <c r="W6368" t="str">
        <f>VLOOKUP(Table_Query_from_Actuarial___Production[[#This Row],[Kor1]],$AI$3:$AK$105,3,FALSE)</f>
        <v>Commissions</v>
      </c>
      <c r="X6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8"/>
      <c r="Z6368" t="s">
        <v>14</v>
      </c>
      <c r="AA6368" t="s">
        <v>354</v>
      </c>
      <c r="AB6368" t="s">
        <v>8</v>
      </c>
      <c r="AC6368" s="21">
        <v>99320918.980000004</v>
      </c>
      <c r="AD6368" s="21" t="s">
        <v>369</v>
      </c>
      <c r="AE6368" t="str">
        <f>VLOOKUP(Table_Query_from_Actuarial___Production3[[#This Row],[Kor1]],$AI$3:$AK$105,3,FALSE)</f>
        <v>Claims Expense</v>
      </c>
      <c r="AF6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369" spans="18:32" x14ac:dyDescent="0.2">
      <c r="R6369" t="s">
        <v>11</v>
      </c>
      <c r="S6369" t="s">
        <v>264</v>
      </c>
      <c r="T6369" t="s">
        <v>356</v>
      </c>
      <c r="U6369" s="21">
        <v>875521.21</v>
      </c>
      <c r="V6369" s="21" t="s">
        <v>368</v>
      </c>
      <c r="W6369" t="str">
        <f>VLOOKUP(Table_Query_from_Actuarial___Production[[#This Row],[Kor1]],$AI$3:$AK$105,3,FALSE)</f>
        <v>Losses Paid</v>
      </c>
      <c r="X6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69"/>
      <c r="Z6369" t="s">
        <v>10</v>
      </c>
      <c r="AA6369" t="s">
        <v>255</v>
      </c>
      <c r="AB6369" t="s">
        <v>433</v>
      </c>
      <c r="AC6369" s="21">
        <v>15364.06</v>
      </c>
      <c r="AD6369" s="21" t="s">
        <v>368</v>
      </c>
      <c r="AE6369" t="str">
        <f>VLOOKUP(Table_Query_from_Actuarial___Production3[[#This Row],[Kor1]],$AI$3:$AK$105,3,FALSE)</f>
        <v>Commissions</v>
      </c>
      <c r="AF6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0" spans="18:32" x14ac:dyDescent="0.2">
      <c r="R6370" t="s">
        <v>33</v>
      </c>
      <c r="S6370" t="s">
        <v>254</v>
      </c>
      <c r="T6370" t="s">
        <v>9</v>
      </c>
      <c r="U6370" s="21">
        <v>15692.94</v>
      </c>
      <c r="V6370" s="21" t="s">
        <v>368</v>
      </c>
      <c r="W6370" t="str">
        <f>VLOOKUP(Table_Query_from_Actuarial___Production[[#This Row],[Kor1]],$AI$3:$AK$105,3,FALSE)</f>
        <v>Misc. Expense</v>
      </c>
      <c r="X6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0"/>
      <c r="Z6370" t="s">
        <v>40</v>
      </c>
      <c r="AA6370" t="s">
        <v>254</v>
      </c>
      <c r="AB6370" t="s">
        <v>441</v>
      </c>
      <c r="AC6370" s="21">
        <v>7.11</v>
      </c>
      <c r="AD6370" s="21" t="s">
        <v>368</v>
      </c>
      <c r="AE6370" t="str">
        <f>VLOOKUP(Table_Query_from_Actuarial___Production3[[#This Row],[Kor1]],$AI$3:$AK$105,3,FALSE)</f>
        <v>Misc. Income</v>
      </c>
      <c r="AF6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1" spans="18:32" x14ac:dyDescent="0.2">
      <c r="R6371" t="s">
        <v>47</v>
      </c>
      <c r="S6371" t="s">
        <v>228</v>
      </c>
      <c r="T6371" t="s">
        <v>433</v>
      </c>
      <c r="U6371" s="21">
        <v>25.21</v>
      </c>
      <c r="V6371" s="21" t="s">
        <v>368</v>
      </c>
      <c r="W6371" t="str">
        <f>VLOOKUP(Table_Query_from_Actuarial___Production[[#This Row],[Kor1]],$AI$3:$AK$105,3,FALSE)</f>
        <v>Investment Income</v>
      </c>
      <c r="X6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1"/>
      <c r="Z6371" t="s">
        <v>41</v>
      </c>
      <c r="AA6371" t="s">
        <v>233</v>
      </c>
      <c r="AB6371" t="s">
        <v>442</v>
      </c>
      <c r="AC6371" s="21">
        <v>500</v>
      </c>
      <c r="AD6371" s="21" t="s">
        <v>368</v>
      </c>
      <c r="AE6371" t="str">
        <f>VLOOKUP(Table_Query_from_Actuarial___Production3[[#This Row],[Kor1]],$AI$3:$AK$105,3,FALSE)</f>
        <v>Misc. Income</v>
      </c>
      <c r="AF6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2" spans="18:32" x14ac:dyDescent="0.2">
      <c r="R6372" t="s">
        <v>21</v>
      </c>
      <c r="S6372" t="s">
        <v>236</v>
      </c>
      <c r="T6372" t="s">
        <v>6</v>
      </c>
      <c r="U6372" s="21">
        <v>715.07</v>
      </c>
      <c r="V6372" s="21" t="s">
        <v>368</v>
      </c>
      <c r="W6372" t="str">
        <f>VLOOKUP(Table_Query_from_Actuarial___Production[[#This Row],[Kor1]],$AI$3:$AK$105,3,FALSE)</f>
        <v>Misc. Expense</v>
      </c>
      <c r="X6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2"/>
      <c r="Z6372" t="s">
        <v>14</v>
      </c>
      <c r="AA6372" t="s">
        <v>260</v>
      </c>
      <c r="AB6372" t="s">
        <v>7</v>
      </c>
      <c r="AC6372" s="21">
        <v>1850.88</v>
      </c>
      <c r="AD6372" s="21" t="s">
        <v>368</v>
      </c>
      <c r="AE6372" t="str">
        <f>VLOOKUP(Table_Query_from_Actuarial___Production3[[#This Row],[Kor1]],$AI$3:$AK$105,3,FALSE)</f>
        <v>Claims Expense</v>
      </c>
      <c r="AF6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3" spans="18:32" x14ac:dyDescent="0.2">
      <c r="R6373" t="s">
        <v>38</v>
      </c>
      <c r="S6373" t="s">
        <v>225</v>
      </c>
      <c r="T6373" t="s">
        <v>356</v>
      </c>
      <c r="U6373" s="21">
        <v>558122.06999999995</v>
      </c>
      <c r="V6373" s="21" t="s">
        <v>368</v>
      </c>
      <c r="W6373" t="str">
        <f>VLOOKUP(Table_Query_from_Actuarial___Production[[#This Row],[Kor1]],$AI$3:$AK$105,3,FALSE)</f>
        <v>Misc. Income</v>
      </c>
      <c r="X6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373"/>
      <c r="Z6373" t="s">
        <v>29</v>
      </c>
      <c r="AA6373" t="s">
        <v>259</v>
      </c>
      <c r="AB6373" t="s">
        <v>441</v>
      </c>
      <c r="AC6373" s="21">
        <v>680</v>
      </c>
      <c r="AD6373" s="21" t="s">
        <v>368</v>
      </c>
      <c r="AE6373" t="str">
        <f>VLOOKUP(Table_Query_from_Actuarial___Production3[[#This Row],[Kor1]],$AI$3:$AK$105,3,FALSE)</f>
        <v>Misc. Expense</v>
      </c>
      <c r="AF6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4" spans="18:32" x14ac:dyDescent="0.2">
      <c r="R6374" t="s">
        <v>39</v>
      </c>
      <c r="S6374" t="s">
        <v>240</v>
      </c>
      <c r="T6374" t="s">
        <v>6</v>
      </c>
      <c r="U6374" s="21">
        <v>2302.8200000000002</v>
      </c>
      <c r="V6374" s="21" t="s">
        <v>368</v>
      </c>
      <c r="W6374" t="str">
        <f>VLOOKUP(Table_Query_from_Actuarial___Production[[#This Row],[Kor1]],$AI$3:$AK$105,3,FALSE)</f>
        <v>Misc. Income for Insolvent Companies</v>
      </c>
      <c r="X6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4"/>
      <c r="Z6374" t="s">
        <v>18</v>
      </c>
      <c r="AA6374" t="s">
        <v>225</v>
      </c>
      <c r="AB6374" t="s">
        <v>433</v>
      </c>
      <c r="AC6374" s="21">
        <v>1104606.22</v>
      </c>
      <c r="AD6374" s="21" t="s">
        <v>368</v>
      </c>
      <c r="AE6374" t="str">
        <f>VLOOKUP(Table_Query_from_Actuarial___Production3[[#This Row],[Kor1]],$AI$3:$AK$105,3,FALSE)</f>
        <v>Misc. Expense</v>
      </c>
      <c r="AF6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375" spans="18:32" x14ac:dyDescent="0.2">
      <c r="R6375" t="s">
        <v>11</v>
      </c>
      <c r="S6375" t="s">
        <v>267</v>
      </c>
      <c r="T6375" t="s">
        <v>441</v>
      </c>
      <c r="U6375" s="21">
        <v>1295843.54</v>
      </c>
      <c r="V6375" s="21" t="s">
        <v>368</v>
      </c>
      <c r="W6375" t="str">
        <f>VLOOKUP(Table_Query_from_Actuarial___Production[[#This Row],[Kor1]],$AI$3:$AK$105,3,FALSE)</f>
        <v>Losses Paid</v>
      </c>
      <c r="X6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5"/>
      <c r="Z6375" t="s">
        <v>12</v>
      </c>
      <c r="AA6375" t="s">
        <v>268</v>
      </c>
      <c r="AB6375" t="s">
        <v>427</v>
      </c>
      <c r="AC6375" s="21">
        <v>28.8</v>
      </c>
      <c r="AD6375" s="21" t="s">
        <v>368</v>
      </c>
      <c r="AE6375" t="str">
        <f>VLOOKUP(Table_Query_from_Actuarial___Production3[[#This Row],[Kor1]],$AI$3:$AK$105,3,FALSE)</f>
        <v>Premium Tax</v>
      </c>
      <c r="AF6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6" spans="18:32" x14ac:dyDescent="0.2">
      <c r="R6376" t="s">
        <v>14</v>
      </c>
      <c r="S6376" t="s">
        <v>245</v>
      </c>
      <c r="T6376" t="s">
        <v>356</v>
      </c>
      <c r="U6376" s="21">
        <v>201.64</v>
      </c>
      <c r="V6376" s="21" t="s">
        <v>368</v>
      </c>
      <c r="W6376" t="str">
        <f>VLOOKUP(Table_Query_from_Actuarial___Production[[#This Row],[Kor1]],$AI$3:$AK$105,3,FALSE)</f>
        <v>Claims Expense</v>
      </c>
      <c r="X6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6"/>
      <c r="Z6376" t="s">
        <v>39</v>
      </c>
      <c r="AA6376" t="s">
        <v>230</v>
      </c>
      <c r="AB6376" t="s">
        <v>351</v>
      </c>
      <c r="AC6376" s="21">
        <v>132685.23000000001</v>
      </c>
      <c r="AD6376" s="21" t="s">
        <v>368</v>
      </c>
      <c r="AE6376" t="str">
        <f>VLOOKUP(Table_Query_from_Actuarial___Production3[[#This Row],[Kor1]],$AI$3:$AK$105,3,FALSE)</f>
        <v>Misc. Income for Insolvent Companies</v>
      </c>
      <c r="AF6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7" spans="18:32" x14ac:dyDescent="0.2">
      <c r="R6377" t="s">
        <v>33</v>
      </c>
      <c r="S6377" t="s">
        <v>232</v>
      </c>
      <c r="T6377" t="s">
        <v>427</v>
      </c>
      <c r="U6377" s="21">
        <v>13472.59</v>
      </c>
      <c r="V6377" s="21" t="s">
        <v>368</v>
      </c>
      <c r="W6377" t="str">
        <f>VLOOKUP(Table_Query_from_Actuarial___Production[[#This Row],[Kor1]],$AI$3:$AK$105,3,FALSE)</f>
        <v>Misc. Expense</v>
      </c>
      <c r="X6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7"/>
      <c r="Z6377" t="s">
        <v>11</v>
      </c>
      <c r="AA6377" t="s">
        <v>264</v>
      </c>
      <c r="AB6377" t="s">
        <v>356</v>
      </c>
      <c r="AC6377" s="21">
        <v>875521.21</v>
      </c>
      <c r="AD6377" s="21" t="s">
        <v>368</v>
      </c>
      <c r="AE6377" t="str">
        <f>VLOOKUP(Table_Query_from_Actuarial___Production3[[#This Row],[Kor1]],$AI$3:$AK$105,3,FALSE)</f>
        <v>Losses Paid</v>
      </c>
      <c r="AF6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8" spans="18:32" x14ac:dyDescent="0.2">
      <c r="R6378" t="s">
        <v>12</v>
      </c>
      <c r="S6378" t="s">
        <v>242</v>
      </c>
      <c r="T6378" t="s">
        <v>7</v>
      </c>
      <c r="U6378" s="21">
        <v>10379.549999999999</v>
      </c>
      <c r="V6378" s="21" t="s">
        <v>368</v>
      </c>
      <c r="W6378" t="str">
        <f>VLOOKUP(Table_Query_from_Actuarial___Production[[#This Row],[Kor1]],$AI$3:$AK$105,3,FALSE)</f>
        <v>Premium Tax</v>
      </c>
      <c r="X6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8"/>
      <c r="Z6378" t="s">
        <v>33</v>
      </c>
      <c r="AA6378" t="s">
        <v>254</v>
      </c>
      <c r="AB6378" t="s">
        <v>9</v>
      </c>
      <c r="AC6378" s="21">
        <v>15692.94</v>
      </c>
      <c r="AD6378" s="21" t="s">
        <v>368</v>
      </c>
      <c r="AE6378" t="str">
        <f>VLOOKUP(Table_Query_from_Actuarial___Production3[[#This Row],[Kor1]],$AI$3:$AK$105,3,FALSE)</f>
        <v>Misc. Expense</v>
      </c>
      <c r="AF6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79" spans="18:32" x14ac:dyDescent="0.2">
      <c r="R6379" t="s">
        <v>41</v>
      </c>
      <c r="S6379" t="s">
        <v>252</v>
      </c>
      <c r="T6379" t="s">
        <v>6</v>
      </c>
      <c r="U6379" s="21">
        <v>400.02</v>
      </c>
      <c r="V6379" s="21" t="s">
        <v>368</v>
      </c>
      <c r="W6379" t="str">
        <f>VLOOKUP(Table_Query_from_Actuarial___Production[[#This Row],[Kor1]],$AI$3:$AK$105,3,FALSE)</f>
        <v>Misc. Income</v>
      </c>
      <c r="X6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79"/>
      <c r="Z6379" t="s">
        <v>47</v>
      </c>
      <c r="AA6379" t="s">
        <v>228</v>
      </c>
      <c r="AB6379" t="s">
        <v>433</v>
      </c>
      <c r="AC6379" s="21">
        <v>25.21</v>
      </c>
      <c r="AD6379" s="21" t="s">
        <v>368</v>
      </c>
      <c r="AE6379" t="str">
        <f>VLOOKUP(Table_Query_from_Actuarial___Production3[[#This Row],[Kor1]],$AI$3:$AK$105,3,FALSE)</f>
        <v>Investment Income</v>
      </c>
      <c r="AF6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0" spans="18:32" x14ac:dyDescent="0.2">
      <c r="R6380" t="s">
        <v>44</v>
      </c>
      <c r="S6380" t="s">
        <v>225</v>
      </c>
      <c r="T6380" t="s">
        <v>443</v>
      </c>
      <c r="U6380" s="21">
        <v>2982.6</v>
      </c>
      <c r="V6380" s="21" t="s">
        <v>368</v>
      </c>
      <c r="W6380" t="str">
        <f>VLOOKUP(Table_Query_from_Actuarial___Production[[#This Row],[Kor1]],$AI$3:$AK$105,3,FALSE)</f>
        <v>Charge-offs</v>
      </c>
      <c r="X6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380"/>
      <c r="Z6380" t="s">
        <v>21</v>
      </c>
      <c r="AA6380" t="s">
        <v>236</v>
      </c>
      <c r="AB6380" t="s">
        <v>6</v>
      </c>
      <c r="AC6380" s="21">
        <v>715.07</v>
      </c>
      <c r="AD6380" s="21" t="s">
        <v>368</v>
      </c>
      <c r="AE6380" t="str">
        <f>VLOOKUP(Table_Query_from_Actuarial___Production3[[#This Row],[Kor1]],$AI$3:$AK$105,3,FALSE)</f>
        <v>Misc. Expense</v>
      </c>
      <c r="AF6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1" spans="18:32" x14ac:dyDescent="0.2">
      <c r="R6381" t="s">
        <v>36</v>
      </c>
      <c r="S6381" t="s">
        <v>237</v>
      </c>
      <c r="T6381" t="s">
        <v>443</v>
      </c>
      <c r="U6381" s="21">
        <v>5089.76</v>
      </c>
      <c r="V6381" s="21" t="s">
        <v>368</v>
      </c>
      <c r="W6381" t="str">
        <f>VLOOKUP(Table_Query_from_Actuarial___Production[[#This Row],[Kor1]],$AI$3:$AK$105,3,FALSE)</f>
        <v>Misc. Expense</v>
      </c>
      <c r="X6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1"/>
      <c r="Z6381" t="s">
        <v>38</v>
      </c>
      <c r="AA6381" t="s">
        <v>225</v>
      </c>
      <c r="AB6381" t="s">
        <v>356</v>
      </c>
      <c r="AC6381" s="21">
        <v>558122.06999999995</v>
      </c>
      <c r="AD6381" s="21" t="s">
        <v>368</v>
      </c>
      <c r="AE6381" t="str">
        <f>VLOOKUP(Table_Query_from_Actuarial___Production3[[#This Row],[Kor1]],$AI$3:$AK$105,3,FALSE)</f>
        <v>Misc. Income</v>
      </c>
      <c r="AF6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382" spans="18:32" x14ac:dyDescent="0.2">
      <c r="R6382" t="s">
        <v>50</v>
      </c>
      <c r="S6382" t="s">
        <v>245</v>
      </c>
      <c r="T6382" t="s">
        <v>441</v>
      </c>
      <c r="U6382" s="21">
        <v>12.5</v>
      </c>
      <c r="V6382" s="21" t="s">
        <v>368</v>
      </c>
      <c r="W6382" t="str">
        <f>VLOOKUP(Table_Query_from_Actuarial___Production[[#This Row],[Kor1]],$AI$3:$AK$105,3,FALSE)</f>
        <v>ALAE Reserve</v>
      </c>
      <c r="X6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2"/>
      <c r="Z6382" t="s">
        <v>39</v>
      </c>
      <c r="AA6382" t="s">
        <v>240</v>
      </c>
      <c r="AB6382" t="s">
        <v>6</v>
      </c>
      <c r="AC6382" s="21">
        <v>2302.8200000000002</v>
      </c>
      <c r="AD6382" s="21" t="s">
        <v>368</v>
      </c>
      <c r="AE6382" t="str">
        <f>VLOOKUP(Table_Query_from_Actuarial___Production3[[#This Row],[Kor1]],$AI$3:$AK$105,3,FALSE)</f>
        <v>Misc. Income for Insolvent Companies</v>
      </c>
      <c r="AF6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3" spans="18:32" x14ac:dyDescent="0.2">
      <c r="R6383" t="s">
        <v>12</v>
      </c>
      <c r="S6383" t="s">
        <v>239</v>
      </c>
      <c r="T6383" t="s">
        <v>427</v>
      </c>
      <c r="U6383" s="21">
        <v>31153.94</v>
      </c>
      <c r="V6383" s="21" t="s">
        <v>368</v>
      </c>
      <c r="W6383" t="str">
        <f>VLOOKUP(Table_Query_from_Actuarial___Production[[#This Row],[Kor1]],$AI$3:$AK$105,3,FALSE)</f>
        <v>Premium Tax</v>
      </c>
      <c r="X6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3"/>
      <c r="Z6383" t="s">
        <v>11</v>
      </c>
      <c r="AA6383" t="s">
        <v>267</v>
      </c>
      <c r="AB6383" t="s">
        <v>441</v>
      </c>
      <c r="AC6383" s="21">
        <v>273087.21000000002</v>
      </c>
      <c r="AD6383" s="21" t="s">
        <v>368</v>
      </c>
      <c r="AE6383" t="str">
        <f>VLOOKUP(Table_Query_from_Actuarial___Production3[[#This Row],[Kor1]],$AI$3:$AK$105,3,FALSE)</f>
        <v>Losses Paid</v>
      </c>
      <c r="AF6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4" spans="18:32" x14ac:dyDescent="0.2">
      <c r="R6384" t="s">
        <v>13</v>
      </c>
      <c r="S6384" t="s">
        <v>227</v>
      </c>
      <c r="T6384" t="s">
        <v>427</v>
      </c>
      <c r="U6384" s="21">
        <v>531.34</v>
      </c>
      <c r="V6384" s="21" t="s">
        <v>368</v>
      </c>
      <c r="W6384" t="str">
        <f>VLOOKUP(Table_Query_from_Actuarial___Production[[#This Row],[Kor1]],$AI$3:$AK$105,3,FALSE)</f>
        <v>Operating Service Fees</v>
      </c>
      <c r="X6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4"/>
      <c r="Z6384" t="s">
        <v>14</v>
      </c>
      <c r="AA6384" t="s">
        <v>245</v>
      </c>
      <c r="AB6384" t="s">
        <v>356</v>
      </c>
      <c r="AC6384" s="21">
        <v>201.64</v>
      </c>
      <c r="AD6384" s="21" t="s">
        <v>368</v>
      </c>
      <c r="AE6384" t="str">
        <f>VLOOKUP(Table_Query_from_Actuarial___Production3[[#This Row],[Kor1]],$AI$3:$AK$105,3,FALSE)</f>
        <v>Claims Expense</v>
      </c>
      <c r="AF6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5" spans="18:32" x14ac:dyDescent="0.2">
      <c r="R6385" t="s">
        <v>14</v>
      </c>
      <c r="S6385" t="s">
        <v>4</v>
      </c>
      <c r="T6385" t="s">
        <v>8</v>
      </c>
      <c r="U6385" s="21">
        <v>1042012.77</v>
      </c>
      <c r="V6385" s="21" t="s">
        <v>368</v>
      </c>
      <c r="W6385" t="str">
        <f>VLOOKUP(Table_Query_from_Actuarial___Production[[#This Row],[Kor1]],$AI$3:$AK$105,3,FALSE)</f>
        <v>Claims Expense</v>
      </c>
      <c r="X6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5"/>
      <c r="Z6385" t="s">
        <v>33</v>
      </c>
      <c r="AA6385" t="s">
        <v>232</v>
      </c>
      <c r="AB6385" t="s">
        <v>427</v>
      </c>
      <c r="AC6385" s="21">
        <v>13472.59</v>
      </c>
      <c r="AD6385" s="21" t="s">
        <v>368</v>
      </c>
      <c r="AE6385" t="str">
        <f>VLOOKUP(Table_Query_from_Actuarial___Production3[[#This Row],[Kor1]],$AI$3:$AK$105,3,FALSE)</f>
        <v>Misc. Expense</v>
      </c>
      <c r="AF6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6" spans="18:32" x14ac:dyDescent="0.2">
      <c r="R6386" t="s">
        <v>48</v>
      </c>
      <c r="S6386" t="s">
        <v>229</v>
      </c>
      <c r="T6386" t="s">
        <v>445</v>
      </c>
      <c r="U6386" s="21">
        <v>38.47</v>
      </c>
      <c r="V6386" s="21" t="s">
        <v>368</v>
      </c>
      <c r="W6386" t="str">
        <f>VLOOKUP(Table_Query_from_Actuarial___Production[[#This Row],[Kor1]],$AI$3:$AK$105,3,FALSE)</f>
        <v>Anticipated Salvage</v>
      </c>
      <c r="X6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6"/>
      <c r="Z6386" t="s">
        <v>12</v>
      </c>
      <c r="AA6386" t="s">
        <v>242</v>
      </c>
      <c r="AB6386" t="s">
        <v>7</v>
      </c>
      <c r="AC6386" s="21">
        <v>10379.549999999999</v>
      </c>
      <c r="AD6386" s="21" t="s">
        <v>368</v>
      </c>
      <c r="AE6386" t="str">
        <f>VLOOKUP(Table_Query_from_Actuarial___Production3[[#This Row],[Kor1]],$AI$3:$AK$105,3,FALSE)</f>
        <v>Premium Tax</v>
      </c>
      <c r="AF6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7" spans="18:32" x14ac:dyDescent="0.2">
      <c r="R6387" t="s">
        <v>11</v>
      </c>
      <c r="S6387" t="s">
        <v>4</v>
      </c>
      <c r="T6387" t="s">
        <v>443</v>
      </c>
      <c r="U6387" s="21">
        <v>2292974.77</v>
      </c>
      <c r="V6387" s="21" t="s">
        <v>368</v>
      </c>
      <c r="W6387" t="str">
        <f>VLOOKUP(Table_Query_from_Actuarial___Production[[#This Row],[Kor1]],$AI$3:$AK$105,3,FALSE)</f>
        <v>Losses Paid</v>
      </c>
      <c r="X6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7"/>
      <c r="Z6387" t="s">
        <v>41</v>
      </c>
      <c r="AA6387" t="s">
        <v>252</v>
      </c>
      <c r="AB6387" t="s">
        <v>6</v>
      </c>
      <c r="AC6387" s="21">
        <v>400.02</v>
      </c>
      <c r="AD6387" s="21" t="s">
        <v>368</v>
      </c>
      <c r="AE6387" t="str">
        <f>VLOOKUP(Table_Query_from_Actuarial___Production3[[#This Row],[Kor1]],$AI$3:$AK$105,3,FALSE)</f>
        <v>Misc. Income</v>
      </c>
      <c r="AF6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8" spans="18:32" x14ac:dyDescent="0.2">
      <c r="R6388" t="s">
        <v>17</v>
      </c>
      <c r="S6388" t="s">
        <v>4</v>
      </c>
      <c r="T6388" t="s">
        <v>433</v>
      </c>
      <c r="U6388" s="21">
        <v>5297515.8</v>
      </c>
      <c r="V6388" s="21" t="s">
        <v>368</v>
      </c>
      <c r="W6388" t="str">
        <f>VLOOKUP(Table_Query_from_Actuarial___Production[[#This Row],[Kor1]],$AI$3:$AK$105,3,FALSE)</f>
        <v>IBNR</v>
      </c>
      <c r="X6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8"/>
      <c r="Z6388" t="s">
        <v>12</v>
      </c>
      <c r="AA6388" t="s">
        <v>237</v>
      </c>
      <c r="AB6388" t="s">
        <v>5</v>
      </c>
      <c r="AC6388" s="21">
        <v>12101.51</v>
      </c>
      <c r="AD6388" s="21" t="s">
        <v>368</v>
      </c>
      <c r="AE6388" t="str">
        <f>VLOOKUP(Table_Query_from_Actuarial___Production3[[#This Row],[Kor1]],$AI$3:$AK$105,3,FALSE)</f>
        <v>Premium Tax</v>
      </c>
      <c r="AF6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89" spans="18:32" x14ac:dyDescent="0.2">
      <c r="R6389" t="s">
        <v>31</v>
      </c>
      <c r="S6389" t="s">
        <v>256</v>
      </c>
      <c r="T6389" t="s">
        <v>443</v>
      </c>
      <c r="U6389" s="21">
        <v>1395.05</v>
      </c>
      <c r="V6389" s="21" t="s">
        <v>368</v>
      </c>
      <c r="W6389" t="str">
        <f>VLOOKUP(Table_Query_from_Actuarial___Production[[#This Row],[Kor1]],$AI$3:$AK$105,3,FALSE)</f>
        <v>Misc. Expense</v>
      </c>
      <c r="X6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89"/>
      <c r="Z6389" t="s">
        <v>44</v>
      </c>
      <c r="AA6389" t="s">
        <v>261</v>
      </c>
      <c r="AB6389" t="s">
        <v>5</v>
      </c>
      <c r="AC6389" s="21">
        <v>2835</v>
      </c>
      <c r="AD6389" s="21" t="s">
        <v>368</v>
      </c>
      <c r="AE6389" t="str">
        <f>VLOOKUP(Table_Query_from_Actuarial___Production3[[#This Row],[Kor1]],$AI$3:$AK$105,3,FALSE)</f>
        <v>Charge-offs</v>
      </c>
      <c r="AF6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0" spans="18:32" x14ac:dyDescent="0.2">
      <c r="R6390" t="s">
        <v>439</v>
      </c>
      <c r="S6390" t="s">
        <v>265</v>
      </c>
      <c r="T6390" t="s">
        <v>443</v>
      </c>
      <c r="U6390" s="21">
        <v>-32833.56</v>
      </c>
      <c r="V6390" s="21" t="s">
        <v>368</v>
      </c>
      <c r="W6390" t="str">
        <f>VLOOKUP(Table_Query_from_Actuarial___Production[[#This Row],[Kor1]],$AI$3:$AK$105,3,FALSE)</f>
        <v>Operating Service Fees</v>
      </c>
      <c r="X6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0"/>
      <c r="Z6390" t="s">
        <v>50</v>
      </c>
      <c r="AA6390" t="s">
        <v>245</v>
      </c>
      <c r="AB6390" t="s">
        <v>441</v>
      </c>
      <c r="AC6390" s="21">
        <v>7.23</v>
      </c>
      <c r="AD6390" s="21" t="s">
        <v>368</v>
      </c>
      <c r="AE6390" t="str">
        <f>VLOOKUP(Table_Query_from_Actuarial___Production3[[#This Row],[Kor1]],$AI$3:$AK$105,3,FALSE)</f>
        <v>ALAE Reserve</v>
      </c>
      <c r="AF6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1" spans="18:32" x14ac:dyDescent="0.2">
      <c r="R6391" t="s">
        <v>40</v>
      </c>
      <c r="S6391" t="s">
        <v>238</v>
      </c>
      <c r="T6391" t="s">
        <v>8</v>
      </c>
      <c r="U6391" s="21">
        <v>208</v>
      </c>
      <c r="V6391" s="21" t="s">
        <v>368</v>
      </c>
      <c r="W6391" t="str">
        <f>VLOOKUP(Table_Query_from_Actuarial___Production[[#This Row],[Kor1]],$AI$3:$AK$105,3,FALSE)</f>
        <v>Misc. Income</v>
      </c>
      <c r="X6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1"/>
      <c r="Z6391" t="s">
        <v>12</v>
      </c>
      <c r="AA6391" t="s">
        <v>239</v>
      </c>
      <c r="AB6391" t="s">
        <v>427</v>
      </c>
      <c r="AC6391" s="21">
        <v>31153.94</v>
      </c>
      <c r="AD6391" s="21" t="s">
        <v>368</v>
      </c>
      <c r="AE6391" t="str">
        <f>VLOOKUP(Table_Query_from_Actuarial___Production3[[#This Row],[Kor1]],$AI$3:$AK$105,3,FALSE)</f>
        <v>Premium Tax</v>
      </c>
      <c r="AF6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2" spans="18:32" x14ac:dyDescent="0.2">
      <c r="R6392" t="s">
        <v>23</v>
      </c>
      <c r="S6392" t="s">
        <v>259</v>
      </c>
      <c r="T6392" t="s">
        <v>7</v>
      </c>
      <c r="U6392" s="21">
        <v>4909.2700000000004</v>
      </c>
      <c r="V6392" s="21" t="s">
        <v>368</v>
      </c>
      <c r="W6392" t="str">
        <f>VLOOKUP(Table_Query_from_Actuarial___Production[[#This Row],[Kor1]],$AI$3:$AK$105,3,FALSE)</f>
        <v>Misc. Expense</v>
      </c>
      <c r="X6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2"/>
      <c r="Z6392" t="s">
        <v>13</v>
      </c>
      <c r="AA6392" t="s">
        <v>227</v>
      </c>
      <c r="AB6392" t="s">
        <v>427</v>
      </c>
      <c r="AC6392" s="21">
        <v>531.34</v>
      </c>
      <c r="AD6392" s="21" t="s">
        <v>368</v>
      </c>
      <c r="AE6392" t="str">
        <f>VLOOKUP(Table_Query_from_Actuarial___Production3[[#This Row],[Kor1]],$AI$3:$AK$105,3,FALSE)</f>
        <v>Operating Service Fees</v>
      </c>
      <c r="AF6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3" spans="18:32" x14ac:dyDescent="0.2">
      <c r="R6393" t="s">
        <v>37</v>
      </c>
      <c r="S6393" t="s">
        <v>255</v>
      </c>
      <c r="T6393" t="s">
        <v>442</v>
      </c>
      <c r="U6393" s="21">
        <v>-1634.04</v>
      </c>
      <c r="V6393" s="21" t="s">
        <v>368</v>
      </c>
      <c r="W6393" t="str">
        <f>VLOOKUP(Table_Query_from_Actuarial___Production[[#This Row],[Kor1]],$AI$3:$AK$105,3,FALSE)</f>
        <v>Misc. Expense</v>
      </c>
      <c r="X6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3"/>
      <c r="Z6393" t="s">
        <v>14</v>
      </c>
      <c r="AA6393" t="s">
        <v>4</v>
      </c>
      <c r="AB6393" t="s">
        <v>8</v>
      </c>
      <c r="AC6393" s="21">
        <v>1042012.77</v>
      </c>
      <c r="AD6393" s="21" t="s">
        <v>368</v>
      </c>
      <c r="AE6393" t="str">
        <f>VLOOKUP(Table_Query_from_Actuarial___Production3[[#This Row],[Kor1]],$AI$3:$AK$105,3,FALSE)</f>
        <v>Claims Expense</v>
      </c>
      <c r="AF6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4" spans="18:32" x14ac:dyDescent="0.2">
      <c r="R6394" t="s">
        <v>43</v>
      </c>
      <c r="S6394" t="s">
        <v>237</v>
      </c>
      <c r="T6394" t="s">
        <v>7</v>
      </c>
      <c r="U6394" s="21">
        <v>-1622.81</v>
      </c>
      <c r="V6394" s="21" t="s">
        <v>368</v>
      </c>
      <c r="W6394" t="str">
        <f>VLOOKUP(Table_Query_from_Actuarial___Production[[#This Row],[Kor1]],$AI$3:$AK$105,3,FALSE)</f>
        <v>Charge-offs</v>
      </c>
      <c r="X6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4"/>
      <c r="Z6394" t="s">
        <v>11</v>
      </c>
      <c r="AA6394" t="s">
        <v>4</v>
      </c>
      <c r="AB6394" t="s">
        <v>443</v>
      </c>
      <c r="AC6394" s="21">
        <v>67692.11</v>
      </c>
      <c r="AD6394" s="21" t="s">
        <v>368</v>
      </c>
      <c r="AE6394" t="str">
        <f>VLOOKUP(Table_Query_from_Actuarial___Production3[[#This Row],[Kor1]],$AI$3:$AK$105,3,FALSE)</f>
        <v>Losses Paid</v>
      </c>
      <c r="AF6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5" spans="18:32" x14ac:dyDescent="0.2">
      <c r="R6395" t="s">
        <v>16</v>
      </c>
      <c r="S6395" t="s">
        <v>354</v>
      </c>
      <c r="T6395" t="s">
        <v>445</v>
      </c>
      <c r="U6395" s="21">
        <v>2567872.9500000002</v>
      </c>
      <c r="V6395" s="21" t="s">
        <v>368</v>
      </c>
      <c r="W6395" t="str">
        <f>VLOOKUP(Table_Query_from_Actuarial___Production[[#This Row],[Kor1]],$AI$3:$AK$105,3,FALSE)</f>
        <v>Losses Outstanding</v>
      </c>
      <c r="X6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395"/>
      <c r="Z6395" t="s">
        <v>17</v>
      </c>
      <c r="AA6395" t="s">
        <v>4</v>
      </c>
      <c r="AB6395" t="s">
        <v>433</v>
      </c>
      <c r="AC6395" s="21">
        <v>7277475.71</v>
      </c>
      <c r="AD6395" s="21" t="s">
        <v>368</v>
      </c>
      <c r="AE6395" t="str">
        <f>VLOOKUP(Table_Query_from_Actuarial___Production3[[#This Row],[Kor1]],$AI$3:$AK$105,3,FALSE)</f>
        <v>IBNR</v>
      </c>
      <c r="AF6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6" spans="18:32" x14ac:dyDescent="0.2">
      <c r="R6396" t="s">
        <v>43</v>
      </c>
      <c r="S6396" t="s">
        <v>247</v>
      </c>
      <c r="T6396" t="s">
        <v>433</v>
      </c>
      <c r="U6396" s="21">
        <v>1.23</v>
      </c>
      <c r="V6396" s="21" t="s">
        <v>368</v>
      </c>
      <c r="W6396" t="str">
        <f>VLOOKUP(Table_Query_from_Actuarial___Production[[#This Row],[Kor1]],$AI$3:$AK$105,3,FALSE)</f>
        <v>Charge-offs</v>
      </c>
      <c r="X6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6"/>
      <c r="Z6396" t="s">
        <v>31</v>
      </c>
      <c r="AA6396" t="s">
        <v>256</v>
      </c>
      <c r="AB6396" t="s">
        <v>443</v>
      </c>
      <c r="AC6396" s="21">
        <v>567.74</v>
      </c>
      <c r="AD6396" s="21" t="s">
        <v>368</v>
      </c>
      <c r="AE6396" t="str">
        <f>VLOOKUP(Table_Query_from_Actuarial___Production3[[#This Row],[Kor1]],$AI$3:$AK$105,3,FALSE)</f>
        <v>Misc. Expense</v>
      </c>
      <c r="AF6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7" spans="18:32" x14ac:dyDescent="0.2">
      <c r="R6397" t="s">
        <v>444</v>
      </c>
      <c r="S6397" t="s">
        <v>250</v>
      </c>
      <c r="T6397" t="s">
        <v>443</v>
      </c>
      <c r="U6397" s="21">
        <v>23464.17</v>
      </c>
      <c r="V6397" s="21" t="s">
        <v>368</v>
      </c>
      <c r="W6397" t="str">
        <f>VLOOKUP(Table_Query_from_Actuarial___Production[[#This Row],[Kor1]],$AI$3:$AK$105,3,FALSE)</f>
        <v>Misc. Expense</v>
      </c>
      <c r="X6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7"/>
      <c r="Z6397" t="s">
        <v>439</v>
      </c>
      <c r="AA6397" t="s">
        <v>265</v>
      </c>
      <c r="AB6397" t="s">
        <v>443</v>
      </c>
      <c r="AC6397" s="21">
        <v>-32833.56</v>
      </c>
      <c r="AD6397" s="21" t="s">
        <v>368</v>
      </c>
      <c r="AE6397" t="str">
        <f>VLOOKUP(Table_Query_from_Actuarial___Production3[[#This Row],[Kor1]],$AI$3:$AK$105,3,FALSE)</f>
        <v>Operating Service Fees</v>
      </c>
      <c r="AF6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8" spans="18:32" x14ac:dyDescent="0.2">
      <c r="R6398" t="s">
        <v>3</v>
      </c>
      <c r="S6398" t="s">
        <v>257</v>
      </c>
      <c r="T6398" t="s">
        <v>441</v>
      </c>
      <c r="U6398" s="21">
        <v>2386866</v>
      </c>
      <c r="V6398" s="21" t="s">
        <v>368</v>
      </c>
      <c r="W6398" t="str">
        <f>VLOOKUP(Table_Query_from_Actuarial___Production[[#This Row],[Kor1]],$AI$3:$AK$105,3,FALSE)</f>
        <v>Premiums Written</v>
      </c>
      <c r="X6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8"/>
      <c r="Z6398" t="s">
        <v>40</v>
      </c>
      <c r="AA6398" t="s">
        <v>238</v>
      </c>
      <c r="AB6398" t="s">
        <v>8</v>
      </c>
      <c r="AC6398" s="21">
        <v>208</v>
      </c>
      <c r="AD6398" s="21" t="s">
        <v>368</v>
      </c>
      <c r="AE6398" t="str">
        <f>VLOOKUP(Table_Query_from_Actuarial___Production3[[#This Row],[Kor1]],$AI$3:$AK$105,3,FALSE)</f>
        <v>Misc. Income</v>
      </c>
      <c r="AF6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399" spans="18:32" x14ac:dyDescent="0.2">
      <c r="R6399" t="s">
        <v>11</v>
      </c>
      <c r="S6399" t="s">
        <v>232</v>
      </c>
      <c r="T6399" t="s">
        <v>427</v>
      </c>
      <c r="U6399" s="21">
        <v>1168644.1499999999</v>
      </c>
      <c r="V6399" s="21" t="s">
        <v>368</v>
      </c>
      <c r="W6399" t="str">
        <f>VLOOKUP(Table_Query_from_Actuarial___Production[[#This Row],[Kor1]],$AI$3:$AK$105,3,FALSE)</f>
        <v>Losses Paid</v>
      </c>
      <c r="X6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399"/>
      <c r="Z6399" t="s">
        <v>23</v>
      </c>
      <c r="AA6399" t="s">
        <v>259</v>
      </c>
      <c r="AB6399" t="s">
        <v>7</v>
      </c>
      <c r="AC6399" s="21">
        <v>4909.2700000000004</v>
      </c>
      <c r="AD6399" s="21" t="s">
        <v>368</v>
      </c>
      <c r="AE6399" t="str">
        <f>VLOOKUP(Table_Query_from_Actuarial___Production3[[#This Row],[Kor1]],$AI$3:$AK$105,3,FALSE)</f>
        <v>Misc. Expense</v>
      </c>
      <c r="AF6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0" spans="18:32" x14ac:dyDescent="0.2">
      <c r="R6400" t="s">
        <v>39</v>
      </c>
      <c r="S6400" t="s">
        <v>227</v>
      </c>
      <c r="T6400" t="s">
        <v>442</v>
      </c>
      <c r="U6400" s="21">
        <v>61.67</v>
      </c>
      <c r="V6400" s="21" t="s">
        <v>368</v>
      </c>
      <c r="W6400" t="str">
        <f>VLOOKUP(Table_Query_from_Actuarial___Production[[#This Row],[Kor1]],$AI$3:$AK$105,3,FALSE)</f>
        <v>Misc. Income for Insolvent Companies</v>
      </c>
      <c r="X6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0"/>
      <c r="Z6400" t="s">
        <v>32</v>
      </c>
      <c r="AA6400" t="s">
        <v>230</v>
      </c>
      <c r="AB6400" t="s">
        <v>5</v>
      </c>
      <c r="AC6400" s="21">
        <v>-458372.25</v>
      </c>
      <c r="AD6400" s="21" t="s">
        <v>368</v>
      </c>
      <c r="AE6400" t="str">
        <f>VLOOKUP(Table_Query_from_Actuarial___Production3[[#This Row],[Kor1]],$AI$3:$AK$105,3,FALSE)</f>
        <v>Misc. Expense</v>
      </c>
      <c r="AF6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1" spans="18:32" x14ac:dyDescent="0.2">
      <c r="R6401" t="s">
        <v>41</v>
      </c>
      <c r="S6401" t="s">
        <v>235</v>
      </c>
      <c r="T6401" t="s">
        <v>442</v>
      </c>
      <c r="U6401" s="21">
        <v>1710.1</v>
      </c>
      <c r="V6401" s="21" t="s">
        <v>368</v>
      </c>
      <c r="W6401" t="str">
        <f>VLOOKUP(Table_Query_from_Actuarial___Production[[#This Row],[Kor1]],$AI$3:$AK$105,3,FALSE)</f>
        <v>Misc. Income</v>
      </c>
      <c r="X6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1"/>
      <c r="Z6401" t="s">
        <v>37</v>
      </c>
      <c r="AA6401" t="s">
        <v>255</v>
      </c>
      <c r="AB6401" t="s">
        <v>442</v>
      </c>
      <c r="AC6401" s="21">
        <v>-1634.04</v>
      </c>
      <c r="AD6401" s="21" t="s">
        <v>368</v>
      </c>
      <c r="AE6401" t="str">
        <f>VLOOKUP(Table_Query_from_Actuarial___Production3[[#This Row],[Kor1]],$AI$3:$AK$105,3,FALSE)</f>
        <v>Misc. Expense</v>
      </c>
      <c r="AF6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2" spans="18:32" x14ac:dyDescent="0.2">
      <c r="R6402" t="s">
        <v>33</v>
      </c>
      <c r="S6402" t="s">
        <v>234</v>
      </c>
      <c r="T6402" t="s">
        <v>442</v>
      </c>
      <c r="U6402" s="21">
        <v>16098.67</v>
      </c>
      <c r="V6402" s="21" t="s">
        <v>368</v>
      </c>
      <c r="W6402" t="str">
        <f>VLOOKUP(Table_Query_from_Actuarial___Production[[#This Row],[Kor1]],$AI$3:$AK$105,3,FALSE)</f>
        <v>Misc. Expense</v>
      </c>
      <c r="X6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2"/>
      <c r="Z6402" t="s">
        <v>43</v>
      </c>
      <c r="AA6402" t="s">
        <v>237</v>
      </c>
      <c r="AB6402" t="s">
        <v>7</v>
      </c>
      <c r="AC6402" s="21">
        <v>-1622.81</v>
      </c>
      <c r="AD6402" s="21" t="s">
        <v>368</v>
      </c>
      <c r="AE6402" t="str">
        <f>VLOOKUP(Table_Query_from_Actuarial___Production3[[#This Row],[Kor1]],$AI$3:$AK$105,3,FALSE)</f>
        <v>Charge-offs</v>
      </c>
      <c r="AF6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3" spans="18:32" x14ac:dyDescent="0.2">
      <c r="R6403" t="s">
        <v>33</v>
      </c>
      <c r="S6403" t="s">
        <v>247</v>
      </c>
      <c r="T6403" t="s">
        <v>7</v>
      </c>
      <c r="U6403" s="21">
        <v>13121</v>
      </c>
      <c r="V6403" s="21" t="s">
        <v>368</v>
      </c>
      <c r="W6403" t="str">
        <f>VLOOKUP(Table_Query_from_Actuarial___Production[[#This Row],[Kor1]],$AI$3:$AK$105,3,FALSE)</f>
        <v>Misc. Expense</v>
      </c>
      <c r="X6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3"/>
      <c r="Z6403" t="s">
        <v>43</v>
      </c>
      <c r="AA6403" t="s">
        <v>247</v>
      </c>
      <c r="AB6403" t="s">
        <v>433</v>
      </c>
      <c r="AC6403" s="21">
        <v>1.23</v>
      </c>
      <c r="AD6403" s="21" t="s">
        <v>368</v>
      </c>
      <c r="AE6403" t="str">
        <f>VLOOKUP(Table_Query_from_Actuarial___Production3[[#This Row],[Kor1]],$AI$3:$AK$105,3,FALSE)</f>
        <v>Charge-offs</v>
      </c>
      <c r="AF6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4" spans="18:32" x14ac:dyDescent="0.2">
      <c r="R6404" t="s">
        <v>11</v>
      </c>
      <c r="S6404" t="s">
        <v>225</v>
      </c>
      <c r="T6404" t="s">
        <v>356</v>
      </c>
      <c r="U6404" s="21">
        <v>270977.52</v>
      </c>
      <c r="V6404" s="21" t="s">
        <v>369</v>
      </c>
      <c r="W6404" t="str">
        <f>VLOOKUP(Table_Query_from_Actuarial___Production[[#This Row],[Kor1]],$AI$3:$AK$105,3,FALSE)</f>
        <v>Losses Paid</v>
      </c>
      <c r="X6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404"/>
      <c r="Z6404" t="s">
        <v>3</v>
      </c>
      <c r="AA6404" t="s">
        <v>257</v>
      </c>
      <c r="AB6404" t="s">
        <v>441</v>
      </c>
      <c r="AC6404" s="21">
        <v>2386866</v>
      </c>
      <c r="AD6404" s="21" t="s">
        <v>368</v>
      </c>
      <c r="AE6404" t="str">
        <f>VLOOKUP(Table_Query_from_Actuarial___Production3[[#This Row],[Kor1]],$AI$3:$AK$105,3,FALSE)</f>
        <v>Premiums Written</v>
      </c>
      <c r="AF6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5" spans="18:32" x14ac:dyDescent="0.2">
      <c r="R6405" t="s">
        <v>20</v>
      </c>
      <c r="S6405" t="s">
        <v>258</v>
      </c>
      <c r="T6405" t="s">
        <v>9</v>
      </c>
      <c r="U6405" s="21">
        <v>1366.46</v>
      </c>
      <c r="V6405" s="21" t="s">
        <v>368</v>
      </c>
      <c r="W6405" t="str">
        <f>VLOOKUP(Table_Query_from_Actuarial___Production[[#This Row],[Kor1]],$AI$3:$AK$105,3,FALSE)</f>
        <v>Misc. Expense</v>
      </c>
      <c r="X6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5"/>
      <c r="Z6405" t="s">
        <v>11</v>
      </c>
      <c r="AA6405" t="s">
        <v>232</v>
      </c>
      <c r="AB6405" t="s">
        <v>427</v>
      </c>
      <c r="AC6405" s="21">
        <v>883644.15</v>
      </c>
      <c r="AD6405" s="21" t="s">
        <v>368</v>
      </c>
      <c r="AE6405" t="str">
        <f>VLOOKUP(Table_Query_from_Actuarial___Production3[[#This Row],[Kor1]],$AI$3:$AK$105,3,FALSE)</f>
        <v>Losses Paid</v>
      </c>
      <c r="AF6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6" spans="18:32" x14ac:dyDescent="0.2">
      <c r="R6406" t="s">
        <v>11</v>
      </c>
      <c r="S6406" t="s">
        <v>228</v>
      </c>
      <c r="T6406" t="s">
        <v>351</v>
      </c>
      <c r="U6406" s="21">
        <v>416530.8</v>
      </c>
      <c r="V6406" s="21" t="s">
        <v>368</v>
      </c>
      <c r="W6406" t="str">
        <f>VLOOKUP(Table_Query_from_Actuarial___Production[[#This Row],[Kor1]],$AI$3:$AK$105,3,FALSE)</f>
        <v>Losses Paid</v>
      </c>
      <c r="X6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6"/>
      <c r="Z6406" t="s">
        <v>39</v>
      </c>
      <c r="AA6406" t="s">
        <v>227</v>
      </c>
      <c r="AB6406" t="s">
        <v>442</v>
      </c>
      <c r="AC6406" s="21">
        <v>61.67</v>
      </c>
      <c r="AD6406" s="21" t="s">
        <v>368</v>
      </c>
      <c r="AE6406" t="str">
        <f>VLOOKUP(Table_Query_from_Actuarial___Production3[[#This Row],[Kor1]],$AI$3:$AK$105,3,FALSE)</f>
        <v>Misc. Income for Insolvent Companies</v>
      </c>
      <c r="AF6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7" spans="18:32" x14ac:dyDescent="0.2">
      <c r="R6407" t="s">
        <v>48</v>
      </c>
      <c r="S6407" t="s">
        <v>265</v>
      </c>
      <c r="T6407" t="s">
        <v>433</v>
      </c>
      <c r="U6407" s="21">
        <v>2499.5100000000002</v>
      </c>
      <c r="V6407" s="21" t="s">
        <v>368</v>
      </c>
      <c r="W6407" t="str">
        <f>VLOOKUP(Table_Query_from_Actuarial___Production[[#This Row],[Kor1]],$AI$3:$AK$105,3,FALSE)</f>
        <v>Anticipated Salvage</v>
      </c>
      <c r="X6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7"/>
      <c r="Z6407" t="s">
        <v>41</v>
      </c>
      <c r="AA6407" t="s">
        <v>235</v>
      </c>
      <c r="AB6407" t="s">
        <v>442</v>
      </c>
      <c r="AC6407" s="21">
        <v>1710.1</v>
      </c>
      <c r="AD6407" s="21" t="s">
        <v>368</v>
      </c>
      <c r="AE6407" t="str">
        <f>VLOOKUP(Table_Query_from_Actuarial___Production3[[#This Row],[Kor1]],$AI$3:$AK$105,3,FALSE)</f>
        <v>Misc. Income</v>
      </c>
      <c r="AF6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8" spans="18:32" x14ac:dyDescent="0.2">
      <c r="R6408" t="s">
        <v>34</v>
      </c>
      <c r="S6408" t="s">
        <v>4</v>
      </c>
      <c r="T6408" t="s">
        <v>427</v>
      </c>
      <c r="U6408" s="21">
        <v>3262.79</v>
      </c>
      <c r="V6408" s="21" t="s">
        <v>368</v>
      </c>
      <c r="W6408" t="str">
        <f>VLOOKUP(Table_Query_from_Actuarial___Production[[#This Row],[Kor1]],$AI$3:$AK$105,3,FALSE)</f>
        <v>Misc. Expense</v>
      </c>
      <c r="X6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8"/>
      <c r="Z6408" t="s">
        <v>33</v>
      </c>
      <c r="AA6408" t="s">
        <v>234</v>
      </c>
      <c r="AB6408" t="s">
        <v>442</v>
      </c>
      <c r="AC6408" s="21">
        <v>16098.67</v>
      </c>
      <c r="AD6408" s="21" t="s">
        <v>368</v>
      </c>
      <c r="AE6408" t="str">
        <f>VLOOKUP(Table_Query_from_Actuarial___Production3[[#This Row],[Kor1]],$AI$3:$AK$105,3,FALSE)</f>
        <v>Misc. Expense</v>
      </c>
      <c r="AF6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09" spans="18:32" x14ac:dyDescent="0.2">
      <c r="R6409" t="s">
        <v>3</v>
      </c>
      <c r="S6409" t="s">
        <v>4</v>
      </c>
      <c r="T6409" t="s">
        <v>445</v>
      </c>
      <c r="U6409" s="21">
        <v>13758756</v>
      </c>
      <c r="V6409" s="21" t="s">
        <v>368</v>
      </c>
      <c r="W6409" t="str">
        <f>VLOOKUP(Table_Query_from_Actuarial___Production[[#This Row],[Kor1]],$AI$3:$AK$105,3,FALSE)</f>
        <v>Premiums Written</v>
      </c>
      <c r="X6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09"/>
      <c r="Z6409" t="s">
        <v>33</v>
      </c>
      <c r="AA6409" t="s">
        <v>247</v>
      </c>
      <c r="AB6409" t="s">
        <v>7</v>
      </c>
      <c r="AC6409" s="21">
        <v>13121</v>
      </c>
      <c r="AD6409" s="21" t="s">
        <v>368</v>
      </c>
      <c r="AE6409" t="str">
        <f>VLOOKUP(Table_Query_from_Actuarial___Production3[[#This Row],[Kor1]],$AI$3:$AK$105,3,FALSE)</f>
        <v>Misc. Expense</v>
      </c>
      <c r="AF6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0" spans="18:32" x14ac:dyDescent="0.2">
      <c r="R6410" t="s">
        <v>41</v>
      </c>
      <c r="S6410" t="s">
        <v>259</v>
      </c>
      <c r="T6410" t="s">
        <v>9</v>
      </c>
      <c r="U6410" s="21">
        <v>499.99</v>
      </c>
      <c r="V6410" s="21" t="s">
        <v>368</v>
      </c>
      <c r="W6410" t="str">
        <f>VLOOKUP(Table_Query_from_Actuarial___Production[[#This Row],[Kor1]],$AI$3:$AK$105,3,FALSE)</f>
        <v>Misc. Income</v>
      </c>
      <c r="X6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0"/>
      <c r="Z6410" t="s">
        <v>11</v>
      </c>
      <c r="AA6410" t="s">
        <v>225</v>
      </c>
      <c r="AB6410" t="s">
        <v>356</v>
      </c>
      <c r="AC6410" s="21">
        <v>270977.52</v>
      </c>
      <c r="AD6410" s="21" t="s">
        <v>369</v>
      </c>
      <c r="AE6410" t="str">
        <f>VLOOKUP(Table_Query_from_Actuarial___Production3[[#This Row],[Kor1]],$AI$3:$AK$105,3,FALSE)</f>
        <v>Losses Paid</v>
      </c>
      <c r="AF6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411" spans="18:32" x14ac:dyDescent="0.2">
      <c r="R6411" t="s">
        <v>15</v>
      </c>
      <c r="S6411" t="s">
        <v>265</v>
      </c>
      <c r="T6411" t="s">
        <v>445</v>
      </c>
      <c r="U6411" s="21">
        <v>251879.73</v>
      </c>
      <c r="V6411" s="21" t="s">
        <v>368</v>
      </c>
      <c r="W6411" t="str">
        <f>VLOOKUP(Table_Query_from_Actuarial___Production[[#This Row],[Kor1]],$AI$3:$AK$105,3,FALSE)</f>
        <v>Unearned Premiums</v>
      </c>
      <c r="X6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1"/>
      <c r="Z6411" t="s">
        <v>20</v>
      </c>
      <c r="AA6411" t="s">
        <v>258</v>
      </c>
      <c r="AB6411" t="s">
        <v>9</v>
      </c>
      <c r="AC6411" s="21">
        <v>1366.46</v>
      </c>
      <c r="AD6411" s="21" t="s">
        <v>368</v>
      </c>
      <c r="AE6411" t="str">
        <f>VLOOKUP(Table_Query_from_Actuarial___Production3[[#This Row],[Kor1]],$AI$3:$AK$105,3,FALSE)</f>
        <v>Misc. Expense</v>
      </c>
      <c r="AF6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2" spans="18:32" x14ac:dyDescent="0.2">
      <c r="R6412" t="s">
        <v>31</v>
      </c>
      <c r="S6412" t="s">
        <v>263</v>
      </c>
      <c r="T6412" t="s">
        <v>433</v>
      </c>
      <c r="U6412" s="21">
        <v>908.4</v>
      </c>
      <c r="V6412" s="21" t="s">
        <v>368</v>
      </c>
      <c r="W6412" t="str">
        <f>VLOOKUP(Table_Query_from_Actuarial___Production[[#This Row],[Kor1]],$AI$3:$AK$105,3,FALSE)</f>
        <v>Misc. Expense</v>
      </c>
      <c r="X6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2"/>
      <c r="Z6412" t="s">
        <v>11</v>
      </c>
      <c r="AA6412" t="s">
        <v>228</v>
      </c>
      <c r="AB6412" t="s">
        <v>351</v>
      </c>
      <c r="AC6412" s="21">
        <v>416530.8</v>
      </c>
      <c r="AD6412" s="21" t="s">
        <v>368</v>
      </c>
      <c r="AE6412" t="str">
        <f>VLOOKUP(Table_Query_from_Actuarial___Production3[[#This Row],[Kor1]],$AI$3:$AK$105,3,FALSE)</f>
        <v>Losses Paid</v>
      </c>
      <c r="AF6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3" spans="18:32" x14ac:dyDescent="0.2">
      <c r="R6413" t="s">
        <v>41</v>
      </c>
      <c r="S6413" t="s">
        <v>255</v>
      </c>
      <c r="T6413" t="s">
        <v>6</v>
      </c>
      <c r="U6413" s="21">
        <v>250</v>
      </c>
      <c r="V6413" s="21" t="s">
        <v>368</v>
      </c>
      <c r="W6413" t="str">
        <f>VLOOKUP(Table_Query_from_Actuarial___Production[[#This Row],[Kor1]],$AI$3:$AK$105,3,FALSE)</f>
        <v>Misc. Income</v>
      </c>
      <c r="X6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3"/>
      <c r="Z6413" t="s">
        <v>13</v>
      </c>
      <c r="AA6413" t="s">
        <v>354</v>
      </c>
      <c r="AB6413" t="s">
        <v>5</v>
      </c>
      <c r="AC6413" s="21">
        <v>12237229.529999999</v>
      </c>
      <c r="AD6413" s="21" t="s">
        <v>368</v>
      </c>
      <c r="AE6413" t="str">
        <f>VLOOKUP(Table_Query_from_Actuarial___Production3[[#This Row],[Kor1]],$AI$3:$AK$105,3,FALSE)</f>
        <v>Operating Service Fees</v>
      </c>
      <c r="AF6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414" spans="18:32" x14ac:dyDescent="0.2">
      <c r="R6414" t="s">
        <v>13</v>
      </c>
      <c r="S6414" t="s">
        <v>239</v>
      </c>
      <c r="T6414" t="s">
        <v>6</v>
      </c>
      <c r="U6414" s="21">
        <v>16621.95</v>
      </c>
      <c r="V6414" s="21" t="s">
        <v>368</v>
      </c>
      <c r="W6414" t="str">
        <f>VLOOKUP(Table_Query_from_Actuarial___Production[[#This Row],[Kor1]],$AI$3:$AK$105,3,FALSE)</f>
        <v>Operating Service Fees</v>
      </c>
      <c r="X6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4"/>
      <c r="Z6414" t="s">
        <v>48</v>
      </c>
      <c r="AA6414" t="s">
        <v>265</v>
      </c>
      <c r="AB6414" t="s">
        <v>433</v>
      </c>
      <c r="AC6414" s="21">
        <v>3181.29</v>
      </c>
      <c r="AD6414" s="21" t="s">
        <v>368</v>
      </c>
      <c r="AE6414" t="str">
        <f>VLOOKUP(Table_Query_from_Actuarial___Production3[[#This Row],[Kor1]],$AI$3:$AK$105,3,FALSE)</f>
        <v>Anticipated Salvage</v>
      </c>
      <c r="AF6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5" spans="18:32" x14ac:dyDescent="0.2">
      <c r="R6415" t="s">
        <v>47</v>
      </c>
      <c r="S6415" t="s">
        <v>257</v>
      </c>
      <c r="T6415" t="s">
        <v>6</v>
      </c>
      <c r="U6415" s="21">
        <v>397.05</v>
      </c>
      <c r="V6415" s="21" t="s">
        <v>368</v>
      </c>
      <c r="W6415" t="str">
        <f>VLOOKUP(Table_Query_from_Actuarial___Production[[#This Row],[Kor1]],$AI$3:$AK$105,3,FALSE)</f>
        <v>Investment Income</v>
      </c>
      <c r="X6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5"/>
      <c r="Z6415" t="s">
        <v>34</v>
      </c>
      <c r="AA6415" t="s">
        <v>4</v>
      </c>
      <c r="AB6415" t="s">
        <v>427</v>
      </c>
      <c r="AC6415" s="21">
        <v>3262.79</v>
      </c>
      <c r="AD6415" s="21" t="s">
        <v>368</v>
      </c>
      <c r="AE6415" t="str">
        <f>VLOOKUP(Table_Query_from_Actuarial___Production3[[#This Row],[Kor1]],$AI$3:$AK$105,3,FALSE)</f>
        <v>Misc. Expense</v>
      </c>
      <c r="AF6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6" spans="18:32" x14ac:dyDescent="0.2">
      <c r="R6416" t="s">
        <v>41</v>
      </c>
      <c r="S6416" t="s">
        <v>227</v>
      </c>
      <c r="T6416" t="s">
        <v>356</v>
      </c>
      <c r="U6416" s="21">
        <v>200</v>
      </c>
      <c r="V6416" s="21" t="s">
        <v>368</v>
      </c>
      <c r="W6416" t="str">
        <f>VLOOKUP(Table_Query_from_Actuarial___Production[[#This Row],[Kor1]],$AI$3:$AK$105,3,FALSE)</f>
        <v>Misc. Income</v>
      </c>
      <c r="X6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6"/>
      <c r="Z6416" t="s">
        <v>41</v>
      </c>
      <c r="AA6416" t="s">
        <v>259</v>
      </c>
      <c r="AB6416" t="s">
        <v>9</v>
      </c>
      <c r="AC6416" s="21">
        <v>499.99</v>
      </c>
      <c r="AD6416" s="21" t="s">
        <v>368</v>
      </c>
      <c r="AE6416" t="str">
        <f>VLOOKUP(Table_Query_from_Actuarial___Production3[[#This Row],[Kor1]],$AI$3:$AK$105,3,FALSE)</f>
        <v>Misc. Income</v>
      </c>
      <c r="AF6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7" spans="18:32" x14ac:dyDescent="0.2">
      <c r="R6417" t="s">
        <v>31</v>
      </c>
      <c r="S6417" t="s">
        <v>247</v>
      </c>
      <c r="T6417" t="s">
        <v>427</v>
      </c>
      <c r="U6417" s="21">
        <v>1235.17</v>
      </c>
      <c r="V6417" s="21" t="s">
        <v>368</v>
      </c>
      <c r="W6417" t="str">
        <f>VLOOKUP(Table_Query_from_Actuarial___Production[[#This Row],[Kor1]],$AI$3:$AK$105,3,FALSE)</f>
        <v>Misc. Expense</v>
      </c>
      <c r="X6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7"/>
      <c r="Z6417" t="s">
        <v>31</v>
      </c>
      <c r="AA6417" t="s">
        <v>263</v>
      </c>
      <c r="AB6417" t="s">
        <v>433</v>
      </c>
      <c r="AC6417" s="21">
        <v>908.4</v>
      </c>
      <c r="AD6417" s="21" t="s">
        <v>368</v>
      </c>
      <c r="AE6417" t="str">
        <f>VLOOKUP(Table_Query_from_Actuarial___Production3[[#This Row],[Kor1]],$AI$3:$AK$105,3,FALSE)</f>
        <v>Misc. Expense</v>
      </c>
      <c r="AF6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8" spans="18:32" x14ac:dyDescent="0.2">
      <c r="R6418" t="s">
        <v>31</v>
      </c>
      <c r="S6418" t="s">
        <v>252</v>
      </c>
      <c r="T6418" t="s">
        <v>443</v>
      </c>
      <c r="U6418" s="21">
        <v>-276.05</v>
      </c>
      <c r="V6418" s="21" t="s">
        <v>368</v>
      </c>
      <c r="W6418" t="str">
        <f>VLOOKUP(Table_Query_from_Actuarial___Production[[#This Row],[Kor1]],$AI$3:$AK$105,3,FALSE)</f>
        <v>Misc. Expense</v>
      </c>
      <c r="X6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8"/>
      <c r="Z6418" t="s">
        <v>41</v>
      </c>
      <c r="AA6418" t="s">
        <v>255</v>
      </c>
      <c r="AB6418" t="s">
        <v>6</v>
      </c>
      <c r="AC6418" s="21">
        <v>250</v>
      </c>
      <c r="AD6418" s="21" t="s">
        <v>368</v>
      </c>
      <c r="AE6418" t="str">
        <f>VLOOKUP(Table_Query_from_Actuarial___Production3[[#This Row],[Kor1]],$AI$3:$AK$105,3,FALSE)</f>
        <v>Misc. Income</v>
      </c>
      <c r="AF6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19" spans="18:32" x14ac:dyDescent="0.2">
      <c r="R6419" t="s">
        <v>13</v>
      </c>
      <c r="S6419" t="s">
        <v>259</v>
      </c>
      <c r="T6419" t="s">
        <v>7</v>
      </c>
      <c r="U6419" s="21">
        <v>16456.28</v>
      </c>
      <c r="V6419" s="21" t="s">
        <v>368</v>
      </c>
      <c r="W6419" t="str">
        <f>VLOOKUP(Table_Query_from_Actuarial___Production[[#This Row],[Kor1]],$AI$3:$AK$105,3,FALSE)</f>
        <v>Operating Service Fees</v>
      </c>
      <c r="X6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19"/>
      <c r="Z6419" t="s">
        <v>13</v>
      </c>
      <c r="AA6419" t="s">
        <v>239</v>
      </c>
      <c r="AB6419" t="s">
        <v>6</v>
      </c>
      <c r="AC6419" s="21">
        <v>16621.95</v>
      </c>
      <c r="AD6419" s="21" t="s">
        <v>368</v>
      </c>
      <c r="AE6419" t="str">
        <f>VLOOKUP(Table_Query_from_Actuarial___Production3[[#This Row],[Kor1]],$AI$3:$AK$105,3,FALSE)</f>
        <v>Operating Service Fees</v>
      </c>
      <c r="AF6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0" spans="18:32" x14ac:dyDescent="0.2">
      <c r="R6420" t="s">
        <v>31</v>
      </c>
      <c r="S6420" t="s">
        <v>254</v>
      </c>
      <c r="T6420" t="s">
        <v>6</v>
      </c>
      <c r="U6420" s="21">
        <v>14</v>
      </c>
      <c r="V6420" s="21" t="s">
        <v>368</v>
      </c>
      <c r="W6420" t="str">
        <f>VLOOKUP(Table_Query_from_Actuarial___Production[[#This Row],[Kor1]],$AI$3:$AK$105,3,FALSE)</f>
        <v>Misc. Expense</v>
      </c>
      <c r="X6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0"/>
      <c r="Z6420" t="s">
        <v>47</v>
      </c>
      <c r="AA6420" t="s">
        <v>257</v>
      </c>
      <c r="AB6420" t="s">
        <v>6</v>
      </c>
      <c r="AC6420" s="21">
        <v>397.05</v>
      </c>
      <c r="AD6420" s="21" t="s">
        <v>368</v>
      </c>
      <c r="AE6420" t="str">
        <f>VLOOKUP(Table_Query_from_Actuarial___Production3[[#This Row],[Kor1]],$AI$3:$AK$105,3,FALSE)</f>
        <v>Investment Income</v>
      </c>
      <c r="AF6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1" spans="18:32" x14ac:dyDescent="0.2">
      <c r="R6421" t="s">
        <v>3</v>
      </c>
      <c r="S6421" t="s">
        <v>268</v>
      </c>
      <c r="T6421" t="s">
        <v>351</v>
      </c>
      <c r="U6421" s="21">
        <v>18950</v>
      </c>
      <c r="V6421" s="21" t="s">
        <v>368</v>
      </c>
      <c r="W6421" t="str">
        <f>VLOOKUP(Table_Query_from_Actuarial___Production[[#This Row],[Kor1]],$AI$3:$AK$105,3,FALSE)</f>
        <v>Premiums Written</v>
      </c>
      <c r="X6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1"/>
      <c r="Z6421" t="s">
        <v>41</v>
      </c>
      <c r="AA6421" t="s">
        <v>227</v>
      </c>
      <c r="AB6421" t="s">
        <v>356</v>
      </c>
      <c r="AC6421" s="21">
        <v>200</v>
      </c>
      <c r="AD6421" s="21" t="s">
        <v>368</v>
      </c>
      <c r="AE6421" t="str">
        <f>VLOOKUP(Table_Query_from_Actuarial___Production3[[#This Row],[Kor1]],$AI$3:$AK$105,3,FALSE)</f>
        <v>Misc. Income</v>
      </c>
      <c r="AF6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2" spans="18:32" x14ac:dyDescent="0.2">
      <c r="R6422" t="s">
        <v>14</v>
      </c>
      <c r="S6422" t="s">
        <v>246</v>
      </c>
      <c r="T6422" t="s">
        <v>8</v>
      </c>
      <c r="U6422" s="21">
        <v>17393.93</v>
      </c>
      <c r="V6422" s="21" t="s">
        <v>368</v>
      </c>
      <c r="W6422" t="str">
        <f>VLOOKUP(Table_Query_from_Actuarial___Production[[#This Row],[Kor1]],$AI$3:$AK$105,3,FALSE)</f>
        <v>Claims Expense</v>
      </c>
      <c r="X6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2"/>
      <c r="Z6422" t="s">
        <v>31</v>
      </c>
      <c r="AA6422" t="s">
        <v>247</v>
      </c>
      <c r="AB6422" t="s">
        <v>427</v>
      </c>
      <c r="AC6422" s="21">
        <v>1235.17</v>
      </c>
      <c r="AD6422" s="21" t="s">
        <v>368</v>
      </c>
      <c r="AE6422" t="str">
        <f>VLOOKUP(Table_Query_from_Actuarial___Production3[[#This Row],[Kor1]],$AI$3:$AK$105,3,FALSE)</f>
        <v>Misc. Expense</v>
      </c>
      <c r="AF6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3" spans="18:32" x14ac:dyDescent="0.2">
      <c r="R6423" t="s">
        <v>17</v>
      </c>
      <c r="S6423" t="s">
        <v>224</v>
      </c>
      <c r="T6423" t="s">
        <v>441</v>
      </c>
      <c r="U6423" s="21">
        <v>11189.35</v>
      </c>
      <c r="V6423" s="21" t="s">
        <v>368</v>
      </c>
      <c r="W6423" t="str">
        <f>VLOOKUP(Table_Query_from_Actuarial___Production[[#This Row],[Kor1]],$AI$3:$AK$105,3,FALSE)</f>
        <v>IBNR</v>
      </c>
      <c r="X6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423"/>
      <c r="Z6423" t="s">
        <v>31</v>
      </c>
      <c r="AA6423" t="s">
        <v>252</v>
      </c>
      <c r="AB6423" t="s">
        <v>443</v>
      </c>
      <c r="AC6423" s="21">
        <v>7505.26</v>
      </c>
      <c r="AD6423" s="21" t="s">
        <v>368</v>
      </c>
      <c r="AE6423" t="str">
        <f>VLOOKUP(Table_Query_from_Actuarial___Production3[[#This Row],[Kor1]],$AI$3:$AK$105,3,FALSE)</f>
        <v>Misc. Expense</v>
      </c>
      <c r="AF6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4" spans="18:32" x14ac:dyDescent="0.2">
      <c r="R6424" t="s">
        <v>13</v>
      </c>
      <c r="S6424" t="s">
        <v>224</v>
      </c>
      <c r="T6424" t="s">
        <v>441</v>
      </c>
      <c r="U6424" s="21">
        <v>229337.87</v>
      </c>
      <c r="V6424" s="21" t="s">
        <v>368</v>
      </c>
      <c r="W6424" t="str">
        <f>VLOOKUP(Table_Query_from_Actuarial___Production[[#This Row],[Kor1]],$AI$3:$AK$105,3,FALSE)</f>
        <v>Operating Service Fees</v>
      </c>
      <c r="X6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424"/>
      <c r="Z6424" t="s">
        <v>13</v>
      </c>
      <c r="AA6424" t="s">
        <v>259</v>
      </c>
      <c r="AB6424" t="s">
        <v>7</v>
      </c>
      <c r="AC6424" s="21">
        <v>16456.28</v>
      </c>
      <c r="AD6424" s="21" t="s">
        <v>368</v>
      </c>
      <c r="AE6424" t="str">
        <f>VLOOKUP(Table_Query_from_Actuarial___Production3[[#This Row],[Kor1]],$AI$3:$AK$105,3,FALSE)</f>
        <v>Operating Service Fees</v>
      </c>
      <c r="AF6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5" spans="18:32" x14ac:dyDescent="0.2">
      <c r="R6425" t="s">
        <v>41</v>
      </c>
      <c r="S6425" t="s">
        <v>262</v>
      </c>
      <c r="T6425" t="s">
        <v>441</v>
      </c>
      <c r="U6425" s="21">
        <v>50</v>
      </c>
      <c r="V6425" s="21" t="s">
        <v>368</v>
      </c>
      <c r="W6425" t="str">
        <f>VLOOKUP(Table_Query_from_Actuarial___Production[[#This Row],[Kor1]],$AI$3:$AK$105,3,FALSE)</f>
        <v>Misc. Income</v>
      </c>
      <c r="X6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5"/>
      <c r="Z6425" t="s">
        <v>31</v>
      </c>
      <c r="AA6425" t="s">
        <v>254</v>
      </c>
      <c r="AB6425" t="s">
        <v>6</v>
      </c>
      <c r="AC6425" s="21">
        <v>14</v>
      </c>
      <c r="AD6425" s="21" t="s">
        <v>368</v>
      </c>
      <c r="AE6425" t="str">
        <f>VLOOKUP(Table_Query_from_Actuarial___Production3[[#This Row],[Kor1]],$AI$3:$AK$105,3,FALSE)</f>
        <v>Misc. Expense</v>
      </c>
      <c r="AF6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6" spans="18:32" x14ac:dyDescent="0.2">
      <c r="R6426" t="s">
        <v>13</v>
      </c>
      <c r="S6426" t="s">
        <v>263</v>
      </c>
      <c r="T6426" t="s">
        <v>351</v>
      </c>
      <c r="U6426" s="21">
        <v>58650.16</v>
      </c>
      <c r="V6426" s="21" t="s">
        <v>368</v>
      </c>
      <c r="W6426" t="str">
        <f>VLOOKUP(Table_Query_from_Actuarial___Production[[#This Row],[Kor1]],$AI$3:$AK$105,3,FALSE)</f>
        <v>Operating Service Fees</v>
      </c>
      <c r="X6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6"/>
      <c r="Z6426" t="s">
        <v>3</v>
      </c>
      <c r="AA6426" t="s">
        <v>268</v>
      </c>
      <c r="AB6426" t="s">
        <v>351</v>
      </c>
      <c r="AC6426" s="21">
        <v>18950</v>
      </c>
      <c r="AD6426" s="21" t="s">
        <v>368</v>
      </c>
      <c r="AE6426" t="str">
        <f>VLOOKUP(Table_Query_from_Actuarial___Production3[[#This Row],[Kor1]],$AI$3:$AK$105,3,FALSE)</f>
        <v>Premiums Written</v>
      </c>
      <c r="AF6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7" spans="18:32" x14ac:dyDescent="0.2">
      <c r="R6427" t="s">
        <v>11</v>
      </c>
      <c r="S6427" t="s">
        <v>236</v>
      </c>
      <c r="T6427" t="s">
        <v>8</v>
      </c>
      <c r="U6427" s="21">
        <v>25000</v>
      </c>
      <c r="V6427" s="21" t="s">
        <v>368</v>
      </c>
      <c r="W6427" t="str">
        <f>VLOOKUP(Table_Query_from_Actuarial___Production[[#This Row],[Kor1]],$AI$3:$AK$105,3,FALSE)</f>
        <v>Losses Paid</v>
      </c>
      <c r="X6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7"/>
      <c r="Z6427" t="s">
        <v>14</v>
      </c>
      <c r="AA6427" t="s">
        <v>246</v>
      </c>
      <c r="AB6427" t="s">
        <v>8</v>
      </c>
      <c r="AC6427" s="21">
        <v>17393.93</v>
      </c>
      <c r="AD6427" s="21" t="s">
        <v>368</v>
      </c>
      <c r="AE6427" t="str">
        <f>VLOOKUP(Table_Query_from_Actuarial___Production3[[#This Row],[Kor1]],$AI$3:$AK$105,3,FALSE)</f>
        <v>Claims Expense</v>
      </c>
      <c r="AF6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28" spans="18:32" x14ac:dyDescent="0.2">
      <c r="R6428" t="s">
        <v>11</v>
      </c>
      <c r="S6428" t="s">
        <v>243</v>
      </c>
      <c r="T6428" t="s">
        <v>427</v>
      </c>
      <c r="U6428" s="21">
        <v>420045.36</v>
      </c>
      <c r="V6428" s="21" t="s">
        <v>368</v>
      </c>
      <c r="W6428" t="str">
        <f>VLOOKUP(Table_Query_from_Actuarial___Production[[#This Row],[Kor1]],$AI$3:$AK$105,3,FALSE)</f>
        <v>Losses Paid</v>
      </c>
      <c r="X6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8"/>
      <c r="Z6428" t="s">
        <v>17</v>
      </c>
      <c r="AA6428" t="s">
        <v>224</v>
      </c>
      <c r="AB6428" t="s">
        <v>441</v>
      </c>
      <c r="AC6428" s="21">
        <v>59117.97</v>
      </c>
      <c r="AD6428" s="21" t="s">
        <v>368</v>
      </c>
      <c r="AE6428" t="str">
        <f>VLOOKUP(Table_Query_from_Actuarial___Production3[[#This Row],[Kor1]],$AI$3:$AK$105,3,FALSE)</f>
        <v>IBNR</v>
      </c>
      <c r="AF6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429" spans="18:32" x14ac:dyDescent="0.2">
      <c r="R6429" t="s">
        <v>12</v>
      </c>
      <c r="S6429" t="s">
        <v>241</v>
      </c>
      <c r="T6429" t="s">
        <v>442</v>
      </c>
      <c r="U6429" s="21">
        <v>8222.93</v>
      </c>
      <c r="V6429" s="21" t="s">
        <v>368</v>
      </c>
      <c r="W6429" t="str">
        <f>VLOOKUP(Table_Query_from_Actuarial___Production[[#This Row],[Kor1]],$AI$3:$AK$105,3,FALSE)</f>
        <v>Premium Tax</v>
      </c>
      <c r="X6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29"/>
      <c r="Z6429" t="s">
        <v>13</v>
      </c>
      <c r="AA6429" t="s">
        <v>224</v>
      </c>
      <c r="AB6429" t="s">
        <v>441</v>
      </c>
      <c r="AC6429" s="21">
        <v>229337.87</v>
      </c>
      <c r="AD6429" s="21" t="s">
        <v>368</v>
      </c>
      <c r="AE6429" t="str">
        <f>VLOOKUP(Table_Query_from_Actuarial___Production3[[#This Row],[Kor1]],$AI$3:$AK$105,3,FALSE)</f>
        <v>Operating Service Fees</v>
      </c>
      <c r="AF6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430" spans="18:32" x14ac:dyDescent="0.2">
      <c r="R6430" t="s">
        <v>41</v>
      </c>
      <c r="S6430" t="s">
        <v>246</v>
      </c>
      <c r="T6430" t="s">
        <v>441</v>
      </c>
      <c r="U6430" s="21">
        <v>1300.02</v>
      </c>
      <c r="V6430" s="21" t="s">
        <v>368</v>
      </c>
      <c r="W6430" t="str">
        <f>VLOOKUP(Table_Query_from_Actuarial___Production[[#This Row],[Kor1]],$AI$3:$AK$105,3,FALSE)</f>
        <v>Misc. Income</v>
      </c>
      <c r="X6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0"/>
      <c r="Z6430" t="s">
        <v>41</v>
      </c>
      <c r="AA6430" t="s">
        <v>262</v>
      </c>
      <c r="AB6430" t="s">
        <v>441</v>
      </c>
      <c r="AC6430" s="21">
        <v>50</v>
      </c>
      <c r="AD6430" s="21" t="s">
        <v>368</v>
      </c>
      <c r="AE6430" t="str">
        <f>VLOOKUP(Table_Query_from_Actuarial___Production3[[#This Row],[Kor1]],$AI$3:$AK$105,3,FALSE)</f>
        <v>Misc. Income</v>
      </c>
      <c r="AF6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1" spans="18:32" x14ac:dyDescent="0.2">
      <c r="R6431" t="s">
        <v>43</v>
      </c>
      <c r="S6431" t="s">
        <v>263</v>
      </c>
      <c r="T6431" t="s">
        <v>351</v>
      </c>
      <c r="U6431" s="21">
        <v>1.45</v>
      </c>
      <c r="V6431" s="21" t="s">
        <v>368</v>
      </c>
      <c r="W6431" t="str">
        <f>VLOOKUP(Table_Query_from_Actuarial___Production[[#This Row],[Kor1]],$AI$3:$AK$105,3,FALSE)</f>
        <v>Charge-offs</v>
      </c>
      <c r="X6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1"/>
      <c r="Z6431" t="s">
        <v>13</v>
      </c>
      <c r="AA6431" t="s">
        <v>263</v>
      </c>
      <c r="AB6431" t="s">
        <v>351</v>
      </c>
      <c r="AC6431" s="21">
        <v>58650.16</v>
      </c>
      <c r="AD6431" s="21" t="s">
        <v>368</v>
      </c>
      <c r="AE6431" t="str">
        <f>VLOOKUP(Table_Query_from_Actuarial___Production3[[#This Row],[Kor1]],$AI$3:$AK$105,3,FALSE)</f>
        <v>Operating Service Fees</v>
      </c>
      <c r="AF6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2" spans="18:32" x14ac:dyDescent="0.2">
      <c r="R6432" t="s">
        <v>31</v>
      </c>
      <c r="S6432" t="s">
        <v>4</v>
      </c>
      <c r="T6432" t="s">
        <v>9</v>
      </c>
      <c r="U6432" s="21">
        <v>2360.77</v>
      </c>
      <c r="V6432" s="21" t="s">
        <v>368</v>
      </c>
      <c r="W6432" t="str">
        <f>VLOOKUP(Table_Query_from_Actuarial___Production[[#This Row],[Kor1]],$AI$3:$AK$105,3,FALSE)</f>
        <v>Misc. Expense</v>
      </c>
      <c r="X6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2"/>
      <c r="Z6432" t="s">
        <v>34</v>
      </c>
      <c r="AA6432" t="s">
        <v>232</v>
      </c>
      <c r="AB6432" t="s">
        <v>5</v>
      </c>
      <c r="AC6432" s="21">
        <v>105.22</v>
      </c>
      <c r="AD6432" s="21" t="s">
        <v>368</v>
      </c>
      <c r="AE6432" t="str">
        <f>VLOOKUP(Table_Query_from_Actuarial___Production3[[#This Row],[Kor1]],$AI$3:$AK$105,3,FALSE)</f>
        <v>Misc. Expense</v>
      </c>
      <c r="AF6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3" spans="18:32" x14ac:dyDescent="0.2">
      <c r="R6433" t="s">
        <v>3</v>
      </c>
      <c r="S6433" t="s">
        <v>259</v>
      </c>
      <c r="T6433" t="s">
        <v>442</v>
      </c>
      <c r="U6433" s="21">
        <v>55029</v>
      </c>
      <c r="V6433" s="21" t="s">
        <v>368</v>
      </c>
      <c r="W6433" t="str">
        <f>VLOOKUP(Table_Query_from_Actuarial___Production[[#This Row],[Kor1]],$AI$3:$AK$105,3,FALSE)</f>
        <v>Premiums Written</v>
      </c>
      <c r="X6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3"/>
      <c r="Z6433" t="s">
        <v>11</v>
      </c>
      <c r="AA6433" t="s">
        <v>236</v>
      </c>
      <c r="AB6433" t="s">
        <v>8</v>
      </c>
      <c r="AC6433" s="21">
        <v>25000</v>
      </c>
      <c r="AD6433" s="21" t="s">
        <v>368</v>
      </c>
      <c r="AE6433" t="str">
        <f>VLOOKUP(Table_Query_from_Actuarial___Production3[[#This Row],[Kor1]],$AI$3:$AK$105,3,FALSE)</f>
        <v>Losses Paid</v>
      </c>
      <c r="AF6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4" spans="18:32" x14ac:dyDescent="0.2">
      <c r="R6434" t="s">
        <v>3</v>
      </c>
      <c r="S6434" t="s">
        <v>250</v>
      </c>
      <c r="T6434" t="s">
        <v>6</v>
      </c>
      <c r="U6434" s="21">
        <v>704429</v>
      </c>
      <c r="V6434" s="21" t="s">
        <v>368</v>
      </c>
      <c r="W6434" t="str">
        <f>VLOOKUP(Table_Query_from_Actuarial___Production[[#This Row],[Kor1]],$AI$3:$AK$105,3,FALSE)</f>
        <v>Premiums Written</v>
      </c>
      <c r="X6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4"/>
      <c r="Z6434" t="s">
        <v>11</v>
      </c>
      <c r="AA6434" t="s">
        <v>243</v>
      </c>
      <c r="AB6434" t="s">
        <v>427</v>
      </c>
      <c r="AC6434" s="21">
        <v>395045.36</v>
      </c>
      <c r="AD6434" s="21" t="s">
        <v>368</v>
      </c>
      <c r="AE6434" t="str">
        <f>VLOOKUP(Table_Query_from_Actuarial___Production3[[#This Row],[Kor1]],$AI$3:$AK$105,3,FALSE)</f>
        <v>Losses Paid</v>
      </c>
      <c r="AF6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5" spans="18:32" x14ac:dyDescent="0.2">
      <c r="R6435" t="s">
        <v>21</v>
      </c>
      <c r="S6435" t="s">
        <v>241</v>
      </c>
      <c r="T6435" t="s">
        <v>442</v>
      </c>
      <c r="U6435" s="21">
        <v>2103.8200000000002</v>
      </c>
      <c r="V6435" s="21" t="s">
        <v>368</v>
      </c>
      <c r="W6435" t="str">
        <f>VLOOKUP(Table_Query_from_Actuarial___Production[[#This Row],[Kor1]],$AI$3:$AK$105,3,FALSE)</f>
        <v>Misc. Expense</v>
      </c>
      <c r="X6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5"/>
      <c r="Z6435" t="s">
        <v>12</v>
      </c>
      <c r="AA6435" t="s">
        <v>241</v>
      </c>
      <c r="AB6435" t="s">
        <v>442</v>
      </c>
      <c r="AC6435" s="21">
        <v>8435.83</v>
      </c>
      <c r="AD6435" s="21" t="s">
        <v>368</v>
      </c>
      <c r="AE6435" t="str">
        <f>VLOOKUP(Table_Query_from_Actuarial___Production3[[#This Row],[Kor1]],$AI$3:$AK$105,3,FALSE)</f>
        <v>Premium Tax</v>
      </c>
      <c r="AF6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6" spans="18:32" x14ac:dyDescent="0.2">
      <c r="R6436" t="s">
        <v>33</v>
      </c>
      <c r="S6436" t="s">
        <v>238</v>
      </c>
      <c r="T6436" t="s">
        <v>7</v>
      </c>
      <c r="U6436" s="21">
        <v>13612.73</v>
      </c>
      <c r="V6436" s="21" t="s">
        <v>368</v>
      </c>
      <c r="W6436" t="str">
        <f>VLOOKUP(Table_Query_from_Actuarial___Production[[#This Row],[Kor1]],$AI$3:$AK$105,3,FALSE)</f>
        <v>Misc. Expense</v>
      </c>
      <c r="X6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6"/>
      <c r="Z6436" t="s">
        <v>41</v>
      </c>
      <c r="AA6436" t="s">
        <v>246</v>
      </c>
      <c r="AB6436" t="s">
        <v>441</v>
      </c>
      <c r="AC6436" s="21">
        <v>1300.02</v>
      </c>
      <c r="AD6436" s="21" t="s">
        <v>368</v>
      </c>
      <c r="AE6436" t="str">
        <f>VLOOKUP(Table_Query_from_Actuarial___Production3[[#This Row],[Kor1]],$AI$3:$AK$105,3,FALSE)</f>
        <v>Misc. Income</v>
      </c>
      <c r="AF6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7" spans="18:32" x14ac:dyDescent="0.2">
      <c r="R6437" t="s">
        <v>44</v>
      </c>
      <c r="S6437" t="s">
        <v>252</v>
      </c>
      <c r="T6437" t="s">
        <v>433</v>
      </c>
      <c r="U6437" s="21">
        <v>663999.71</v>
      </c>
      <c r="V6437" s="21" t="s">
        <v>368</v>
      </c>
      <c r="W6437" t="str">
        <f>VLOOKUP(Table_Query_from_Actuarial___Production[[#This Row],[Kor1]],$AI$3:$AK$105,3,FALSE)</f>
        <v>Charge-offs</v>
      </c>
      <c r="X6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7"/>
      <c r="Z6437" t="s">
        <v>43</v>
      </c>
      <c r="AA6437" t="s">
        <v>263</v>
      </c>
      <c r="AB6437" t="s">
        <v>351</v>
      </c>
      <c r="AC6437" s="21">
        <v>1.45</v>
      </c>
      <c r="AD6437" s="21" t="s">
        <v>368</v>
      </c>
      <c r="AE6437" t="str">
        <f>VLOOKUP(Table_Query_from_Actuarial___Production3[[#This Row],[Kor1]],$AI$3:$AK$105,3,FALSE)</f>
        <v>Charge-offs</v>
      </c>
      <c r="AF6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8" spans="18:32" x14ac:dyDescent="0.2">
      <c r="R6438" t="s">
        <v>47</v>
      </c>
      <c r="S6438" t="s">
        <v>237</v>
      </c>
      <c r="T6438" t="s">
        <v>442</v>
      </c>
      <c r="U6438" s="21">
        <v>32154.73</v>
      </c>
      <c r="V6438" s="21" t="s">
        <v>368</v>
      </c>
      <c r="W6438" t="str">
        <f>VLOOKUP(Table_Query_from_Actuarial___Production[[#This Row],[Kor1]],$AI$3:$AK$105,3,FALSE)</f>
        <v>Investment Income</v>
      </c>
      <c r="X6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8"/>
      <c r="Z6438" t="s">
        <v>31</v>
      </c>
      <c r="AA6438" t="s">
        <v>4</v>
      </c>
      <c r="AB6438" t="s">
        <v>9</v>
      </c>
      <c r="AC6438" s="21">
        <v>2360.77</v>
      </c>
      <c r="AD6438" s="21" t="s">
        <v>368</v>
      </c>
      <c r="AE6438" t="str">
        <f>VLOOKUP(Table_Query_from_Actuarial___Production3[[#This Row],[Kor1]],$AI$3:$AK$105,3,FALSE)</f>
        <v>Misc. Expense</v>
      </c>
      <c r="AF6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39" spans="18:32" x14ac:dyDescent="0.2">
      <c r="R6439" t="s">
        <v>17</v>
      </c>
      <c r="S6439" t="s">
        <v>265</v>
      </c>
      <c r="T6439" t="s">
        <v>442</v>
      </c>
      <c r="U6439" s="21">
        <v>76644.479999999996</v>
      </c>
      <c r="V6439" s="21" t="s">
        <v>368</v>
      </c>
      <c r="W6439" t="str">
        <f>VLOOKUP(Table_Query_from_Actuarial___Production[[#This Row],[Kor1]],$AI$3:$AK$105,3,FALSE)</f>
        <v>IBNR</v>
      </c>
      <c r="X6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39"/>
      <c r="Z6439" t="s">
        <v>3</v>
      </c>
      <c r="AA6439" t="s">
        <v>259</v>
      </c>
      <c r="AB6439" t="s">
        <v>442</v>
      </c>
      <c r="AC6439" s="21">
        <v>55029</v>
      </c>
      <c r="AD6439" s="21" t="s">
        <v>368</v>
      </c>
      <c r="AE6439" t="str">
        <f>VLOOKUP(Table_Query_from_Actuarial___Production3[[#This Row],[Kor1]],$AI$3:$AK$105,3,FALSE)</f>
        <v>Premiums Written</v>
      </c>
      <c r="AF6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0" spans="18:32" x14ac:dyDescent="0.2">
      <c r="R6440" t="s">
        <v>3</v>
      </c>
      <c r="S6440" t="s">
        <v>257</v>
      </c>
      <c r="T6440" t="s">
        <v>351</v>
      </c>
      <c r="U6440" s="21">
        <v>1278878</v>
      </c>
      <c r="V6440" s="21" t="s">
        <v>368</v>
      </c>
      <c r="W6440" t="str">
        <f>VLOOKUP(Table_Query_from_Actuarial___Production[[#This Row],[Kor1]],$AI$3:$AK$105,3,FALSE)</f>
        <v>Premiums Written</v>
      </c>
      <c r="X6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0"/>
      <c r="Z6440" t="s">
        <v>3</v>
      </c>
      <c r="AA6440" t="s">
        <v>250</v>
      </c>
      <c r="AB6440" t="s">
        <v>6</v>
      </c>
      <c r="AC6440" s="21">
        <v>704429</v>
      </c>
      <c r="AD6440" s="21" t="s">
        <v>368</v>
      </c>
      <c r="AE6440" t="str">
        <f>VLOOKUP(Table_Query_from_Actuarial___Production3[[#This Row],[Kor1]],$AI$3:$AK$105,3,FALSE)</f>
        <v>Premiums Written</v>
      </c>
      <c r="AF6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1" spans="18:32" x14ac:dyDescent="0.2">
      <c r="R6441" t="s">
        <v>44</v>
      </c>
      <c r="S6441" t="s">
        <v>224</v>
      </c>
      <c r="T6441" t="s">
        <v>351</v>
      </c>
      <c r="U6441" s="21">
        <v>528.44000000000005</v>
      </c>
      <c r="V6441" s="21" t="s">
        <v>425</v>
      </c>
      <c r="W6441" t="str">
        <f>VLOOKUP(Table_Query_from_Actuarial___Production[[#This Row],[Kor1]],$AI$3:$AK$105,3,FALSE)</f>
        <v>Charge-offs</v>
      </c>
      <c r="X6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441"/>
      <c r="Z6441" t="s">
        <v>21</v>
      </c>
      <c r="AA6441" t="s">
        <v>241</v>
      </c>
      <c r="AB6441" t="s">
        <v>442</v>
      </c>
      <c r="AC6441" s="21">
        <v>2103.8200000000002</v>
      </c>
      <c r="AD6441" s="21" t="s">
        <v>368</v>
      </c>
      <c r="AE6441" t="str">
        <f>VLOOKUP(Table_Query_from_Actuarial___Production3[[#This Row],[Kor1]],$AI$3:$AK$105,3,FALSE)</f>
        <v>Misc. Expense</v>
      </c>
      <c r="AF6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2" spans="18:32" x14ac:dyDescent="0.2">
      <c r="R6442" t="s">
        <v>3</v>
      </c>
      <c r="S6442" t="s">
        <v>267</v>
      </c>
      <c r="T6442" t="s">
        <v>442</v>
      </c>
      <c r="U6442" s="21">
        <v>850005</v>
      </c>
      <c r="V6442" s="21" t="s">
        <v>368</v>
      </c>
      <c r="W6442" t="str">
        <f>VLOOKUP(Table_Query_from_Actuarial___Production[[#This Row],[Kor1]],$AI$3:$AK$105,3,FALSE)</f>
        <v>Premiums Written</v>
      </c>
      <c r="X6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2"/>
      <c r="Z6442" t="s">
        <v>33</v>
      </c>
      <c r="AA6442" t="s">
        <v>238</v>
      </c>
      <c r="AB6442" t="s">
        <v>7</v>
      </c>
      <c r="AC6442" s="21">
        <v>13612.73</v>
      </c>
      <c r="AD6442" s="21" t="s">
        <v>368</v>
      </c>
      <c r="AE6442" t="str">
        <f>VLOOKUP(Table_Query_from_Actuarial___Production3[[#This Row],[Kor1]],$AI$3:$AK$105,3,FALSE)</f>
        <v>Misc. Expense</v>
      </c>
      <c r="AF6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3" spans="18:32" x14ac:dyDescent="0.2">
      <c r="R6443" t="s">
        <v>37</v>
      </c>
      <c r="S6443" t="s">
        <v>240</v>
      </c>
      <c r="T6443" t="s">
        <v>351</v>
      </c>
      <c r="U6443" s="21">
        <v>6386.4</v>
      </c>
      <c r="V6443" s="21" t="s">
        <v>368</v>
      </c>
      <c r="W6443" t="str">
        <f>VLOOKUP(Table_Query_from_Actuarial___Production[[#This Row],[Kor1]],$AI$3:$AK$105,3,FALSE)</f>
        <v>Misc. Expense</v>
      </c>
      <c r="X6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3"/>
      <c r="Z6443" t="s">
        <v>41</v>
      </c>
      <c r="AA6443" t="s">
        <v>246</v>
      </c>
      <c r="AB6443" t="s">
        <v>5</v>
      </c>
      <c r="AC6443" s="21">
        <v>400</v>
      </c>
      <c r="AD6443" s="21" t="s">
        <v>368</v>
      </c>
      <c r="AE6443" t="str">
        <f>VLOOKUP(Table_Query_from_Actuarial___Production3[[#This Row],[Kor1]],$AI$3:$AK$105,3,FALSE)</f>
        <v>Misc. Income</v>
      </c>
      <c r="AF6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4" spans="18:32" x14ac:dyDescent="0.2">
      <c r="R6444" t="s">
        <v>13</v>
      </c>
      <c r="S6444" t="s">
        <v>227</v>
      </c>
      <c r="T6444" t="s">
        <v>9</v>
      </c>
      <c r="U6444" s="21">
        <v>33909.300000000003</v>
      </c>
      <c r="V6444" s="21" t="s">
        <v>368</v>
      </c>
      <c r="W6444" t="str">
        <f>VLOOKUP(Table_Query_from_Actuarial___Production[[#This Row],[Kor1]],$AI$3:$AK$105,3,FALSE)</f>
        <v>Operating Service Fees</v>
      </c>
      <c r="X6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4"/>
      <c r="Z6444" t="s">
        <v>44</v>
      </c>
      <c r="AA6444" t="s">
        <v>252</v>
      </c>
      <c r="AB6444" t="s">
        <v>433</v>
      </c>
      <c r="AC6444" s="21">
        <v>432006.19</v>
      </c>
      <c r="AD6444" s="21" t="s">
        <v>368</v>
      </c>
      <c r="AE6444" t="str">
        <f>VLOOKUP(Table_Query_from_Actuarial___Production3[[#This Row],[Kor1]],$AI$3:$AK$105,3,FALSE)</f>
        <v>Charge-offs</v>
      </c>
      <c r="AF6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5" spans="18:32" x14ac:dyDescent="0.2">
      <c r="R6445" t="s">
        <v>46</v>
      </c>
      <c r="S6445" t="s">
        <v>225</v>
      </c>
      <c r="T6445" t="s">
        <v>7</v>
      </c>
      <c r="U6445" s="21">
        <v>21726.78</v>
      </c>
      <c r="V6445" s="21" t="s">
        <v>369</v>
      </c>
      <c r="W6445" t="str">
        <f>VLOOKUP(Table_Query_from_Actuarial___Production[[#This Row],[Kor1]],$AI$3:$AK$105,3,FALSE)</f>
        <v>Investment Income</v>
      </c>
      <c r="X6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445"/>
      <c r="Z6445" t="s">
        <v>47</v>
      </c>
      <c r="AA6445" t="s">
        <v>237</v>
      </c>
      <c r="AB6445" t="s">
        <v>442</v>
      </c>
      <c r="AC6445" s="21">
        <v>32154.73</v>
      </c>
      <c r="AD6445" s="21" t="s">
        <v>368</v>
      </c>
      <c r="AE6445" t="str">
        <f>VLOOKUP(Table_Query_from_Actuarial___Production3[[#This Row],[Kor1]],$AI$3:$AK$105,3,FALSE)</f>
        <v>Investment Income</v>
      </c>
      <c r="AF6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6" spans="18:32" x14ac:dyDescent="0.2">
      <c r="R6446" t="s">
        <v>33</v>
      </c>
      <c r="S6446" t="s">
        <v>243</v>
      </c>
      <c r="T6446" t="s">
        <v>433</v>
      </c>
      <c r="U6446" s="21">
        <v>14530.49</v>
      </c>
      <c r="V6446" s="21" t="s">
        <v>368</v>
      </c>
      <c r="W6446" t="str">
        <f>VLOOKUP(Table_Query_from_Actuarial___Production[[#This Row],[Kor1]],$AI$3:$AK$105,3,FALSE)</f>
        <v>Misc. Expense</v>
      </c>
      <c r="X6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6"/>
      <c r="Z6446" t="s">
        <v>17</v>
      </c>
      <c r="AA6446" t="s">
        <v>265</v>
      </c>
      <c r="AB6446" t="s">
        <v>442</v>
      </c>
      <c r="AC6446" s="21">
        <v>150495.75</v>
      </c>
      <c r="AD6446" s="21" t="s">
        <v>368</v>
      </c>
      <c r="AE6446" t="str">
        <f>VLOOKUP(Table_Query_from_Actuarial___Production3[[#This Row],[Kor1]],$AI$3:$AK$105,3,FALSE)</f>
        <v>IBNR</v>
      </c>
      <c r="AF6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7" spans="18:32" x14ac:dyDescent="0.2">
      <c r="R6447" t="s">
        <v>17</v>
      </c>
      <c r="S6447" t="s">
        <v>251</v>
      </c>
      <c r="T6447" t="s">
        <v>433</v>
      </c>
      <c r="U6447" s="21">
        <v>59396.32</v>
      </c>
      <c r="V6447" s="21" t="s">
        <v>368</v>
      </c>
      <c r="W6447" t="str">
        <f>VLOOKUP(Table_Query_from_Actuarial___Production[[#This Row],[Kor1]],$AI$3:$AK$105,3,FALSE)</f>
        <v>IBNR</v>
      </c>
      <c r="X6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7"/>
      <c r="Z6447" t="s">
        <v>3</v>
      </c>
      <c r="AA6447" t="s">
        <v>257</v>
      </c>
      <c r="AB6447" t="s">
        <v>351</v>
      </c>
      <c r="AC6447" s="21">
        <v>1278878</v>
      </c>
      <c r="AD6447" s="21" t="s">
        <v>368</v>
      </c>
      <c r="AE6447" t="str">
        <f>VLOOKUP(Table_Query_from_Actuarial___Production3[[#This Row],[Kor1]],$AI$3:$AK$105,3,FALSE)</f>
        <v>Premiums Written</v>
      </c>
      <c r="AF6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48" spans="18:32" x14ac:dyDescent="0.2">
      <c r="R6448" t="s">
        <v>21</v>
      </c>
      <c r="S6448" t="s">
        <v>246</v>
      </c>
      <c r="T6448" t="s">
        <v>441</v>
      </c>
      <c r="U6448" s="21">
        <v>946.79</v>
      </c>
      <c r="V6448" s="21" t="s">
        <v>368</v>
      </c>
      <c r="W6448" t="str">
        <f>VLOOKUP(Table_Query_from_Actuarial___Production[[#This Row],[Kor1]],$AI$3:$AK$105,3,FALSE)</f>
        <v>Misc. Expense</v>
      </c>
      <c r="X6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8"/>
      <c r="Z6448" t="s">
        <v>44</v>
      </c>
      <c r="AA6448" t="s">
        <v>224</v>
      </c>
      <c r="AB6448" t="s">
        <v>351</v>
      </c>
      <c r="AC6448" s="21">
        <v>27.44</v>
      </c>
      <c r="AD6448" s="21" t="s">
        <v>425</v>
      </c>
      <c r="AE6448" t="str">
        <f>VLOOKUP(Table_Query_from_Actuarial___Production3[[#This Row],[Kor1]],$AI$3:$AK$105,3,FALSE)</f>
        <v>Charge-offs</v>
      </c>
      <c r="AF6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449" spans="18:32" x14ac:dyDescent="0.2">
      <c r="R6449" t="s">
        <v>31</v>
      </c>
      <c r="S6449" t="s">
        <v>248</v>
      </c>
      <c r="T6449" t="s">
        <v>442</v>
      </c>
      <c r="U6449" s="21">
        <v>971.85</v>
      </c>
      <c r="V6449" s="21" t="s">
        <v>368</v>
      </c>
      <c r="W6449" t="str">
        <f>VLOOKUP(Table_Query_from_Actuarial___Production[[#This Row],[Kor1]],$AI$3:$AK$105,3,FALSE)</f>
        <v>Misc. Expense</v>
      </c>
      <c r="X6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49"/>
      <c r="Z6449" t="s">
        <v>3</v>
      </c>
      <c r="AA6449" t="s">
        <v>267</v>
      </c>
      <c r="AB6449" t="s">
        <v>442</v>
      </c>
      <c r="AC6449" s="21">
        <v>883630</v>
      </c>
      <c r="AD6449" s="21" t="s">
        <v>368</v>
      </c>
      <c r="AE6449" t="str">
        <f>VLOOKUP(Table_Query_from_Actuarial___Production3[[#This Row],[Kor1]],$AI$3:$AK$105,3,FALSE)</f>
        <v>Premiums Written</v>
      </c>
      <c r="AF6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0" spans="18:32" x14ac:dyDescent="0.2">
      <c r="R6450" t="s">
        <v>38</v>
      </c>
      <c r="S6450" t="s">
        <v>224</v>
      </c>
      <c r="T6450" t="s">
        <v>445</v>
      </c>
      <c r="U6450" s="21">
        <v>20655.41</v>
      </c>
      <c r="V6450" s="21" t="s">
        <v>369</v>
      </c>
      <c r="W6450" t="str">
        <f>VLOOKUP(Table_Query_from_Actuarial___Production[[#This Row],[Kor1]],$AI$3:$AK$105,3,FALSE)</f>
        <v>Misc. Income</v>
      </c>
      <c r="X6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450"/>
      <c r="Z6450" t="s">
        <v>37</v>
      </c>
      <c r="AA6450" t="s">
        <v>240</v>
      </c>
      <c r="AB6450" t="s">
        <v>351</v>
      </c>
      <c r="AC6450" s="21">
        <v>6386.4</v>
      </c>
      <c r="AD6450" s="21" t="s">
        <v>368</v>
      </c>
      <c r="AE6450" t="str">
        <f>VLOOKUP(Table_Query_from_Actuarial___Production3[[#This Row],[Kor1]],$AI$3:$AK$105,3,FALSE)</f>
        <v>Misc. Expense</v>
      </c>
      <c r="AF6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1" spans="18:32" x14ac:dyDescent="0.2">
      <c r="R6451" t="s">
        <v>33</v>
      </c>
      <c r="S6451" t="s">
        <v>243</v>
      </c>
      <c r="T6451" t="s">
        <v>7</v>
      </c>
      <c r="U6451" s="21">
        <v>13576.49</v>
      </c>
      <c r="V6451" s="21" t="s">
        <v>368</v>
      </c>
      <c r="W6451" t="str">
        <f>VLOOKUP(Table_Query_from_Actuarial___Production[[#This Row],[Kor1]],$AI$3:$AK$105,3,FALSE)</f>
        <v>Misc. Expense</v>
      </c>
      <c r="X6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1"/>
      <c r="Z6451" t="s">
        <v>13</v>
      </c>
      <c r="AA6451" t="s">
        <v>227</v>
      </c>
      <c r="AB6451" t="s">
        <v>9</v>
      </c>
      <c r="AC6451" s="21">
        <v>33909.300000000003</v>
      </c>
      <c r="AD6451" s="21" t="s">
        <v>368</v>
      </c>
      <c r="AE6451" t="str">
        <f>VLOOKUP(Table_Query_from_Actuarial___Production3[[#This Row],[Kor1]],$AI$3:$AK$105,3,FALSE)</f>
        <v>Operating Service Fees</v>
      </c>
      <c r="AF6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2" spans="18:32" x14ac:dyDescent="0.2">
      <c r="R6452" t="s">
        <v>47</v>
      </c>
      <c r="S6452" t="s">
        <v>235</v>
      </c>
      <c r="T6452" t="s">
        <v>6</v>
      </c>
      <c r="U6452" s="21">
        <v>0.04</v>
      </c>
      <c r="V6452" s="21" t="s">
        <v>368</v>
      </c>
      <c r="W6452" t="str">
        <f>VLOOKUP(Table_Query_from_Actuarial___Production[[#This Row],[Kor1]],$AI$3:$AK$105,3,FALSE)</f>
        <v>Investment Income</v>
      </c>
      <c r="X6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2"/>
      <c r="Z6452" t="s">
        <v>46</v>
      </c>
      <c r="AA6452" t="s">
        <v>225</v>
      </c>
      <c r="AB6452" t="s">
        <v>7</v>
      </c>
      <c r="AC6452" s="21">
        <v>21726.78</v>
      </c>
      <c r="AD6452" s="21" t="s">
        <v>369</v>
      </c>
      <c r="AE6452" t="str">
        <f>VLOOKUP(Table_Query_from_Actuarial___Production3[[#This Row],[Kor1]],$AI$3:$AK$105,3,FALSE)</f>
        <v>Investment Income</v>
      </c>
      <c r="AF6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453" spans="18:32" x14ac:dyDescent="0.2">
      <c r="R6453" t="s">
        <v>13</v>
      </c>
      <c r="S6453" t="s">
        <v>256</v>
      </c>
      <c r="T6453" t="s">
        <v>433</v>
      </c>
      <c r="U6453" s="21">
        <v>29600.720000000001</v>
      </c>
      <c r="V6453" s="21" t="s">
        <v>368</v>
      </c>
      <c r="W6453" t="str">
        <f>VLOOKUP(Table_Query_from_Actuarial___Production[[#This Row],[Kor1]],$AI$3:$AK$105,3,FALSE)</f>
        <v>Operating Service Fees</v>
      </c>
      <c r="X6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3"/>
      <c r="Z6453" t="s">
        <v>33</v>
      </c>
      <c r="AA6453" t="s">
        <v>243</v>
      </c>
      <c r="AB6453" t="s">
        <v>433</v>
      </c>
      <c r="AC6453" s="21">
        <v>14530.49</v>
      </c>
      <c r="AD6453" s="21" t="s">
        <v>368</v>
      </c>
      <c r="AE6453" t="str">
        <f>VLOOKUP(Table_Query_from_Actuarial___Production3[[#This Row],[Kor1]],$AI$3:$AK$105,3,FALSE)</f>
        <v>Misc. Expense</v>
      </c>
      <c r="AF6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4" spans="18:32" x14ac:dyDescent="0.2">
      <c r="R6454" t="s">
        <v>20</v>
      </c>
      <c r="S6454" t="s">
        <v>253</v>
      </c>
      <c r="T6454" t="s">
        <v>8</v>
      </c>
      <c r="U6454" s="21">
        <v>19.25</v>
      </c>
      <c r="V6454" s="21" t="s">
        <v>368</v>
      </c>
      <c r="W6454" t="str">
        <f>VLOOKUP(Table_Query_from_Actuarial___Production[[#This Row],[Kor1]],$AI$3:$AK$105,3,FALSE)</f>
        <v>Misc. Expense</v>
      </c>
      <c r="X6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4"/>
      <c r="Z6454" t="s">
        <v>17</v>
      </c>
      <c r="AA6454" t="s">
        <v>251</v>
      </c>
      <c r="AB6454" t="s">
        <v>433</v>
      </c>
      <c r="AC6454" s="21">
        <v>55771.03</v>
      </c>
      <c r="AD6454" s="21" t="s">
        <v>368</v>
      </c>
      <c r="AE6454" t="str">
        <f>VLOOKUP(Table_Query_from_Actuarial___Production3[[#This Row],[Kor1]],$AI$3:$AK$105,3,FALSE)</f>
        <v>IBNR</v>
      </c>
      <c r="AF6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5" spans="18:32" x14ac:dyDescent="0.2">
      <c r="R6455" t="s">
        <v>40</v>
      </c>
      <c r="S6455" t="s">
        <v>233</v>
      </c>
      <c r="T6455" t="s">
        <v>356</v>
      </c>
      <c r="U6455" s="21">
        <v>156.99</v>
      </c>
      <c r="V6455" s="21" t="s">
        <v>368</v>
      </c>
      <c r="W6455" t="str">
        <f>VLOOKUP(Table_Query_from_Actuarial___Production[[#This Row],[Kor1]],$AI$3:$AK$105,3,FALSE)</f>
        <v>Misc. Income</v>
      </c>
      <c r="X6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5"/>
      <c r="Z6455" t="s">
        <v>21</v>
      </c>
      <c r="AA6455" t="s">
        <v>246</v>
      </c>
      <c r="AB6455" t="s">
        <v>441</v>
      </c>
      <c r="AC6455" s="21">
        <v>946.79</v>
      </c>
      <c r="AD6455" s="21" t="s">
        <v>368</v>
      </c>
      <c r="AE6455" t="str">
        <f>VLOOKUP(Table_Query_from_Actuarial___Production3[[#This Row],[Kor1]],$AI$3:$AK$105,3,FALSE)</f>
        <v>Misc. Expense</v>
      </c>
      <c r="AF6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6" spans="18:32" x14ac:dyDescent="0.2">
      <c r="R6456" t="s">
        <v>11</v>
      </c>
      <c r="S6456" t="s">
        <v>232</v>
      </c>
      <c r="T6456" t="s">
        <v>443</v>
      </c>
      <c r="U6456" s="21">
        <v>342459.45</v>
      </c>
      <c r="V6456" s="21" t="s">
        <v>368</v>
      </c>
      <c r="W6456" t="str">
        <f>VLOOKUP(Table_Query_from_Actuarial___Production[[#This Row],[Kor1]],$AI$3:$AK$105,3,FALSE)</f>
        <v>Losses Paid</v>
      </c>
      <c r="X6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6"/>
      <c r="Z6456" t="s">
        <v>31</v>
      </c>
      <c r="AA6456" t="s">
        <v>248</v>
      </c>
      <c r="AB6456" t="s">
        <v>442</v>
      </c>
      <c r="AC6456" s="21">
        <v>971.85</v>
      </c>
      <c r="AD6456" s="21" t="s">
        <v>368</v>
      </c>
      <c r="AE6456" t="str">
        <f>VLOOKUP(Table_Query_from_Actuarial___Production3[[#This Row],[Kor1]],$AI$3:$AK$105,3,FALSE)</f>
        <v>Misc. Expense</v>
      </c>
      <c r="AF6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7" spans="18:32" x14ac:dyDescent="0.2">
      <c r="R6457" t="s">
        <v>19</v>
      </c>
      <c r="S6457" t="s">
        <v>228</v>
      </c>
      <c r="T6457" t="s">
        <v>7</v>
      </c>
      <c r="U6457" s="21">
        <v>192</v>
      </c>
      <c r="V6457" s="21" t="s">
        <v>368</v>
      </c>
      <c r="W6457" t="str">
        <f>VLOOKUP(Table_Query_from_Actuarial___Production[[#This Row],[Kor1]],$AI$3:$AK$105,3,FALSE)</f>
        <v>Misc. Expense for Insolvent Companies</v>
      </c>
      <c r="X6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7"/>
      <c r="Z6457" t="s">
        <v>39</v>
      </c>
      <c r="AA6457" t="s">
        <v>254</v>
      </c>
      <c r="AB6457" t="s">
        <v>5</v>
      </c>
      <c r="AC6457" s="21">
        <v>6574.64</v>
      </c>
      <c r="AD6457" s="21" t="s">
        <v>368</v>
      </c>
      <c r="AE6457" t="str">
        <f>VLOOKUP(Table_Query_from_Actuarial___Production3[[#This Row],[Kor1]],$AI$3:$AK$105,3,FALSE)</f>
        <v>Misc. Income for Insolvent Companies</v>
      </c>
      <c r="AF6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8" spans="18:32" x14ac:dyDescent="0.2">
      <c r="R6458" t="s">
        <v>11</v>
      </c>
      <c r="S6458" t="s">
        <v>254</v>
      </c>
      <c r="T6458" t="s">
        <v>9</v>
      </c>
      <c r="U6458" s="21">
        <v>1146621</v>
      </c>
      <c r="V6458" s="21" t="s">
        <v>368</v>
      </c>
      <c r="W6458" t="str">
        <f>VLOOKUP(Table_Query_from_Actuarial___Production[[#This Row],[Kor1]],$AI$3:$AK$105,3,FALSE)</f>
        <v>Losses Paid</v>
      </c>
      <c r="X6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8"/>
      <c r="Z6458" t="s">
        <v>33</v>
      </c>
      <c r="AA6458" t="s">
        <v>243</v>
      </c>
      <c r="AB6458" t="s">
        <v>7</v>
      </c>
      <c r="AC6458" s="21">
        <v>13576.49</v>
      </c>
      <c r="AD6458" s="21" t="s">
        <v>368</v>
      </c>
      <c r="AE6458" t="str">
        <f>VLOOKUP(Table_Query_from_Actuarial___Production3[[#This Row],[Kor1]],$AI$3:$AK$105,3,FALSE)</f>
        <v>Misc. Expense</v>
      </c>
      <c r="AF6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59" spans="18:32" x14ac:dyDescent="0.2">
      <c r="R6459" t="s">
        <v>31</v>
      </c>
      <c r="S6459" t="s">
        <v>260</v>
      </c>
      <c r="T6459" t="s">
        <v>351</v>
      </c>
      <c r="U6459" s="21">
        <v>761.12</v>
      </c>
      <c r="V6459" s="21" t="s">
        <v>368</v>
      </c>
      <c r="W6459" t="str">
        <f>VLOOKUP(Table_Query_from_Actuarial___Production[[#This Row],[Kor1]],$AI$3:$AK$105,3,FALSE)</f>
        <v>Misc. Expense</v>
      </c>
      <c r="X6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59"/>
      <c r="Z6459" t="s">
        <v>47</v>
      </c>
      <c r="AA6459" t="s">
        <v>235</v>
      </c>
      <c r="AB6459" t="s">
        <v>6</v>
      </c>
      <c r="AC6459" s="21">
        <v>0.04</v>
      </c>
      <c r="AD6459" s="21" t="s">
        <v>368</v>
      </c>
      <c r="AE6459" t="str">
        <f>VLOOKUP(Table_Query_from_Actuarial___Production3[[#This Row],[Kor1]],$AI$3:$AK$105,3,FALSE)</f>
        <v>Investment Income</v>
      </c>
      <c r="AF6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0" spans="18:32" x14ac:dyDescent="0.2">
      <c r="R6460" t="s">
        <v>10</v>
      </c>
      <c r="S6460" t="s">
        <v>262</v>
      </c>
      <c r="T6460" t="s">
        <v>443</v>
      </c>
      <c r="U6460" s="21">
        <v>10886.25</v>
      </c>
      <c r="V6460" s="21" t="s">
        <v>368</v>
      </c>
      <c r="W6460" t="str">
        <f>VLOOKUP(Table_Query_from_Actuarial___Production[[#This Row],[Kor1]],$AI$3:$AK$105,3,FALSE)</f>
        <v>Commissions</v>
      </c>
      <c r="X6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0"/>
      <c r="Z6460" t="s">
        <v>13</v>
      </c>
      <c r="AA6460" t="s">
        <v>256</v>
      </c>
      <c r="AB6460" t="s">
        <v>433</v>
      </c>
      <c r="AC6460" s="21">
        <v>29600.720000000001</v>
      </c>
      <c r="AD6460" s="21" t="s">
        <v>368</v>
      </c>
      <c r="AE6460" t="str">
        <f>VLOOKUP(Table_Query_from_Actuarial___Production3[[#This Row],[Kor1]],$AI$3:$AK$105,3,FALSE)</f>
        <v>Operating Service Fees</v>
      </c>
      <c r="AF6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1" spans="18:32" x14ac:dyDescent="0.2">
      <c r="R6461" t="s">
        <v>11</v>
      </c>
      <c r="S6461" t="s">
        <v>244</v>
      </c>
      <c r="T6461" t="s">
        <v>443</v>
      </c>
      <c r="U6461" s="21">
        <v>89976.73</v>
      </c>
      <c r="V6461" s="21" t="s">
        <v>368</v>
      </c>
      <c r="W6461" t="str">
        <f>VLOOKUP(Table_Query_from_Actuarial___Production[[#This Row],[Kor1]],$AI$3:$AK$105,3,FALSE)</f>
        <v>Losses Paid</v>
      </c>
      <c r="X6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1"/>
      <c r="Z6461" t="s">
        <v>20</v>
      </c>
      <c r="AA6461" t="s">
        <v>253</v>
      </c>
      <c r="AB6461" t="s">
        <v>8</v>
      </c>
      <c r="AC6461" s="21">
        <v>19.25</v>
      </c>
      <c r="AD6461" s="21" t="s">
        <v>368</v>
      </c>
      <c r="AE6461" t="str">
        <f>VLOOKUP(Table_Query_from_Actuarial___Production3[[#This Row],[Kor1]],$AI$3:$AK$105,3,FALSE)</f>
        <v>Misc. Expense</v>
      </c>
      <c r="AF6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2" spans="18:32" x14ac:dyDescent="0.2">
      <c r="R6462" t="s">
        <v>14</v>
      </c>
      <c r="S6462" t="s">
        <v>225</v>
      </c>
      <c r="T6462" t="s">
        <v>433</v>
      </c>
      <c r="U6462" s="21">
        <v>77243</v>
      </c>
      <c r="V6462" s="21" t="s">
        <v>368</v>
      </c>
      <c r="W6462" t="str">
        <f>VLOOKUP(Table_Query_from_Actuarial___Production[[#This Row],[Kor1]],$AI$3:$AK$105,3,FALSE)</f>
        <v>Claims Expense</v>
      </c>
      <c r="X6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462"/>
      <c r="Z6462" t="s">
        <v>40</v>
      </c>
      <c r="AA6462" t="s">
        <v>233</v>
      </c>
      <c r="AB6462" t="s">
        <v>356</v>
      </c>
      <c r="AC6462" s="21">
        <v>156.99</v>
      </c>
      <c r="AD6462" s="21" t="s">
        <v>368</v>
      </c>
      <c r="AE6462" t="str">
        <f>VLOOKUP(Table_Query_from_Actuarial___Production3[[#This Row],[Kor1]],$AI$3:$AK$105,3,FALSE)</f>
        <v>Misc. Income</v>
      </c>
      <c r="AF6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3" spans="18:32" x14ac:dyDescent="0.2">
      <c r="R6463" t="s">
        <v>40</v>
      </c>
      <c r="S6463" t="s">
        <v>4</v>
      </c>
      <c r="T6463" t="s">
        <v>7</v>
      </c>
      <c r="U6463" s="21">
        <v>1710.47</v>
      </c>
      <c r="V6463" s="21" t="s">
        <v>368</v>
      </c>
      <c r="W6463" t="str">
        <f>VLOOKUP(Table_Query_from_Actuarial___Production[[#This Row],[Kor1]],$AI$3:$AK$105,3,FALSE)</f>
        <v>Misc. Income</v>
      </c>
      <c r="X6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3"/>
      <c r="Z6463" t="s">
        <v>11</v>
      </c>
      <c r="AA6463" t="s">
        <v>232</v>
      </c>
      <c r="AB6463" t="s">
        <v>443</v>
      </c>
      <c r="AC6463" s="21">
        <v>13095.93</v>
      </c>
      <c r="AD6463" s="21" t="s">
        <v>368</v>
      </c>
      <c r="AE6463" t="str">
        <f>VLOOKUP(Table_Query_from_Actuarial___Production3[[#This Row],[Kor1]],$AI$3:$AK$105,3,FALSE)</f>
        <v>Losses Paid</v>
      </c>
      <c r="AF6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4" spans="18:32" x14ac:dyDescent="0.2">
      <c r="R6464" t="s">
        <v>439</v>
      </c>
      <c r="S6464" t="s">
        <v>247</v>
      </c>
      <c r="T6464" t="s">
        <v>443</v>
      </c>
      <c r="U6464" s="21">
        <v>-107.47</v>
      </c>
      <c r="V6464" s="21" t="s">
        <v>368</v>
      </c>
      <c r="W6464" t="str">
        <f>VLOOKUP(Table_Query_from_Actuarial___Production[[#This Row],[Kor1]],$AI$3:$AK$105,3,FALSE)</f>
        <v>Operating Service Fees</v>
      </c>
      <c r="X6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4"/>
      <c r="Z6464" t="s">
        <v>19</v>
      </c>
      <c r="AA6464" t="s">
        <v>228</v>
      </c>
      <c r="AB6464" t="s">
        <v>7</v>
      </c>
      <c r="AC6464" s="21">
        <v>192</v>
      </c>
      <c r="AD6464" s="21" t="s">
        <v>368</v>
      </c>
      <c r="AE6464" t="str">
        <f>VLOOKUP(Table_Query_from_Actuarial___Production3[[#This Row],[Kor1]],$AI$3:$AK$105,3,FALSE)</f>
        <v>Misc. Expense for Insolvent Companies</v>
      </c>
      <c r="AF6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5" spans="18:32" x14ac:dyDescent="0.2">
      <c r="R6465" t="s">
        <v>31</v>
      </c>
      <c r="S6465" t="s">
        <v>232</v>
      </c>
      <c r="T6465" t="s">
        <v>442</v>
      </c>
      <c r="U6465" s="21">
        <v>1008.4</v>
      </c>
      <c r="V6465" s="21" t="s">
        <v>368</v>
      </c>
      <c r="W6465" t="str">
        <f>VLOOKUP(Table_Query_from_Actuarial___Production[[#This Row],[Kor1]],$AI$3:$AK$105,3,FALSE)</f>
        <v>Misc. Expense</v>
      </c>
      <c r="X6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5"/>
      <c r="Z6465" t="s">
        <v>11</v>
      </c>
      <c r="AA6465" t="s">
        <v>254</v>
      </c>
      <c r="AB6465" t="s">
        <v>9</v>
      </c>
      <c r="AC6465" s="21">
        <v>1146621</v>
      </c>
      <c r="AD6465" s="21" t="s">
        <v>368</v>
      </c>
      <c r="AE6465" t="str">
        <f>VLOOKUP(Table_Query_from_Actuarial___Production3[[#This Row],[Kor1]],$AI$3:$AK$105,3,FALSE)</f>
        <v>Losses Paid</v>
      </c>
      <c r="AF6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6" spans="18:32" x14ac:dyDescent="0.2">
      <c r="R6466" t="s">
        <v>14</v>
      </c>
      <c r="S6466" t="s">
        <v>251</v>
      </c>
      <c r="T6466" t="s">
        <v>8</v>
      </c>
      <c r="U6466" s="21">
        <v>2107.6799999999998</v>
      </c>
      <c r="V6466" s="21" t="s">
        <v>368</v>
      </c>
      <c r="W6466" t="str">
        <f>VLOOKUP(Table_Query_from_Actuarial___Production[[#This Row],[Kor1]],$AI$3:$AK$105,3,FALSE)</f>
        <v>Claims Expense</v>
      </c>
      <c r="X6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6"/>
      <c r="Z6466" t="s">
        <v>13</v>
      </c>
      <c r="AA6466" t="s">
        <v>224</v>
      </c>
      <c r="AB6466" t="s">
        <v>5</v>
      </c>
      <c r="AC6466" s="21">
        <v>193069.59</v>
      </c>
      <c r="AD6466" s="21" t="s">
        <v>368</v>
      </c>
      <c r="AE6466" t="str">
        <f>VLOOKUP(Table_Query_from_Actuarial___Production3[[#This Row],[Kor1]],$AI$3:$AK$105,3,FALSE)</f>
        <v>Operating Service Fees</v>
      </c>
      <c r="AF6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467" spans="18:32" x14ac:dyDescent="0.2">
      <c r="R6467" t="s">
        <v>12</v>
      </c>
      <c r="S6467" t="s">
        <v>245</v>
      </c>
      <c r="T6467" t="s">
        <v>427</v>
      </c>
      <c r="U6467" s="21">
        <v>63.87</v>
      </c>
      <c r="V6467" s="21" t="s">
        <v>368</v>
      </c>
      <c r="W6467" t="str">
        <f>VLOOKUP(Table_Query_from_Actuarial___Production[[#This Row],[Kor1]],$AI$3:$AK$105,3,FALSE)</f>
        <v>Premium Tax</v>
      </c>
      <c r="X6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7"/>
      <c r="Z6467" t="s">
        <v>41</v>
      </c>
      <c r="AA6467" t="s">
        <v>262</v>
      </c>
      <c r="AB6467" t="s">
        <v>5</v>
      </c>
      <c r="AC6467" s="21">
        <v>150</v>
      </c>
      <c r="AD6467" s="21" t="s">
        <v>368</v>
      </c>
      <c r="AE6467" t="str">
        <f>VLOOKUP(Table_Query_from_Actuarial___Production3[[#This Row],[Kor1]],$AI$3:$AK$105,3,FALSE)</f>
        <v>Misc. Income</v>
      </c>
      <c r="AF6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8" spans="18:32" x14ac:dyDescent="0.2">
      <c r="R6468" t="s">
        <v>31</v>
      </c>
      <c r="S6468" t="s">
        <v>256</v>
      </c>
      <c r="T6468" t="s">
        <v>7</v>
      </c>
      <c r="U6468" s="21">
        <v>932.74</v>
      </c>
      <c r="V6468" s="21" t="s">
        <v>368</v>
      </c>
      <c r="W6468" t="str">
        <f>VLOOKUP(Table_Query_from_Actuarial___Production[[#This Row],[Kor1]],$AI$3:$AK$105,3,FALSE)</f>
        <v>Misc. Expense</v>
      </c>
      <c r="X6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8"/>
      <c r="Z6468" t="s">
        <v>31</v>
      </c>
      <c r="AA6468" t="s">
        <v>260</v>
      </c>
      <c r="AB6468" t="s">
        <v>351</v>
      </c>
      <c r="AC6468" s="21">
        <v>761.12</v>
      </c>
      <c r="AD6468" s="21" t="s">
        <v>368</v>
      </c>
      <c r="AE6468" t="str">
        <f>VLOOKUP(Table_Query_from_Actuarial___Production3[[#This Row],[Kor1]],$AI$3:$AK$105,3,FALSE)</f>
        <v>Misc. Expense</v>
      </c>
      <c r="AF6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69" spans="18:32" x14ac:dyDescent="0.2">
      <c r="R6469" t="s">
        <v>34</v>
      </c>
      <c r="S6469" t="s">
        <v>230</v>
      </c>
      <c r="T6469" t="s">
        <v>427</v>
      </c>
      <c r="U6469" s="21">
        <v>4300.8999999999996</v>
      </c>
      <c r="V6469" s="21" t="s">
        <v>368</v>
      </c>
      <c r="W6469" t="str">
        <f>VLOOKUP(Table_Query_from_Actuarial___Production[[#This Row],[Kor1]],$AI$3:$AK$105,3,FALSE)</f>
        <v>Misc. Expense</v>
      </c>
      <c r="X6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69"/>
      <c r="Z6469" t="s">
        <v>10</v>
      </c>
      <c r="AA6469" t="s">
        <v>262</v>
      </c>
      <c r="AB6469" t="s">
        <v>443</v>
      </c>
      <c r="AC6469" s="21">
        <v>3198.05</v>
      </c>
      <c r="AD6469" s="21" t="s">
        <v>368</v>
      </c>
      <c r="AE6469" t="str">
        <f>VLOOKUP(Table_Query_from_Actuarial___Production3[[#This Row],[Kor1]],$AI$3:$AK$105,3,FALSE)</f>
        <v>Commissions</v>
      </c>
      <c r="AF6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0" spans="18:32" x14ac:dyDescent="0.2">
      <c r="R6470" t="s">
        <v>48</v>
      </c>
      <c r="S6470" t="s">
        <v>249</v>
      </c>
      <c r="T6470" t="s">
        <v>445</v>
      </c>
      <c r="U6470" s="21">
        <v>279.83999999999997</v>
      </c>
      <c r="V6470" s="21" t="s">
        <v>368</v>
      </c>
      <c r="W6470" t="str">
        <f>VLOOKUP(Table_Query_from_Actuarial___Production[[#This Row],[Kor1]],$AI$3:$AK$105,3,FALSE)</f>
        <v>Anticipated Salvage</v>
      </c>
      <c r="X6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0"/>
      <c r="Z6470" t="s">
        <v>11</v>
      </c>
      <c r="AA6470" t="s">
        <v>244</v>
      </c>
      <c r="AB6470" t="s">
        <v>443</v>
      </c>
      <c r="AC6470" s="21">
        <v>1528.27</v>
      </c>
      <c r="AD6470" s="21" t="s">
        <v>368</v>
      </c>
      <c r="AE6470" t="str">
        <f>VLOOKUP(Table_Query_from_Actuarial___Production3[[#This Row],[Kor1]],$AI$3:$AK$105,3,FALSE)</f>
        <v>Losses Paid</v>
      </c>
      <c r="AF6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1" spans="18:32" x14ac:dyDescent="0.2">
      <c r="R6471" t="s">
        <v>37</v>
      </c>
      <c r="S6471" t="s">
        <v>233</v>
      </c>
      <c r="T6471" t="s">
        <v>427</v>
      </c>
      <c r="U6471" s="21">
        <v>2301.3000000000002</v>
      </c>
      <c r="V6471" s="21" t="s">
        <v>368</v>
      </c>
      <c r="W6471" t="str">
        <f>VLOOKUP(Table_Query_from_Actuarial___Production[[#This Row],[Kor1]],$AI$3:$AK$105,3,FALSE)</f>
        <v>Misc. Expense</v>
      </c>
      <c r="X6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1"/>
      <c r="Z6471" t="s">
        <v>14</v>
      </c>
      <c r="AA6471" t="s">
        <v>225</v>
      </c>
      <c r="AB6471" t="s">
        <v>433</v>
      </c>
      <c r="AC6471" s="21">
        <v>77349</v>
      </c>
      <c r="AD6471" s="21" t="s">
        <v>368</v>
      </c>
      <c r="AE6471" t="str">
        <f>VLOOKUP(Table_Query_from_Actuarial___Production3[[#This Row],[Kor1]],$AI$3:$AK$105,3,FALSE)</f>
        <v>Claims Expense</v>
      </c>
      <c r="AF6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472" spans="18:32" x14ac:dyDescent="0.2">
      <c r="R6472" t="s">
        <v>48</v>
      </c>
      <c r="S6472" t="s">
        <v>4</v>
      </c>
      <c r="T6472" t="s">
        <v>433</v>
      </c>
      <c r="U6472" s="21">
        <v>73642.399999999994</v>
      </c>
      <c r="V6472" s="21" t="s">
        <v>368</v>
      </c>
      <c r="W6472" t="str">
        <f>VLOOKUP(Table_Query_from_Actuarial___Production[[#This Row],[Kor1]],$AI$3:$AK$105,3,FALSE)</f>
        <v>Anticipated Salvage</v>
      </c>
      <c r="X6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2"/>
      <c r="Z6472" t="s">
        <v>40</v>
      </c>
      <c r="AA6472" t="s">
        <v>4</v>
      </c>
      <c r="AB6472" t="s">
        <v>7</v>
      </c>
      <c r="AC6472" s="21">
        <v>1710.47</v>
      </c>
      <c r="AD6472" s="21" t="s">
        <v>368</v>
      </c>
      <c r="AE6472" t="str">
        <f>VLOOKUP(Table_Query_from_Actuarial___Production3[[#This Row],[Kor1]],$AI$3:$AK$105,3,FALSE)</f>
        <v>Misc. Income</v>
      </c>
      <c r="AF6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3" spans="18:32" x14ac:dyDescent="0.2">
      <c r="R6473" t="s">
        <v>48</v>
      </c>
      <c r="S6473" t="s">
        <v>247</v>
      </c>
      <c r="T6473" t="s">
        <v>442</v>
      </c>
      <c r="U6473" s="21">
        <v>5.94</v>
      </c>
      <c r="V6473" s="21" t="s">
        <v>368</v>
      </c>
      <c r="W6473" t="str">
        <f>VLOOKUP(Table_Query_from_Actuarial___Production[[#This Row],[Kor1]],$AI$3:$AK$105,3,FALSE)</f>
        <v>Anticipated Salvage</v>
      </c>
      <c r="X6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3"/>
      <c r="Z6473" t="s">
        <v>439</v>
      </c>
      <c r="AA6473" t="s">
        <v>247</v>
      </c>
      <c r="AB6473" t="s">
        <v>443</v>
      </c>
      <c r="AC6473" s="21">
        <v>-107.47</v>
      </c>
      <c r="AD6473" s="21" t="s">
        <v>368</v>
      </c>
      <c r="AE6473" t="str">
        <f>VLOOKUP(Table_Query_from_Actuarial___Production3[[#This Row],[Kor1]],$AI$3:$AK$105,3,FALSE)</f>
        <v>Operating Service Fees</v>
      </c>
      <c r="AF6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4" spans="18:32" x14ac:dyDescent="0.2">
      <c r="R6474" t="s">
        <v>31</v>
      </c>
      <c r="S6474" t="s">
        <v>244</v>
      </c>
      <c r="T6474" t="s">
        <v>443</v>
      </c>
      <c r="U6474" s="21">
        <v>1259.8800000000001</v>
      </c>
      <c r="V6474" s="21" t="s">
        <v>368</v>
      </c>
      <c r="W6474" t="str">
        <f>VLOOKUP(Table_Query_from_Actuarial___Production[[#This Row],[Kor1]],$AI$3:$AK$105,3,FALSE)</f>
        <v>Misc. Expense</v>
      </c>
      <c r="X6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4"/>
      <c r="Z6474" t="s">
        <v>31</v>
      </c>
      <c r="AA6474" t="s">
        <v>232</v>
      </c>
      <c r="AB6474" t="s">
        <v>442</v>
      </c>
      <c r="AC6474" s="21">
        <v>1008.4</v>
      </c>
      <c r="AD6474" s="21" t="s">
        <v>368</v>
      </c>
      <c r="AE6474" t="str">
        <f>VLOOKUP(Table_Query_from_Actuarial___Production3[[#This Row],[Kor1]],$AI$3:$AK$105,3,FALSE)</f>
        <v>Misc. Expense</v>
      </c>
      <c r="AF6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5" spans="18:32" x14ac:dyDescent="0.2">
      <c r="R6475" t="s">
        <v>155</v>
      </c>
      <c r="S6475" t="s">
        <v>354</v>
      </c>
      <c r="T6475" t="s">
        <v>445</v>
      </c>
      <c r="U6475" s="21">
        <v>37119.24</v>
      </c>
      <c r="V6475" s="21" t="s">
        <v>368</v>
      </c>
      <c r="W6475" t="str">
        <f>VLOOKUP(Table_Query_from_Actuarial___Production[[#This Row],[Kor1]],$AI$3:$AK$105,3,FALSE)</f>
        <v>Advance Premium</v>
      </c>
      <c r="X6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475"/>
      <c r="Z6475" t="s">
        <v>14</v>
      </c>
      <c r="AA6475" t="s">
        <v>251</v>
      </c>
      <c r="AB6475" t="s">
        <v>8</v>
      </c>
      <c r="AC6475" s="21">
        <v>2107.6799999999998</v>
      </c>
      <c r="AD6475" s="21" t="s">
        <v>368</v>
      </c>
      <c r="AE6475" t="str">
        <f>VLOOKUP(Table_Query_from_Actuarial___Production3[[#This Row],[Kor1]],$AI$3:$AK$105,3,FALSE)</f>
        <v>Claims Expense</v>
      </c>
      <c r="AF6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6" spans="18:32" x14ac:dyDescent="0.2">
      <c r="R6476" t="s">
        <v>147</v>
      </c>
      <c r="S6476" t="s">
        <v>354</v>
      </c>
      <c r="T6476" t="s">
        <v>6</v>
      </c>
      <c r="U6476" s="21">
        <v>610746.12</v>
      </c>
      <c r="V6476" s="21" t="s">
        <v>368</v>
      </c>
      <c r="W6476" t="str">
        <f>VLOOKUP(Table_Query_from_Actuarial___Production[[#This Row],[Kor1]],$AI$3:$AK$105,3,FALSE)</f>
        <v>Investment Impairments</v>
      </c>
      <c r="X6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476"/>
      <c r="Z6476" t="s">
        <v>12</v>
      </c>
      <c r="AA6476" t="s">
        <v>245</v>
      </c>
      <c r="AB6476" t="s">
        <v>427</v>
      </c>
      <c r="AC6476" s="21">
        <v>63.87</v>
      </c>
      <c r="AD6476" s="21" t="s">
        <v>368</v>
      </c>
      <c r="AE6476" t="str">
        <f>VLOOKUP(Table_Query_from_Actuarial___Production3[[#This Row],[Kor1]],$AI$3:$AK$105,3,FALSE)</f>
        <v>Premium Tax</v>
      </c>
      <c r="AF6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7" spans="18:32" x14ac:dyDescent="0.2">
      <c r="R6477" t="s">
        <v>37</v>
      </c>
      <c r="S6477" t="s">
        <v>249</v>
      </c>
      <c r="T6477" t="s">
        <v>433</v>
      </c>
      <c r="U6477" s="21">
        <v>1219.53</v>
      </c>
      <c r="V6477" s="21" t="s">
        <v>368</v>
      </c>
      <c r="W6477" t="str">
        <f>VLOOKUP(Table_Query_from_Actuarial___Production[[#This Row],[Kor1]],$AI$3:$AK$105,3,FALSE)</f>
        <v>Misc. Expense</v>
      </c>
      <c r="X6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7"/>
      <c r="Z6477" t="s">
        <v>31</v>
      </c>
      <c r="AA6477" t="s">
        <v>256</v>
      </c>
      <c r="AB6477" t="s">
        <v>7</v>
      </c>
      <c r="AC6477" s="21">
        <v>932.74</v>
      </c>
      <c r="AD6477" s="21" t="s">
        <v>368</v>
      </c>
      <c r="AE6477" t="str">
        <f>VLOOKUP(Table_Query_from_Actuarial___Production3[[#This Row],[Kor1]],$AI$3:$AK$105,3,FALSE)</f>
        <v>Misc. Expense</v>
      </c>
      <c r="AF6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8" spans="18:32" x14ac:dyDescent="0.2">
      <c r="R6478" t="s">
        <v>31</v>
      </c>
      <c r="S6478" t="s">
        <v>250</v>
      </c>
      <c r="T6478" t="s">
        <v>427</v>
      </c>
      <c r="U6478" s="21">
        <v>589.55999999999995</v>
      </c>
      <c r="V6478" s="21" t="s">
        <v>368</v>
      </c>
      <c r="W6478" t="str">
        <f>VLOOKUP(Table_Query_from_Actuarial___Production[[#This Row],[Kor1]],$AI$3:$AK$105,3,FALSE)</f>
        <v>Misc. Expense</v>
      </c>
      <c r="X6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8"/>
      <c r="Z6478" t="s">
        <v>34</v>
      </c>
      <c r="AA6478" t="s">
        <v>230</v>
      </c>
      <c r="AB6478" t="s">
        <v>427</v>
      </c>
      <c r="AC6478" s="21">
        <v>4300.8999999999996</v>
      </c>
      <c r="AD6478" s="21" t="s">
        <v>368</v>
      </c>
      <c r="AE6478" t="str">
        <f>VLOOKUP(Table_Query_from_Actuarial___Production3[[#This Row],[Kor1]],$AI$3:$AK$105,3,FALSE)</f>
        <v>Misc. Expense</v>
      </c>
      <c r="AF6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79" spans="18:32" x14ac:dyDescent="0.2">
      <c r="R6479" t="s">
        <v>48</v>
      </c>
      <c r="S6479" t="s">
        <v>253</v>
      </c>
      <c r="T6479" t="s">
        <v>445</v>
      </c>
      <c r="U6479" s="21">
        <v>13.83</v>
      </c>
      <c r="V6479" s="21" t="s">
        <v>368</v>
      </c>
      <c r="W6479" t="str">
        <f>VLOOKUP(Table_Query_from_Actuarial___Production[[#This Row],[Kor1]],$AI$3:$AK$105,3,FALSE)</f>
        <v>Anticipated Salvage</v>
      </c>
      <c r="X6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79"/>
      <c r="Z6479" t="s">
        <v>37</v>
      </c>
      <c r="AA6479" t="s">
        <v>233</v>
      </c>
      <c r="AB6479" t="s">
        <v>427</v>
      </c>
      <c r="AC6479" s="21">
        <v>2301.3000000000002</v>
      </c>
      <c r="AD6479" s="21" t="s">
        <v>368</v>
      </c>
      <c r="AE6479" t="str">
        <f>VLOOKUP(Table_Query_from_Actuarial___Production3[[#This Row],[Kor1]],$AI$3:$AK$105,3,FALSE)</f>
        <v>Misc. Expense</v>
      </c>
      <c r="AF6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0" spans="18:32" x14ac:dyDescent="0.2">
      <c r="R6480" t="s">
        <v>41</v>
      </c>
      <c r="S6480" t="s">
        <v>263</v>
      </c>
      <c r="T6480" t="s">
        <v>9</v>
      </c>
      <c r="U6480" s="21">
        <v>50.01</v>
      </c>
      <c r="V6480" s="21" t="s">
        <v>368</v>
      </c>
      <c r="W6480" t="str">
        <f>VLOOKUP(Table_Query_from_Actuarial___Production[[#This Row],[Kor1]],$AI$3:$AK$105,3,FALSE)</f>
        <v>Misc. Income</v>
      </c>
      <c r="X6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0"/>
      <c r="Z6480" t="s">
        <v>40</v>
      </c>
      <c r="AA6480" t="s">
        <v>267</v>
      </c>
      <c r="AB6480" t="s">
        <v>5</v>
      </c>
      <c r="AC6480" s="21">
        <v>-70</v>
      </c>
      <c r="AD6480" s="21" t="s">
        <v>368</v>
      </c>
      <c r="AE6480" t="str">
        <f>VLOOKUP(Table_Query_from_Actuarial___Production3[[#This Row],[Kor1]],$AI$3:$AK$105,3,FALSE)</f>
        <v>Misc. Income</v>
      </c>
      <c r="AF6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1" spans="18:32" x14ac:dyDescent="0.2">
      <c r="R6481" t="s">
        <v>47</v>
      </c>
      <c r="S6481" t="s">
        <v>267</v>
      </c>
      <c r="T6481" t="s">
        <v>445</v>
      </c>
      <c r="U6481" s="21">
        <v>63177.55</v>
      </c>
      <c r="V6481" s="21" t="s">
        <v>368</v>
      </c>
      <c r="W6481" t="str">
        <f>VLOOKUP(Table_Query_from_Actuarial___Production[[#This Row],[Kor1]],$AI$3:$AK$105,3,FALSE)</f>
        <v>Investment Income</v>
      </c>
      <c r="X6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1"/>
      <c r="Z6481" t="s">
        <v>48</v>
      </c>
      <c r="AA6481" t="s">
        <v>4</v>
      </c>
      <c r="AB6481" t="s">
        <v>433</v>
      </c>
      <c r="AC6481" s="21">
        <v>126693.3</v>
      </c>
      <c r="AD6481" s="21" t="s">
        <v>368</v>
      </c>
      <c r="AE6481" t="str">
        <f>VLOOKUP(Table_Query_from_Actuarial___Production3[[#This Row],[Kor1]],$AI$3:$AK$105,3,FALSE)</f>
        <v>Anticipated Salvage</v>
      </c>
      <c r="AF6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2" spans="18:32" x14ac:dyDescent="0.2">
      <c r="R6482" t="s">
        <v>11</v>
      </c>
      <c r="S6482" t="s">
        <v>256</v>
      </c>
      <c r="T6482" t="s">
        <v>6</v>
      </c>
      <c r="U6482" s="21">
        <v>4068.52</v>
      </c>
      <c r="V6482" s="21" t="s">
        <v>368</v>
      </c>
      <c r="W6482" t="str">
        <f>VLOOKUP(Table_Query_from_Actuarial___Production[[#This Row],[Kor1]],$AI$3:$AK$105,3,FALSE)</f>
        <v>Losses Paid</v>
      </c>
      <c r="X6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2"/>
      <c r="Z6482" t="s">
        <v>48</v>
      </c>
      <c r="AA6482" t="s">
        <v>247</v>
      </c>
      <c r="AB6482" t="s">
        <v>442</v>
      </c>
      <c r="AC6482" s="21">
        <v>9.65</v>
      </c>
      <c r="AD6482" s="21" t="s">
        <v>368</v>
      </c>
      <c r="AE6482" t="str">
        <f>VLOOKUP(Table_Query_from_Actuarial___Production3[[#This Row],[Kor1]],$AI$3:$AK$105,3,FALSE)</f>
        <v>Anticipated Salvage</v>
      </c>
      <c r="AF6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3" spans="18:32" x14ac:dyDescent="0.2">
      <c r="R6483" t="s">
        <v>34</v>
      </c>
      <c r="S6483" t="s">
        <v>252</v>
      </c>
      <c r="T6483" t="s">
        <v>433</v>
      </c>
      <c r="U6483" s="21">
        <v>4695.09</v>
      </c>
      <c r="V6483" s="21" t="s">
        <v>368</v>
      </c>
      <c r="W6483" t="str">
        <f>VLOOKUP(Table_Query_from_Actuarial___Production[[#This Row],[Kor1]],$AI$3:$AK$105,3,FALSE)</f>
        <v>Misc. Expense</v>
      </c>
      <c r="X6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3"/>
      <c r="Z6483" t="s">
        <v>31</v>
      </c>
      <c r="AA6483" t="s">
        <v>244</v>
      </c>
      <c r="AB6483" t="s">
        <v>443</v>
      </c>
      <c r="AC6483" s="21">
        <v>1225.5</v>
      </c>
      <c r="AD6483" s="21" t="s">
        <v>368</v>
      </c>
      <c r="AE6483" t="str">
        <f>VLOOKUP(Table_Query_from_Actuarial___Production3[[#This Row],[Kor1]],$AI$3:$AK$105,3,FALSE)</f>
        <v>Misc. Expense</v>
      </c>
      <c r="AF6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4" spans="18:32" x14ac:dyDescent="0.2">
      <c r="R6484" t="s">
        <v>47</v>
      </c>
      <c r="S6484" t="s">
        <v>257</v>
      </c>
      <c r="T6484" t="s">
        <v>445</v>
      </c>
      <c r="U6484" s="21">
        <v>149079.96</v>
      </c>
      <c r="V6484" s="21" t="s">
        <v>368</v>
      </c>
      <c r="W6484" t="str">
        <f>VLOOKUP(Table_Query_from_Actuarial___Production[[#This Row],[Kor1]],$AI$3:$AK$105,3,FALSE)</f>
        <v>Investment Income</v>
      </c>
      <c r="X6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4"/>
      <c r="Z6484" t="s">
        <v>147</v>
      </c>
      <c r="AA6484" t="s">
        <v>354</v>
      </c>
      <c r="AB6484" t="s">
        <v>6</v>
      </c>
      <c r="AC6484" s="21">
        <v>610746.12</v>
      </c>
      <c r="AD6484" s="21" t="s">
        <v>368</v>
      </c>
      <c r="AE6484" t="str">
        <f>VLOOKUP(Table_Query_from_Actuarial___Production3[[#This Row],[Kor1]],$AI$3:$AK$105,3,FALSE)</f>
        <v>Investment Impairments</v>
      </c>
      <c r="AF6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485" spans="18:32" x14ac:dyDescent="0.2">
      <c r="R6485" t="s">
        <v>3</v>
      </c>
      <c r="S6485" t="s">
        <v>241</v>
      </c>
      <c r="T6485" t="s">
        <v>351</v>
      </c>
      <c r="U6485" s="21">
        <v>1290780</v>
      </c>
      <c r="V6485" s="21" t="s">
        <v>368</v>
      </c>
      <c r="W6485" t="str">
        <f>VLOOKUP(Table_Query_from_Actuarial___Production[[#This Row],[Kor1]],$AI$3:$AK$105,3,FALSE)</f>
        <v>Premiums Written</v>
      </c>
      <c r="X6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5"/>
      <c r="Z6485" t="s">
        <v>37</v>
      </c>
      <c r="AA6485" t="s">
        <v>249</v>
      </c>
      <c r="AB6485" t="s">
        <v>433</v>
      </c>
      <c r="AC6485" s="21">
        <v>1219.53</v>
      </c>
      <c r="AD6485" s="21" t="s">
        <v>368</v>
      </c>
      <c r="AE6485" t="str">
        <f>VLOOKUP(Table_Query_from_Actuarial___Production3[[#This Row],[Kor1]],$AI$3:$AK$105,3,FALSE)</f>
        <v>Misc. Expense</v>
      </c>
      <c r="AF6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6" spans="18:32" x14ac:dyDescent="0.2">
      <c r="R6486" t="s">
        <v>16</v>
      </c>
      <c r="S6486" t="s">
        <v>228</v>
      </c>
      <c r="T6486" t="s">
        <v>443</v>
      </c>
      <c r="U6486" s="21">
        <v>453685.35</v>
      </c>
      <c r="V6486" s="21" t="s">
        <v>368</v>
      </c>
      <c r="W6486" t="str">
        <f>VLOOKUP(Table_Query_from_Actuarial___Production[[#This Row],[Kor1]],$AI$3:$AK$105,3,FALSE)</f>
        <v>Losses Outstanding</v>
      </c>
      <c r="X6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6"/>
      <c r="Z6486" t="s">
        <v>31</v>
      </c>
      <c r="AA6486" t="s">
        <v>250</v>
      </c>
      <c r="AB6486" t="s">
        <v>427</v>
      </c>
      <c r="AC6486" s="21">
        <v>589.55999999999995</v>
      </c>
      <c r="AD6486" s="21" t="s">
        <v>368</v>
      </c>
      <c r="AE6486" t="str">
        <f>VLOOKUP(Table_Query_from_Actuarial___Production3[[#This Row],[Kor1]],$AI$3:$AK$105,3,FALSE)</f>
        <v>Misc. Expense</v>
      </c>
      <c r="AF6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7" spans="18:32" x14ac:dyDescent="0.2">
      <c r="R6487" t="s">
        <v>36</v>
      </c>
      <c r="S6487" t="s">
        <v>227</v>
      </c>
      <c r="T6487" t="s">
        <v>445</v>
      </c>
      <c r="U6487" s="21">
        <v>83.3</v>
      </c>
      <c r="V6487" s="21" t="s">
        <v>368</v>
      </c>
      <c r="W6487" t="str">
        <f>VLOOKUP(Table_Query_from_Actuarial___Production[[#This Row],[Kor1]],$AI$3:$AK$105,3,FALSE)</f>
        <v>Misc. Expense</v>
      </c>
      <c r="X6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7"/>
      <c r="Z6487" t="s">
        <v>41</v>
      </c>
      <c r="AA6487" t="s">
        <v>263</v>
      </c>
      <c r="AB6487" t="s">
        <v>9</v>
      </c>
      <c r="AC6487" s="21">
        <v>50.01</v>
      </c>
      <c r="AD6487" s="21" t="s">
        <v>368</v>
      </c>
      <c r="AE6487" t="str">
        <f>VLOOKUP(Table_Query_from_Actuarial___Production3[[#This Row],[Kor1]],$AI$3:$AK$105,3,FALSE)</f>
        <v>Misc. Income</v>
      </c>
      <c r="AF6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8" spans="18:32" x14ac:dyDescent="0.2">
      <c r="R6488" t="s">
        <v>40</v>
      </c>
      <c r="S6488" t="s">
        <v>256</v>
      </c>
      <c r="T6488" t="s">
        <v>356</v>
      </c>
      <c r="U6488" s="21">
        <v>26</v>
      </c>
      <c r="V6488" s="21" t="s">
        <v>368</v>
      </c>
      <c r="W6488" t="str">
        <f>VLOOKUP(Table_Query_from_Actuarial___Production[[#This Row],[Kor1]],$AI$3:$AK$105,3,FALSE)</f>
        <v>Misc. Income</v>
      </c>
      <c r="X6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8"/>
      <c r="Z6488" t="s">
        <v>11</v>
      </c>
      <c r="AA6488" t="s">
        <v>256</v>
      </c>
      <c r="AB6488" t="s">
        <v>6</v>
      </c>
      <c r="AC6488" s="21">
        <v>4068.52</v>
      </c>
      <c r="AD6488" s="21" t="s">
        <v>368</v>
      </c>
      <c r="AE6488" t="str">
        <f>VLOOKUP(Table_Query_from_Actuarial___Production3[[#This Row],[Kor1]],$AI$3:$AK$105,3,FALSE)</f>
        <v>Losses Paid</v>
      </c>
      <c r="AF6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89" spans="18:32" x14ac:dyDescent="0.2">
      <c r="R6489" t="s">
        <v>39</v>
      </c>
      <c r="S6489" t="s">
        <v>228</v>
      </c>
      <c r="T6489" t="s">
        <v>9</v>
      </c>
      <c r="U6489" s="21">
        <v>7</v>
      </c>
      <c r="V6489" s="21" t="s">
        <v>368</v>
      </c>
      <c r="W6489" t="str">
        <f>VLOOKUP(Table_Query_from_Actuarial___Production[[#This Row],[Kor1]],$AI$3:$AK$105,3,FALSE)</f>
        <v>Misc. Income for Insolvent Companies</v>
      </c>
      <c r="X6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89"/>
      <c r="Z6489" t="s">
        <v>34</v>
      </c>
      <c r="AA6489" t="s">
        <v>252</v>
      </c>
      <c r="AB6489" t="s">
        <v>433</v>
      </c>
      <c r="AC6489" s="21">
        <v>4695.09</v>
      </c>
      <c r="AD6489" s="21" t="s">
        <v>368</v>
      </c>
      <c r="AE6489" t="str">
        <f>VLOOKUP(Table_Query_from_Actuarial___Production3[[#This Row],[Kor1]],$AI$3:$AK$105,3,FALSE)</f>
        <v>Misc. Expense</v>
      </c>
      <c r="AF6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0" spans="18:32" x14ac:dyDescent="0.2">
      <c r="R6490" t="s">
        <v>41</v>
      </c>
      <c r="S6490" t="s">
        <v>246</v>
      </c>
      <c r="T6490" t="s">
        <v>351</v>
      </c>
      <c r="U6490" s="21">
        <v>1617.96</v>
      </c>
      <c r="V6490" s="21" t="s">
        <v>368</v>
      </c>
      <c r="W6490" t="str">
        <f>VLOOKUP(Table_Query_from_Actuarial___Production[[#This Row],[Kor1]],$AI$3:$AK$105,3,FALSE)</f>
        <v>Misc. Income</v>
      </c>
      <c r="X6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0"/>
      <c r="Z6490" t="s">
        <v>3</v>
      </c>
      <c r="AA6490" t="s">
        <v>241</v>
      </c>
      <c r="AB6490" t="s">
        <v>351</v>
      </c>
      <c r="AC6490" s="21">
        <v>1290780</v>
      </c>
      <c r="AD6490" s="21" t="s">
        <v>368</v>
      </c>
      <c r="AE6490" t="str">
        <f>VLOOKUP(Table_Query_from_Actuarial___Production3[[#This Row],[Kor1]],$AI$3:$AK$105,3,FALSE)</f>
        <v>Premiums Written</v>
      </c>
      <c r="AF6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1" spans="18:32" x14ac:dyDescent="0.2">
      <c r="R6491" t="s">
        <v>43</v>
      </c>
      <c r="S6491" t="s">
        <v>224</v>
      </c>
      <c r="T6491" t="s">
        <v>9</v>
      </c>
      <c r="U6491" s="21">
        <v>11.99</v>
      </c>
      <c r="V6491" s="21" t="s">
        <v>369</v>
      </c>
      <c r="W6491" t="str">
        <f>VLOOKUP(Table_Query_from_Actuarial___Production[[#This Row],[Kor1]],$AI$3:$AK$105,3,FALSE)</f>
        <v>Charge-offs</v>
      </c>
      <c r="X6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491"/>
      <c r="Z6491" t="s">
        <v>16</v>
      </c>
      <c r="AA6491" t="s">
        <v>228</v>
      </c>
      <c r="AB6491" t="s">
        <v>443</v>
      </c>
      <c r="AC6491" s="21">
        <v>2.98</v>
      </c>
      <c r="AD6491" s="21" t="s">
        <v>368</v>
      </c>
      <c r="AE6491" t="str">
        <f>VLOOKUP(Table_Query_from_Actuarial___Production3[[#This Row],[Kor1]],$AI$3:$AK$105,3,FALSE)</f>
        <v>Losses Outstanding</v>
      </c>
      <c r="AF6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2" spans="18:32" x14ac:dyDescent="0.2">
      <c r="R6492" t="s">
        <v>11</v>
      </c>
      <c r="S6492" t="s">
        <v>230</v>
      </c>
      <c r="T6492" t="s">
        <v>7</v>
      </c>
      <c r="U6492" s="21">
        <v>14768485.970000001</v>
      </c>
      <c r="V6492" s="21" t="s">
        <v>368</v>
      </c>
      <c r="W6492" t="str">
        <f>VLOOKUP(Table_Query_from_Actuarial___Production[[#This Row],[Kor1]],$AI$3:$AK$105,3,FALSE)</f>
        <v>Losses Paid</v>
      </c>
      <c r="X6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2"/>
      <c r="Z6492" t="s">
        <v>40</v>
      </c>
      <c r="AA6492" t="s">
        <v>256</v>
      </c>
      <c r="AB6492" t="s">
        <v>356</v>
      </c>
      <c r="AC6492" s="21">
        <v>26</v>
      </c>
      <c r="AD6492" s="21" t="s">
        <v>368</v>
      </c>
      <c r="AE6492" t="str">
        <f>VLOOKUP(Table_Query_from_Actuarial___Production3[[#This Row],[Kor1]],$AI$3:$AK$105,3,FALSE)</f>
        <v>Misc. Income</v>
      </c>
      <c r="AF6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3" spans="18:32" x14ac:dyDescent="0.2">
      <c r="R6493" t="s">
        <v>24</v>
      </c>
      <c r="S6493" t="s">
        <v>259</v>
      </c>
      <c r="T6493" t="s">
        <v>9</v>
      </c>
      <c r="U6493" s="21">
        <v>557.38</v>
      </c>
      <c r="V6493" s="21" t="s">
        <v>368</v>
      </c>
      <c r="W6493" t="str">
        <f>VLOOKUP(Table_Query_from_Actuarial___Production[[#This Row],[Kor1]],$AI$3:$AK$105,3,FALSE)</f>
        <v>Misc. Expense</v>
      </c>
      <c r="X6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3"/>
      <c r="Z6493" t="s">
        <v>39</v>
      </c>
      <c r="AA6493" t="s">
        <v>228</v>
      </c>
      <c r="AB6493" t="s">
        <v>9</v>
      </c>
      <c r="AC6493" s="21">
        <v>7</v>
      </c>
      <c r="AD6493" s="21" t="s">
        <v>368</v>
      </c>
      <c r="AE6493" t="str">
        <f>VLOOKUP(Table_Query_from_Actuarial___Production3[[#This Row],[Kor1]],$AI$3:$AK$105,3,FALSE)</f>
        <v>Misc. Income for Insolvent Companies</v>
      </c>
      <c r="AF6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4" spans="18:32" x14ac:dyDescent="0.2">
      <c r="R6494" t="s">
        <v>33</v>
      </c>
      <c r="S6494" t="s">
        <v>243</v>
      </c>
      <c r="T6494" t="s">
        <v>427</v>
      </c>
      <c r="U6494" s="21">
        <v>13399.75</v>
      </c>
      <c r="V6494" s="21" t="s">
        <v>368</v>
      </c>
      <c r="W6494" t="str">
        <f>VLOOKUP(Table_Query_from_Actuarial___Production[[#This Row],[Kor1]],$AI$3:$AK$105,3,FALSE)</f>
        <v>Misc. Expense</v>
      </c>
      <c r="X6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4"/>
      <c r="Z6494" t="s">
        <v>41</v>
      </c>
      <c r="AA6494" t="s">
        <v>246</v>
      </c>
      <c r="AB6494" t="s">
        <v>351</v>
      </c>
      <c r="AC6494" s="21">
        <v>1617.96</v>
      </c>
      <c r="AD6494" s="21" t="s">
        <v>368</v>
      </c>
      <c r="AE6494" t="str">
        <f>VLOOKUP(Table_Query_from_Actuarial___Production3[[#This Row],[Kor1]],$AI$3:$AK$105,3,FALSE)</f>
        <v>Misc. Income</v>
      </c>
      <c r="AF6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5" spans="18:32" x14ac:dyDescent="0.2">
      <c r="R6495" t="s">
        <v>10</v>
      </c>
      <c r="S6495" t="s">
        <v>246</v>
      </c>
      <c r="T6495" t="s">
        <v>442</v>
      </c>
      <c r="U6495" s="21">
        <v>127031.09</v>
      </c>
      <c r="V6495" s="21" t="s">
        <v>368</v>
      </c>
      <c r="W6495" t="str">
        <f>VLOOKUP(Table_Query_from_Actuarial___Production[[#This Row],[Kor1]],$AI$3:$AK$105,3,FALSE)</f>
        <v>Commissions</v>
      </c>
      <c r="X6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5"/>
      <c r="Z6495" t="s">
        <v>43</v>
      </c>
      <c r="AA6495" t="s">
        <v>224</v>
      </c>
      <c r="AB6495" t="s">
        <v>9</v>
      </c>
      <c r="AC6495" s="21">
        <v>11.99</v>
      </c>
      <c r="AD6495" s="21" t="s">
        <v>369</v>
      </c>
      <c r="AE6495" t="str">
        <f>VLOOKUP(Table_Query_from_Actuarial___Production3[[#This Row],[Kor1]],$AI$3:$AK$105,3,FALSE)</f>
        <v>Charge-offs</v>
      </c>
      <c r="AF6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496" spans="18:32" x14ac:dyDescent="0.2">
      <c r="R6496" t="s">
        <v>11</v>
      </c>
      <c r="S6496" t="s">
        <v>243</v>
      </c>
      <c r="T6496" t="s">
        <v>9</v>
      </c>
      <c r="U6496" s="21">
        <v>85151.39</v>
      </c>
      <c r="V6496" s="21" t="s">
        <v>368</v>
      </c>
      <c r="W6496" t="str">
        <f>VLOOKUP(Table_Query_from_Actuarial___Production[[#This Row],[Kor1]],$AI$3:$AK$105,3,FALSE)</f>
        <v>Losses Paid</v>
      </c>
      <c r="X6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6"/>
      <c r="Z6496" t="s">
        <v>11</v>
      </c>
      <c r="AA6496" t="s">
        <v>230</v>
      </c>
      <c r="AB6496" t="s">
        <v>7</v>
      </c>
      <c r="AC6496" s="21">
        <v>14768485.970000001</v>
      </c>
      <c r="AD6496" s="21" t="s">
        <v>368</v>
      </c>
      <c r="AE6496" t="str">
        <f>VLOOKUP(Table_Query_from_Actuarial___Production3[[#This Row],[Kor1]],$AI$3:$AK$105,3,FALSE)</f>
        <v>Losses Paid</v>
      </c>
      <c r="AF6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7" spans="18:32" x14ac:dyDescent="0.2">
      <c r="R6497" t="s">
        <v>20</v>
      </c>
      <c r="S6497" t="s">
        <v>232</v>
      </c>
      <c r="T6497" t="s">
        <v>427</v>
      </c>
      <c r="U6497" s="21">
        <v>344.11</v>
      </c>
      <c r="V6497" s="21" t="s">
        <v>368</v>
      </c>
      <c r="W6497" t="str">
        <f>VLOOKUP(Table_Query_from_Actuarial___Production[[#This Row],[Kor1]],$AI$3:$AK$105,3,FALSE)</f>
        <v>Misc. Expense</v>
      </c>
      <c r="X6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7"/>
      <c r="Z6497" t="s">
        <v>24</v>
      </c>
      <c r="AA6497" t="s">
        <v>259</v>
      </c>
      <c r="AB6497" t="s">
        <v>9</v>
      </c>
      <c r="AC6497" s="21">
        <v>557.38</v>
      </c>
      <c r="AD6497" s="21" t="s">
        <v>368</v>
      </c>
      <c r="AE6497" t="str">
        <f>VLOOKUP(Table_Query_from_Actuarial___Production3[[#This Row],[Kor1]],$AI$3:$AK$105,3,FALSE)</f>
        <v>Misc. Expense</v>
      </c>
      <c r="AF6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8" spans="18:32" x14ac:dyDescent="0.2">
      <c r="R6498" t="s">
        <v>21</v>
      </c>
      <c r="S6498" t="s">
        <v>246</v>
      </c>
      <c r="T6498" t="s">
        <v>351</v>
      </c>
      <c r="U6498" s="21">
        <v>892.47</v>
      </c>
      <c r="V6498" s="21" t="s">
        <v>368</v>
      </c>
      <c r="W6498" t="str">
        <f>VLOOKUP(Table_Query_from_Actuarial___Production[[#This Row],[Kor1]],$AI$3:$AK$105,3,FALSE)</f>
        <v>Misc. Expense</v>
      </c>
      <c r="X6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8"/>
      <c r="Z6498" t="s">
        <v>33</v>
      </c>
      <c r="AA6498" t="s">
        <v>243</v>
      </c>
      <c r="AB6498" t="s">
        <v>427</v>
      </c>
      <c r="AC6498" s="21">
        <v>13399.75</v>
      </c>
      <c r="AD6498" s="21" t="s">
        <v>368</v>
      </c>
      <c r="AE6498" t="str">
        <f>VLOOKUP(Table_Query_from_Actuarial___Production3[[#This Row],[Kor1]],$AI$3:$AK$105,3,FALSE)</f>
        <v>Misc. Expense</v>
      </c>
      <c r="AF6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499" spans="18:32" x14ac:dyDescent="0.2">
      <c r="R6499" t="s">
        <v>50</v>
      </c>
      <c r="S6499" t="s">
        <v>238</v>
      </c>
      <c r="T6499" t="s">
        <v>433</v>
      </c>
      <c r="U6499" s="21">
        <v>14463.61</v>
      </c>
      <c r="V6499" s="21" t="s">
        <v>368</v>
      </c>
      <c r="W6499" t="str">
        <f>VLOOKUP(Table_Query_from_Actuarial___Production[[#This Row],[Kor1]],$AI$3:$AK$105,3,FALSE)</f>
        <v>ALAE Reserve</v>
      </c>
      <c r="X6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499"/>
      <c r="Z6499" t="s">
        <v>47</v>
      </c>
      <c r="AA6499" t="s">
        <v>234</v>
      </c>
      <c r="AB6499" t="s">
        <v>5</v>
      </c>
      <c r="AC6499" s="21">
        <v>2</v>
      </c>
      <c r="AD6499" s="21" t="s">
        <v>368</v>
      </c>
      <c r="AE6499" t="str">
        <f>VLOOKUP(Table_Query_from_Actuarial___Production3[[#This Row],[Kor1]],$AI$3:$AK$105,3,FALSE)</f>
        <v>Investment Income</v>
      </c>
      <c r="AF6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0" spans="18:32" x14ac:dyDescent="0.2">
      <c r="R6500" t="s">
        <v>3</v>
      </c>
      <c r="S6500" t="s">
        <v>354</v>
      </c>
      <c r="T6500" t="s">
        <v>433</v>
      </c>
      <c r="U6500" s="21">
        <v>123041607.18000001</v>
      </c>
      <c r="V6500" s="21" t="s">
        <v>368</v>
      </c>
      <c r="W6500" t="str">
        <f>VLOOKUP(Table_Query_from_Actuarial___Production[[#This Row],[Kor1]],$AI$3:$AK$105,3,FALSE)</f>
        <v>Premiums Written</v>
      </c>
      <c r="X6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500"/>
      <c r="Z6500" t="s">
        <v>10</v>
      </c>
      <c r="AA6500" t="s">
        <v>246</v>
      </c>
      <c r="AB6500" t="s">
        <v>442</v>
      </c>
      <c r="AC6500" s="21">
        <v>125012.54</v>
      </c>
      <c r="AD6500" s="21" t="s">
        <v>368</v>
      </c>
      <c r="AE6500" t="str">
        <f>VLOOKUP(Table_Query_from_Actuarial___Production3[[#This Row],[Kor1]],$AI$3:$AK$105,3,FALSE)</f>
        <v>Commissions</v>
      </c>
      <c r="AF6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1" spans="18:32" x14ac:dyDescent="0.2">
      <c r="R6501" t="s">
        <v>17</v>
      </c>
      <c r="S6501" t="s">
        <v>4</v>
      </c>
      <c r="T6501" t="s">
        <v>351</v>
      </c>
      <c r="U6501" s="21">
        <v>9163</v>
      </c>
      <c r="V6501" s="21" t="s">
        <v>368</v>
      </c>
      <c r="W6501" t="str">
        <f>VLOOKUP(Table_Query_from_Actuarial___Production[[#This Row],[Kor1]],$AI$3:$AK$105,3,FALSE)</f>
        <v>IBNR</v>
      </c>
      <c r="X6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1"/>
      <c r="Z6501" t="s">
        <v>11</v>
      </c>
      <c r="AA6501" t="s">
        <v>243</v>
      </c>
      <c r="AB6501" t="s">
        <v>9</v>
      </c>
      <c r="AC6501" s="21">
        <v>85151.39</v>
      </c>
      <c r="AD6501" s="21" t="s">
        <v>368</v>
      </c>
      <c r="AE6501" t="str">
        <f>VLOOKUP(Table_Query_from_Actuarial___Production3[[#This Row],[Kor1]],$AI$3:$AK$105,3,FALSE)</f>
        <v>Losses Paid</v>
      </c>
      <c r="AF6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2" spans="18:32" x14ac:dyDescent="0.2">
      <c r="R6502" t="s">
        <v>13</v>
      </c>
      <c r="S6502" t="s">
        <v>233</v>
      </c>
      <c r="T6502" t="s">
        <v>441</v>
      </c>
      <c r="U6502" s="21">
        <v>180471.51</v>
      </c>
      <c r="V6502" s="21" t="s">
        <v>368</v>
      </c>
      <c r="W6502" t="str">
        <f>VLOOKUP(Table_Query_from_Actuarial___Production[[#This Row],[Kor1]],$AI$3:$AK$105,3,FALSE)</f>
        <v>Operating Service Fees</v>
      </c>
      <c r="X6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2"/>
      <c r="Z6502" t="s">
        <v>20</v>
      </c>
      <c r="AA6502" t="s">
        <v>232</v>
      </c>
      <c r="AB6502" t="s">
        <v>427</v>
      </c>
      <c r="AC6502" s="21">
        <v>344.11</v>
      </c>
      <c r="AD6502" s="21" t="s">
        <v>368</v>
      </c>
      <c r="AE6502" t="str">
        <f>VLOOKUP(Table_Query_from_Actuarial___Production3[[#This Row],[Kor1]],$AI$3:$AK$105,3,FALSE)</f>
        <v>Misc. Expense</v>
      </c>
      <c r="AF6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3" spans="18:32" x14ac:dyDescent="0.2">
      <c r="R6503" t="s">
        <v>33</v>
      </c>
      <c r="S6503" t="s">
        <v>238</v>
      </c>
      <c r="T6503" t="s">
        <v>427</v>
      </c>
      <c r="U6503" s="21">
        <v>10648.78</v>
      </c>
      <c r="V6503" s="21" t="s">
        <v>368</v>
      </c>
      <c r="W6503" t="str">
        <f>VLOOKUP(Table_Query_from_Actuarial___Production[[#This Row],[Kor1]],$AI$3:$AK$105,3,FALSE)</f>
        <v>Misc. Expense</v>
      </c>
      <c r="X6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3"/>
      <c r="Z6503" t="s">
        <v>21</v>
      </c>
      <c r="AA6503" t="s">
        <v>246</v>
      </c>
      <c r="AB6503" t="s">
        <v>351</v>
      </c>
      <c r="AC6503" s="21">
        <v>892.47</v>
      </c>
      <c r="AD6503" s="21" t="s">
        <v>368</v>
      </c>
      <c r="AE6503" t="str">
        <f>VLOOKUP(Table_Query_from_Actuarial___Production3[[#This Row],[Kor1]],$AI$3:$AK$105,3,FALSE)</f>
        <v>Misc. Expense</v>
      </c>
      <c r="AF6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4" spans="18:32" x14ac:dyDescent="0.2">
      <c r="R6504" t="s">
        <v>44</v>
      </c>
      <c r="S6504" t="s">
        <v>252</v>
      </c>
      <c r="T6504" t="s">
        <v>351</v>
      </c>
      <c r="U6504" s="21">
        <v>301015.74</v>
      </c>
      <c r="V6504" s="21" t="s">
        <v>368</v>
      </c>
      <c r="W6504" t="str">
        <f>VLOOKUP(Table_Query_from_Actuarial___Production[[#This Row],[Kor1]],$AI$3:$AK$105,3,FALSE)</f>
        <v>Charge-offs</v>
      </c>
      <c r="X6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4"/>
      <c r="Z6504" t="s">
        <v>50</v>
      </c>
      <c r="AA6504" t="s">
        <v>238</v>
      </c>
      <c r="AB6504" t="s">
        <v>433</v>
      </c>
      <c r="AC6504" s="21">
        <v>13868.6</v>
      </c>
      <c r="AD6504" s="21" t="s">
        <v>368</v>
      </c>
      <c r="AE6504" t="str">
        <f>VLOOKUP(Table_Query_from_Actuarial___Production3[[#This Row],[Kor1]],$AI$3:$AK$105,3,FALSE)</f>
        <v>ALAE Reserve</v>
      </c>
      <c r="AF6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5" spans="18:32" x14ac:dyDescent="0.2">
      <c r="R6505" t="s">
        <v>14</v>
      </c>
      <c r="S6505" t="s">
        <v>248</v>
      </c>
      <c r="T6505" t="s">
        <v>7</v>
      </c>
      <c r="U6505" s="21">
        <v>3735.57</v>
      </c>
      <c r="V6505" s="21" t="s">
        <v>368</v>
      </c>
      <c r="W6505" t="str">
        <f>VLOOKUP(Table_Query_from_Actuarial___Production[[#This Row],[Kor1]],$AI$3:$AK$105,3,FALSE)</f>
        <v>Claims Expense</v>
      </c>
      <c r="X6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5"/>
      <c r="Z6505" t="s">
        <v>3</v>
      </c>
      <c r="AA6505" t="s">
        <v>354</v>
      </c>
      <c r="AB6505" t="s">
        <v>433</v>
      </c>
      <c r="AC6505" s="21">
        <v>123040823.44</v>
      </c>
      <c r="AD6505" s="21" t="s">
        <v>368</v>
      </c>
      <c r="AE6505" t="str">
        <f>VLOOKUP(Table_Query_from_Actuarial___Production3[[#This Row],[Kor1]],$AI$3:$AK$105,3,FALSE)</f>
        <v>Premiums Written</v>
      </c>
      <c r="AF6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506" spans="18:32" x14ac:dyDescent="0.2">
      <c r="R6506" t="s">
        <v>38</v>
      </c>
      <c r="S6506" t="s">
        <v>224</v>
      </c>
      <c r="T6506" t="s">
        <v>6</v>
      </c>
      <c r="U6506" s="21">
        <v>5880</v>
      </c>
      <c r="V6506" s="21" t="s">
        <v>369</v>
      </c>
      <c r="W6506" t="str">
        <f>VLOOKUP(Table_Query_from_Actuarial___Production[[#This Row],[Kor1]],$AI$3:$AK$105,3,FALSE)</f>
        <v>Misc. Income</v>
      </c>
      <c r="X6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506"/>
      <c r="Z6506" t="s">
        <v>17</v>
      </c>
      <c r="AA6506" t="s">
        <v>4</v>
      </c>
      <c r="AB6506" t="s">
        <v>351</v>
      </c>
      <c r="AC6506" s="21">
        <v>173491</v>
      </c>
      <c r="AD6506" s="21" t="s">
        <v>368</v>
      </c>
      <c r="AE6506" t="str">
        <f>VLOOKUP(Table_Query_from_Actuarial___Production3[[#This Row],[Kor1]],$AI$3:$AK$105,3,FALSE)</f>
        <v>IBNR</v>
      </c>
      <c r="AF6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7" spans="18:32" x14ac:dyDescent="0.2">
      <c r="R6507" t="s">
        <v>144</v>
      </c>
      <c r="S6507" t="s">
        <v>224</v>
      </c>
      <c r="T6507" t="s">
        <v>433</v>
      </c>
      <c r="U6507" s="21">
        <v>-4100</v>
      </c>
      <c r="V6507" s="21" t="s">
        <v>368</v>
      </c>
      <c r="W6507" t="str">
        <f>VLOOKUP(Table_Query_from_Actuarial___Production[[#This Row],[Kor1]],$AI$3:$AK$105,3,FALSE)</f>
        <v>Claims Expense</v>
      </c>
      <c r="X6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507"/>
      <c r="Z6507" t="s">
        <v>13</v>
      </c>
      <c r="AA6507" t="s">
        <v>233</v>
      </c>
      <c r="AB6507" t="s">
        <v>441</v>
      </c>
      <c r="AC6507" s="21">
        <v>180471.51</v>
      </c>
      <c r="AD6507" s="21" t="s">
        <v>368</v>
      </c>
      <c r="AE6507" t="str">
        <f>VLOOKUP(Table_Query_from_Actuarial___Production3[[#This Row],[Kor1]],$AI$3:$AK$105,3,FALSE)</f>
        <v>Operating Service Fees</v>
      </c>
      <c r="AF6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8" spans="18:32" x14ac:dyDescent="0.2">
      <c r="R6508" t="s">
        <v>33</v>
      </c>
      <c r="S6508" t="s">
        <v>247</v>
      </c>
      <c r="T6508" t="s">
        <v>351</v>
      </c>
      <c r="U6508" s="21">
        <v>15296.06</v>
      </c>
      <c r="V6508" s="21" t="s">
        <v>368</v>
      </c>
      <c r="W6508" t="str">
        <f>VLOOKUP(Table_Query_from_Actuarial___Production[[#This Row],[Kor1]],$AI$3:$AK$105,3,FALSE)</f>
        <v>Misc. Expense</v>
      </c>
      <c r="X6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8"/>
      <c r="Z6508" t="s">
        <v>33</v>
      </c>
      <c r="AA6508" t="s">
        <v>238</v>
      </c>
      <c r="AB6508" t="s">
        <v>427</v>
      </c>
      <c r="AC6508" s="21">
        <v>10648.78</v>
      </c>
      <c r="AD6508" s="21" t="s">
        <v>368</v>
      </c>
      <c r="AE6508" t="str">
        <f>VLOOKUP(Table_Query_from_Actuarial___Production3[[#This Row],[Kor1]],$AI$3:$AK$105,3,FALSE)</f>
        <v>Misc. Expense</v>
      </c>
      <c r="AF6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09" spans="18:32" x14ac:dyDescent="0.2">
      <c r="R6509" t="s">
        <v>48</v>
      </c>
      <c r="S6509" t="s">
        <v>268</v>
      </c>
      <c r="T6509" t="s">
        <v>441</v>
      </c>
      <c r="U6509" s="21">
        <v>84.45</v>
      </c>
      <c r="V6509" s="21" t="s">
        <v>368</v>
      </c>
      <c r="W6509" t="str">
        <f>VLOOKUP(Table_Query_from_Actuarial___Production[[#This Row],[Kor1]],$AI$3:$AK$105,3,FALSE)</f>
        <v>Anticipated Salvage</v>
      </c>
      <c r="X6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09"/>
      <c r="Z6509" t="s">
        <v>44</v>
      </c>
      <c r="AA6509" t="s">
        <v>252</v>
      </c>
      <c r="AB6509" t="s">
        <v>351</v>
      </c>
      <c r="AC6509" s="21">
        <v>301015.74</v>
      </c>
      <c r="AD6509" s="21" t="s">
        <v>368</v>
      </c>
      <c r="AE6509" t="str">
        <f>VLOOKUP(Table_Query_from_Actuarial___Production3[[#This Row],[Kor1]],$AI$3:$AK$105,3,FALSE)</f>
        <v>Charge-offs</v>
      </c>
      <c r="AF6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0" spans="18:32" x14ac:dyDescent="0.2">
      <c r="R6510" t="s">
        <v>14</v>
      </c>
      <c r="S6510" t="s">
        <v>255</v>
      </c>
      <c r="T6510" t="s">
        <v>427</v>
      </c>
      <c r="U6510" s="21">
        <v>17992.259999999998</v>
      </c>
      <c r="V6510" s="21" t="s">
        <v>368</v>
      </c>
      <c r="W6510" t="str">
        <f>VLOOKUP(Table_Query_from_Actuarial___Production[[#This Row],[Kor1]],$AI$3:$AK$105,3,FALSE)</f>
        <v>Claims Expense</v>
      </c>
      <c r="X6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0"/>
      <c r="Z6510" t="s">
        <v>14</v>
      </c>
      <c r="AA6510" t="s">
        <v>248</v>
      </c>
      <c r="AB6510" t="s">
        <v>7</v>
      </c>
      <c r="AC6510" s="21">
        <v>3735.57</v>
      </c>
      <c r="AD6510" s="21" t="s">
        <v>368</v>
      </c>
      <c r="AE6510" t="str">
        <f>VLOOKUP(Table_Query_from_Actuarial___Production3[[#This Row],[Kor1]],$AI$3:$AK$105,3,FALSE)</f>
        <v>Claims Expense</v>
      </c>
      <c r="AF6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1" spans="18:32" x14ac:dyDescent="0.2">
      <c r="R6511" t="s">
        <v>34</v>
      </c>
      <c r="S6511" t="s">
        <v>258</v>
      </c>
      <c r="T6511" t="s">
        <v>433</v>
      </c>
      <c r="U6511" s="21">
        <v>129.21</v>
      </c>
      <c r="V6511" s="21" t="s">
        <v>368</v>
      </c>
      <c r="W6511" t="str">
        <f>VLOOKUP(Table_Query_from_Actuarial___Production[[#This Row],[Kor1]],$AI$3:$AK$105,3,FALSE)</f>
        <v>Misc. Expense</v>
      </c>
      <c r="X6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1"/>
      <c r="Z6511" t="s">
        <v>38</v>
      </c>
      <c r="AA6511" t="s">
        <v>224</v>
      </c>
      <c r="AB6511" t="s">
        <v>6</v>
      </c>
      <c r="AC6511" s="21">
        <v>5880</v>
      </c>
      <c r="AD6511" s="21" t="s">
        <v>369</v>
      </c>
      <c r="AE6511" t="str">
        <f>VLOOKUP(Table_Query_from_Actuarial___Production3[[#This Row],[Kor1]],$AI$3:$AK$105,3,FALSE)</f>
        <v>Misc. Income</v>
      </c>
      <c r="AF6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512" spans="18:32" x14ac:dyDescent="0.2">
      <c r="R6512" t="s">
        <v>10</v>
      </c>
      <c r="S6512" t="s">
        <v>225</v>
      </c>
      <c r="T6512" t="s">
        <v>445</v>
      </c>
      <c r="U6512" s="21">
        <v>29855.599999999999</v>
      </c>
      <c r="V6512" s="21" t="s">
        <v>368</v>
      </c>
      <c r="W6512" t="str">
        <f>VLOOKUP(Table_Query_from_Actuarial___Production[[#This Row],[Kor1]],$AI$3:$AK$105,3,FALSE)</f>
        <v>Commissions</v>
      </c>
      <c r="X6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512"/>
      <c r="Z6512" t="s">
        <v>43</v>
      </c>
      <c r="AA6512" t="s">
        <v>241</v>
      </c>
      <c r="AB6512" t="s">
        <v>5</v>
      </c>
      <c r="AC6512" s="21">
        <v>1713.96</v>
      </c>
      <c r="AD6512" s="21" t="s">
        <v>368</v>
      </c>
      <c r="AE6512" t="str">
        <f>VLOOKUP(Table_Query_from_Actuarial___Production3[[#This Row],[Kor1]],$AI$3:$AK$105,3,FALSE)</f>
        <v>Charge-offs</v>
      </c>
      <c r="AF6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3" spans="18:32" x14ac:dyDescent="0.2">
      <c r="R6513" t="s">
        <v>77</v>
      </c>
      <c r="S6513" t="s">
        <v>241</v>
      </c>
      <c r="T6513" t="s">
        <v>445</v>
      </c>
      <c r="U6513" s="21">
        <v>10766</v>
      </c>
      <c r="V6513" s="21" t="s">
        <v>368</v>
      </c>
      <c r="W6513" t="str">
        <f>VLOOKUP(Table_Query_from_Actuarial___Production[[#This Row],[Kor1]],$AI$3:$AK$105,3,FALSE)</f>
        <v>PDR</v>
      </c>
      <c r="X6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3"/>
      <c r="Z6513" t="s">
        <v>144</v>
      </c>
      <c r="AA6513" t="s">
        <v>224</v>
      </c>
      <c r="AB6513" t="s">
        <v>433</v>
      </c>
      <c r="AC6513" s="21">
        <v>-36600</v>
      </c>
      <c r="AD6513" s="21" t="s">
        <v>368</v>
      </c>
      <c r="AE6513" t="str">
        <f>VLOOKUP(Table_Query_from_Actuarial___Production3[[#This Row],[Kor1]],$AI$3:$AK$105,3,FALSE)</f>
        <v>Claims Expense</v>
      </c>
      <c r="AF6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514" spans="18:32" x14ac:dyDescent="0.2">
      <c r="R6514" t="s">
        <v>14</v>
      </c>
      <c r="S6514" t="s">
        <v>224</v>
      </c>
      <c r="T6514" t="s">
        <v>356</v>
      </c>
      <c r="U6514" s="21">
        <v>199479.36</v>
      </c>
      <c r="V6514" s="21" t="s">
        <v>370</v>
      </c>
      <c r="W6514" t="str">
        <f>VLOOKUP(Table_Query_from_Actuarial___Production[[#This Row],[Kor1]],$AI$3:$AK$105,3,FALSE)</f>
        <v>Claims Expense</v>
      </c>
      <c r="X6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514"/>
      <c r="Z6514" t="s">
        <v>33</v>
      </c>
      <c r="AA6514" t="s">
        <v>247</v>
      </c>
      <c r="AB6514" t="s">
        <v>351</v>
      </c>
      <c r="AC6514" s="21">
        <v>15296.06</v>
      </c>
      <c r="AD6514" s="21" t="s">
        <v>368</v>
      </c>
      <c r="AE6514" t="str">
        <f>VLOOKUP(Table_Query_from_Actuarial___Production3[[#This Row],[Kor1]],$AI$3:$AK$105,3,FALSE)</f>
        <v>Misc. Expense</v>
      </c>
      <c r="AF6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5" spans="18:32" x14ac:dyDescent="0.2">
      <c r="R6515" t="s">
        <v>25</v>
      </c>
      <c r="S6515" t="s">
        <v>250</v>
      </c>
      <c r="T6515" t="s">
        <v>7</v>
      </c>
      <c r="U6515" s="21">
        <v>4780.6899999999996</v>
      </c>
      <c r="V6515" s="21" t="s">
        <v>368</v>
      </c>
      <c r="W6515" t="str">
        <f>VLOOKUP(Table_Query_from_Actuarial___Production[[#This Row],[Kor1]],$AI$3:$AK$105,3,FALSE)</f>
        <v>Misc. Expense</v>
      </c>
      <c r="X6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5"/>
      <c r="Z6515" t="s">
        <v>48</v>
      </c>
      <c r="AA6515" t="s">
        <v>268</v>
      </c>
      <c r="AB6515" t="s">
        <v>441</v>
      </c>
      <c r="AC6515" s="21">
        <v>273.41000000000003</v>
      </c>
      <c r="AD6515" s="21" t="s">
        <v>368</v>
      </c>
      <c r="AE6515" t="str">
        <f>VLOOKUP(Table_Query_from_Actuarial___Production3[[#This Row],[Kor1]],$AI$3:$AK$105,3,FALSE)</f>
        <v>Anticipated Salvage</v>
      </c>
      <c r="AF6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6" spans="18:32" x14ac:dyDescent="0.2">
      <c r="R6516" t="s">
        <v>31</v>
      </c>
      <c r="S6516" t="s">
        <v>244</v>
      </c>
      <c r="T6516" t="s">
        <v>427</v>
      </c>
      <c r="U6516" s="21">
        <v>536.95000000000005</v>
      </c>
      <c r="V6516" s="21" t="s">
        <v>368</v>
      </c>
      <c r="W6516" t="str">
        <f>VLOOKUP(Table_Query_from_Actuarial___Production[[#This Row],[Kor1]],$AI$3:$AK$105,3,FALSE)</f>
        <v>Misc. Expense</v>
      </c>
      <c r="X6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6"/>
      <c r="Z6516" t="s">
        <v>14</v>
      </c>
      <c r="AA6516" t="s">
        <v>255</v>
      </c>
      <c r="AB6516" t="s">
        <v>427</v>
      </c>
      <c r="AC6516" s="21">
        <v>17992.259999999998</v>
      </c>
      <c r="AD6516" s="21" t="s">
        <v>368</v>
      </c>
      <c r="AE6516" t="str">
        <f>VLOOKUP(Table_Query_from_Actuarial___Production3[[#This Row],[Kor1]],$AI$3:$AK$105,3,FALSE)</f>
        <v>Claims Expense</v>
      </c>
      <c r="AF6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7" spans="18:32" x14ac:dyDescent="0.2">
      <c r="R6517" t="s">
        <v>13</v>
      </c>
      <c r="S6517" t="s">
        <v>266</v>
      </c>
      <c r="T6517" t="s">
        <v>442</v>
      </c>
      <c r="U6517" s="21">
        <v>224158.05</v>
      </c>
      <c r="V6517" s="21" t="s">
        <v>368</v>
      </c>
      <c r="W6517" t="str">
        <f>VLOOKUP(Table_Query_from_Actuarial___Production[[#This Row],[Kor1]],$AI$3:$AK$105,3,FALSE)</f>
        <v>Operating Service Fees</v>
      </c>
      <c r="X6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7"/>
      <c r="Z6517" t="s">
        <v>48</v>
      </c>
      <c r="AA6517" t="s">
        <v>224</v>
      </c>
      <c r="AB6517" t="s">
        <v>356</v>
      </c>
      <c r="AC6517" s="21">
        <v>7795.62</v>
      </c>
      <c r="AD6517" s="21" t="s">
        <v>368</v>
      </c>
      <c r="AE6517" t="str">
        <f>VLOOKUP(Table_Query_from_Actuarial___Production3[[#This Row],[Kor1]],$AI$3:$AK$105,3,FALSE)</f>
        <v>Anticipated Salvage</v>
      </c>
      <c r="AF6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518" spans="18:32" x14ac:dyDescent="0.2">
      <c r="R6518" t="s">
        <v>17</v>
      </c>
      <c r="S6518" t="s">
        <v>246</v>
      </c>
      <c r="T6518" t="s">
        <v>445</v>
      </c>
      <c r="U6518" s="21">
        <v>24466.94</v>
      </c>
      <c r="V6518" s="21" t="s">
        <v>368</v>
      </c>
      <c r="W6518" t="str">
        <f>VLOOKUP(Table_Query_from_Actuarial___Production[[#This Row],[Kor1]],$AI$3:$AK$105,3,FALSE)</f>
        <v>IBNR</v>
      </c>
      <c r="X6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8"/>
      <c r="Z6518" t="s">
        <v>34</v>
      </c>
      <c r="AA6518" t="s">
        <v>258</v>
      </c>
      <c r="AB6518" t="s">
        <v>433</v>
      </c>
      <c r="AC6518" s="21">
        <v>129.21</v>
      </c>
      <c r="AD6518" s="21" t="s">
        <v>368</v>
      </c>
      <c r="AE6518" t="str">
        <f>VLOOKUP(Table_Query_from_Actuarial___Production3[[#This Row],[Kor1]],$AI$3:$AK$105,3,FALSE)</f>
        <v>Misc. Expense</v>
      </c>
      <c r="AF6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19" spans="18:32" x14ac:dyDescent="0.2">
      <c r="R6519" t="s">
        <v>11</v>
      </c>
      <c r="S6519" t="s">
        <v>4</v>
      </c>
      <c r="T6519" t="s">
        <v>8</v>
      </c>
      <c r="U6519" s="21">
        <v>14511237.779999999</v>
      </c>
      <c r="V6519" s="21" t="s">
        <v>368</v>
      </c>
      <c r="W6519" t="str">
        <f>VLOOKUP(Table_Query_from_Actuarial___Production[[#This Row],[Kor1]],$AI$3:$AK$105,3,FALSE)</f>
        <v>Losses Paid</v>
      </c>
      <c r="X6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19"/>
      <c r="Z6519" t="s">
        <v>14</v>
      </c>
      <c r="AA6519" t="s">
        <v>224</v>
      </c>
      <c r="AB6519" t="s">
        <v>356</v>
      </c>
      <c r="AC6519" s="21">
        <v>199479.36</v>
      </c>
      <c r="AD6519" s="21" t="s">
        <v>370</v>
      </c>
      <c r="AE6519" t="str">
        <f>VLOOKUP(Table_Query_from_Actuarial___Production3[[#This Row],[Kor1]],$AI$3:$AK$105,3,FALSE)</f>
        <v>Claims Expense</v>
      </c>
      <c r="AF6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520" spans="18:32" x14ac:dyDescent="0.2">
      <c r="R6520" t="s">
        <v>31</v>
      </c>
      <c r="S6520" t="s">
        <v>260</v>
      </c>
      <c r="T6520" t="s">
        <v>441</v>
      </c>
      <c r="U6520" s="21">
        <v>736.17</v>
      </c>
      <c r="V6520" s="21" t="s">
        <v>368</v>
      </c>
      <c r="W6520" t="str">
        <f>VLOOKUP(Table_Query_from_Actuarial___Production[[#This Row],[Kor1]],$AI$3:$AK$105,3,FALSE)</f>
        <v>Misc. Expense</v>
      </c>
      <c r="X6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0"/>
      <c r="Z6520" t="s">
        <v>10</v>
      </c>
      <c r="AA6520" t="s">
        <v>255</v>
      </c>
      <c r="AB6520" t="s">
        <v>5</v>
      </c>
      <c r="AC6520" s="21">
        <v>15750.95</v>
      </c>
      <c r="AD6520" s="21" t="s">
        <v>368</v>
      </c>
      <c r="AE6520" t="str">
        <f>VLOOKUP(Table_Query_from_Actuarial___Production3[[#This Row],[Kor1]],$AI$3:$AK$105,3,FALSE)</f>
        <v>Commissions</v>
      </c>
      <c r="AF6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1" spans="18:32" x14ac:dyDescent="0.2">
      <c r="R6521" t="s">
        <v>37</v>
      </c>
      <c r="S6521" t="s">
        <v>233</v>
      </c>
      <c r="T6521" t="s">
        <v>443</v>
      </c>
      <c r="U6521" s="21">
        <v>378.05</v>
      </c>
      <c r="V6521" s="21" t="s">
        <v>368</v>
      </c>
      <c r="W6521" t="str">
        <f>VLOOKUP(Table_Query_from_Actuarial___Production[[#This Row],[Kor1]],$AI$3:$AK$105,3,FALSE)</f>
        <v>Misc. Expense</v>
      </c>
      <c r="X6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1"/>
      <c r="Z6521" t="s">
        <v>25</v>
      </c>
      <c r="AA6521" t="s">
        <v>250</v>
      </c>
      <c r="AB6521" t="s">
        <v>7</v>
      </c>
      <c r="AC6521" s="21">
        <v>4780.6899999999996</v>
      </c>
      <c r="AD6521" s="21" t="s">
        <v>368</v>
      </c>
      <c r="AE6521" t="str">
        <f>VLOOKUP(Table_Query_from_Actuarial___Production3[[#This Row],[Kor1]],$AI$3:$AK$105,3,FALSE)</f>
        <v>Misc. Expense</v>
      </c>
      <c r="AF6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2" spans="18:32" x14ac:dyDescent="0.2">
      <c r="R6522" t="s">
        <v>40</v>
      </c>
      <c r="S6522" t="s">
        <v>246</v>
      </c>
      <c r="T6522" t="s">
        <v>433</v>
      </c>
      <c r="U6522" s="21">
        <v>4.9800000000000004</v>
      </c>
      <c r="V6522" s="21" t="s">
        <v>368</v>
      </c>
      <c r="W6522" t="str">
        <f>VLOOKUP(Table_Query_from_Actuarial___Production[[#This Row],[Kor1]],$AI$3:$AK$105,3,FALSE)</f>
        <v>Misc. Income</v>
      </c>
      <c r="X6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2"/>
      <c r="Z6522" t="s">
        <v>31</v>
      </c>
      <c r="AA6522" t="s">
        <v>244</v>
      </c>
      <c r="AB6522" t="s">
        <v>427</v>
      </c>
      <c r="AC6522" s="21">
        <v>536.95000000000005</v>
      </c>
      <c r="AD6522" s="21" t="s">
        <v>368</v>
      </c>
      <c r="AE6522" t="str">
        <f>VLOOKUP(Table_Query_from_Actuarial___Production3[[#This Row],[Kor1]],$AI$3:$AK$105,3,FALSE)</f>
        <v>Misc. Expense</v>
      </c>
      <c r="AF6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3" spans="18:32" x14ac:dyDescent="0.2">
      <c r="R6523" t="s">
        <v>31</v>
      </c>
      <c r="S6523" t="s">
        <v>238</v>
      </c>
      <c r="T6523" t="s">
        <v>433</v>
      </c>
      <c r="U6523" s="21">
        <v>861.16</v>
      </c>
      <c r="V6523" s="21" t="s">
        <v>368</v>
      </c>
      <c r="W6523" t="str">
        <f>VLOOKUP(Table_Query_from_Actuarial___Production[[#This Row],[Kor1]],$AI$3:$AK$105,3,FALSE)</f>
        <v>Misc. Expense</v>
      </c>
      <c r="X6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3"/>
      <c r="Z6523" t="s">
        <v>13</v>
      </c>
      <c r="AA6523" t="s">
        <v>266</v>
      </c>
      <c r="AB6523" t="s">
        <v>442</v>
      </c>
      <c r="AC6523" s="21">
        <v>224037.27</v>
      </c>
      <c r="AD6523" s="21" t="s">
        <v>368</v>
      </c>
      <c r="AE6523" t="str">
        <f>VLOOKUP(Table_Query_from_Actuarial___Production3[[#This Row],[Kor1]],$AI$3:$AK$105,3,FALSE)</f>
        <v>Operating Service Fees</v>
      </c>
      <c r="AF6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4" spans="18:32" x14ac:dyDescent="0.2">
      <c r="R6524" t="s">
        <v>33</v>
      </c>
      <c r="S6524" t="s">
        <v>252</v>
      </c>
      <c r="T6524" t="s">
        <v>7</v>
      </c>
      <c r="U6524" s="21">
        <v>19357.080000000002</v>
      </c>
      <c r="V6524" s="21" t="s">
        <v>368</v>
      </c>
      <c r="W6524" t="str">
        <f>VLOOKUP(Table_Query_from_Actuarial___Production[[#This Row],[Kor1]],$AI$3:$AK$105,3,FALSE)</f>
        <v>Misc. Expense</v>
      </c>
      <c r="X6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4"/>
      <c r="Z6524" t="s">
        <v>16</v>
      </c>
      <c r="AA6524" t="s">
        <v>243</v>
      </c>
      <c r="AB6524" t="s">
        <v>441</v>
      </c>
      <c r="AC6524" s="21">
        <v>11091.76</v>
      </c>
      <c r="AD6524" s="21" t="s">
        <v>368</v>
      </c>
      <c r="AE6524" t="str">
        <f>VLOOKUP(Table_Query_from_Actuarial___Production3[[#This Row],[Kor1]],$AI$3:$AK$105,3,FALSE)</f>
        <v>Losses Outstanding</v>
      </c>
      <c r="AF6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5" spans="18:32" x14ac:dyDescent="0.2">
      <c r="R6525" t="s">
        <v>3</v>
      </c>
      <c r="S6525" t="s">
        <v>227</v>
      </c>
      <c r="T6525" t="s">
        <v>8</v>
      </c>
      <c r="U6525" s="21">
        <v>24849</v>
      </c>
      <c r="V6525" s="21" t="s">
        <v>368</v>
      </c>
      <c r="W6525" t="str">
        <f>VLOOKUP(Table_Query_from_Actuarial___Production[[#This Row],[Kor1]],$AI$3:$AK$105,3,FALSE)</f>
        <v>Premiums Written</v>
      </c>
      <c r="X6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5"/>
      <c r="Z6525" t="s">
        <v>11</v>
      </c>
      <c r="AA6525" t="s">
        <v>4</v>
      </c>
      <c r="AB6525" t="s">
        <v>8</v>
      </c>
      <c r="AC6525" s="21">
        <v>14491250.619999999</v>
      </c>
      <c r="AD6525" s="21" t="s">
        <v>368</v>
      </c>
      <c r="AE6525" t="str">
        <f>VLOOKUP(Table_Query_from_Actuarial___Production3[[#This Row],[Kor1]],$AI$3:$AK$105,3,FALSE)</f>
        <v>Losses Paid</v>
      </c>
      <c r="AF6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6" spans="18:32" x14ac:dyDescent="0.2">
      <c r="R6526" t="s">
        <v>13</v>
      </c>
      <c r="S6526" t="s">
        <v>229</v>
      </c>
      <c r="T6526" t="s">
        <v>442</v>
      </c>
      <c r="U6526" s="21">
        <v>17275.23</v>
      </c>
      <c r="V6526" s="21" t="s">
        <v>368</v>
      </c>
      <c r="W6526" t="str">
        <f>VLOOKUP(Table_Query_from_Actuarial___Production[[#This Row],[Kor1]],$AI$3:$AK$105,3,FALSE)</f>
        <v>Operating Service Fees</v>
      </c>
      <c r="X6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6"/>
      <c r="Z6526" t="s">
        <v>31</v>
      </c>
      <c r="AA6526" t="s">
        <v>260</v>
      </c>
      <c r="AB6526" t="s">
        <v>441</v>
      </c>
      <c r="AC6526" s="21">
        <v>736.17</v>
      </c>
      <c r="AD6526" s="21" t="s">
        <v>368</v>
      </c>
      <c r="AE6526" t="str">
        <f>VLOOKUP(Table_Query_from_Actuarial___Production3[[#This Row],[Kor1]],$AI$3:$AK$105,3,FALSE)</f>
        <v>Misc. Expense</v>
      </c>
      <c r="AF6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7" spans="18:32" x14ac:dyDescent="0.2">
      <c r="R6527" t="s">
        <v>38</v>
      </c>
      <c r="S6527" t="s">
        <v>226</v>
      </c>
      <c r="T6527" t="s">
        <v>356</v>
      </c>
      <c r="U6527" s="21">
        <v>2192.11</v>
      </c>
      <c r="V6527" s="21" t="s">
        <v>368</v>
      </c>
      <c r="W6527" t="str">
        <f>VLOOKUP(Table_Query_from_Actuarial___Production[[#This Row],[Kor1]],$AI$3:$AK$105,3,FALSE)</f>
        <v>Misc. Income</v>
      </c>
      <c r="X6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527"/>
      <c r="Z6527" t="s">
        <v>37</v>
      </c>
      <c r="AA6527" t="s">
        <v>233</v>
      </c>
      <c r="AB6527" t="s">
        <v>443</v>
      </c>
      <c r="AC6527" s="21">
        <v>59.42</v>
      </c>
      <c r="AD6527" s="21" t="s">
        <v>368</v>
      </c>
      <c r="AE6527" t="str">
        <f>VLOOKUP(Table_Query_from_Actuarial___Production3[[#This Row],[Kor1]],$AI$3:$AK$105,3,FALSE)</f>
        <v>Misc. Expense</v>
      </c>
      <c r="AF6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8" spans="18:32" x14ac:dyDescent="0.2">
      <c r="R6528" t="s">
        <v>43</v>
      </c>
      <c r="S6528" t="s">
        <v>265</v>
      </c>
      <c r="T6528" t="s">
        <v>9</v>
      </c>
      <c r="U6528" s="21">
        <v>942.26</v>
      </c>
      <c r="V6528" s="21" t="s">
        <v>368</v>
      </c>
      <c r="W6528" t="str">
        <f>VLOOKUP(Table_Query_from_Actuarial___Production[[#This Row],[Kor1]],$AI$3:$AK$105,3,FALSE)</f>
        <v>Charge-offs</v>
      </c>
      <c r="X6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8"/>
      <c r="Z6528" t="s">
        <v>40</v>
      </c>
      <c r="AA6528" t="s">
        <v>246</v>
      </c>
      <c r="AB6528" t="s">
        <v>433</v>
      </c>
      <c r="AC6528" s="21">
        <v>4.9800000000000004</v>
      </c>
      <c r="AD6528" s="21" t="s">
        <v>368</v>
      </c>
      <c r="AE6528" t="str">
        <f>VLOOKUP(Table_Query_from_Actuarial___Production3[[#This Row],[Kor1]],$AI$3:$AK$105,3,FALSE)</f>
        <v>Misc. Income</v>
      </c>
      <c r="AF6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29" spans="18:32" x14ac:dyDescent="0.2">
      <c r="R6529" t="s">
        <v>44</v>
      </c>
      <c r="S6529" t="s">
        <v>234</v>
      </c>
      <c r="T6529" t="s">
        <v>6</v>
      </c>
      <c r="U6529" s="21">
        <v>2014.2</v>
      </c>
      <c r="V6529" s="21" t="s">
        <v>368</v>
      </c>
      <c r="W6529" t="str">
        <f>VLOOKUP(Table_Query_from_Actuarial___Production[[#This Row],[Kor1]],$AI$3:$AK$105,3,FALSE)</f>
        <v>Charge-offs</v>
      </c>
      <c r="X6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29"/>
      <c r="Z6529" t="s">
        <v>31</v>
      </c>
      <c r="AA6529" t="s">
        <v>238</v>
      </c>
      <c r="AB6529" t="s">
        <v>433</v>
      </c>
      <c r="AC6529" s="21">
        <v>861.16</v>
      </c>
      <c r="AD6529" s="21" t="s">
        <v>368</v>
      </c>
      <c r="AE6529" t="str">
        <f>VLOOKUP(Table_Query_from_Actuarial___Production3[[#This Row],[Kor1]],$AI$3:$AK$105,3,FALSE)</f>
        <v>Misc. Expense</v>
      </c>
      <c r="AF6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0" spans="18:32" x14ac:dyDescent="0.2">
      <c r="R6530" t="s">
        <v>47</v>
      </c>
      <c r="S6530" t="s">
        <v>261</v>
      </c>
      <c r="T6530" t="s">
        <v>356</v>
      </c>
      <c r="U6530" s="21">
        <v>3027</v>
      </c>
      <c r="V6530" s="21" t="s">
        <v>368</v>
      </c>
      <c r="W6530" t="str">
        <f>VLOOKUP(Table_Query_from_Actuarial___Production[[#This Row],[Kor1]],$AI$3:$AK$105,3,FALSE)</f>
        <v>Investment Income</v>
      </c>
      <c r="X6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0"/>
      <c r="Z6530" t="s">
        <v>33</v>
      </c>
      <c r="AA6530" t="s">
        <v>252</v>
      </c>
      <c r="AB6530" t="s">
        <v>7</v>
      </c>
      <c r="AC6530" s="21">
        <v>19357.080000000002</v>
      </c>
      <c r="AD6530" s="21" t="s">
        <v>368</v>
      </c>
      <c r="AE6530" t="str">
        <f>VLOOKUP(Table_Query_from_Actuarial___Production3[[#This Row],[Kor1]],$AI$3:$AK$105,3,FALSE)</f>
        <v>Misc. Expense</v>
      </c>
      <c r="AF6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1" spans="18:32" x14ac:dyDescent="0.2">
      <c r="R6531" t="s">
        <v>3</v>
      </c>
      <c r="S6531" t="s">
        <v>229</v>
      </c>
      <c r="T6531" t="s">
        <v>427</v>
      </c>
      <c r="U6531" s="21">
        <v>144219</v>
      </c>
      <c r="V6531" s="21" t="s">
        <v>368</v>
      </c>
      <c r="W6531" t="str">
        <f>VLOOKUP(Table_Query_from_Actuarial___Production[[#This Row],[Kor1]],$AI$3:$AK$105,3,FALSE)</f>
        <v>Premiums Written</v>
      </c>
      <c r="X6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1"/>
      <c r="Z6531" t="s">
        <v>3</v>
      </c>
      <c r="AA6531" t="s">
        <v>227</v>
      </c>
      <c r="AB6531" t="s">
        <v>8</v>
      </c>
      <c r="AC6531" s="21">
        <v>24849</v>
      </c>
      <c r="AD6531" s="21" t="s">
        <v>368</v>
      </c>
      <c r="AE6531" t="str">
        <f>VLOOKUP(Table_Query_from_Actuarial___Production3[[#This Row],[Kor1]],$AI$3:$AK$105,3,FALSE)</f>
        <v>Premiums Written</v>
      </c>
      <c r="AF6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2" spans="18:32" x14ac:dyDescent="0.2">
      <c r="R6532" t="s">
        <v>11</v>
      </c>
      <c r="S6532" t="s">
        <v>232</v>
      </c>
      <c r="T6532" t="s">
        <v>7</v>
      </c>
      <c r="U6532" s="21">
        <v>575359.18999999994</v>
      </c>
      <c r="V6532" s="21" t="s">
        <v>368</v>
      </c>
      <c r="W6532" t="str">
        <f>VLOOKUP(Table_Query_from_Actuarial___Production[[#This Row],[Kor1]],$AI$3:$AK$105,3,FALSE)</f>
        <v>Losses Paid</v>
      </c>
      <c r="X6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2"/>
      <c r="Z6532" t="s">
        <v>13</v>
      </c>
      <c r="AA6532" t="s">
        <v>229</v>
      </c>
      <c r="AB6532" t="s">
        <v>442</v>
      </c>
      <c r="AC6532" s="21">
        <v>16143.75</v>
      </c>
      <c r="AD6532" s="21" t="s">
        <v>368</v>
      </c>
      <c r="AE6532" t="str">
        <f>VLOOKUP(Table_Query_from_Actuarial___Production3[[#This Row],[Kor1]],$AI$3:$AK$105,3,FALSE)</f>
        <v>Operating Service Fees</v>
      </c>
      <c r="AF6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3" spans="18:32" x14ac:dyDescent="0.2">
      <c r="R6533" t="s">
        <v>41</v>
      </c>
      <c r="S6533" t="s">
        <v>239</v>
      </c>
      <c r="T6533" t="s">
        <v>8</v>
      </c>
      <c r="U6533" s="21">
        <v>250</v>
      </c>
      <c r="V6533" s="21" t="s">
        <v>368</v>
      </c>
      <c r="W6533" t="str">
        <f>VLOOKUP(Table_Query_from_Actuarial___Production[[#This Row],[Kor1]],$AI$3:$AK$105,3,FALSE)</f>
        <v>Misc. Income</v>
      </c>
      <c r="X6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3"/>
      <c r="Z6533" t="s">
        <v>38</v>
      </c>
      <c r="AA6533" t="s">
        <v>226</v>
      </c>
      <c r="AB6533" t="s">
        <v>356</v>
      </c>
      <c r="AC6533" s="21">
        <v>2192.11</v>
      </c>
      <c r="AD6533" s="21" t="s">
        <v>368</v>
      </c>
      <c r="AE6533" t="str">
        <f>VLOOKUP(Table_Query_from_Actuarial___Production3[[#This Row],[Kor1]],$AI$3:$AK$105,3,FALSE)</f>
        <v>Misc. Income</v>
      </c>
      <c r="AF6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534" spans="18:32" x14ac:dyDescent="0.2">
      <c r="R6534" t="s">
        <v>3</v>
      </c>
      <c r="S6534" t="s">
        <v>250</v>
      </c>
      <c r="T6534" t="s">
        <v>445</v>
      </c>
      <c r="U6534" s="21">
        <v>527173</v>
      </c>
      <c r="V6534" s="21" t="s">
        <v>368</v>
      </c>
      <c r="W6534" t="str">
        <f>VLOOKUP(Table_Query_from_Actuarial___Production[[#This Row],[Kor1]],$AI$3:$AK$105,3,FALSE)</f>
        <v>Premiums Written</v>
      </c>
      <c r="X6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4"/>
      <c r="Z6534" t="s">
        <v>43</v>
      </c>
      <c r="AA6534" t="s">
        <v>265</v>
      </c>
      <c r="AB6534" t="s">
        <v>9</v>
      </c>
      <c r="AC6534" s="21">
        <v>942.26</v>
      </c>
      <c r="AD6534" s="21" t="s">
        <v>368</v>
      </c>
      <c r="AE6534" t="str">
        <f>VLOOKUP(Table_Query_from_Actuarial___Production3[[#This Row],[Kor1]],$AI$3:$AK$105,3,FALSE)</f>
        <v>Charge-offs</v>
      </c>
      <c r="AF6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5" spans="18:32" x14ac:dyDescent="0.2">
      <c r="R6535" t="s">
        <v>13</v>
      </c>
      <c r="S6535" t="s">
        <v>263</v>
      </c>
      <c r="T6535" t="s">
        <v>7</v>
      </c>
      <c r="U6535" s="21">
        <v>88088.72</v>
      </c>
      <c r="V6535" s="21" t="s">
        <v>368</v>
      </c>
      <c r="W6535" t="str">
        <f>VLOOKUP(Table_Query_from_Actuarial___Production[[#This Row],[Kor1]],$AI$3:$AK$105,3,FALSE)</f>
        <v>Operating Service Fees</v>
      </c>
      <c r="X6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5"/>
      <c r="Z6535" t="s">
        <v>44</v>
      </c>
      <c r="AA6535" t="s">
        <v>234</v>
      </c>
      <c r="AB6535" t="s">
        <v>6</v>
      </c>
      <c r="AC6535" s="21">
        <v>2014.2</v>
      </c>
      <c r="AD6535" s="21" t="s">
        <v>368</v>
      </c>
      <c r="AE6535" t="str">
        <f>VLOOKUP(Table_Query_from_Actuarial___Production3[[#This Row],[Kor1]],$AI$3:$AK$105,3,FALSE)</f>
        <v>Charge-offs</v>
      </c>
      <c r="AF6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6" spans="18:32" x14ac:dyDescent="0.2">
      <c r="R6536" t="s">
        <v>20</v>
      </c>
      <c r="S6536" t="s">
        <v>254</v>
      </c>
      <c r="T6536" t="s">
        <v>9</v>
      </c>
      <c r="U6536" s="21">
        <v>144.34</v>
      </c>
      <c r="V6536" s="21" t="s">
        <v>368</v>
      </c>
      <c r="W6536" t="str">
        <f>VLOOKUP(Table_Query_from_Actuarial___Production[[#This Row],[Kor1]],$AI$3:$AK$105,3,FALSE)</f>
        <v>Misc. Expense</v>
      </c>
      <c r="X6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6"/>
      <c r="Z6536" t="s">
        <v>47</v>
      </c>
      <c r="AA6536" t="s">
        <v>261</v>
      </c>
      <c r="AB6536" t="s">
        <v>356</v>
      </c>
      <c r="AC6536" s="21">
        <v>3027</v>
      </c>
      <c r="AD6536" s="21" t="s">
        <v>368</v>
      </c>
      <c r="AE6536" t="str">
        <f>VLOOKUP(Table_Query_from_Actuarial___Production3[[#This Row],[Kor1]],$AI$3:$AK$105,3,FALSE)</f>
        <v>Investment Income</v>
      </c>
      <c r="AF6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7" spans="18:32" x14ac:dyDescent="0.2">
      <c r="R6537" t="s">
        <v>31</v>
      </c>
      <c r="S6537" t="s">
        <v>247</v>
      </c>
      <c r="T6537" t="s">
        <v>443</v>
      </c>
      <c r="U6537" s="21">
        <v>1058.07</v>
      </c>
      <c r="V6537" s="21" t="s">
        <v>368</v>
      </c>
      <c r="W6537" t="str">
        <f>VLOOKUP(Table_Query_from_Actuarial___Production[[#This Row],[Kor1]],$AI$3:$AK$105,3,FALSE)</f>
        <v>Misc. Expense</v>
      </c>
      <c r="X6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7"/>
      <c r="Z6537" t="s">
        <v>3</v>
      </c>
      <c r="AA6537" t="s">
        <v>229</v>
      </c>
      <c r="AB6537" t="s">
        <v>427</v>
      </c>
      <c r="AC6537" s="21">
        <v>144219</v>
      </c>
      <c r="AD6537" s="21" t="s">
        <v>368</v>
      </c>
      <c r="AE6537" t="str">
        <f>VLOOKUP(Table_Query_from_Actuarial___Production3[[#This Row],[Kor1]],$AI$3:$AK$105,3,FALSE)</f>
        <v>Premiums Written</v>
      </c>
      <c r="AF6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8" spans="18:32" x14ac:dyDescent="0.2">
      <c r="R6538" t="s">
        <v>13</v>
      </c>
      <c r="S6538" t="s">
        <v>240</v>
      </c>
      <c r="T6538" t="s">
        <v>9</v>
      </c>
      <c r="U6538" s="21">
        <v>557011.38</v>
      </c>
      <c r="V6538" s="21" t="s">
        <v>368</v>
      </c>
      <c r="W6538" t="str">
        <f>VLOOKUP(Table_Query_from_Actuarial___Production[[#This Row],[Kor1]],$AI$3:$AK$105,3,FALSE)</f>
        <v>Operating Service Fees</v>
      </c>
      <c r="X6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8"/>
      <c r="Z6538" t="s">
        <v>11</v>
      </c>
      <c r="AA6538" t="s">
        <v>232</v>
      </c>
      <c r="AB6538" t="s">
        <v>7</v>
      </c>
      <c r="AC6538" s="21">
        <v>575359.18999999994</v>
      </c>
      <c r="AD6538" s="21" t="s">
        <v>368</v>
      </c>
      <c r="AE6538" t="str">
        <f>VLOOKUP(Table_Query_from_Actuarial___Production3[[#This Row],[Kor1]],$AI$3:$AK$105,3,FALSE)</f>
        <v>Losses Paid</v>
      </c>
      <c r="AF6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39" spans="18:32" x14ac:dyDescent="0.2">
      <c r="R6539" t="s">
        <v>33</v>
      </c>
      <c r="S6539" t="s">
        <v>238</v>
      </c>
      <c r="T6539" t="s">
        <v>443</v>
      </c>
      <c r="U6539" s="21">
        <v>16726.27</v>
      </c>
      <c r="V6539" s="21" t="s">
        <v>368</v>
      </c>
      <c r="W6539" t="str">
        <f>VLOOKUP(Table_Query_from_Actuarial___Production[[#This Row],[Kor1]],$AI$3:$AK$105,3,FALSE)</f>
        <v>Misc. Expense</v>
      </c>
      <c r="X6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39"/>
      <c r="Z6539" t="s">
        <v>41</v>
      </c>
      <c r="AA6539" t="s">
        <v>239</v>
      </c>
      <c r="AB6539" t="s">
        <v>8</v>
      </c>
      <c r="AC6539" s="21">
        <v>250</v>
      </c>
      <c r="AD6539" s="21" t="s">
        <v>368</v>
      </c>
      <c r="AE6539" t="str">
        <f>VLOOKUP(Table_Query_from_Actuarial___Production3[[#This Row],[Kor1]],$AI$3:$AK$105,3,FALSE)</f>
        <v>Misc. Income</v>
      </c>
      <c r="AF6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0" spans="18:32" x14ac:dyDescent="0.2">
      <c r="R6540" t="s">
        <v>11</v>
      </c>
      <c r="S6540" t="s">
        <v>224</v>
      </c>
      <c r="T6540" t="s">
        <v>7</v>
      </c>
      <c r="U6540" s="21">
        <v>926596.88</v>
      </c>
      <c r="V6540" s="21" t="s">
        <v>370</v>
      </c>
      <c r="W6540" t="str">
        <f>VLOOKUP(Table_Query_from_Actuarial___Production[[#This Row],[Kor1]],$AI$3:$AK$105,3,FALSE)</f>
        <v>Losses Paid</v>
      </c>
      <c r="X6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540"/>
      <c r="Z6540" t="s">
        <v>13</v>
      </c>
      <c r="AA6540" t="s">
        <v>263</v>
      </c>
      <c r="AB6540" t="s">
        <v>7</v>
      </c>
      <c r="AC6540" s="21">
        <v>88088.72</v>
      </c>
      <c r="AD6540" s="21" t="s">
        <v>368</v>
      </c>
      <c r="AE6540" t="str">
        <f>VLOOKUP(Table_Query_from_Actuarial___Production3[[#This Row],[Kor1]],$AI$3:$AK$105,3,FALSE)</f>
        <v>Operating Service Fees</v>
      </c>
      <c r="AF6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1" spans="18:32" x14ac:dyDescent="0.2">
      <c r="R6541" t="s">
        <v>18</v>
      </c>
      <c r="S6541" t="s">
        <v>224</v>
      </c>
      <c r="T6541" t="s">
        <v>356</v>
      </c>
      <c r="U6541" s="21">
        <v>94719.17</v>
      </c>
      <c r="V6541" s="21" t="s">
        <v>370</v>
      </c>
      <c r="W6541" t="str">
        <f>VLOOKUP(Table_Query_from_Actuarial___Production[[#This Row],[Kor1]],$AI$3:$AK$105,3,FALSE)</f>
        <v>Misc. Expense</v>
      </c>
      <c r="X6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541"/>
      <c r="Z6541" t="s">
        <v>14</v>
      </c>
      <c r="AA6541" t="s">
        <v>266</v>
      </c>
      <c r="AB6541" t="s">
        <v>5</v>
      </c>
      <c r="AC6541" s="21">
        <v>4731.71</v>
      </c>
      <c r="AD6541" s="21" t="s">
        <v>368</v>
      </c>
      <c r="AE6541" t="str">
        <f>VLOOKUP(Table_Query_from_Actuarial___Production3[[#This Row],[Kor1]],$AI$3:$AK$105,3,FALSE)</f>
        <v>Claims Expense</v>
      </c>
      <c r="AF6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2" spans="18:32" x14ac:dyDescent="0.2">
      <c r="R6542" t="s">
        <v>49</v>
      </c>
      <c r="S6542" t="s">
        <v>255</v>
      </c>
      <c r="T6542" t="s">
        <v>6</v>
      </c>
      <c r="U6542" s="21">
        <v>13526.24</v>
      </c>
      <c r="V6542" s="21" t="s">
        <v>368</v>
      </c>
      <c r="W6542" t="str">
        <f>VLOOKUP(Table_Query_from_Actuarial___Production[[#This Row],[Kor1]],$AI$3:$AK$105,3,FALSE)</f>
        <v>ALAE Paid</v>
      </c>
      <c r="X6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2"/>
      <c r="Z6542" t="s">
        <v>20</v>
      </c>
      <c r="AA6542" t="s">
        <v>254</v>
      </c>
      <c r="AB6542" t="s">
        <v>9</v>
      </c>
      <c r="AC6542" s="21">
        <v>144.34</v>
      </c>
      <c r="AD6542" s="21" t="s">
        <v>368</v>
      </c>
      <c r="AE6542" t="str">
        <f>VLOOKUP(Table_Query_from_Actuarial___Production3[[#This Row],[Kor1]],$AI$3:$AK$105,3,FALSE)</f>
        <v>Misc. Expense</v>
      </c>
      <c r="AF6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3" spans="18:32" x14ac:dyDescent="0.2">
      <c r="R6543" t="s">
        <v>10</v>
      </c>
      <c r="S6543" t="s">
        <v>262</v>
      </c>
      <c r="T6543" t="s">
        <v>427</v>
      </c>
      <c r="U6543" s="21">
        <v>21503</v>
      </c>
      <c r="V6543" s="21" t="s">
        <v>368</v>
      </c>
      <c r="W6543" t="str">
        <f>VLOOKUP(Table_Query_from_Actuarial___Production[[#This Row],[Kor1]],$AI$3:$AK$105,3,FALSE)</f>
        <v>Commissions</v>
      </c>
      <c r="X6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3"/>
      <c r="Z6543" t="s">
        <v>31</v>
      </c>
      <c r="AA6543" t="s">
        <v>247</v>
      </c>
      <c r="AB6543" t="s">
        <v>443</v>
      </c>
      <c r="AC6543" s="21">
        <v>267.79000000000002</v>
      </c>
      <c r="AD6543" s="21" t="s">
        <v>368</v>
      </c>
      <c r="AE6543" t="str">
        <f>VLOOKUP(Table_Query_from_Actuarial___Production3[[#This Row],[Kor1]],$AI$3:$AK$105,3,FALSE)</f>
        <v>Misc. Expense</v>
      </c>
      <c r="AF6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4" spans="18:32" x14ac:dyDescent="0.2">
      <c r="R6544" t="s">
        <v>13</v>
      </c>
      <c r="S6544" t="s">
        <v>261</v>
      </c>
      <c r="T6544" t="s">
        <v>427</v>
      </c>
      <c r="U6544" s="21">
        <v>79785.240000000005</v>
      </c>
      <c r="V6544" s="21" t="s">
        <v>368</v>
      </c>
      <c r="W6544" t="str">
        <f>VLOOKUP(Table_Query_from_Actuarial___Production[[#This Row],[Kor1]],$AI$3:$AK$105,3,FALSE)</f>
        <v>Operating Service Fees</v>
      </c>
      <c r="X6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4"/>
      <c r="Z6544" t="s">
        <v>13</v>
      </c>
      <c r="AA6544" t="s">
        <v>240</v>
      </c>
      <c r="AB6544" t="s">
        <v>9</v>
      </c>
      <c r="AC6544" s="21">
        <v>557011.38</v>
      </c>
      <c r="AD6544" s="21" t="s">
        <v>368</v>
      </c>
      <c r="AE6544" t="str">
        <f>VLOOKUP(Table_Query_from_Actuarial___Production3[[#This Row],[Kor1]],$AI$3:$AK$105,3,FALSE)</f>
        <v>Operating Service Fees</v>
      </c>
      <c r="AF6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5" spans="18:32" x14ac:dyDescent="0.2">
      <c r="R6545" t="s">
        <v>14</v>
      </c>
      <c r="S6545" t="s">
        <v>241</v>
      </c>
      <c r="T6545" t="s">
        <v>356</v>
      </c>
      <c r="U6545" s="21">
        <v>188110.35</v>
      </c>
      <c r="V6545" s="21" t="s">
        <v>368</v>
      </c>
      <c r="W6545" t="str">
        <f>VLOOKUP(Table_Query_from_Actuarial___Production[[#This Row],[Kor1]],$AI$3:$AK$105,3,FALSE)</f>
        <v>Claims Expense</v>
      </c>
      <c r="X6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5"/>
      <c r="Z6545" t="s">
        <v>33</v>
      </c>
      <c r="AA6545" t="s">
        <v>238</v>
      </c>
      <c r="AB6545" t="s">
        <v>443</v>
      </c>
      <c r="AC6545" s="21">
        <v>8769.25</v>
      </c>
      <c r="AD6545" s="21" t="s">
        <v>368</v>
      </c>
      <c r="AE6545" t="str">
        <f>VLOOKUP(Table_Query_from_Actuarial___Production3[[#This Row],[Kor1]],$AI$3:$AK$105,3,FALSE)</f>
        <v>Misc. Expense</v>
      </c>
      <c r="AF6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6" spans="18:32" x14ac:dyDescent="0.2">
      <c r="R6546" t="s">
        <v>17</v>
      </c>
      <c r="S6546" t="s">
        <v>4</v>
      </c>
      <c r="T6546" t="s">
        <v>441</v>
      </c>
      <c r="U6546" s="21">
        <v>9549429.0099999998</v>
      </c>
      <c r="V6546" s="21" t="s">
        <v>368</v>
      </c>
      <c r="W6546" t="str">
        <f>VLOOKUP(Table_Query_from_Actuarial___Production[[#This Row],[Kor1]],$AI$3:$AK$105,3,FALSE)</f>
        <v>IBNR</v>
      </c>
      <c r="X6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6"/>
      <c r="Z6546" t="s">
        <v>11</v>
      </c>
      <c r="AA6546" t="s">
        <v>224</v>
      </c>
      <c r="AB6546" t="s">
        <v>7</v>
      </c>
      <c r="AC6546" s="21">
        <v>926596.88</v>
      </c>
      <c r="AD6546" s="21" t="s">
        <v>370</v>
      </c>
      <c r="AE6546" t="str">
        <f>VLOOKUP(Table_Query_from_Actuarial___Production3[[#This Row],[Kor1]],$AI$3:$AK$105,3,FALSE)</f>
        <v>Losses Paid</v>
      </c>
      <c r="AF6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547" spans="18:32" x14ac:dyDescent="0.2">
      <c r="R6547" t="s">
        <v>39</v>
      </c>
      <c r="S6547" t="s">
        <v>237</v>
      </c>
      <c r="T6547" t="s">
        <v>433</v>
      </c>
      <c r="U6547" s="21">
        <v>159725.70000000001</v>
      </c>
      <c r="V6547" s="21" t="s">
        <v>368</v>
      </c>
      <c r="W6547" t="str">
        <f>VLOOKUP(Table_Query_from_Actuarial___Production[[#This Row],[Kor1]],$AI$3:$AK$105,3,FALSE)</f>
        <v>Misc. Income for Insolvent Companies</v>
      </c>
      <c r="X6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7"/>
      <c r="Z6547" t="s">
        <v>18</v>
      </c>
      <c r="AA6547" t="s">
        <v>224</v>
      </c>
      <c r="AB6547" t="s">
        <v>356</v>
      </c>
      <c r="AC6547" s="21">
        <v>94719.17</v>
      </c>
      <c r="AD6547" s="21" t="s">
        <v>370</v>
      </c>
      <c r="AE6547" t="str">
        <f>VLOOKUP(Table_Query_from_Actuarial___Production3[[#This Row],[Kor1]],$AI$3:$AK$105,3,FALSE)</f>
        <v>Misc. Expense</v>
      </c>
      <c r="AF6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548" spans="18:32" x14ac:dyDescent="0.2">
      <c r="R6548" t="s">
        <v>13</v>
      </c>
      <c r="S6548" t="s">
        <v>237</v>
      </c>
      <c r="T6548" t="s">
        <v>8</v>
      </c>
      <c r="U6548" s="21">
        <v>1960890.6</v>
      </c>
      <c r="V6548" s="21" t="s">
        <v>368</v>
      </c>
      <c r="W6548" t="str">
        <f>VLOOKUP(Table_Query_from_Actuarial___Production[[#This Row],[Kor1]],$AI$3:$AK$105,3,FALSE)</f>
        <v>Operating Service Fees</v>
      </c>
      <c r="X6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48"/>
      <c r="Z6548" t="s">
        <v>49</v>
      </c>
      <c r="AA6548" t="s">
        <v>255</v>
      </c>
      <c r="AB6548" t="s">
        <v>6</v>
      </c>
      <c r="AC6548" s="21">
        <v>13526.24</v>
      </c>
      <c r="AD6548" s="21" t="s">
        <v>368</v>
      </c>
      <c r="AE6548" t="str">
        <f>VLOOKUP(Table_Query_from_Actuarial___Production3[[#This Row],[Kor1]],$AI$3:$AK$105,3,FALSE)</f>
        <v>ALAE Paid</v>
      </c>
      <c r="AF6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49" spans="18:32" x14ac:dyDescent="0.2">
      <c r="R6549" t="s">
        <v>14</v>
      </c>
      <c r="S6549" t="s">
        <v>224</v>
      </c>
      <c r="T6549" t="s">
        <v>9</v>
      </c>
      <c r="U6549" s="21">
        <v>321025.81</v>
      </c>
      <c r="V6549" s="21" t="s">
        <v>368</v>
      </c>
      <c r="W6549" t="str">
        <f>VLOOKUP(Table_Query_from_Actuarial___Production[[#This Row],[Kor1]],$AI$3:$AK$105,3,FALSE)</f>
        <v>Claims Expense</v>
      </c>
      <c r="X6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549"/>
      <c r="Z6549" t="s">
        <v>10</v>
      </c>
      <c r="AA6549" t="s">
        <v>262</v>
      </c>
      <c r="AB6549" t="s">
        <v>427</v>
      </c>
      <c r="AC6549" s="21">
        <v>21503</v>
      </c>
      <c r="AD6549" s="21" t="s">
        <v>368</v>
      </c>
      <c r="AE6549" t="str">
        <f>VLOOKUP(Table_Query_from_Actuarial___Production3[[#This Row],[Kor1]],$AI$3:$AK$105,3,FALSE)</f>
        <v>Commissions</v>
      </c>
      <c r="AF6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0" spans="18:32" x14ac:dyDescent="0.2">
      <c r="R6550" t="s">
        <v>22</v>
      </c>
      <c r="S6550" t="s">
        <v>259</v>
      </c>
      <c r="T6550" t="s">
        <v>351</v>
      </c>
      <c r="U6550" s="21">
        <v>22029.22</v>
      </c>
      <c r="V6550" s="21" t="s">
        <v>368</v>
      </c>
      <c r="W6550" t="str">
        <f>VLOOKUP(Table_Query_from_Actuarial___Production[[#This Row],[Kor1]],$AI$3:$AK$105,3,FALSE)</f>
        <v>Misc. Expense</v>
      </c>
      <c r="X6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0"/>
      <c r="Z6550" t="s">
        <v>13</v>
      </c>
      <c r="AA6550" t="s">
        <v>261</v>
      </c>
      <c r="AB6550" t="s">
        <v>427</v>
      </c>
      <c r="AC6550" s="21">
        <v>79785.240000000005</v>
      </c>
      <c r="AD6550" s="21" t="s">
        <v>368</v>
      </c>
      <c r="AE6550" t="str">
        <f>VLOOKUP(Table_Query_from_Actuarial___Production3[[#This Row],[Kor1]],$AI$3:$AK$105,3,FALSE)</f>
        <v>Operating Service Fees</v>
      </c>
      <c r="AF6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1" spans="18:32" x14ac:dyDescent="0.2">
      <c r="R6551" t="s">
        <v>36</v>
      </c>
      <c r="S6551" t="s">
        <v>252</v>
      </c>
      <c r="T6551" t="s">
        <v>433</v>
      </c>
      <c r="U6551" s="21">
        <v>484929.86</v>
      </c>
      <c r="V6551" s="21" t="s">
        <v>368</v>
      </c>
      <c r="W6551" t="str">
        <f>VLOOKUP(Table_Query_from_Actuarial___Production[[#This Row],[Kor1]],$AI$3:$AK$105,3,FALSE)</f>
        <v>Misc. Expense</v>
      </c>
      <c r="X6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1"/>
      <c r="Z6551" t="s">
        <v>14</v>
      </c>
      <c r="AA6551" t="s">
        <v>241</v>
      </c>
      <c r="AB6551" t="s">
        <v>356</v>
      </c>
      <c r="AC6551" s="21">
        <v>188110.35</v>
      </c>
      <c r="AD6551" s="21" t="s">
        <v>368</v>
      </c>
      <c r="AE6551" t="str">
        <f>VLOOKUP(Table_Query_from_Actuarial___Production3[[#This Row],[Kor1]],$AI$3:$AK$105,3,FALSE)</f>
        <v>Claims Expense</v>
      </c>
      <c r="AF6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2" spans="18:32" x14ac:dyDescent="0.2">
      <c r="R6552" t="s">
        <v>12</v>
      </c>
      <c r="S6552" t="s">
        <v>246</v>
      </c>
      <c r="T6552" t="s">
        <v>7</v>
      </c>
      <c r="U6552" s="21">
        <v>8535.0400000000009</v>
      </c>
      <c r="V6552" s="21" t="s">
        <v>368</v>
      </c>
      <c r="W6552" t="str">
        <f>VLOOKUP(Table_Query_from_Actuarial___Production[[#This Row],[Kor1]],$AI$3:$AK$105,3,FALSE)</f>
        <v>Premium Tax</v>
      </c>
      <c r="X6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2"/>
      <c r="Z6552" t="s">
        <v>17</v>
      </c>
      <c r="AA6552" t="s">
        <v>4</v>
      </c>
      <c r="AB6552" t="s">
        <v>441</v>
      </c>
      <c r="AC6552" s="21">
        <v>16514616.26</v>
      </c>
      <c r="AD6552" s="21" t="s">
        <v>368</v>
      </c>
      <c r="AE6552" t="str">
        <f>VLOOKUP(Table_Query_from_Actuarial___Production3[[#This Row],[Kor1]],$AI$3:$AK$105,3,FALSE)</f>
        <v>IBNR</v>
      </c>
      <c r="AF6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3" spans="18:32" x14ac:dyDescent="0.2">
      <c r="R6553" t="s">
        <v>17</v>
      </c>
      <c r="S6553" t="s">
        <v>262</v>
      </c>
      <c r="T6553" t="s">
        <v>433</v>
      </c>
      <c r="U6553" s="21">
        <v>40638.959999999999</v>
      </c>
      <c r="V6553" s="21" t="s">
        <v>368</v>
      </c>
      <c r="W6553" t="str">
        <f>VLOOKUP(Table_Query_from_Actuarial___Production[[#This Row],[Kor1]],$AI$3:$AK$105,3,FALSE)</f>
        <v>IBNR</v>
      </c>
      <c r="X6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3"/>
      <c r="Z6553" t="s">
        <v>39</v>
      </c>
      <c r="AA6553" t="s">
        <v>237</v>
      </c>
      <c r="AB6553" t="s">
        <v>433</v>
      </c>
      <c r="AC6553" s="21">
        <v>158519.70000000001</v>
      </c>
      <c r="AD6553" s="21" t="s">
        <v>368</v>
      </c>
      <c r="AE6553" t="str">
        <f>VLOOKUP(Table_Query_from_Actuarial___Production3[[#This Row],[Kor1]],$AI$3:$AK$105,3,FALSE)</f>
        <v>Misc. Income for Insolvent Companies</v>
      </c>
      <c r="AF6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4" spans="18:32" x14ac:dyDescent="0.2">
      <c r="R6554" t="s">
        <v>3</v>
      </c>
      <c r="S6554" t="s">
        <v>233</v>
      </c>
      <c r="T6554" t="s">
        <v>351</v>
      </c>
      <c r="U6554" s="21">
        <v>668597</v>
      </c>
      <c r="V6554" s="21" t="s">
        <v>368</v>
      </c>
      <c r="W6554" t="str">
        <f>VLOOKUP(Table_Query_from_Actuarial___Production[[#This Row],[Kor1]],$AI$3:$AK$105,3,FALSE)</f>
        <v>Premiums Written</v>
      </c>
      <c r="X6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4"/>
      <c r="Z6554" t="s">
        <v>13</v>
      </c>
      <c r="AA6554" t="s">
        <v>237</v>
      </c>
      <c r="AB6554" t="s">
        <v>8</v>
      </c>
      <c r="AC6554" s="21">
        <v>1960890.6</v>
      </c>
      <c r="AD6554" s="21" t="s">
        <v>368</v>
      </c>
      <c r="AE6554" t="str">
        <f>VLOOKUP(Table_Query_from_Actuarial___Production3[[#This Row],[Kor1]],$AI$3:$AK$105,3,FALSE)</f>
        <v>Operating Service Fees</v>
      </c>
      <c r="AF6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5" spans="18:32" x14ac:dyDescent="0.2">
      <c r="R6555" t="s">
        <v>11</v>
      </c>
      <c r="S6555" t="s">
        <v>260</v>
      </c>
      <c r="T6555" t="s">
        <v>442</v>
      </c>
      <c r="U6555" s="21">
        <v>1645.37</v>
      </c>
      <c r="V6555" s="21" t="s">
        <v>368</v>
      </c>
      <c r="W6555" t="str">
        <f>VLOOKUP(Table_Query_from_Actuarial___Production[[#This Row],[Kor1]],$AI$3:$AK$105,3,FALSE)</f>
        <v>Losses Paid</v>
      </c>
      <c r="X6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5"/>
      <c r="Z6555" t="s">
        <v>14</v>
      </c>
      <c r="AA6555" t="s">
        <v>224</v>
      </c>
      <c r="AB6555" t="s">
        <v>9</v>
      </c>
      <c r="AC6555" s="21">
        <v>321025.81</v>
      </c>
      <c r="AD6555" s="21" t="s">
        <v>368</v>
      </c>
      <c r="AE6555" t="str">
        <f>VLOOKUP(Table_Query_from_Actuarial___Production3[[#This Row],[Kor1]],$AI$3:$AK$105,3,FALSE)</f>
        <v>Claims Expense</v>
      </c>
      <c r="AF6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556" spans="18:32" x14ac:dyDescent="0.2">
      <c r="R6556" t="s">
        <v>13</v>
      </c>
      <c r="S6556" t="s">
        <v>262</v>
      </c>
      <c r="T6556" t="s">
        <v>445</v>
      </c>
      <c r="U6556" s="21">
        <v>39375.26</v>
      </c>
      <c r="V6556" s="21" t="s">
        <v>368</v>
      </c>
      <c r="W6556" t="str">
        <f>VLOOKUP(Table_Query_from_Actuarial___Production[[#This Row],[Kor1]],$AI$3:$AK$105,3,FALSE)</f>
        <v>Operating Service Fees</v>
      </c>
      <c r="X6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6"/>
      <c r="Z6556" t="s">
        <v>22</v>
      </c>
      <c r="AA6556" t="s">
        <v>259</v>
      </c>
      <c r="AB6556" t="s">
        <v>351</v>
      </c>
      <c r="AC6556" s="21">
        <v>22029.22</v>
      </c>
      <c r="AD6556" s="21" t="s">
        <v>368</v>
      </c>
      <c r="AE6556" t="str">
        <f>VLOOKUP(Table_Query_from_Actuarial___Production3[[#This Row],[Kor1]],$AI$3:$AK$105,3,FALSE)</f>
        <v>Misc. Expense</v>
      </c>
      <c r="AF6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7" spans="18:32" x14ac:dyDescent="0.2">
      <c r="R6557" t="s">
        <v>20</v>
      </c>
      <c r="S6557" t="s">
        <v>230</v>
      </c>
      <c r="T6557" t="s">
        <v>356</v>
      </c>
      <c r="U6557" s="21">
        <v>14366.99</v>
      </c>
      <c r="V6557" s="21" t="s">
        <v>368</v>
      </c>
      <c r="W6557" t="str">
        <f>VLOOKUP(Table_Query_from_Actuarial___Production[[#This Row],[Kor1]],$AI$3:$AK$105,3,FALSE)</f>
        <v>Misc. Expense</v>
      </c>
      <c r="X6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7"/>
      <c r="Z6557" t="s">
        <v>36</v>
      </c>
      <c r="AA6557" t="s">
        <v>252</v>
      </c>
      <c r="AB6557" t="s">
        <v>433</v>
      </c>
      <c r="AC6557" s="21">
        <v>484929.86</v>
      </c>
      <c r="AD6557" s="21" t="s">
        <v>368</v>
      </c>
      <c r="AE6557" t="str">
        <f>VLOOKUP(Table_Query_from_Actuarial___Production3[[#This Row],[Kor1]],$AI$3:$AK$105,3,FALSE)</f>
        <v>Misc. Expense</v>
      </c>
      <c r="AF6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8" spans="18:32" x14ac:dyDescent="0.2">
      <c r="R6558" t="s">
        <v>48</v>
      </c>
      <c r="S6558" t="s">
        <v>254</v>
      </c>
      <c r="T6558" t="s">
        <v>443</v>
      </c>
      <c r="U6558" s="21">
        <v>121352.72</v>
      </c>
      <c r="V6558" s="21" t="s">
        <v>368</v>
      </c>
      <c r="W6558" t="str">
        <f>VLOOKUP(Table_Query_from_Actuarial___Production[[#This Row],[Kor1]],$AI$3:$AK$105,3,FALSE)</f>
        <v>Anticipated Salvage</v>
      </c>
      <c r="X6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58"/>
      <c r="Z6558" t="s">
        <v>12</v>
      </c>
      <c r="AA6558" t="s">
        <v>246</v>
      </c>
      <c r="AB6558" t="s">
        <v>7</v>
      </c>
      <c r="AC6558" s="21">
        <v>8535.0400000000009</v>
      </c>
      <c r="AD6558" s="21" t="s">
        <v>368</v>
      </c>
      <c r="AE6558" t="str">
        <f>VLOOKUP(Table_Query_from_Actuarial___Production3[[#This Row],[Kor1]],$AI$3:$AK$105,3,FALSE)</f>
        <v>Premium Tax</v>
      </c>
      <c r="AF6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59" spans="18:32" x14ac:dyDescent="0.2">
      <c r="R6559" t="s">
        <v>18</v>
      </c>
      <c r="S6559" t="s">
        <v>224</v>
      </c>
      <c r="T6559" t="s">
        <v>9</v>
      </c>
      <c r="U6559" s="21">
        <v>153470.43</v>
      </c>
      <c r="V6559" s="21" t="s">
        <v>368</v>
      </c>
      <c r="W6559" t="str">
        <f>VLOOKUP(Table_Query_from_Actuarial___Production[[#This Row],[Kor1]],$AI$3:$AK$105,3,FALSE)</f>
        <v>Misc. Expense</v>
      </c>
      <c r="X6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559"/>
      <c r="Z6559" t="s">
        <v>17</v>
      </c>
      <c r="AA6559" t="s">
        <v>262</v>
      </c>
      <c r="AB6559" t="s">
        <v>433</v>
      </c>
      <c r="AC6559" s="21">
        <v>20773.810000000001</v>
      </c>
      <c r="AD6559" s="21" t="s">
        <v>368</v>
      </c>
      <c r="AE6559" t="str">
        <f>VLOOKUP(Table_Query_from_Actuarial___Production3[[#This Row],[Kor1]],$AI$3:$AK$105,3,FALSE)</f>
        <v>IBNR</v>
      </c>
      <c r="AF6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0" spans="18:32" x14ac:dyDescent="0.2">
      <c r="R6560" t="s">
        <v>13</v>
      </c>
      <c r="S6560" t="s">
        <v>231</v>
      </c>
      <c r="T6560" t="s">
        <v>441</v>
      </c>
      <c r="U6560" s="21">
        <v>410655.59</v>
      </c>
      <c r="V6560" s="21" t="s">
        <v>368</v>
      </c>
      <c r="W6560" t="str">
        <f>VLOOKUP(Table_Query_from_Actuarial___Production[[#This Row],[Kor1]],$AI$3:$AK$105,3,FALSE)</f>
        <v>Operating Service Fees</v>
      </c>
      <c r="X6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0"/>
      <c r="Z6560" t="s">
        <v>3</v>
      </c>
      <c r="AA6560" t="s">
        <v>257</v>
      </c>
      <c r="AB6560" t="s">
        <v>5</v>
      </c>
      <c r="AC6560" s="21">
        <v>1392173</v>
      </c>
      <c r="AD6560" s="21" t="s">
        <v>368</v>
      </c>
      <c r="AE6560" t="str">
        <f>VLOOKUP(Table_Query_from_Actuarial___Production3[[#This Row],[Kor1]],$AI$3:$AK$105,3,FALSE)</f>
        <v>Premiums Written</v>
      </c>
      <c r="AF6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1" spans="18:32" x14ac:dyDescent="0.2">
      <c r="R6561" t="s">
        <v>17</v>
      </c>
      <c r="S6561" t="s">
        <v>240</v>
      </c>
      <c r="T6561" t="s">
        <v>433</v>
      </c>
      <c r="U6561" s="21">
        <v>538534.86</v>
      </c>
      <c r="V6561" s="21" t="s">
        <v>368</v>
      </c>
      <c r="W6561" t="str">
        <f>VLOOKUP(Table_Query_from_Actuarial___Production[[#This Row],[Kor1]],$AI$3:$AK$105,3,FALSE)</f>
        <v>IBNR</v>
      </c>
      <c r="X6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1"/>
      <c r="Z6561" t="s">
        <v>3</v>
      </c>
      <c r="AA6561" t="s">
        <v>233</v>
      </c>
      <c r="AB6561" t="s">
        <v>351</v>
      </c>
      <c r="AC6561" s="21">
        <v>668597</v>
      </c>
      <c r="AD6561" s="21" t="s">
        <v>368</v>
      </c>
      <c r="AE6561" t="str">
        <f>VLOOKUP(Table_Query_from_Actuarial___Production3[[#This Row],[Kor1]],$AI$3:$AK$105,3,FALSE)</f>
        <v>Premiums Written</v>
      </c>
      <c r="AF6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2" spans="18:32" x14ac:dyDescent="0.2">
      <c r="R6562" t="s">
        <v>37</v>
      </c>
      <c r="S6562" t="s">
        <v>256</v>
      </c>
      <c r="T6562" t="s">
        <v>6</v>
      </c>
      <c r="U6562" s="21">
        <v>4</v>
      </c>
      <c r="V6562" s="21" t="s">
        <v>368</v>
      </c>
      <c r="W6562" t="str">
        <f>VLOOKUP(Table_Query_from_Actuarial___Production[[#This Row],[Kor1]],$AI$3:$AK$105,3,FALSE)</f>
        <v>Misc. Expense</v>
      </c>
      <c r="X6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2"/>
      <c r="Z6562" t="s">
        <v>11</v>
      </c>
      <c r="AA6562" t="s">
        <v>260</v>
      </c>
      <c r="AB6562" t="s">
        <v>442</v>
      </c>
      <c r="AC6562" s="21">
        <v>1645.37</v>
      </c>
      <c r="AD6562" s="21" t="s">
        <v>368</v>
      </c>
      <c r="AE6562" t="str">
        <f>VLOOKUP(Table_Query_from_Actuarial___Production3[[#This Row],[Kor1]],$AI$3:$AK$105,3,FALSE)</f>
        <v>Losses Paid</v>
      </c>
      <c r="AF6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3" spans="18:32" x14ac:dyDescent="0.2">
      <c r="R6563" t="s">
        <v>46</v>
      </c>
      <c r="S6563" t="s">
        <v>225</v>
      </c>
      <c r="T6563" t="s">
        <v>427</v>
      </c>
      <c r="U6563" s="21">
        <v>47326.05</v>
      </c>
      <c r="V6563" s="21" t="s">
        <v>369</v>
      </c>
      <c r="W6563" t="str">
        <f>VLOOKUP(Table_Query_from_Actuarial___Production[[#This Row],[Kor1]],$AI$3:$AK$105,3,FALSE)</f>
        <v>Investment Income</v>
      </c>
      <c r="X6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563"/>
      <c r="Z6563" t="s">
        <v>20</v>
      </c>
      <c r="AA6563" t="s">
        <v>230</v>
      </c>
      <c r="AB6563" t="s">
        <v>356</v>
      </c>
      <c r="AC6563" s="21">
        <v>14366.99</v>
      </c>
      <c r="AD6563" s="21" t="s">
        <v>368</v>
      </c>
      <c r="AE6563" t="str">
        <f>VLOOKUP(Table_Query_from_Actuarial___Production3[[#This Row],[Kor1]],$AI$3:$AK$105,3,FALSE)</f>
        <v>Misc. Expense</v>
      </c>
      <c r="AF6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4" spans="18:32" x14ac:dyDescent="0.2">
      <c r="R6564" t="s">
        <v>3</v>
      </c>
      <c r="S6564" t="s">
        <v>251</v>
      </c>
      <c r="T6564" t="s">
        <v>356</v>
      </c>
      <c r="U6564" s="21">
        <v>1042161</v>
      </c>
      <c r="V6564" s="21" t="s">
        <v>368</v>
      </c>
      <c r="W6564" t="str">
        <f>VLOOKUP(Table_Query_from_Actuarial___Production[[#This Row],[Kor1]],$AI$3:$AK$105,3,FALSE)</f>
        <v>Premiums Written</v>
      </c>
      <c r="X6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4"/>
      <c r="Z6564" t="s">
        <v>48</v>
      </c>
      <c r="AA6564" t="s">
        <v>254</v>
      </c>
      <c r="AB6564" t="s">
        <v>443</v>
      </c>
      <c r="AC6564" s="21">
        <v>10711.34</v>
      </c>
      <c r="AD6564" s="21" t="s">
        <v>368</v>
      </c>
      <c r="AE6564" t="str">
        <f>VLOOKUP(Table_Query_from_Actuarial___Production3[[#This Row],[Kor1]],$AI$3:$AK$105,3,FALSE)</f>
        <v>Anticipated Salvage</v>
      </c>
      <c r="AF6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5" spans="18:32" x14ac:dyDescent="0.2">
      <c r="R6565" t="s">
        <v>10</v>
      </c>
      <c r="S6565" t="s">
        <v>241</v>
      </c>
      <c r="T6565" t="s">
        <v>443</v>
      </c>
      <c r="U6565" s="21">
        <v>19072.849999999999</v>
      </c>
      <c r="V6565" s="21" t="s">
        <v>368</v>
      </c>
      <c r="W6565" t="str">
        <f>VLOOKUP(Table_Query_from_Actuarial___Production[[#This Row],[Kor1]],$AI$3:$AK$105,3,FALSE)</f>
        <v>Commissions</v>
      </c>
      <c r="X6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5"/>
      <c r="Z6565" t="s">
        <v>18</v>
      </c>
      <c r="AA6565" t="s">
        <v>224</v>
      </c>
      <c r="AB6565" t="s">
        <v>9</v>
      </c>
      <c r="AC6565" s="21">
        <v>153470.43</v>
      </c>
      <c r="AD6565" s="21" t="s">
        <v>368</v>
      </c>
      <c r="AE6565" t="str">
        <f>VLOOKUP(Table_Query_from_Actuarial___Production3[[#This Row],[Kor1]],$AI$3:$AK$105,3,FALSE)</f>
        <v>Misc. Expense</v>
      </c>
      <c r="AF6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566" spans="18:32" x14ac:dyDescent="0.2">
      <c r="R6566" t="s">
        <v>34</v>
      </c>
      <c r="S6566" t="s">
        <v>243</v>
      </c>
      <c r="T6566" t="s">
        <v>443</v>
      </c>
      <c r="U6566" s="21">
        <v>3870.3</v>
      </c>
      <c r="V6566" s="21" t="s">
        <v>368</v>
      </c>
      <c r="W6566" t="str">
        <f>VLOOKUP(Table_Query_from_Actuarial___Production[[#This Row],[Kor1]],$AI$3:$AK$105,3,FALSE)</f>
        <v>Misc. Expense</v>
      </c>
      <c r="X6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6"/>
      <c r="Z6566" t="s">
        <v>13</v>
      </c>
      <c r="AA6566" t="s">
        <v>231</v>
      </c>
      <c r="AB6566" t="s">
        <v>441</v>
      </c>
      <c r="AC6566" s="21">
        <v>410655.59</v>
      </c>
      <c r="AD6566" s="21" t="s">
        <v>368</v>
      </c>
      <c r="AE6566" t="str">
        <f>VLOOKUP(Table_Query_from_Actuarial___Production3[[#This Row],[Kor1]],$AI$3:$AK$105,3,FALSE)</f>
        <v>Operating Service Fees</v>
      </c>
      <c r="AF6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7" spans="18:32" x14ac:dyDescent="0.2">
      <c r="R6567" t="s">
        <v>43</v>
      </c>
      <c r="S6567" t="s">
        <v>239</v>
      </c>
      <c r="T6567" t="s">
        <v>8</v>
      </c>
      <c r="U6567" s="21">
        <v>79.58</v>
      </c>
      <c r="V6567" s="21" t="s">
        <v>368</v>
      </c>
      <c r="W6567" t="str">
        <f>VLOOKUP(Table_Query_from_Actuarial___Production[[#This Row],[Kor1]],$AI$3:$AK$105,3,FALSE)</f>
        <v>Charge-offs</v>
      </c>
      <c r="X6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7"/>
      <c r="Z6567" t="s">
        <v>77</v>
      </c>
      <c r="AA6567" t="s">
        <v>248</v>
      </c>
      <c r="AB6567" t="s">
        <v>442</v>
      </c>
      <c r="AC6567" s="21">
        <v>28734</v>
      </c>
      <c r="AD6567" s="21" t="s">
        <v>368</v>
      </c>
      <c r="AE6567" t="str">
        <f>VLOOKUP(Table_Query_from_Actuarial___Production3[[#This Row],[Kor1]],$AI$3:$AK$105,3,FALSE)</f>
        <v>PDR</v>
      </c>
      <c r="AF6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8" spans="18:32" x14ac:dyDescent="0.2">
      <c r="R6568" t="s">
        <v>47</v>
      </c>
      <c r="S6568" t="s">
        <v>268</v>
      </c>
      <c r="T6568" t="s">
        <v>427</v>
      </c>
      <c r="U6568" s="21">
        <v>651</v>
      </c>
      <c r="V6568" s="21" t="s">
        <v>368</v>
      </c>
      <c r="W6568" t="str">
        <f>VLOOKUP(Table_Query_from_Actuarial___Production[[#This Row],[Kor1]],$AI$3:$AK$105,3,FALSE)</f>
        <v>Investment Income</v>
      </c>
      <c r="X6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8"/>
      <c r="Z6568" t="s">
        <v>17</v>
      </c>
      <c r="AA6568" t="s">
        <v>240</v>
      </c>
      <c r="AB6568" t="s">
        <v>433</v>
      </c>
      <c r="AC6568" s="21">
        <v>489034.74</v>
      </c>
      <c r="AD6568" s="21" t="s">
        <v>368</v>
      </c>
      <c r="AE6568" t="str">
        <f>VLOOKUP(Table_Query_from_Actuarial___Production3[[#This Row],[Kor1]],$AI$3:$AK$105,3,FALSE)</f>
        <v>IBNR</v>
      </c>
      <c r="AF6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69" spans="18:32" x14ac:dyDescent="0.2">
      <c r="R6569" t="s">
        <v>107</v>
      </c>
      <c r="S6569" t="s">
        <v>259</v>
      </c>
      <c r="T6569" t="s">
        <v>9</v>
      </c>
      <c r="U6569" s="21">
        <v>737.32</v>
      </c>
      <c r="V6569" s="21" t="s">
        <v>368</v>
      </c>
      <c r="W6569" t="str">
        <f>VLOOKUP(Table_Query_from_Actuarial___Production[[#This Row],[Kor1]],$AI$3:$AK$105,3,FALSE)</f>
        <v>Misc. Expense</v>
      </c>
      <c r="X6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69"/>
      <c r="Z6569" t="s">
        <v>37</v>
      </c>
      <c r="AA6569" t="s">
        <v>256</v>
      </c>
      <c r="AB6569" t="s">
        <v>6</v>
      </c>
      <c r="AC6569" s="21">
        <v>4</v>
      </c>
      <c r="AD6569" s="21" t="s">
        <v>368</v>
      </c>
      <c r="AE6569" t="str">
        <f>VLOOKUP(Table_Query_from_Actuarial___Production3[[#This Row],[Kor1]],$AI$3:$AK$105,3,FALSE)</f>
        <v>Misc. Expense</v>
      </c>
      <c r="AF6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0" spans="18:32" x14ac:dyDescent="0.2">
      <c r="R6570" t="s">
        <v>38</v>
      </c>
      <c r="S6570" t="s">
        <v>354</v>
      </c>
      <c r="T6570" t="s">
        <v>6</v>
      </c>
      <c r="U6570" s="21">
        <v>16058.36</v>
      </c>
      <c r="V6570" s="21" t="s">
        <v>368</v>
      </c>
      <c r="W6570" t="str">
        <f>VLOOKUP(Table_Query_from_Actuarial___Production[[#This Row],[Kor1]],$AI$3:$AK$105,3,FALSE)</f>
        <v>Misc. Income</v>
      </c>
      <c r="X6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570"/>
      <c r="Z6570" t="s">
        <v>46</v>
      </c>
      <c r="AA6570" t="s">
        <v>225</v>
      </c>
      <c r="AB6570" t="s">
        <v>427</v>
      </c>
      <c r="AC6570" s="21">
        <v>47326.05</v>
      </c>
      <c r="AD6570" s="21" t="s">
        <v>369</v>
      </c>
      <c r="AE6570" t="str">
        <f>VLOOKUP(Table_Query_from_Actuarial___Production3[[#This Row],[Kor1]],$AI$3:$AK$105,3,FALSE)</f>
        <v>Investment Income</v>
      </c>
      <c r="AF6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571" spans="18:32" x14ac:dyDescent="0.2">
      <c r="R6571" t="s">
        <v>40</v>
      </c>
      <c r="S6571" t="s">
        <v>244</v>
      </c>
      <c r="T6571" t="s">
        <v>356</v>
      </c>
      <c r="U6571" s="21">
        <v>302.02</v>
      </c>
      <c r="V6571" s="21" t="s">
        <v>368</v>
      </c>
      <c r="W6571" t="str">
        <f>VLOOKUP(Table_Query_from_Actuarial___Production[[#This Row],[Kor1]],$AI$3:$AK$105,3,FALSE)</f>
        <v>Misc. Income</v>
      </c>
      <c r="X6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1"/>
      <c r="Z6571" t="s">
        <v>3</v>
      </c>
      <c r="AA6571" t="s">
        <v>251</v>
      </c>
      <c r="AB6571" t="s">
        <v>356</v>
      </c>
      <c r="AC6571" s="21">
        <v>1042161</v>
      </c>
      <c r="AD6571" s="21" t="s">
        <v>368</v>
      </c>
      <c r="AE6571" t="str">
        <f>VLOOKUP(Table_Query_from_Actuarial___Production3[[#This Row],[Kor1]],$AI$3:$AK$105,3,FALSE)</f>
        <v>Premiums Written</v>
      </c>
      <c r="AF6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2" spans="18:32" x14ac:dyDescent="0.2">
      <c r="R6572" t="s">
        <v>41</v>
      </c>
      <c r="S6572" t="s">
        <v>256</v>
      </c>
      <c r="T6572" t="s">
        <v>356</v>
      </c>
      <c r="U6572" s="21">
        <v>400</v>
      </c>
      <c r="V6572" s="21" t="s">
        <v>368</v>
      </c>
      <c r="W6572" t="str">
        <f>VLOOKUP(Table_Query_from_Actuarial___Production[[#This Row],[Kor1]],$AI$3:$AK$105,3,FALSE)</f>
        <v>Misc. Income</v>
      </c>
      <c r="X6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2"/>
      <c r="Z6572" t="s">
        <v>10</v>
      </c>
      <c r="AA6572" t="s">
        <v>241</v>
      </c>
      <c r="AB6572" t="s">
        <v>443</v>
      </c>
      <c r="AC6572" s="21">
        <v>6157.05</v>
      </c>
      <c r="AD6572" s="21" t="s">
        <v>368</v>
      </c>
      <c r="AE6572" t="str">
        <f>VLOOKUP(Table_Query_from_Actuarial___Production3[[#This Row],[Kor1]],$AI$3:$AK$105,3,FALSE)</f>
        <v>Commissions</v>
      </c>
      <c r="AF6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3" spans="18:32" x14ac:dyDescent="0.2">
      <c r="R6573" t="s">
        <v>48</v>
      </c>
      <c r="S6573" t="s">
        <v>260</v>
      </c>
      <c r="T6573" t="s">
        <v>445</v>
      </c>
      <c r="U6573" s="21">
        <v>47.15</v>
      </c>
      <c r="V6573" s="21" t="s">
        <v>368</v>
      </c>
      <c r="W6573" t="str">
        <f>VLOOKUP(Table_Query_from_Actuarial___Production[[#This Row],[Kor1]],$AI$3:$AK$105,3,FALSE)</f>
        <v>Anticipated Salvage</v>
      </c>
      <c r="X6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3"/>
      <c r="Z6573" t="s">
        <v>43</v>
      </c>
      <c r="AA6573" t="s">
        <v>239</v>
      </c>
      <c r="AB6573" t="s">
        <v>8</v>
      </c>
      <c r="AC6573" s="21">
        <v>79.58</v>
      </c>
      <c r="AD6573" s="21" t="s">
        <v>368</v>
      </c>
      <c r="AE6573" t="str">
        <f>VLOOKUP(Table_Query_from_Actuarial___Production3[[#This Row],[Kor1]],$AI$3:$AK$105,3,FALSE)</f>
        <v>Charge-offs</v>
      </c>
      <c r="AF6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4" spans="18:32" x14ac:dyDescent="0.2">
      <c r="R6574" t="s">
        <v>3</v>
      </c>
      <c r="S6574" t="s">
        <v>224</v>
      </c>
      <c r="T6574" t="s">
        <v>7</v>
      </c>
      <c r="U6574" s="21">
        <v>96136.95</v>
      </c>
      <c r="V6574" s="21" t="s">
        <v>369</v>
      </c>
      <c r="W6574" t="str">
        <f>VLOOKUP(Table_Query_from_Actuarial___Production[[#This Row],[Kor1]],$AI$3:$AK$105,3,FALSE)</f>
        <v>Premiums Written</v>
      </c>
      <c r="X6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574"/>
      <c r="Z6574" t="s">
        <v>47</v>
      </c>
      <c r="AA6574" t="s">
        <v>268</v>
      </c>
      <c r="AB6574" t="s">
        <v>427</v>
      </c>
      <c r="AC6574" s="21">
        <v>651</v>
      </c>
      <c r="AD6574" s="21" t="s">
        <v>368</v>
      </c>
      <c r="AE6574" t="str">
        <f>VLOOKUP(Table_Query_from_Actuarial___Production3[[#This Row],[Kor1]],$AI$3:$AK$105,3,FALSE)</f>
        <v>Investment Income</v>
      </c>
      <c r="AF6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5" spans="18:32" x14ac:dyDescent="0.2">
      <c r="R6575" t="s">
        <v>14</v>
      </c>
      <c r="S6575" t="s">
        <v>235</v>
      </c>
      <c r="T6575" t="s">
        <v>6</v>
      </c>
      <c r="U6575" s="21">
        <v>37257.870000000003</v>
      </c>
      <c r="V6575" s="21" t="s">
        <v>368</v>
      </c>
      <c r="W6575" t="str">
        <f>VLOOKUP(Table_Query_from_Actuarial___Production[[#This Row],[Kor1]],$AI$3:$AK$105,3,FALSE)</f>
        <v>Claims Expense</v>
      </c>
      <c r="X6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5"/>
      <c r="Z6575" t="s">
        <v>107</v>
      </c>
      <c r="AA6575" t="s">
        <v>259</v>
      </c>
      <c r="AB6575" t="s">
        <v>9</v>
      </c>
      <c r="AC6575" s="21">
        <v>737.32</v>
      </c>
      <c r="AD6575" s="21" t="s">
        <v>368</v>
      </c>
      <c r="AE6575" t="str">
        <f>VLOOKUP(Table_Query_from_Actuarial___Production3[[#This Row],[Kor1]],$AI$3:$AK$105,3,FALSE)</f>
        <v>Misc. Expense</v>
      </c>
      <c r="AF6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6" spans="18:32" x14ac:dyDescent="0.2">
      <c r="R6576" t="s">
        <v>17</v>
      </c>
      <c r="S6576" t="s">
        <v>266</v>
      </c>
      <c r="T6576" t="s">
        <v>445</v>
      </c>
      <c r="U6576" s="21">
        <v>114419.13</v>
      </c>
      <c r="V6576" s="21" t="s">
        <v>368</v>
      </c>
      <c r="W6576" t="str">
        <f>VLOOKUP(Table_Query_from_Actuarial___Production[[#This Row],[Kor1]],$AI$3:$AK$105,3,FALSE)</f>
        <v>IBNR</v>
      </c>
      <c r="X6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6"/>
      <c r="Z6576" t="s">
        <v>38</v>
      </c>
      <c r="AA6576" t="s">
        <v>354</v>
      </c>
      <c r="AB6576" t="s">
        <v>6</v>
      </c>
      <c r="AC6576" s="21">
        <v>16058.36</v>
      </c>
      <c r="AD6576" s="21" t="s">
        <v>368</v>
      </c>
      <c r="AE6576" t="str">
        <f>VLOOKUP(Table_Query_from_Actuarial___Production3[[#This Row],[Kor1]],$AI$3:$AK$105,3,FALSE)</f>
        <v>Misc. Income</v>
      </c>
      <c r="AF6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577" spans="18:32" x14ac:dyDescent="0.2">
      <c r="R6577" t="s">
        <v>14</v>
      </c>
      <c r="S6577" t="s">
        <v>262</v>
      </c>
      <c r="T6577" t="s">
        <v>7</v>
      </c>
      <c r="U6577" s="21">
        <v>17365.78</v>
      </c>
      <c r="V6577" s="21" t="s">
        <v>368</v>
      </c>
      <c r="W6577" t="str">
        <f>VLOOKUP(Table_Query_from_Actuarial___Production[[#This Row],[Kor1]],$AI$3:$AK$105,3,FALSE)</f>
        <v>Claims Expense</v>
      </c>
      <c r="X6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7"/>
      <c r="Z6577" t="s">
        <v>40</v>
      </c>
      <c r="AA6577" t="s">
        <v>244</v>
      </c>
      <c r="AB6577" t="s">
        <v>356</v>
      </c>
      <c r="AC6577" s="21">
        <v>302.02</v>
      </c>
      <c r="AD6577" s="21" t="s">
        <v>368</v>
      </c>
      <c r="AE6577" t="str">
        <f>VLOOKUP(Table_Query_from_Actuarial___Production3[[#This Row],[Kor1]],$AI$3:$AK$105,3,FALSE)</f>
        <v>Misc. Income</v>
      </c>
      <c r="AF6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8" spans="18:32" x14ac:dyDescent="0.2">
      <c r="R6578" t="s">
        <v>32</v>
      </c>
      <c r="S6578" t="s">
        <v>246</v>
      </c>
      <c r="T6578" t="s">
        <v>427</v>
      </c>
      <c r="U6578" s="21">
        <v>-31610.560000000001</v>
      </c>
      <c r="V6578" s="21" t="s">
        <v>368</v>
      </c>
      <c r="W6578" t="str">
        <f>VLOOKUP(Table_Query_from_Actuarial___Production[[#This Row],[Kor1]],$AI$3:$AK$105,3,FALSE)</f>
        <v>Misc. Expense</v>
      </c>
      <c r="X6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8"/>
      <c r="Z6578" t="s">
        <v>41</v>
      </c>
      <c r="AA6578" t="s">
        <v>256</v>
      </c>
      <c r="AB6578" t="s">
        <v>356</v>
      </c>
      <c r="AC6578" s="21">
        <v>400</v>
      </c>
      <c r="AD6578" s="21" t="s">
        <v>368</v>
      </c>
      <c r="AE6578" t="str">
        <f>VLOOKUP(Table_Query_from_Actuarial___Production3[[#This Row],[Kor1]],$AI$3:$AK$105,3,FALSE)</f>
        <v>Misc. Income</v>
      </c>
      <c r="AF6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79" spans="18:32" x14ac:dyDescent="0.2">
      <c r="R6579" t="s">
        <v>40</v>
      </c>
      <c r="S6579" t="s">
        <v>263</v>
      </c>
      <c r="T6579" t="s">
        <v>9</v>
      </c>
      <c r="U6579" s="21">
        <v>286</v>
      </c>
      <c r="V6579" s="21" t="s">
        <v>368</v>
      </c>
      <c r="W6579" t="str">
        <f>VLOOKUP(Table_Query_from_Actuarial___Production[[#This Row],[Kor1]],$AI$3:$AK$105,3,FALSE)</f>
        <v>Misc. Income</v>
      </c>
      <c r="X6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79"/>
      <c r="Z6579" t="s">
        <v>3</v>
      </c>
      <c r="AA6579" t="s">
        <v>224</v>
      </c>
      <c r="AB6579" t="s">
        <v>7</v>
      </c>
      <c r="AC6579" s="21">
        <v>96136.95</v>
      </c>
      <c r="AD6579" s="21" t="s">
        <v>369</v>
      </c>
      <c r="AE6579" t="str">
        <f>VLOOKUP(Table_Query_from_Actuarial___Production3[[#This Row],[Kor1]],$AI$3:$AK$105,3,FALSE)</f>
        <v>Premiums Written</v>
      </c>
      <c r="AF6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580" spans="18:32" x14ac:dyDescent="0.2">
      <c r="R6580" t="s">
        <v>3</v>
      </c>
      <c r="S6580" t="s">
        <v>237</v>
      </c>
      <c r="T6580" t="s">
        <v>9</v>
      </c>
      <c r="U6580" s="21">
        <v>14972877</v>
      </c>
      <c r="V6580" s="21" t="s">
        <v>368</v>
      </c>
      <c r="W6580" t="str">
        <f>VLOOKUP(Table_Query_from_Actuarial___Production[[#This Row],[Kor1]],$AI$3:$AK$105,3,FALSE)</f>
        <v>Premiums Written</v>
      </c>
      <c r="X6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0"/>
      <c r="Z6580" t="s">
        <v>14</v>
      </c>
      <c r="AA6580" t="s">
        <v>235</v>
      </c>
      <c r="AB6580" t="s">
        <v>6</v>
      </c>
      <c r="AC6580" s="21">
        <v>37257.870000000003</v>
      </c>
      <c r="AD6580" s="21" t="s">
        <v>368</v>
      </c>
      <c r="AE6580" t="str">
        <f>VLOOKUP(Table_Query_from_Actuarial___Production3[[#This Row],[Kor1]],$AI$3:$AK$105,3,FALSE)</f>
        <v>Claims Expense</v>
      </c>
      <c r="AF6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1" spans="18:32" x14ac:dyDescent="0.2">
      <c r="R6581" t="s">
        <v>43</v>
      </c>
      <c r="S6581" t="s">
        <v>261</v>
      </c>
      <c r="T6581" t="s">
        <v>351</v>
      </c>
      <c r="U6581" s="21">
        <v>-2610.33</v>
      </c>
      <c r="V6581" s="21" t="s">
        <v>368</v>
      </c>
      <c r="W6581" t="str">
        <f>VLOOKUP(Table_Query_from_Actuarial___Production[[#This Row],[Kor1]],$AI$3:$AK$105,3,FALSE)</f>
        <v>Charge-offs</v>
      </c>
      <c r="X6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1"/>
      <c r="Z6581" t="s">
        <v>14</v>
      </c>
      <c r="AA6581" t="s">
        <v>262</v>
      </c>
      <c r="AB6581" t="s">
        <v>7</v>
      </c>
      <c r="AC6581" s="21">
        <v>17365.78</v>
      </c>
      <c r="AD6581" s="21" t="s">
        <v>368</v>
      </c>
      <c r="AE6581" t="str">
        <f>VLOOKUP(Table_Query_from_Actuarial___Production3[[#This Row],[Kor1]],$AI$3:$AK$105,3,FALSE)</f>
        <v>Claims Expense</v>
      </c>
      <c r="AF6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2" spans="18:32" x14ac:dyDescent="0.2">
      <c r="R6582" t="s">
        <v>14</v>
      </c>
      <c r="S6582" t="s">
        <v>265</v>
      </c>
      <c r="T6582" t="s">
        <v>445</v>
      </c>
      <c r="U6582" s="21">
        <v>2818.2</v>
      </c>
      <c r="V6582" s="21" t="s">
        <v>368</v>
      </c>
      <c r="W6582" t="str">
        <f>VLOOKUP(Table_Query_from_Actuarial___Production[[#This Row],[Kor1]],$AI$3:$AK$105,3,FALSE)</f>
        <v>Claims Expense</v>
      </c>
      <c r="X6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2"/>
      <c r="Z6582" t="s">
        <v>32</v>
      </c>
      <c r="AA6582" t="s">
        <v>246</v>
      </c>
      <c r="AB6582" t="s">
        <v>427</v>
      </c>
      <c r="AC6582" s="21">
        <v>-31610.560000000001</v>
      </c>
      <c r="AD6582" s="21" t="s">
        <v>368</v>
      </c>
      <c r="AE6582" t="str">
        <f>VLOOKUP(Table_Query_from_Actuarial___Production3[[#This Row],[Kor1]],$AI$3:$AK$105,3,FALSE)</f>
        <v>Misc. Expense</v>
      </c>
      <c r="AF6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3" spans="18:32" x14ac:dyDescent="0.2">
      <c r="R6583" t="s">
        <v>20</v>
      </c>
      <c r="S6583" t="s">
        <v>243</v>
      </c>
      <c r="T6583" t="s">
        <v>9</v>
      </c>
      <c r="U6583" s="21">
        <v>105.85</v>
      </c>
      <c r="V6583" s="21" t="s">
        <v>368</v>
      </c>
      <c r="W6583" t="str">
        <f>VLOOKUP(Table_Query_from_Actuarial___Production[[#This Row],[Kor1]],$AI$3:$AK$105,3,FALSE)</f>
        <v>Misc. Expense</v>
      </c>
      <c r="X6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3"/>
      <c r="Z6583" t="s">
        <v>40</v>
      </c>
      <c r="AA6583" t="s">
        <v>263</v>
      </c>
      <c r="AB6583" t="s">
        <v>9</v>
      </c>
      <c r="AC6583" s="21">
        <v>286</v>
      </c>
      <c r="AD6583" s="21" t="s">
        <v>368</v>
      </c>
      <c r="AE6583" t="str">
        <f>VLOOKUP(Table_Query_from_Actuarial___Production3[[#This Row],[Kor1]],$AI$3:$AK$105,3,FALSE)</f>
        <v>Misc. Income</v>
      </c>
      <c r="AF6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4" spans="18:32" x14ac:dyDescent="0.2">
      <c r="R6584" t="s">
        <v>39</v>
      </c>
      <c r="S6584" t="s">
        <v>260</v>
      </c>
      <c r="T6584" t="s">
        <v>427</v>
      </c>
      <c r="U6584" s="21">
        <v>55.95</v>
      </c>
      <c r="V6584" s="21" t="s">
        <v>368</v>
      </c>
      <c r="W6584" t="str">
        <f>VLOOKUP(Table_Query_from_Actuarial___Production[[#This Row],[Kor1]],$AI$3:$AK$105,3,FALSE)</f>
        <v>Misc. Income for Insolvent Companies</v>
      </c>
      <c r="X6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4"/>
      <c r="Z6584" t="s">
        <v>3</v>
      </c>
      <c r="AA6584" t="s">
        <v>237</v>
      </c>
      <c r="AB6584" t="s">
        <v>9</v>
      </c>
      <c r="AC6584" s="21">
        <v>14972877</v>
      </c>
      <c r="AD6584" s="21" t="s">
        <v>368</v>
      </c>
      <c r="AE6584" t="str">
        <f>VLOOKUP(Table_Query_from_Actuarial___Production3[[#This Row],[Kor1]],$AI$3:$AK$105,3,FALSE)</f>
        <v>Premiums Written</v>
      </c>
      <c r="AF6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5" spans="18:32" x14ac:dyDescent="0.2">
      <c r="R6585" t="s">
        <v>10</v>
      </c>
      <c r="S6585" t="s">
        <v>227</v>
      </c>
      <c r="T6585" t="s">
        <v>8</v>
      </c>
      <c r="U6585" s="21">
        <v>1647.6</v>
      </c>
      <c r="V6585" s="21" t="s">
        <v>368</v>
      </c>
      <c r="W6585" t="str">
        <f>VLOOKUP(Table_Query_from_Actuarial___Production[[#This Row],[Kor1]],$AI$3:$AK$105,3,FALSE)</f>
        <v>Commissions</v>
      </c>
      <c r="X6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5"/>
      <c r="Z6585" t="s">
        <v>43</v>
      </c>
      <c r="AA6585" t="s">
        <v>261</v>
      </c>
      <c r="AB6585" t="s">
        <v>351</v>
      </c>
      <c r="AC6585" s="21">
        <v>-2610.33</v>
      </c>
      <c r="AD6585" s="21" t="s">
        <v>368</v>
      </c>
      <c r="AE6585" t="str">
        <f>VLOOKUP(Table_Query_from_Actuarial___Production3[[#This Row],[Kor1]],$AI$3:$AK$105,3,FALSE)</f>
        <v>Charge-offs</v>
      </c>
      <c r="AF6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6" spans="18:32" x14ac:dyDescent="0.2">
      <c r="R6586" t="s">
        <v>16</v>
      </c>
      <c r="S6586" t="s">
        <v>252</v>
      </c>
      <c r="T6586" t="s">
        <v>443</v>
      </c>
      <c r="U6586" s="21">
        <v>5165284.66</v>
      </c>
      <c r="V6586" s="21" t="s">
        <v>368</v>
      </c>
      <c r="W6586" t="str">
        <f>VLOOKUP(Table_Query_from_Actuarial___Production[[#This Row],[Kor1]],$AI$3:$AK$105,3,FALSE)</f>
        <v>Losses Outstanding</v>
      </c>
      <c r="X6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6"/>
      <c r="Z6586" t="s">
        <v>17</v>
      </c>
      <c r="AA6586" t="s">
        <v>354</v>
      </c>
      <c r="AB6586" t="s">
        <v>9</v>
      </c>
      <c r="AC6586" s="21">
        <v>85481.45</v>
      </c>
      <c r="AD6586" s="21" t="s">
        <v>368</v>
      </c>
      <c r="AE6586" t="str">
        <f>VLOOKUP(Table_Query_from_Actuarial___Production3[[#This Row],[Kor1]],$AI$3:$AK$105,3,FALSE)</f>
        <v>IBNR</v>
      </c>
      <c r="AF6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587" spans="18:32" x14ac:dyDescent="0.2">
      <c r="R6587" t="s">
        <v>13</v>
      </c>
      <c r="S6587" t="s">
        <v>235</v>
      </c>
      <c r="T6587" t="s">
        <v>9</v>
      </c>
      <c r="U6587" s="21">
        <v>95602.57</v>
      </c>
      <c r="V6587" s="21" t="s">
        <v>368</v>
      </c>
      <c r="W6587" t="str">
        <f>VLOOKUP(Table_Query_from_Actuarial___Production[[#This Row],[Kor1]],$AI$3:$AK$105,3,FALSE)</f>
        <v>Operating Service Fees</v>
      </c>
      <c r="X6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7"/>
      <c r="Z6587" t="s">
        <v>20</v>
      </c>
      <c r="AA6587" t="s">
        <v>243</v>
      </c>
      <c r="AB6587" t="s">
        <v>9</v>
      </c>
      <c r="AC6587" s="21">
        <v>105.85</v>
      </c>
      <c r="AD6587" s="21" t="s">
        <v>368</v>
      </c>
      <c r="AE6587" t="str">
        <f>VLOOKUP(Table_Query_from_Actuarial___Production3[[#This Row],[Kor1]],$AI$3:$AK$105,3,FALSE)</f>
        <v>Misc. Expense</v>
      </c>
      <c r="AF6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8" spans="18:32" x14ac:dyDescent="0.2">
      <c r="R6588" t="s">
        <v>20</v>
      </c>
      <c r="S6588" t="s">
        <v>234</v>
      </c>
      <c r="T6588" t="s">
        <v>442</v>
      </c>
      <c r="U6588" s="21">
        <v>142.59</v>
      </c>
      <c r="V6588" s="21" t="s">
        <v>368</v>
      </c>
      <c r="W6588" t="str">
        <f>VLOOKUP(Table_Query_from_Actuarial___Production[[#This Row],[Kor1]],$AI$3:$AK$105,3,FALSE)</f>
        <v>Misc. Expense</v>
      </c>
      <c r="X6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8"/>
      <c r="Z6588" t="s">
        <v>39</v>
      </c>
      <c r="AA6588" t="s">
        <v>260</v>
      </c>
      <c r="AB6588" t="s">
        <v>427</v>
      </c>
      <c r="AC6588" s="21">
        <v>45.95</v>
      </c>
      <c r="AD6588" s="21" t="s">
        <v>368</v>
      </c>
      <c r="AE6588" t="str">
        <f>VLOOKUP(Table_Query_from_Actuarial___Production3[[#This Row],[Kor1]],$AI$3:$AK$105,3,FALSE)</f>
        <v>Misc. Income for Insolvent Companies</v>
      </c>
      <c r="AF6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89" spans="18:32" x14ac:dyDescent="0.2">
      <c r="R6589" t="s">
        <v>33</v>
      </c>
      <c r="S6589" t="s">
        <v>228</v>
      </c>
      <c r="T6589" t="s">
        <v>6</v>
      </c>
      <c r="U6589" s="21">
        <v>14424.01</v>
      </c>
      <c r="V6589" s="21" t="s">
        <v>368</v>
      </c>
      <c r="W6589" t="str">
        <f>VLOOKUP(Table_Query_from_Actuarial___Production[[#This Row],[Kor1]],$AI$3:$AK$105,3,FALSE)</f>
        <v>Misc. Expense</v>
      </c>
      <c r="X6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89"/>
      <c r="Z6589" t="s">
        <v>77</v>
      </c>
      <c r="AA6589" t="s">
        <v>231</v>
      </c>
      <c r="AB6589" t="s">
        <v>442</v>
      </c>
      <c r="AC6589" s="21">
        <v>136841</v>
      </c>
      <c r="AD6589" s="21" t="s">
        <v>368</v>
      </c>
      <c r="AE6589" t="str">
        <f>VLOOKUP(Table_Query_from_Actuarial___Production3[[#This Row],[Kor1]],$AI$3:$AK$105,3,FALSE)</f>
        <v>PDR</v>
      </c>
      <c r="AF6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0" spans="18:32" x14ac:dyDescent="0.2">
      <c r="R6590" t="s">
        <v>12</v>
      </c>
      <c r="S6590" t="s">
        <v>246</v>
      </c>
      <c r="T6590" t="s">
        <v>427</v>
      </c>
      <c r="U6590" s="21">
        <v>50643.46</v>
      </c>
      <c r="V6590" s="21" t="s">
        <v>368</v>
      </c>
      <c r="W6590" t="str">
        <f>VLOOKUP(Table_Query_from_Actuarial___Production[[#This Row],[Kor1]],$AI$3:$AK$105,3,FALSE)</f>
        <v>Premium Tax</v>
      </c>
      <c r="X6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0"/>
      <c r="Z6590" t="s">
        <v>10</v>
      </c>
      <c r="AA6590" t="s">
        <v>227</v>
      </c>
      <c r="AB6590" t="s">
        <v>8</v>
      </c>
      <c r="AC6590" s="21">
        <v>1647.6</v>
      </c>
      <c r="AD6590" s="21" t="s">
        <v>368</v>
      </c>
      <c r="AE6590" t="str">
        <f>VLOOKUP(Table_Query_from_Actuarial___Production3[[#This Row],[Kor1]],$AI$3:$AK$105,3,FALSE)</f>
        <v>Commissions</v>
      </c>
      <c r="AF6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1" spans="18:32" x14ac:dyDescent="0.2">
      <c r="R6591" t="s">
        <v>39</v>
      </c>
      <c r="S6591" t="s">
        <v>252</v>
      </c>
      <c r="T6591" t="s">
        <v>8</v>
      </c>
      <c r="U6591" s="21">
        <v>725727</v>
      </c>
      <c r="V6591" s="21" t="s">
        <v>368</v>
      </c>
      <c r="W6591" t="str">
        <f>VLOOKUP(Table_Query_from_Actuarial___Production[[#This Row],[Kor1]],$AI$3:$AK$105,3,FALSE)</f>
        <v>Misc. Income for Insolvent Companies</v>
      </c>
      <c r="X6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1"/>
      <c r="Z6591" t="s">
        <v>16</v>
      </c>
      <c r="AA6591" t="s">
        <v>252</v>
      </c>
      <c r="AB6591" t="s">
        <v>443</v>
      </c>
      <c r="AC6591" s="21">
        <v>565229.03</v>
      </c>
      <c r="AD6591" s="21" t="s">
        <v>368</v>
      </c>
      <c r="AE6591" t="str">
        <f>VLOOKUP(Table_Query_from_Actuarial___Production3[[#This Row],[Kor1]],$AI$3:$AK$105,3,FALSE)</f>
        <v>Losses Outstanding</v>
      </c>
      <c r="AF6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2" spans="18:32" x14ac:dyDescent="0.2">
      <c r="R6592" t="s">
        <v>40</v>
      </c>
      <c r="S6592" t="s">
        <v>267</v>
      </c>
      <c r="T6592" t="s">
        <v>351</v>
      </c>
      <c r="U6592" s="21">
        <v>66</v>
      </c>
      <c r="V6592" s="21" t="s">
        <v>368</v>
      </c>
      <c r="W6592" t="str">
        <f>VLOOKUP(Table_Query_from_Actuarial___Production[[#This Row],[Kor1]],$AI$3:$AK$105,3,FALSE)</f>
        <v>Misc. Income</v>
      </c>
      <c r="X6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2"/>
      <c r="Z6592" t="s">
        <v>13</v>
      </c>
      <c r="AA6592" t="s">
        <v>235</v>
      </c>
      <c r="AB6592" t="s">
        <v>9</v>
      </c>
      <c r="AC6592" s="21">
        <v>95602.57</v>
      </c>
      <c r="AD6592" s="21" t="s">
        <v>368</v>
      </c>
      <c r="AE6592" t="str">
        <f>VLOOKUP(Table_Query_from_Actuarial___Production3[[#This Row],[Kor1]],$AI$3:$AK$105,3,FALSE)</f>
        <v>Operating Service Fees</v>
      </c>
      <c r="AF6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3" spans="18:32" x14ac:dyDescent="0.2">
      <c r="R6593" t="s">
        <v>10</v>
      </c>
      <c r="S6593" t="s">
        <v>226</v>
      </c>
      <c r="T6593" t="s">
        <v>6</v>
      </c>
      <c r="U6593" s="21">
        <v>311438.59999999998</v>
      </c>
      <c r="V6593" s="21" t="s">
        <v>368</v>
      </c>
      <c r="W6593" t="str">
        <f>VLOOKUP(Table_Query_from_Actuarial___Production[[#This Row],[Kor1]],$AI$3:$AK$105,3,FALSE)</f>
        <v>Commissions</v>
      </c>
      <c r="X6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593"/>
      <c r="Z6593" t="s">
        <v>20</v>
      </c>
      <c r="AA6593" t="s">
        <v>234</v>
      </c>
      <c r="AB6593" t="s">
        <v>442</v>
      </c>
      <c r="AC6593" s="21">
        <v>142.59</v>
      </c>
      <c r="AD6593" s="21" t="s">
        <v>368</v>
      </c>
      <c r="AE6593" t="str">
        <f>VLOOKUP(Table_Query_from_Actuarial___Production3[[#This Row],[Kor1]],$AI$3:$AK$105,3,FALSE)</f>
        <v>Misc. Expense</v>
      </c>
      <c r="AF6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4" spans="18:32" x14ac:dyDescent="0.2">
      <c r="R6594" t="s">
        <v>14</v>
      </c>
      <c r="S6594" t="s">
        <v>224</v>
      </c>
      <c r="T6594" t="s">
        <v>8</v>
      </c>
      <c r="U6594" s="21">
        <v>22468.19</v>
      </c>
      <c r="V6594" s="21" t="s">
        <v>369</v>
      </c>
      <c r="W6594" t="str">
        <f>VLOOKUP(Table_Query_from_Actuarial___Production[[#This Row],[Kor1]],$AI$3:$AK$105,3,FALSE)</f>
        <v>Claims Expense</v>
      </c>
      <c r="X6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594"/>
      <c r="Z6594" t="s">
        <v>33</v>
      </c>
      <c r="AA6594" t="s">
        <v>228</v>
      </c>
      <c r="AB6594" t="s">
        <v>6</v>
      </c>
      <c r="AC6594" s="21">
        <v>14424.01</v>
      </c>
      <c r="AD6594" s="21" t="s">
        <v>368</v>
      </c>
      <c r="AE6594" t="str">
        <f>VLOOKUP(Table_Query_from_Actuarial___Production3[[#This Row],[Kor1]],$AI$3:$AK$105,3,FALSE)</f>
        <v>Misc. Expense</v>
      </c>
      <c r="AF6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5" spans="18:32" x14ac:dyDescent="0.2">
      <c r="R6595" t="s">
        <v>10</v>
      </c>
      <c r="S6595" t="s">
        <v>261</v>
      </c>
      <c r="T6595" t="s">
        <v>356</v>
      </c>
      <c r="U6595" s="21">
        <v>33791.699999999997</v>
      </c>
      <c r="V6595" s="21" t="s">
        <v>368</v>
      </c>
      <c r="W6595" t="str">
        <f>VLOOKUP(Table_Query_from_Actuarial___Production[[#This Row],[Kor1]],$AI$3:$AK$105,3,FALSE)</f>
        <v>Commissions</v>
      </c>
      <c r="X6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5"/>
      <c r="Z6595" t="s">
        <v>12</v>
      </c>
      <c r="AA6595" t="s">
        <v>246</v>
      </c>
      <c r="AB6595" t="s">
        <v>427</v>
      </c>
      <c r="AC6595" s="21">
        <v>50643.46</v>
      </c>
      <c r="AD6595" s="21" t="s">
        <v>368</v>
      </c>
      <c r="AE6595" t="str">
        <f>VLOOKUP(Table_Query_from_Actuarial___Production3[[#This Row],[Kor1]],$AI$3:$AK$105,3,FALSE)</f>
        <v>Premium Tax</v>
      </c>
      <c r="AF6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6" spans="18:32" x14ac:dyDescent="0.2">
      <c r="R6596" t="s">
        <v>33</v>
      </c>
      <c r="S6596" t="s">
        <v>243</v>
      </c>
      <c r="T6596" t="s">
        <v>441</v>
      </c>
      <c r="U6596" s="21">
        <v>14311.9</v>
      </c>
      <c r="V6596" s="21" t="s">
        <v>368</v>
      </c>
      <c r="W6596" t="str">
        <f>VLOOKUP(Table_Query_from_Actuarial___Production[[#This Row],[Kor1]],$AI$3:$AK$105,3,FALSE)</f>
        <v>Misc. Expense</v>
      </c>
      <c r="X6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6"/>
      <c r="Z6596" t="s">
        <v>39</v>
      </c>
      <c r="AA6596" t="s">
        <v>252</v>
      </c>
      <c r="AB6596" t="s">
        <v>8</v>
      </c>
      <c r="AC6596" s="21">
        <v>725608</v>
      </c>
      <c r="AD6596" s="21" t="s">
        <v>368</v>
      </c>
      <c r="AE6596" t="str">
        <f>VLOOKUP(Table_Query_from_Actuarial___Production3[[#This Row],[Kor1]],$AI$3:$AK$105,3,FALSE)</f>
        <v>Misc. Income for Insolvent Companies</v>
      </c>
      <c r="AF6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7" spans="18:32" x14ac:dyDescent="0.2">
      <c r="R6597" t="s">
        <v>47</v>
      </c>
      <c r="S6597" t="s">
        <v>244</v>
      </c>
      <c r="T6597" t="s">
        <v>6</v>
      </c>
      <c r="U6597" s="21">
        <v>0.03</v>
      </c>
      <c r="V6597" s="21" t="s">
        <v>368</v>
      </c>
      <c r="W6597" t="str">
        <f>VLOOKUP(Table_Query_from_Actuarial___Production[[#This Row],[Kor1]],$AI$3:$AK$105,3,FALSE)</f>
        <v>Investment Income</v>
      </c>
      <c r="X6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7"/>
      <c r="Z6597" t="s">
        <v>40</v>
      </c>
      <c r="AA6597" t="s">
        <v>267</v>
      </c>
      <c r="AB6597" t="s">
        <v>351</v>
      </c>
      <c r="AC6597" s="21">
        <v>66</v>
      </c>
      <c r="AD6597" s="21" t="s">
        <v>368</v>
      </c>
      <c r="AE6597" t="str">
        <f>VLOOKUP(Table_Query_from_Actuarial___Production3[[#This Row],[Kor1]],$AI$3:$AK$105,3,FALSE)</f>
        <v>Misc. Income</v>
      </c>
      <c r="AF6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598" spans="18:32" x14ac:dyDescent="0.2">
      <c r="R6598" t="s">
        <v>49</v>
      </c>
      <c r="S6598" t="s">
        <v>246</v>
      </c>
      <c r="T6598" t="s">
        <v>433</v>
      </c>
      <c r="U6598" s="21">
        <v>10240.700000000001</v>
      </c>
      <c r="V6598" s="21" t="s">
        <v>368</v>
      </c>
      <c r="W6598" t="str">
        <f>VLOOKUP(Table_Query_from_Actuarial___Production[[#This Row],[Kor1]],$AI$3:$AK$105,3,FALSE)</f>
        <v>ALAE Paid</v>
      </c>
      <c r="X6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8"/>
      <c r="Z6598" t="s">
        <v>3</v>
      </c>
      <c r="AA6598" t="s">
        <v>354</v>
      </c>
      <c r="AB6598" t="s">
        <v>5</v>
      </c>
      <c r="AC6598" s="21">
        <v>46731396.219999999</v>
      </c>
      <c r="AD6598" s="21" t="s">
        <v>368</v>
      </c>
      <c r="AE6598" t="str">
        <f>VLOOKUP(Table_Query_from_Actuarial___Production3[[#This Row],[Kor1]],$AI$3:$AK$105,3,FALSE)</f>
        <v>Premiums Written</v>
      </c>
      <c r="AF6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599" spans="18:32" x14ac:dyDescent="0.2">
      <c r="R6599" t="s">
        <v>10</v>
      </c>
      <c r="S6599" t="s">
        <v>241</v>
      </c>
      <c r="T6599" t="s">
        <v>427</v>
      </c>
      <c r="U6599" s="21">
        <v>51626.65</v>
      </c>
      <c r="V6599" s="21" t="s">
        <v>368</v>
      </c>
      <c r="W6599" t="str">
        <f>VLOOKUP(Table_Query_from_Actuarial___Production[[#This Row],[Kor1]],$AI$3:$AK$105,3,FALSE)</f>
        <v>Commissions</v>
      </c>
      <c r="X6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599"/>
      <c r="Z6599" t="s">
        <v>10</v>
      </c>
      <c r="AA6599" t="s">
        <v>226</v>
      </c>
      <c r="AB6599" t="s">
        <v>6</v>
      </c>
      <c r="AC6599" s="21">
        <v>311438.59999999998</v>
      </c>
      <c r="AD6599" s="21" t="s">
        <v>368</v>
      </c>
      <c r="AE6599" t="str">
        <f>VLOOKUP(Table_Query_from_Actuarial___Production3[[#This Row],[Kor1]],$AI$3:$AK$105,3,FALSE)</f>
        <v>Commissions</v>
      </c>
      <c r="AF6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600" spans="18:32" x14ac:dyDescent="0.2">
      <c r="R6600" t="s">
        <v>12</v>
      </c>
      <c r="S6600" t="s">
        <v>251</v>
      </c>
      <c r="T6600" t="s">
        <v>356</v>
      </c>
      <c r="U6600" s="21">
        <v>31264.83</v>
      </c>
      <c r="V6600" s="21" t="s">
        <v>368</v>
      </c>
      <c r="W6600" t="str">
        <f>VLOOKUP(Table_Query_from_Actuarial___Production[[#This Row],[Kor1]],$AI$3:$AK$105,3,FALSE)</f>
        <v>Premium Tax</v>
      </c>
      <c r="X6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0"/>
      <c r="Z6600" t="s">
        <v>14</v>
      </c>
      <c r="AA6600" t="s">
        <v>224</v>
      </c>
      <c r="AB6600" t="s">
        <v>8</v>
      </c>
      <c r="AC6600" s="21">
        <v>22468.19</v>
      </c>
      <c r="AD6600" s="21" t="s">
        <v>369</v>
      </c>
      <c r="AE6600" t="str">
        <f>VLOOKUP(Table_Query_from_Actuarial___Production3[[#This Row],[Kor1]],$AI$3:$AK$105,3,FALSE)</f>
        <v>Claims Expense</v>
      </c>
      <c r="AF6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601" spans="18:32" x14ac:dyDescent="0.2">
      <c r="R6601" t="s">
        <v>13</v>
      </c>
      <c r="S6601" t="s">
        <v>262</v>
      </c>
      <c r="T6601" t="s">
        <v>6</v>
      </c>
      <c r="U6601" s="21">
        <v>61469.63</v>
      </c>
      <c r="V6601" s="21" t="s">
        <v>368</v>
      </c>
      <c r="W6601" t="str">
        <f>VLOOKUP(Table_Query_from_Actuarial___Production[[#This Row],[Kor1]],$AI$3:$AK$105,3,FALSE)</f>
        <v>Operating Service Fees</v>
      </c>
      <c r="X6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1"/>
      <c r="Z6601" t="s">
        <v>10</v>
      </c>
      <c r="AA6601" t="s">
        <v>261</v>
      </c>
      <c r="AB6601" t="s">
        <v>356</v>
      </c>
      <c r="AC6601" s="21">
        <v>33791.699999999997</v>
      </c>
      <c r="AD6601" s="21" t="s">
        <v>368</v>
      </c>
      <c r="AE6601" t="str">
        <f>VLOOKUP(Table_Query_from_Actuarial___Production3[[#This Row],[Kor1]],$AI$3:$AK$105,3,FALSE)</f>
        <v>Commissions</v>
      </c>
      <c r="AF6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2" spans="18:32" x14ac:dyDescent="0.2">
      <c r="R6602" t="s">
        <v>49</v>
      </c>
      <c r="S6602" t="s">
        <v>225</v>
      </c>
      <c r="T6602" t="s">
        <v>7</v>
      </c>
      <c r="U6602" s="21">
        <v>296550.51</v>
      </c>
      <c r="V6602" s="21" t="s">
        <v>368</v>
      </c>
      <c r="W6602" t="str">
        <f>VLOOKUP(Table_Query_from_Actuarial___Production[[#This Row],[Kor1]],$AI$3:$AK$105,3,FALSE)</f>
        <v>ALAE Paid</v>
      </c>
      <c r="X6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602"/>
      <c r="Z6602" t="s">
        <v>12</v>
      </c>
      <c r="AA6602" t="s">
        <v>255</v>
      </c>
      <c r="AB6602" t="s">
        <v>5</v>
      </c>
      <c r="AC6602" s="21">
        <v>5484.95</v>
      </c>
      <c r="AD6602" s="21" t="s">
        <v>368</v>
      </c>
      <c r="AE6602" t="str">
        <f>VLOOKUP(Table_Query_from_Actuarial___Production3[[#This Row],[Kor1]],$AI$3:$AK$105,3,FALSE)</f>
        <v>Premium Tax</v>
      </c>
      <c r="AF6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3" spans="18:32" x14ac:dyDescent="0.2">
      <c r="R6603" t="s">
        <v>12</v>
      </c>
      <c r="S6603" t="s">
        <v>264</v>
      </c>
      <c r="T6603" t="s">
        <v>441</v>
      </c>
      <c r="U6603" s="21">
        <v>96917.42</v>
      </c>
      <c r="V6603" s="21" t="s">
        <v>368</v>
      </c>
      <c r="W6603" t="str">
        <f>VLOOKUP(Table_Query_from_Actuarial___Production[[#This Row],[Kor1]],$AI$3:$AK$105,3,FALSE)</f>
        <v>Premium Tax</v>
      </c>
      <c r="X6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3"/>
      <c r="Z6603" t="s">
        <v>33</v>
      </c>
      <c r="AA6603" t="s">
        <v>243</v>
      </c>
      <c r="AB6603" t="s">
        <v>441</v>
      </c>
      <c r="AC6603" s="21">
        <v>14311.9</v>
      </c>
      <c r="AD6603" s="21" t="s">
        <v>368</v>
      </c>
      <c r="AE6603" t="str">
        <f>VLOOKUP(Table_Query_from_Actuarial___Production3[[#This Row],[Kor1]],$AI$3:$AK$105,3,FALSE)</f>
        <v>Misc. Expense</v>
      </c>
      <c r="AF6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4" spans="18:32" x14ac:dyDescent="0.2">
      <c r="R6604" t="s">
        <v>15</v>
      </c>
      <c r="S6604" t="s">
        <v>354</v>
      </c>
      <c r="T6604" t="s">
        <v>443</v>
      </c>
      <c r="U6604" s="21">
        <v>28386588.579999998</v>
      </c>
      <c r="V6604" s="21" t="s">
        <v>369</v>
      </c>
      <c r="W6604" t="str">
        <f>VLOOKUP(Table_Query_from_Actuarial___Production[[#This Row],[Kor1]],$AI$3:$AK$105,3,FALSE)</f>
        <v>Unearned Premiums</v>
      </c>
      <c r="X6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604"/>
      <c r="Z6604" t="s">
        <v>47</v>
      </c>
      <c r="AA6604" t="s">
        <v>244</v>
      </c>
      <c r="AB6604" t="s">
        <v>6</v>
      </c>
      <c r="AC6604" s="21">
        <v>0.03</v>
      </c>
      <c r="AD6604" s="21" t="s">
        <v>368</v>
      </c>
      <c r="AE6604" t="str">
        <f>VLOOKUP(Table_Query_from_Actuarial___Production3[[#This Row],[Kor1]],$AI$3:$AK$105,3,FALSE)</f>
        <v>Investment Income</v>
      </c>
      <c r="AF6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5" spans="18:32" x14ac:dyDescent="0.2">
      <c r="R6605" t="s">
        <v>48</v>
      </c>
      <c r="S6605" t="s">
        <v>268</v>
      </c>
      <c r="T6605" t="s">
        <v>433</v>
      </c>
      <c r="U6605" s="21">
        <v>326.99</v>
      </c>
      <c r="V6605" s="21" t="s">
        <v>368</v>
      </c>
      <c r="W6605" t="str">
        <f>VLOOKUP(Table_Query_from_Actuarial___Production[[#This Row],[Kor1]],$AI$3:$AK$105,3,FALSE)</f>
        <v>Anticipated Salvage</v>
      </c>
      <c r="X6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5"/>
      <c r="Z6605" t="s">
        <v>49</v>
      </c>
      <c r="AA6605" t="s">
        <v>246</v>
      </c>
      <c r="AB6605" t="s">
        <v>433</v>
      </c>
      <c r="AC6605" s="21">
        <v>10240.700000000001</v>
      </c>
      <c r="AD6605" s="21" t="s">
        <v>368</v>
      </c>
      <c r="AE6605" t="str">
        <f>VLOOKUP(Table_Query_from_Actuarial___Production3[[#This Row],[Kor1]],$AI$3:$AK$105,3,FALSE)</f>
        <v>ALAE Paid</v>
      </c>
      <c r="AF6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6" spans="18:32" x14ac:dyDescent="0.2">
      <c r="R6606" t="s">
        <v>49</v>
      </c>
      <c r="S6606" t="s">
        <v>225</v>
      </c>
      <c r="T6606" t="s">
        <v>433</v>
      </c>
      <c r="U6606" s="21">
        <v>7855.61</v>
      </c>
      <c r="V6606" s="21" t="s">
        <v>368</v>
      </c>
      <c r="W6606" t="str">
        <f>VLOOKUP(Table_Query_from_Actuarial___Production[[#This Row],[Kor1]],$AI$3:$AK$105,3,FALSE)</f>
        <v>ALAE Paid</v>
      </c>
      <c r="X6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606"/>
      <c r="Z6606" t="s">
        <v>10</v>
      </c>
      <c r="AA6606" t="s">
        <v>241</v>
      </c>
      <c r="AB6606" t="s">
        <v>427</v>
      </c>
      <c r="AC6606" s="21">
        <v>51626.65</v>
      </c>
      <c r="AD6606" s="21" t="s">
        <v>368</v>
      </c>
      <c r="AE6606" t="str">
        <f>VLOOKUP(Table_Query_from_Actuarial___Production3[[#This Row],[Kor1]],$AI$3:$AK$105,3,FALSE)</f>
        <v>Commissions</v>
      </c>
      <c r="AF6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7" spans="18:32" x14ac:dyDescent="0.2">
      <c r="R6607" t="s">
        <v>47</v>
      </c>
      <c r="S6607" t="s">
        <v>244</v>
      </c>
      <c r="T6607" t="s">
        <v>445</v>
      </c>
      <c r="U6607" s="21">
        <v>21132.1</v>
      </c>
      <c r="V6607" s="21" t="s">
        <v>368</v>
      </c>
      <c r="W6607" t="str">
        <f>VLOOKUP(Table_Query_from_Actuarial___Production[[#This Row],[Kor1]],$AI$3:$AK$105,3,FALSE)</f>
        <v>Investment Income</v>
      </c>
      <c r="X6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7"/>
      <c r="Z6607" t="s">
        <v>12</v>
      </c>
      <c r="AA6607" t="s">
        <v>251</v>
      </c>
      <c r="AB6607" t="s">
        <v>356</v>
      </c>
      <c r="AC6607" s="21">
        <v>31264.83</v>
      </c>
      <c r="AD6607" s="21" t="s">
        <v>368</v>
      </c>
      <c r="AE6607" t="str">
        <f>VLOOKUP(Table_Query_from_Actuarial___Production3[[#This Row],[Kor1]],$AI$3:$AK$105,3,FALSE)</f>
        <v>Premium Tax</v>
      </c>
      <c r="AF6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8" spans="18:32" x14ac:dyDescent="0.2">
      <c r="R6608" t="s">
        <v>13</v>
      </c>
      <c r="S6608" t="s">
        <v>255</v>
      </c>
      <c r="T6608" t="s">
        <v>8</v>
      </c>
      <c r="U6608" s="21">
        <v>98385.75</v>
      </c>
      <c r="V6608" s="21" t="s">
        <v>368</v>
      </c>
      <c r="W6608" t="str">
        <f>VLOOKUP(Table_Query_from_Actuarial___Production[[#This Row],[Kor1]],$AI$3:$AK$105,3,FALSE)</f>
        <v>Operating Service Fees</v>
      </c>
      <c r="X6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8"/>
      <c r="Z6608" t="s">
        <v>13</v>
      </c>
      <c r="AA6608" t="s">
        <v>262</v>
      </c>
      <c r="AB6608" t="s">
        <v>6</v>
      </c>
      <c r="AC6608" s="21">
        <v>61469.63</v>
      </c>
      <c r="AD6608" s="21" t="s">
        <v>368</v>
      </c>
      <c r="AE6608" t="str">
        <f>VLOOKUP(Table_Query_from_Actuarial___Production3[[#This Row],[Kor1]],$AI$3:$AK$105,3,FALSE)</f>
        <v>Operating Service Fees</v>
      </c>
      <c r="AF6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09" spans="18:32" x14ac:dyDescent="0.2">
      <c r="R6609" t="s">
        <v>33</v>
      </c>
      <c r="S6609" t="s">
        <v>252</v>
      </c>
      <c r="T6609" t="s">
        <v>443</v>
      </c>
      <c r="U6609" s="21">
        <v>27621.82</v>
      </c>
      <c r="V6609" s="21" t="s">
        <v>368</v>
      </c>
      <c r="W6609" t="str">
        <f>VLOOKUP(Table_Query_from_Actuarial___Production[[#This Row],[Kor1]],$AI$3:$AK$105,3,FALSE)</f>
        <v>Misc. Expense</v>
      </c>
      <c r="X6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09"/>
      <c r="Z6609" t="s">
        <v>49</v>
      </c>
      <c r="AA6609" t="s">
        <v>225</v>
      </c>
      <c r="AB6609" t="s">
        <v>7</v>
      </c>
      <c r="AC6609" s="21">
        <v>286787.51</v>
      </c>
      <c r="AD6609" s="21" t="s">
        <v>368</v>
      </c>
      <c r="AE6609" t="str">
        <f>VLOOKUP(Table_Query_from_Actuarial___Production3[[#This Row],[Kor1]],$AI$3:$AK$105,3,FALSE)</f>
        <v>ALAE Paid</v>
      </c>
      <c r="AF6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610" spans="18:32" x14ac:dyDescent="0.2">
      <c r="R6610" t="s">
        <v>10</v>
      </c>
      <c r="S6610" t="s">
        <v>224</v>
      </c>
      <c r="T6610" t="s">
        <v>9</v>
      </c>
      <c r="U6610" s="21">
        <v>3018.94</v>
      </c>
      <c r="V6610" s="21" t="s">
        <v>425</v>
      </c>
      <c r="W6610" t="str">
        <f>VLOOKUP(Table_Query_from_Actuarial___Production[[#This Row],[Kor1]],$AI$3:$AK$105,3,FALSE)</f>
        <v>Commissions</v>
      </c>
      <c r="X6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610"/>
      <c r="Z6610" t="s">
        <v>12</v>
      </c>
      <c r="AA6610" t="s">
        <v>264</v>
      </c>
      <c r="AB6610" t="s">
        <v>441</v>
      </c>
      <c r="AC6610" s="21">
        <v>96917.42</v>
      </c>
      <c r="AD6610" s="21" t="s">
        <v>368</v>
      </c>
      <c r="AE6610" t="str">
        <f>VLOOKUP(Table_Query_from_Actuarial___Production3[[#This Row],[Kor1]],$AI$3:$AK$105,3,FALSE)</f>
        <v>Premium Tax</v>
      </c>
      <c r="AF6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1" spans="18:32" x14ac:dyDescent="0.2">
      <c r="R6611" t="s">
        <v>10</v>
      </c>
      <c r="S6611" t="s">
        <v>266</v>
      </c>
      <c r="T6611" t="s">
        <v>6</v>
      </c>
      <c r="U6611" s="21">
        <v>21722.799999999999</v>
      </c>
      <c r="V6611" s="21" t="s">
        <v>368</v>
      </c>
      <c r="W6611" t="str">
        <f>VLOOKUP(Table_Query_from_Actuarial___Production[[#This Row],[Kor1]],$AI$3:$AK$105,3,FALSE)</f>
        <v>Commissions</v>
      </c>
      <c r="X6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1"/>
      <c r="Z6611" t="s">
        <v>15</v>
      </c>
      <c r="AA6611" t="s">
        <v>354</v>
      </c>
      <c r="AB6611" t="s">
        <v>443</v>
      </c>
      <c r="AC6611" s="21">
        <v>335189427.44999999</v>
      </c>
      <c r="AD6611" s="21" t="s">
        <v>369</v>
      </c>
      <c r="AE6611" t="str">
        <f>VLOOKUP(Table_Query_from_Actuarial___Production3[[#This Row],[Kor1]],$AI$3:$AK$105,3,FALSE)</f>
        <v>Unearned Premiums</v>
      </c>
      <c r="AF6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612" spans="18:32" x14ac:dyDescent="0.2">
      <c r="R6612" t="s">
        <v>17</v>
      </c>
      <c r="S6612" t="s">
        <v>261</v>
      </c>
      <c r="T6612" t="s">
        <v>441</v>
      </c>
      <c r="U6612" s="21">
        <v>14240.31</v>
      </c>
      <c r="V6612" s="21" t="s">
        <v>368</v>
      </c>
      <c r="W6612" t="str">
        <f>VLOOKUP(Table_Query_from_Actuarial___Production[[#This Row],[Kor1]],$AI$3:$AK$105,3,FALSE)</f>
        <v>IBNR</v>
      </c>
      <c r="X6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2"/>
      <c r="Z6612" t="s">
        <v>48</v>
      </c>
      <c r="AA6612" t="s">
        <v>232</v>
      </c>
      <c r="AB6612" t="s">
        <v>356</v>
      </c>
      <c r="AC6612" s="21">
        <v>20</v>
      </c>
      <c r="AD6612" s="21" t="s">
        <v>368</v>
      </c>
      <c r="AE6612" t="str">
        <f>VLOOKUP(Table_Query_from_Actuarial___Production3[[#This Row],[Kor1]],$AI$3:$AK$105,3,FALSE)</f>
        <v>Anticipated Salvage</v>
      </c>
      <c r="AF6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3" spans="18:32" x14ac:dyDescent="0.2">
      <c r="R6613" t="s">
        <v>43</v>
      </c>
      <c r="S6613" t="s">
        <v>261</v>
      </c>
      <c r="T6613" t="s">
        <v>441</v>
      </c>
      <c r="U6613" s="21">
        <v>2.5299999999999998</v>
      </c>
      <c r="V6613" s="21" t="s">
        <v>368</v>
      </c>
      <c r="W6613" t="str">
        <f>VLOOKUP(Table_Query_from_Actuarial___Production[[#This Row],[Kor1]],$AI$3:$AK$105,3,FALSE)</f>
        <v>Charge-offs</v>
      </c>
      <c r="X6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3"/>
      <c r="Z6613" t="s">
        <v>48</v>
      </c>
      <c r="AA6613" t="s">
        <v>268</v>
      </c>
      <c r="AB6613" t="s">
        <v>433</v>
      </c>
      <c r="AC6613" s="21">
        <v>72.959999999999994</v>
      </c>
      <c r="AD6613" s="21" t="s">
        <v>368</v>
      </c>
      <c r="AE6613" t="str">
        <f>VLOOKUP(Table_Query_from_Actuarial___Production3[[#This Row],[Kor1]],$AI$3:$AK$105,3,FALSE)</f>
        <v>Anticipated Salvage</v>
      </c>
      <c r="AF6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4" spans="18:32" x14ac:dyDescent="0.2">
      <c r="R6614" t="s">
        <v>10</v>
      </c>
      <c r="S6614" t="s">
        <v>248</v>
      </c>
      <c r="T6614" t="s">
        <v>442</v>
      </c>
      <c r="U6614" s="21">
        <v>18160.580000000002</v>
      </c>
      <c r="V6614" s="21" t="s">
        <v>368</v>
      </c>
      <c r="W6614" t="str">
        <f>VLOOKUP(Table_Query_from_Actuarial___Production[[#This Row],[Kor1]],$AI$3:$AK$105,3,FALSE)</f>
        <v>Commissions</v>
      </c>
      <c r="X6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4"/>
      <c r="Z6614" t="s">
        <v>49</v>
      </c>
      <c r="AA6614" t="s">
        <v>225</v>
      </c>
      <c r="AB6614" t="s">
        <v>433</v>
      </c>
      <c r="AC6614" s="21">
        <v>7855.61</v>
      </c>
      <c r="AD6614" s="21" t="s">
        <v>368</v>
      </c>
      <c r="AE6614" t="str">
        <f>VLOOKUP(Table_Query_from_Actuarial___Production3[[#This Row],[Kor1]],$AI$3:$AK$105,3,FALSE)</f>
        <v>ALAE Paid</v>
      </c>
      <c r="AF6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615" spans="18:32" x14ac:dyDescent="0.2">
      <c r="R6615" t="s">
        <v>11</v>
      </c>
      <c r="S6615" t="s">
        <v>258</v>
      </c>
      <c r="T6615" t="s">
        <v>427</v>
      </c>
      <c r="U6615" s="21">
        <v>3188085.64</v>
      </c>
      <c r="V6615" s="21" t="s">
        <v>368</v>
      </c>
      <c r="W6615" t="str">
        <f>VLOOKUP(Table_Query_from_Actuarial___Production[[#This Row],[Kor1]],$AI$3:$AK$105,3,FALSE)</f>
        <v>Losses Paid</v>
      </c>
      <c r="X6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5"/>
      <c r="Z6615" t="s">
        <v>13</v>
      </c>
      <c r="AA6615" t="s">
        <v>255</v>
      </c>
      <c r="AB6615" t="s">
        <v>8</v>
      </c>
      <c r="AC6615" s="21">
        <v>98385.75</v>
      </c>
      <c r="AD6615" s="21" t="s">
        <v>368</v>
      </c>
      <c r="AE6615" t="str">
        <f>VLOOKUP(Table_Query_from_Actuarial___Production3[[#This Row],[Kor1]],$AI$3:$AK$105,3,FALSE)</f>
        <v>Operating Service Fees</v>
      </c>
      <c r="AF6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6" spans="18:32" x14ac:dyDescent="0.2">
      <c r="R6616" t="s">
        <v>13</v>
      </c>
      <c r="S6616" t="s">
        <v>261</v>
      </c>
      <c r="T6616" t="s">
        <v>441</v>
      </c>
      <c r="U6616" s="21">
        <v>34348.32</v>
      </c>
      <c r="V6616" s="21" t="s">
        <v>368</v>
      </c>
      <c r="W6616" t="str">
        <f>VLOOKUP(Table_Query_from_Actuarial___Production[[#This Row],[Kor1]],$AI$3:$AK$105,3,FALSE)</f>
        <v>Operating Service Fees</v>
      </c>
      <c r="X6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6"/>
      <c r="Z6616" t="s">
        <v>33</v>
      </c>
      <c r="AA6616" t="s">
        <v>252</v>
      </c>
      <c r="AB6616" t="s">
        <v>443</v>
      </c>
      <c r="AC6616" s="21">
        <v>16102.64</v>
      </c>
      <c r="AD6616" s="21" t="s">
        <v>368</v>
      </c>
      <c r="AE6616" t="str">
        <f>VLOOKUP(Table_Query_from_Actuarial___Production3[[#This Row],[Kor1]],$AI$3:$AK$105,3,FALSE)</f>
        <v>Misc. Expense</v>
      </c>
      <c r="AF6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7" spans="18:32" x14ac:dyDescent="0.2">
      <c r="R6617" t="s">
        <v>43</v>
      </c>
      <c r="S6617" t="s">
        <v>249</v>
      </c>
      <c r="T6617" t="s">
        <v>427</v>
      </c>
      <c r="U6617" s="21">
        <v>219.13</v>
      </c>
      <c r="V6617" s="21" t="s">
        <v>368</v>
      </c>
      <c r="W6617" t="str">
        <f>VLOOKUP(Table_Query_from_Actuarial___Production[[#This Row],[Kor1]],$AI$3:$AK$105,3,FALSE)</f>
        <v>Charge-offs</v>
      </c>
      <c r="X6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7"/>
      <c r="Z6617" t="s">
        <v>10</v>
      </c>
      <c r="AA6617" t="s">
        <v>224</v>
      </c>
      <c r="AB6617" t="s">
        <v>9</v>
      </c>
      <c r="AC6617" s="21">
        <v>3018.94</v>
      </c>
      <c r="AD6617" s="21" t="s">
        <v>425</v>
      </c>
      <c r="AE6617" t="str">
        <f>VLOOKUP(Table_Query_from_Actuarial___Production3[[#This Row],[Kor1]],$AI$3:$AK$105,3,FALSE)</f>
        <v>Commissions</v>
      </c>
      <c r="AF6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618" spans="18:32" x14ac:dyDescent="0.2">
      <c r="R6618" t="s">
        <v>14</v>
      </c>
      <c r="S6618" t="s">
        <v>266</v>
      </c>
      <c r="T6618" t="s">
        <v>441</v>
      </c>
      <c r="U6618" s="21">
        <v>77164.09</v>
      </c>
      <c r="V6618" s="21" t="s">
        <v>368</v>
      </c>
      <c r="W6618" t="str">
        <f>VLOOKUP(Table_Query_from_Actuarial___Production[[#This Row],[Kor1]],$AI$3:$AK$105,3,FALSE)</f>
        <v>Claims Expense</v>
      </c>
      <c r="X6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8"/>
      <c r="Z6618" t="s">
        <v>10</v>
      </c>
      <c r="AA6618" t="s">
        <v>266</v>
      </c>
      <c r="AB6618" t="s">
        <v>6</v>
      </c>
      <c r="AC6618" s="21">
        <v>21722.799999999999</v>
      </c>
      <c r="AD6618" s="21" t="s">
        <v>368</v>
      </c>
      <c r="AE6618" t="str">
        <f>VLOOKUP(Table_Query_from_Actuarial___Production3[[#This Row],[Kor1]],$AI$3:$AK$105,3,FALSE)</f>
        <v>Commissions</v>
      </c>
      <c r="AF6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19" spans="18:32" x14ac:dyDescent="0.2">
      <c r="R6619" t="s">
        <v>10</v>
      </c>
      <c r="S6619" t="s">
        <v>239</v>
      </c>
      <c r="T6619" t="s">
        <v>356</v>
      </c>
      <c r="U6619" s="21">
        <v>27410.45</v>
      </c>
      <c r="V6619" s="21" t="s">
        <v>368</v>
      </c>
      <c r="W6619" t="str">
        <f>VLOOKUP(Table_Query_from_Actuarial___Production[[#This Row],[Kor1]],$AI$3:$AK$105,3,FALSE)</f>
        <v>Commissions</v>
      </c>
      <c r="X6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19"/>
      <c r="Z6619" t="s">
        <v>17</v>
      </c>
      <c r="AA6619" t="s">
        <v>261</v>
      </c>
      <c r="AB6619" t="s">
        <v>441</v>
      </c>
      <c r="AC6619" s="21">
        <v>20823.75</v>
      </c>
      <c r="AD6619" s="21" t="s">
        <v>368</v>
      </c>
      <c r="AE6619" t="str">
        <f>VLOOKUP(Table_Query_from_Actuarial___Production3[[#This Row],[Kor1]],$AI$3:$AK$105,3,FALSE)</f>
        <v>IBNR</v>
      </c>
      <c r="AF6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0" spans="18:32" x14ac:dyDescent="0.2">
      <c r="R6620" t="s">
        <v>46</v>
      </c>
      <c r="S6620" t="s">
        <v>225</v>
      </c>
      <c r="T6620" t="s">
        <v>442</v>
      </c>
      <c r="U6620" s="21">
        <v>7131.93</v>
      </c>
      <c r="V6620" s="21" t="s">
        <v>368</v>
      </c>
      <c r="W6620" t="str">
        <f>VLOOKUP(Table_Query_from_Actuarial___Production[[#This Row],[Kor1]],$AI$3:$AK$105,3,FALSE)</f>
        <v>Investment Income</v>
      </c>
      <c r="X6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620"/>
      <c r="Z6620" t="s">
        <v>43</v>
      </c>
      <c r="AA6620" t="s">
        <v>261</v>
      </c>
      <c r="AB6620" t="s">
        <v>441</v>
      </c>
      <c r="AC6620" s="21">
        <v>2.5299999999999998</v>
      </c>
      <c r="AD6620" s="21" t="s">
        <v>368</v>
      </c>
      <c r="AE6620" t="str">
        <f>VLOOKUP(Table_Query_from_Actuarial___Production3[[#This Row],[Kor1]],$AI$3:$AK$105,3,FALSE)</f>
        <v>Charge-offs</v>
      </c>
      <c r="AF6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1" spans="18:32" x14ac:dyDescent="0.2">
      <c r="R6621" t="s">
        <v>13</v>
      </c>
      <c r="S6621" t="s">
        <v>233</v>
      </c>
      <c r="T6621" t="s">
        <v>6</v>
      </c>
      <c r="U6621" s="21">
        <v>43261.67</v>
      </c>
      <c r="V6621" s="21" t="s">
        <v>368</v>
      </c>
      <c r="W6621" t="str">
        <f>VLOOKUP(Table_Query_from_Actuarial___Production[[#This Row],[Kor1]],$AI$3:$AK$105,3,FALSE)</f>
        <v>Operating Service Fees</v>
      </c>
      <c r="X6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1"/>
      <c r="Z6621" t="s">
        <v>10</v>
      </c>
      <c r="AA6621" t="s">
        <v>248</v>
      </c>
      <c r="AB6621" t="s">
        <v>442</v>
      </c>
      <c r="AC6621" s="21">
        <v>18439.12</v>
      </c>
      <c r="AD6621" s="21" t="s">
        <v>368</v>
      </c>
      <c r="AE6621" t="str">
        <f>VLOOKUP(Table_Query_from_Actuarial___Production3[[#This Row],[Kor1]],$AI$3:$AK$105,3,FALSE)</f>
        <v>Commissions</v>
      </c>
      <c r="AF6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2" spans="18:32" x14ac:dyDescent="0.2">
      <c r="R6622" t="s">
        <v>14</v>
      </c>
      <c r="S6622" t="s">
        <v>239</v>
      </c>
      <c r="T6622" t="s">
        <v>351</v>
      </c>
      <c r="U6622" s="21">
        <v>50912.55</v>
      </c>
      <c r="V6622" s="21" t="s">
        <v>368</v>
      </c>
      <c r="W6622" t="str">
        <f>VLOOKUP(Table_Query_from_Actuarial___Production[[#This Row],[Kor1]],$AI$3:$AK$105,3,FALSE)</f>
        <v>Claims Expense</v>
      </c>
      <c r="X6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2"/>
      <c r="Z6622" t="s">
        <v>11</v>
      </c>
      <c r="AA6622" t="s">
        <v>258</v>
      </c>
      <c r="AB6622" t="s">
        <v>427</v>
      </c>
      <c r="AC6622" s="21">
        <v>2638085.64</v>
      </c>
      <c r="AD6622" s="21" t="s">
        <v>368</v>
      </c>
      <c r="AE6622" t="str">
        <f>VLOOKUP(Table_Query_from_Actuarial___Production3[[#This Row],[Kor1]],$AI$3:$AK$105,3,FALSE)</f>
        <v>Losses Paid</v>
      </c>
      <c r="AF6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3" spans="18:32" x14ac:dyDescent="0.2">
      <c r="R6623" t="s">
        <v>39</v>
      </c>
      <c r="S6623" t="s">
        <v>247</v>
      </c>
      <c r="T6623" t="s">
        <v>6</v>
      </c>
      <c r="U6623" s="21">
        <v>38</v>
      </c>
      <c r="V6623" s="21" t="s">
        <v>368</v>
      </c>
      <c r="W6623" t="str">
        <f>VLOOKUP(Table_Query_from_Actuarial___Production[[#This Row],[Kor1]],$AI$3:$AK$105,3,FALSE)</f>
        <v>Misc. Income for Insolvent Companies</v>
      </c>
      <c r="X6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3"/>
      <c r="Z6623" t="s">
        <v>44</v>
      </c>
      <c r="AA6623" t="s">
        <v>232</v>
      </c>
      <c r="AB6623" t="s">
        <v>5</v>
      </c>
      <c r="AC6623" s="21">
        <v>36279.49</v>
      </c>
      <c r="AD6623" s="21" t="s">
        <v>368</v>
      </c>
      <c r="AE6623" t="str">
        <f>VLOOKUP(Table_Query_from_Actuarial___Production3[[#This Row],[Kor1]],$AI$3:$AK$105,3,FALSE)</f>
        <v>Charge-offs</v>
      </c>
      <c r="AF6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4" spans="18:32" x14ac:dyDescent="0.2">
      <c r="R6624" t="s">
        <v>13</v>
      </c>
      <c r="S6624" t="s">
        <v>354</v>
      </c>
      <c r="T6624" t="s">
        <v>433</v>
      </c>
      <c r="U6624" s="21">
        <v>31394114.260000002</v>
      </c>
      <c r="V6624" s="21" t="s">
        <v>368</v>
      </c>
      <c r="W6624" t="str">
        <f>VLOOKUP(Table_Query_from_Actuarial___Production[[#This Row],[Kor1]],$AI$3:$AK$105,3,FALSE)</f>
        <v>Operating Service Fees</v>
      </c>
      <c r="X6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24"/>
      <c r="Z6624" t="s">
        <v>12</v>
      </c>
      <c r="AA6624" t="s">
        <v>235</v>
      </c>
      <c r="AB6624" t="s">
        <v>5</v>
      </c>
      <c r="AC6624" s="21">
        <v>4597.45</v>
      </c>
      <c r="AD6624" s="21" t="s">
        <v>368</v>
      </c>
      <c r="AE6624" t="str">
        <f>VLOOKUP(Table_Query_from_Actuarial___Production3[[#This Row],[Kor1]],$AI$3:$AK$105,3,FALSE)</f>
        <v>Premium Tax</v>
      </c>
      <c r="AF6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5" spans="18:32" x14ac:dyDescent="0.2">
      <c r="R6625" t="s">
        <v>3</v>
      </c>
      <c r="S6625" t="s">
        <v>241</v>
      </c>
      <c r="T6625" t="s">
        <v>7</v>
      </c>
      <c r="U6625" s="21">
        <v>822785</v>
      </c>
      <c r="V6625" s="21" t="s">
        <v>368</v>
      </c>
      <c r="W6625" t="str">
        <f>VLOOKUP(Table_Query_from_Actuarial___Production[[#This Row],[Kor1]],$AI$3:$AK$105,3,FALSE)</f>
        <v>Premiums Written</v>
      </c>
      <c r="X6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5"/>
      <c r="Z6625" t="s">
        <v>13</v>
      </c>
      <c r="AA6625" t="s">
        <v>261</v>
      </c>
      <c r="AB6625" t="s">
        <v>441</v>
      </c>
      <c r="AC6625" s="21">
        <v>34348.32</v>
      </c>
      <c r="AD6625" s="21" t="s">
        <v>368</v>
      </c>
      <c r="AE6625" t="str">
        <f>VLOOKUP(Table_Query_from_Actuarial___Production3[[#This Row],[Kor1]],$AI$3:$AK$105,3,FALSE)</f>
        <v>Operating Service Fees</v>
      </c>
      <c r="AF6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6" spans="18:32" x14ac:dyDescent="0.2">
      <c r="R6626" t="s">
        <v>11</v>
      </c>
      <c r="S6626" t="s">
        <v>352</v>
      </c>
      <c r="T6626" t="s">
        <v>6</v>
      </c>
      <c r="U6626" s="21">
        <v>190090.41</v>
      </c>
      <c r="V6626" s="21" t="s">
        <v>369</v>
      </c>
      <c r="W6626" t="str">
        <f>VLOOKUP(Table_Query_from_Actuarial___Production[[#This Row],[Kor1]],$AI$3:$AK$105,3,FALSE)</f>
        <v>Losses Paid</v>
      </c>
      <c r="X6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6626"/>
      <c r="Z6626" t="s">
        <v>43</v>
      </c>
      <c r="AA6626" t="s">
        <v>249</v>
      </c>
      <c r="AB6626" t="s">
        <v>427</v>
      </c>
      <c r="AC6626" s="21">
        <v>219.13</v>
      </c>
      <c r="AD6626" s="21" t="s">
        <v>368</v>
      </c>
      <c r="AE6626" t="str">
        <f>VLOOKUP(Table_Query_from_Actuarial___Production3[[#This Row],[Kor1]],$AI$3:$AK$105,3,FALSE)</f>
        <v>Charge-offs</v>
      </c>
      <c r="AF6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7" spans="18:32" x14ac:dyDescent="0.2">
      <c r="R6627" t="s">
        <v>25</v>
      </c>
      <c r="S6627" t="s">
        <v>259</v>
      </c>
      <c r="T6627" t="s">
        <v>356</v>
      </c>
      <c r="U6627" s="21">
        <v>645.17999999999995</v>
      </c>
      <c r="V6627" s="21" t="s">
        <v>368</v>
      </c>
      <c r="W6627" t="str">
        <f>VLOOKUP(Table_Query_from_Actuarial___Production[[#This Row],[Kor1]],$AI$3:$AK$105,3,FALSE)</f>
        <v>Misc. Expense</v>
      </c>
      <c r="X6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7"/>
      <c r="Z6627" t="s">
        <v>14</v>
      </c>
      <c r="AA6627" t="s">
        <v>266</v>
      </c>
      <c r="AB6627" t="s">
        <v>441</v>
      </c>
      <c r="AC6627" s="21">
        <v>77182.75</v>
      </c>
      <c r="AD6627" s="21" t="s">
        <v>368</v>
      </c>
      <c r="AE6627" t="str">
        <f>VLOOKUP(Table_Query_from_Actuarial___Production3[[#This Row],[Kor1]],$AI$3:$AK$105,3,FALSE)</f>
        <v>Claims Expense</v>
      </c>
      <c r="AF6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8" spans="18:32" x14ac:dyDescent="0.2">
      <c r="R6628" t="s">
        <v>12</v>
      </c>
      <c r="S6628" t="s">
        <v>246</v>
      </c>
      <c r="T6628" t="s">
        <v>443</v>
      </c>
      <c r="U6628" s="21">
        <v>30005.75</v>
      </c>
      <c r="V6628" s="21" t="s">
        <v>368</v>
      </c>
      <c r="W6628" t="str">
        <f>VLOOKUP(Table_Query_from_Actuarial___Production[[#This Row],[Kor1]],$AI$3:$AK$105,3,FALSE)</f>
        <v>Premium Tax</v>
      </c>
      <c r="X6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8"/>
      <c r="Z6628" t="s">
        <v>10</v>
      </c>
      <c r="AA6628" t="s">
        <v>239</v>
      </c>
      <c r="AB6628" t="s">
        <v>356</v>
      </c>
      <c r="AC6628" s="21">
        <v>27410.45</v>
      </c>
      <c r="AD6628" s="21" t="s">
        <v>368</v>
      </c>
      <c r="AE6628" t="str">
        <f>VLOOKUP(Table_Query_from_Actuarial___Production3[[#This Row],[Kor1]],$AI$3:$AK$105,3,FALSE)</f>
        <v>Commissions</v>
      </c>
      <c r="AF6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29" spans="18:32" x14ac:dyDescent="0.2">
      <c r="R6629" t="s">
        <v>41</v>
      </c>
      <c r="S6629" t="s">
        <v>238</v>
      </c>
      <c r="T6629" t="s">
        <v>433</v>
      </c>
      <c r="U6629" s="21">
        <v>150</v>
      </c>
      <c r="V6629" s="21" t="s">
        <v>368</v>
      </c>
      <c r="W6629" t="str">
        <f>VLOOKUP(Table_Query_from_Actuarial___Production[[#This Row],[Kor1]],$AI$3:$AK$105,3,FALSE)</f>
        <v>Misc. Income</v>
      </c>
      <c r="X6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29"/>
      <c r="Z6629" t="s">
        <v>46</v>
      </c>
      <c r="AA6629" t="s">
        <v>225</v>
      </c>
      <c r="AB6629" t="s">
        <v>442</v>
      </c>
      <c r="AC6629" s="21">
        <v>7131.93</v>
      </c>
      <c r="AD6629" s="21" t="s">
        <v>368</v>
      </c>
      <c r="AE6629" t="str">
        <f>VLOOKUP(Table_Query_from_Actuarial___Production3[[#This Row],[Kor1]],$AI$3:$AK$105,3,FALSE)</f>
        <v>Investment Income</v>
      </c>
      <c r="AF6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630" spans="18:32" x14ac:dyDescent="0.2">
      <c r="R6630" t="s">
        <v>38</v>
      </c>
      <c r="S6630" t="s">
        <v>354</v>
      </c>
      <c r="T6630" t="s">
        <v>445</v>
      </c>
      <c r="U6630" s="21">
        <v>53211.55</v>
      </c>
      <c r="V6630" s="21" t="s">
        <v>368</v>
      </c>
      <c r="W6630" t="str">
        <f>VLOOKUP(Table_Query_from_Actuarial___Production[[#This Row],[Kor1]],$AI$3:$AK$105,3,FALSE)</f>
        <v>Misc. Income</v>
      </c>
      <c r="X6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30"/>
      <c r="Z6630" t="s">
        <v>13</v>
      </c>
      <c r="AA6630" t="s">
        <v>233</v>
      </c>
      <c r="AB6630" t="s">
        <v>6</v>
      </c>
      <c r="AC6630" s="21">
        <v>43261.67</v>
      </c>
      <c r="AD6630" s="21" t="s">
        <v>368</v>
      </c>
      <c r="AE6630" t="str">
        <f>VLOOKUP(Table_Query_from_Actuarial___Production3[[#This Row],[Kor1]],$AI$3:$AK$105,3,FALSE)</f>
        <v>Operating Service Fees</v>
      </c>
      <c r="AF6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1" spans="18:32" x14ac:dyDescent="0.2">
      <c r="R6631" t="s">
        <v>17</v>
      </c>
      <c r="S6631" t="s">
        <v>354</v>
      </c>
      <c r="T6631" t="s">
        <v>427</v>
      </c>
      <c r="U6631" s="21">
        <v>713829.06</v>
      </c>
      <c r="V6631" s="21" t="s">
        <v>368</v>
      </c>
      <c r="W6631" t="str">
        <f>VLOOKUP(Table_Query_from_Actuarial___Production[[#This Row],[Kor1]],$AI$3:$AK$105,3,FALSE)</f>
        <v>IBNR</v>
      </c>
      <c r="X6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31"/>
      <c r="Z6631" t="s">
        <v>14</v>
      </c>
      <c r="AA6631" t="s">
        <v>239</v>
      </c>
      <c r="AB6631" t="s">
        <v>351</v>
      </c>
      <c r="AC6631" s="21">
        <v>50912.55</v>
      </c>
      <c r="AD6631" s="21" t="s">
        <v>368</v>
      </c>
      <c r="AE6631" t="str">
        <f>VLOOKUP(Table_Query_from_Actuarial___Production3[[#This Row],[Kor1]],$AI$3:$AK$105,3,FALSE)</f>
        <v>Claims Expense</v>
      </c>
      <c r="AF6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2" spans="18:32" x14ac:dyDescent="0.2">
      <c r="R6632" t="s">
        <v>3</v>
      </c>
      <c r="S6632" t="s">
        <v>262</v>
      </c>
      <c r="T6632" t="s">
        <v>443</v>
      </c>
      <c r="U6632" s="21">
        <v>134988</v>
      </c>
      <c r="V6632" s="21" t="s">
        <v>368</v>
      </c>
      <c r="W6632" t="str">
        <f>VLOOKUP(Table_Query_from_Actuarial___Production[[#This Row],[Kor1]],$AI$3:$AK$105,3,FALSE)</f>
        <v>Premiums Written</v>
      </c>
      <c r="X6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2"/>
      <c r="Z6632" t="s">
        <v>39</v>
      </c>
      <c r="AA6632" t="s">
        <v>247</v>
      </c>
      <c r="AB6632" t="s">
        <v>6</v>
      </c>
      <c r="AC6632" s="21">
        <v>38</v>
      </c>
      <c r="AD6632" s="21" t="s">
        <v>368</v>
      </c>
      <c r="AE6632" t="str">
        <f>VLOOKUP(Table_Query_from_Actuarial___Production3[[#This Row],[Kor1]],$AI$3:$AK$105,3,FALSE)</f>
        <v>Misc. Income for Insolvent Companies</v>
      </c>
      <c r="AF6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3" spans="18:32" x14ac:dyDescent="0.2">
      <c r="R6633" t="s">
        <v>47</v>
      </c>
      <c r="S6633" t="s">
        <v>253</v>
      </c>
      <c r="T6633" t="s">
        <v>445</v>
      </c>
      <c r="U6633" s="21">
        <v>1453.29</v>
      </c>
      <c r="V6633" s="21" t="s">
        <v>368</v>
      </c>
      <c r="W6633" t="str">
        <f>VLOOKUP(Table_Query_from_Actuarial___Production[[#This Row],[Kor1]],$AI$3:$AK$105,3,FALSE)</f>
        <v>Investment Income</v>
      </c>
      <c r="X6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3"/>
      <c r="Z6633" t="s">
        <v>13</v>
      </c>
      <c r="AA6633" t="s">
        <v>354</v>
      </c>
      <c r="AB6633" t="s">
        <v>433</v>
      </c>
      <c r="AC6633" s="21">
        <v>31393893.399999999</v>
      </c>
      <c r="AD6633" s="21" t="s">
        <v>368</v>
      </c>
      <c r="AE6633" t="str">
        <f>VLOOKUP(Table_Query_from_Actuarial___Production3[[#This Row],[Kor1]],$AI$3:$AK$105,3,FALSE)</f>
        <v>Operating Service Fees</v>
      </c>
      <c r="AF6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34" spans="18:32" x14ac:dyDescent="0.2">
      <c r="R6634" t="s">
        <v>31</v>
      </c>
      <c r="S6634" t="s">
        <v>260</v>
      </c>
      <c r="T6634" t="s">
        <v>433</v>
      </c>
      <c r="U6634" s="21">
        <v>1300.5</v>
      </c>
      <c r="V6634" s="21" t="s">
        <v>368</v>
      </c>
      <c r="W6634" t="str">
        <f>VLOOKUP(Table_Query_from_Actuarial___Production[[#This Row],[Kor1]],$AI$3:$AK$105,3,FALSE)</f>
        <v>Misc. Expense</v>
      </c>
      <c r="X6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4"/>
      <c r="Z6634" t="s">
        <v>3</v>
      </c>
      <c r="AA6634" t="s">
        <v>241</v>
      </c>
      <c r="AB6634" t="s">
        <v>7</v>
      </c>
      <c r="AC6634" s="21">
        <v>822785</v>
      </c>
      <c r="AD6634" s="21" t="s">
        <v>368</v>
      </c>
      <c r="AE6634" t="str">
        <f>VLOOKUP(Table_Query_from_Actuarial___Production3[[#This Row],[Kor1]],$AI$3:$AK$105,3,FALSE)</f>
        <v>Premiums Written</v>
      </c>
      <c r="AF6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5" spans="18:32" x14ac:dyDescent="0.2">
      <c r="R6635" t="s">
        <v>3</v>
      </c>
      <c r="S6635" t="s">
        <v>245</v>
      </c>
      <c r="T6635" t="s">
        <v>9</v>
      </c>
      <c r="U6635" s="21">
        <v>9188</v>
      </c>
      <c r="V6635" s="21" t="s">
        <v>368</v>
      </c>
      <c r="W6635" t="str">
        <f>VLOOKUP(Table_Query_from_Actuarial___Production[[#This Row],[Kor1]],$AI$3:$AK$105,3,FALSE)</f>
        <v>Premiums Written</v>
      </c>
      <c r="X6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5"/>
      <c r="Z6635" t="s">
        <v>11</v>
      </c>
      <c r="AA6635" t="s">
        <v>352</v>
      </c>
      <c r="AB6635" t="s">
        <v>6</v>
      </c>
      <c r="AC6635" s="21">
        <v>200314.78</v>
      </c>
      <c r="AD6635" s="21" t="s">
        <v>369</v>
      </c>
      <c r="AE6635" t="str">
        <f>VLOOKUP(Table_Query_from_Actuarial___Production3[[#This Row],[Kor1]],$AI$3:$AK$105,3,FALSE)</f>
        <v>Losses Paid</v>
      </c>
      <c r="AF6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636" spans="18:32" x14ac:dyDescent="0.2">
      <c r="R6636" t="s">
        <v>41</v>
      </c>
      <c r="S6636" t="s">
        <v>240</v>
      </c>
      <c r="T6636" t="s">
        <v>442</v>
      </c>
      <c r="U6636" s="21">
        <v>1696.76</v>
      </c>
      <c r="V6636" s="21" t="s">
        <v>368</v>
      </c>
      <c r="W6636" t="str">
        <f>VLOOKUP(Table_Query_from_Actuarial___Production[[#This Row],[Kor1]],$AI$3:$AK$105,3,FALSE)</f>
        <v>Misc. Income</v>
      </c>
      <c r="X6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6"/>
      <c r="Z6636" t="s">
        <v>25</v>
      </c>
      <c r="AA6636" t="s">
        <v>259</v>
      </c>
      <c r="AB6636" t="s">
        <v>356</v>
      </c>
      <c r="AC6636" s="21">
        <v>645.17999999999995</v>
      </c>
      <c r="AD6636" s="21" t="s">
        <v>368</v>
      </c>
      <c r="AE6636" t="str">
        <f>VLOOKUP(Table_Query_from_Actuarial___Production3[[#This Row],[Kor1]],$AI$3:$AK$105,3,FALSE)</f>
        <v>Misc. Expense</v>
      </c>
      <c r="AF6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7" spans="18:32" x14ac:dyDescent="0.2">
      <c r="R6637" t="s">
        <v>41</v>
      </c>
      <c r="S6637" t="s">
        <v>261</v>
      </c>
      <c r="T6637" t="s">
        <v>9</v>
      </c>
      <c r="U6637" s="21">
        <v>100</v>
      </c>
      <c r="V6637" s="21" t="s">
        <v>368</v>
      </c>
      <c r="W6637" t="str">
        <f>VLOOKUP(Table_Query_from_Actuarial___Production[[#This Row],[Kor1]],$AI$3:$AK$105,3,FALSE)</f>
        <v>Misc. Income</v>
      </c>
      <c r="X6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37"/>
      <c r="Z6637" t="s">
        <v>12</v>
      </c>
      <c r="AA6637" t="s">
        <v>246</v>
      </c>
      <c r="AB6637" t="s">
        <v>443</v>
      </c>
      <c r="AC6637" s="21">
        <v>10063.51</v>
      </c>
      <c r="AD6637" s="21" t="s">
        <v>368</v>
      </c>
      <c r="AE6637" t="str">
        <f>VLOOKUP(Table_Query_from_Actuarial___Production3[[#This Row],[Kor1]],$AI$3:$AK$105,3,FALSE)</f>
        <v>Premium Tax</v>
      </c>
      <c r="AF6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8" spans="18:32" x14ac:dyDescent="0.2">
      <c r="R6638" t="s">
        <v>17</v>
      </c>
      <c r="S6638" t="s">
        <v>224</v>
      </c>
      <c r="T6638" t="s">
        <v>443</v>
      </c>
      <c r="U6638" s="21">
        <v>98432</v>
      </c>
      <c r="V6638" s="21" t="s">
        <v>370</v>
      </c>
      <c r="W6638" t="str">
        <f>VLOOKUP(Table_Query_from_Actuarial___Production[[#This Row],[Kor1]],$AI$3:$AK$105,3,FALSE)</f>
        <v>IBNR</v>
      </c>
      <c r="X6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638"/>
      <c r="Z6638" t="s">
        <v>41</v>
      </c>
      <c r="AA6638" t="s">
        <v>238</v>
      </c>
      <c r="AB6638" t="s">
        <v>433</v>
      </c>
      <c r="AC6638" s="21">
        <v>150</v>
      </c>
      <c r="AD6638" s="21" t="s">
        <v>368</v>
      </c>
      <c r="AE6638" t="str">
        <f>VLOOKUP(Table_Query_from_Actuarial___Production3[[#This Row],[Kor1]],$AI$3:$AK$105,3,FALSE)</f>
        <v>Misc. Income</v>
      </c>
      <c r="AF6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39" spans="18:32" x14ac:dyDescent="0.2">
      <c r="R6639" t="s">
        <v>46</v>
      </c>
      <c r="S6639" t="s">
        <v>352</v>
      </c>
      <c r="T6639" t="s">
        <v>356</v>
      </c>
      <c r="U6639" s="21">
        <v>60.7</v>
      </c>
      <c r="V6639" s="21" t="s">
        <v>368</v>
      </c>
      <c r="W6639" t="str">
        <f>VLOOKUP(Table_Query_from_Actuarial___Production[[#This Row],[Kor1]],$AI$3:$AK$105,3,FALSE)</f>
        <v>Investment Income</v>
      </c>
      <c r="X6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6639"/>
      <c r="Z6639" t="s">
        <v>16</v>
      </c>
      <c r="AA6639" t="s">
        <v>225</v>
      </c>
      <c r="AB6639" t="s">
        <v>442</v>
      </c>
      <c r="AC6639" s="21">
        <v>70671.67</v>
      </c>
      <c r="AD6639" s="21" t="s">
        <v>369</v>
      </c>
      <c r="AE6639" t="str">
        <f>VLOOKUP(Table_Query_from_Actuarial___Production3[[#This Row],[Kor1]],$AI$3:$AK$105,3,FALSE)</f>
        <v>Losses Outstanding</v>
      </c>
      <c r="AF6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640" spans="18:32" x14ac:dyDescent="0.2">
      <c r="R6640" t="s">
        <v>144</v>
      </c>
      <c r="S6640" t="s">
        <v>224</v>
      </c>
      <c r="T6640" t="s">
        <v>427</v>
      </c>
      <c r="U6640" s="21">
        <v>-200</v>
      </c>
      <c r="V6640" s="21" t="s">
        <v>369</v>
      </c>
      <c r="W6640" t="str">
        <f>VLOOKUP(Table_Query_from_Actuarial___Production[[#This Row],[Kor1]],$AI$3:$AK$105,3,FALSE)</f>
        <v>Claims Expense</v>
      </c>
      <c r="X6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640"/>
      <c r="Z6640" t="s">
        <v>17</v>
      </c>
      <c r="AA6640" t="s">
        <v>354</v>
      </c>
      <c r="AB6640" t="s">
        <v>427</v>
      </c>
      <c r="AC6640" s="21">
        <v>2917260.85</v>
      </c>
      <c r="AD6640" s="21" t="s">
        <v>368</v>
      </c>
      <c r="AE6640" t="str">
        <f>VLOOKUP(Table_Query_from_Actuarial___Production3[[#This Row],[Kor1]],$AI$3:$AK$105,3,FALSE)</f>
        <v>IBNR</v>
      </c>
      <c r="AF6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41" spans="18:32" x14ac:dyDescent="0.2">
      <c r="R6641" t="s">
        <v>10</v>
      </c>
      <c r="S6641" t="s">
        <v>262</v>
      </c>
      <c r="T6641" t="s">
        <v>7</v>
      </c>
      <c r="U6641" s="21">
        <v>15455.75</v>
      </c>
      <c r="V6641" s="21" t="s">
        <v>368</v>
      </c>
      <c r="W6641" t="str">
        <f>VLOOKUP(Table_Query_from_Actuarial___Production[[#This Row],[Kor1]],$AI$3:$AK$105,3,FALSE)</f>
        <v>Commissions</v>
      </c>
      <c r="X6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1"/>
      <c r="Z6641" t="s">
        <v>3</v>
      </c>
      <c r="AA6641" t="s">
        <v>262</v>
      </c>
      <c r="AB6641" t="s">
        <v>443</v>
      </c>
      <c r="AC6641" s="21">
        <v>63711</v>
      </c>
      <c r="AD6641" s="21" t="s">
        <v>368</v>
      </c>
      <c r="AE6641" t="str">
        <f>VLOOKUP(Table_Query_from_Actuarial___Production3[[#This Row],[Kor1]],$AI$3:$AK$105,3,FALSE)</f>
        <v>Premiums Written</v>
      </c>
      <c r="AF6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2" spans="18:32" x14ac:dyDescent="0.2">
      <c r="R6642" t="s">
        <v>11</v>
      </c>
      <c r="S6642" t="s">
        <v>244</v>
      </c>
      <c r="T6642" t="s">
        <v>8</v>
      </c>
      <c r="U6642" s="21">
        <v>778330.86</v>
      </c>
      <c r="V6642" s="21" t="s">
        <v>368</v>
      </c>
      <c r="W6642" t="str">
        <f>VLOOKUP(Table_Query_from_Actuarial___Production[[#This Row],[Kor1]],$AI$3:$AK$105,3,FALSE)</f>
        <v>Losses Paid</v>
      </c>
      <c r="X6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2"/>
      <c r="Z6642" t="s">
        <v>31</v>
      </c>
      <c r="AA6642" t="s">
        <v>260</v>
      </c>
      <c r="AB6642" t="s">
        <v>433</v>
      </c>
      <c r="AC6642" s="21">
        <v>1300.5</v>
      </c>
      <c r="AD6642" s="21" t="s">
        <v>368</v>
      </c>
      <c r="AE6642" t="str">
        <f>VLOOKUP(Table_Query_from_Actuarial___Production3[[#This Row],[Kor1]],$AI$3:$AK$105,3,FALSE)</f>
        <v>Misc. Expense</v>
      </c>
      <c r="AF6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3" spans="18:32" x14ac:dyDescent="0.2">
      <c r="R6643" t="s">
        <v>10</v>
      </c>
      <c r="S6643" t="s">
        <v>241</v>
      </c>
      <c r="T6643" t="s">
        <v>7</v>
      </c>
      <c r="U6643" s="21">
        <v>56651.54</v>
      </c>
      <c r="V6643" s="21" t="s">
        <v>368</v>
      </c>
      <c r="W6643" t="str">
        <f>VLOOKUP(Table_Query_from_Actuarial___Production[[#This Row],[Kor1]],$AI$3:$AK$105,3,FALSE)</f>
        <v>Commissions</v>
      </c>
      <c r="X6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3"/>
      <c r="Z6643" t="s">
        <v>3</v>
      </c>
      <c r="AA6643" t="s">
        <v>245</v>
      </c>
      <c r="AB6643" t="s">
        <v>9</v>
      </c>
      <c r="AC6643" s="21">
        <v>9188</v>
      </c>
      <c r="AD6643" s="21" t="s">
        <v>368</v>
      </c>
      <c r="AE6643" t="str">
        <f>VLOOKUP(Table_Query_from_Actuarial___Production3[[#This Row],[Kor1]],$AI$3:$AK$105,3,FALSE)</f>
        <v>Premiums Written</v>
      </c>
      <c r="AF6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4" spans="18:32" x14ac:dyDescent="0.2">
      <c r="R6644" t="s">
        <v>19</v>
      </c>
      <c r="S6644" t="s">
        <v>242</v>
      </c>
      <c r="T6644" t="s">
        <v>433</v>
      </c>
      <c r="U6644" s="21">
        <v>19302</v>
      </c>
      <c r="V6644" s="21" t="s">
        <v>368</v>
      </c>
      <c r="W6644" t="str">
        <f>VLOOKUP(Table_Query_from_Actuarial___Production[[#This Row],[Kor1]],$AI$3:$AK$105,3,FALSE)</f>
        <v>Misc. Expense for Insolvent Companies</v>
      </c>
      <c r="X6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4"/>
      <c r="Z6644" t="s">
        <v>41</v>
      </c>
      <c r="AA6644" t="s">
        <v>240</v>
      </c>
      <c r="AB6644" t="s">
        <v>442</v>
      </c>
      <c r="AC6644" s="21">
        <v>1696.76</v>
      </c>
      <c r="AD6644" s="21" t="s">
        <v>368</v>
      </c>
      <c r="AE6644" t="str">
        <f>VLOOKUP(Table_Query_from_Actuarial___Production3[[#This Row],[Kor1]],$AI$3:$AK$105,3,FALSE)</f>
        <v>Misc. Income</v>
      </c>
      <c r="AF6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5" spans="18:32" x14ac:dyDescent="0.2">
      <c r="R6645" t="s">
        <v>28</v>
      </c>
      <c r="S6645" t="s">
        <v>259</v>
      </c>
      <c r="T6645" t="s">
        <v>9</v>
      </c>
      <c r="U6645" s="21">
        <v>595.23</v>
      </c>
      <c r="V6645" s="21" t="s">
        <v>368</v>
      </c>
      <c r="W6645" t="str">
        <f>VLOOKUP(Table_Query_from_Actuarial___Production[[#This Row],[Kor1]],$AI$3:$AK$105,3,FALSE)</f>
        <v>Misc. Expense</v>
      </c>
      <c r="X6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5"/>
      <c r="Z6645" t="s">
        <v>41</v>
      </c>
      <c r="AA6645" t="s">
        <v>261</v>
      </c>
      <c r="AB6645" t="s">
        <v>9</v>
      </c>
      <c r="AC6645" s="21">
        <v>100</v>
      </c>
      <c r="AD6645" s="21" t="s">
        <v>368</v>
      </c>
      <c r="AE6645" t="str">
        <f>VLOOKUP(Table_Query_from_Actuarial___Production3[[#This Row],[Kor1]],$AI$3:$AK$105,3,FALSE)</f>
        <v>Misc. Income</v>
      </c>
      <c r="AF6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6" spans="18:32" x14ac:dyDescent="0.2">
      <c r="R6646" t="s">
        <v>31</v>
      </c>
      <c r="S6646" t="s">
        <v>253</v>
      </c>
      <c r="T6646" t="s">
        <v>9</v>
      </c>
      <c r="U6646" s="21">
        <v>298.73</v>
      </c>
      <c r="V6646" s="21" t="s">
        <v>368</v>
      </c>
      <c r="W6646" t="str">
        <f>VLOOKUP(Table_Query_from_Actuarial___Production[[#This Row],[Kor1]],$AI$3:$AK$105,3,FALSE)</f>
        <v>Misc. Expense</v>
      </c>
      <c r="X6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6"/>
      <c r="Z6646" t="s">
        <v>48</v>
      </c>
      <c r="AA6646" t="s">
        <v>230</v>
      </c>
      <c r="AB6646" t="s">
        <v>427</v>
      </c>
      <c r="AC6646" s="21">
        <v>22043.439999999999</v>
      </c>
      <c r="AD6646" s="21" t="s">
        <v>368</v>
      </c>
      <c r="AE6646" t="str">
        <f>VLOOKUP(Table_Query_from_Actuarial___Production3[[#This Row],[Kor1]],$AI$3:$AK$105,3,FALSE)</f>
        <v>Anticipated Salvage</v>
      </c>
      <c r="AF6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47" spans="18:32" x14ac:dyDescent="0.2">
      <c r="R6647" t="s">
        <v>3</v>
      </c>
      <c r="S6647" t="s">
        <v>265</v>
      </c>
      <c r="T6647" t="s">
        <v>6</v>
      </c>
      <c r="U6647" s="21">
        <v>194283</v>
      </c>
      <c r="V6647" s="21" t="s">
        <v>368</v>
      </c>
      <c r="W6647" t="str">
        <f>VLOOKUP(Table_Query_from_Actuarial___Production[[#This Row],[Kor1]],$AI$3:$AK$105,3,FALSE)</f>
        <v>Premiums Written</v>
      </c>
      <c r="X6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7"/>
      <c r="Z6647" t="s">
        <v>17</v>
      </c>
      <c r="AA6647" t="s">
        <v>224</v>
      </c>
      <c r="AB6647" t="s">
        <v>443</v>
      </c>
      <c r="AC6647" s="21">
        <v>20806.12</v>
      </c>
      <c r="AD6647" s="21" t="s">
        <v>370</v>
      </c>
      <c r="AE6647" t="str">
        <f>VLOOKUP(Table_Query_from_Actuarial___Production3[[#This Row],[Kor1]],$AI$3:$AK$105,3,FALSE)</f>
        <v>IBNR</v>
      </c>
      <c r="AF6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648" spans="18:32" x14ac:dyDescent="0.2">
      <c r="R6648" t="s">
        <v>12</v>
      </c>
      <c r="S6648" t="s">
        <v>255</v>
      </c>
      <c r="T6648" t="s">
        <v>8</v>
      </c>
      <c r="U6648" s="21">
        <v>10782.75</v>
      </c>
      <c r="V6648" s="21" t="s">
        <v>368</v>
      </c>
      <c r="W6648" t="str">
        <f>VLOOKUP(Table_Query_from_Actuarial___Production[[#This Row],[Kor1]],$AI$3:$AK$105,3,FALSE)</f>
        <v>Premium Tax</v>
      </c>
      <c r="X6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48"/>
      <c r="Z6648" t="s">
        <v>46</v>
      </c>
      <c r="AA6648" t="s">
        <v>352</v>
      </c>
      <c r="AB6648" t="s">
        <v>356</v>
      </c>
      <c r="AC6648" s="21">
        <v>60.7</v>
      </c>
      <c r="AD6648" s="21" t="s">
        <v>368</v>
      </c>
      <c r="AE6648" t="str">
        <f>VLOOKUP(Table_Query_from_Actuarial___Production3[[#This Row],[Kor1]],$AI$3:$AK$105,3,FALSE)</f>
        <v>Investment Income</v>
      </c>
      <c r="AF6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6649" spans="18:32" x14ac:dyDescent="0.2">
      <c r="R6649" t="s">
        <v>13</v>
      </c>
      <c r="S6649" t="s">
        <v>354</v>
      </c>
      <c r="T6649" t="s">
        <v>441</v>
      </c>
      <c r="U6649" s="21">
        <v>39337498.740000002</v>
      </c>
      <c r="V6649" s="21" t="s">
        <v>368</v>
      </c>
      <c r="W6649" t="str">
        <f>VLOOKUP(Table_Query_from_Actuarial___Production[[#This Row],[Kor1]],$AI$3:$AK$105,3,FALSE)</f>
        <v>Operating Service Fees</v>
      </c>
      <c r="X6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49"/>
      <c r="Z6649" t="s">
        <v>144</v>
      </c>
      <c r="AA6649" t="s">
        <v>224</v>
      </c>
      <c r="AB6649" t="s">
        <v>427</v>
      </c>
      <c r="AC6649" s="21">
        <v>-500</v>
      </c>
      <c r="AD6649" s="21" t="s">
        <v>369</v>
      </c>
      <c r="AE6649" t="str">
        <f>VLOOKUP(Table_Query_from_Actuarial___Production3[[#This Row],[Kor1]],$AI$3:$AK$105,3,FALSE)</f>
        <v>Claims Expense</v>
      </c>
      <c r="AF6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650" spans="18:32" x14ac:dyDescent="0.2">
      <c r="R6650" t="s">
        <v>3</v>
      </c>
      <c r="S6650" t="s">
        <v>255</v>
      </c>
      <c r="T6650" t="s">
        <v>8</v>
      </c>
      <c r="U6650" s="21">
        <v>479232</v>
      </c>
      <c r="V6650" s="21" t="s">
        <v>368</v>
      </c>
      <c r="W6650" t="str">
        <f>VLOOKUP(Table_Query_from_Actuarial___Production[[#This Row],[Kor1]],$AI$3:$AK$105,3,FALSE)</f>
        <v>Premiums Written</v>
      </c>
      <c r="X6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0"/>
      <c r="Z6650" t="s">
        <v>10</v>
      </c>
      <c r="AA6650" t="s">
        <v>262</v>
      </c>
      <c r="AB6650" t="s">
        <v>7</v>
      </c>
      <c r="AC6650" s="21">
        <v>15455.75</v>
      </c>
      <c r="AD6650" s="21" t="s">
        <v>368</v>
      </c>
      <c r="AE6650" t="str">
        <f>VLOOKUP(Table_Query_from_Actuarial___Production3[[#This Row],[Kor1]],$AI$3:$AK$105,3,FALSE)</f>
        <v>Commissions</v>
      </c>
      <c r="AF6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1" spans="18:32" x14ac:dyDescent="0.2">
      <c r="R6651" t="s">
        <v>33</v>
      </c>
      <c r="S6651" t="s">
        <v>228</v>
      </c>
      <c r="T6651" t="s">
        <v>445</v>
      </c>
      <c r="U6651" s="21">
        <v>8752.48</v>
      </c>
      <c r="V6651" s="21" t="s">
        <v>368</v>
      </c>
      <c r="W6651" t="str">
        <f>VLOOKUP(Table_Query_from_Actuarial___Production[[#This Row],[Kor1]],$AI$3:$AK$105,3,FALSE)</f>
        <v>Misc. Expense</v>
      </c>
      <c r="X6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1"/>
      <c r="Z6651" t="s">
        <v>11</v>
      </c>
      <c r="AA6651" t="s">
        <v>244</v>
      </c>
      <c r="AB6651" t="s">
        <v>8</v>
      </c>
      <c r="AC6651" s="21">
        <v>778330.86</v>
      </c>
      <c r="AD6651" s="21" t="s">
        <v>368</v>
      </c>
      <c r="AE6651" t="str">
        <f>VLOOKUP(Table_Query_from_Actuarial___Production3[[#This Row],[Kor1]],$AI$3:$AK$105,3,FALSE)</f>
        <v>Losses Paid</v>
      </c>
      <c r="AF6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2" spans="18:32" x14ac:dyDescent="0.2">
      <c r="R6652" t="s">
        <v>47</v>
      </c>
      <c r="S6652" t="s">
        <v>249</v>
      </c>
      <c r="T6652" t="s">
        <v>443</v>
      </c>
      <c r="U6652" s="21">
        <v>17444.22</v>
      </c>
      <c r="V6652" s="21" t="s">
        <v>368</v>
      </c>
      <c r="W6652" t="str">
        <f>VLOOKUP(Table_Query_from_Actuarial___Production[[#This Row],[Kor1]],$AI$3:$AK$105,3,FALSE)</f>
        <v>Investment Income</v>
      </c>
      <c r="X6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2"/>
      <c r="Z6652" t="s">
        <v>10</v>
      </c>
      <c r="AA6652" t="s">
        <v>241</v>
      </c>
      <c r="AB6652" t="s">
        <v>7</v>
      </c>
      <c r="AC6652" s="21">
        <v>56651.54</v>
      </c>
      <c r="AD6652" s="21" t="s">
        <v>368</v>
      </c>
      <c r="AE6652" t="str">
        <f>VLOOKUP(Table_Query_from_Actuarial___Production3[[#This Row],[Kor1]],$AI$3:$AK$105,3,FALSE)</f>
        <v>Commissions</v>
      </c>
      <c r="AF6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3" spans="18:32" x14ac:dyDescent="0.2">
      <c r="R6653" t="s">
        <v>11</v>
      </c>
      <c r="S6653" t="s">
        <v>224</v>
      </c>
      <c r="T6653" t="s">
        <v>433</v>
      </c>
      <c r="U6653" s="21">
        <v>675622.72</v>
      </c>
      <c r="V6653" s="21" t="s">
        <v>368</v>
      </c>
      <c r="W6653" t="str">
        <f>VLOOKUP(Table_Query_from_Actuarial___Production[[#This Row],[Kor1]],$AI$3:$AK$105,3,FALSE)</f>
        <v>Losses Paid</v>
      </c>
      <c r="X6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653"/>
      <c r="Z6653" t="s">
        <v>19</v>
      </c>
      <c r="AA6653" t="s">
        <v>242</v>
      </c>
      <c r="AB6653" t="s">
        <v>433</v>
      </c>
      <c r="AC6653" s="21">
        <v>19302</v>
      </c>
      <c r="AD6653" s="21" t="s">
        <v>368</v>
      </c>
      <c r="AE6653" t="str">
        <f>VLOOKUP(Table_Query_from_Actuarial___Production3[[#This Row],[Kor1]],$AI$3:$AK$105,3,FALSE)</f>
        <v>Misc. Expense for Insolvent Companies</v>
      </c>
      <c r="AF6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4" spans="18:32" x14ac:dyDescent="0.2">
      <c r="R6654" t="s">
        <v>49</v>
      </c>
      <c r="S6654" t="s">
        <v>240</v>
      </c>
      <c r="T6654" t="s">
        <v>7</v>
      </c>
      <c r="U6654" s="21">
        <v>42743.55</v>
      </c>
      <c r="V6654" s="21" t="s">
        <v>368</v>
      </c>
      <c r="W6654" t="str">
        <f>VLOOKUP(Table_Query_from_Actuarial___Production[[#This Row],[Kor1]],$AI$3:$AK$105,3,FALSE)</f>
        <v>ALAE Paid</v>
      </c>
      <c r="X6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4"/>
      <c r="Z6654" t="s">
        <v>28</v>
      </c>
      <c r="AA6654" t="s">
        <v>259</v>
      </c>
      <c r="AB6654" t="s">
        <v>9</v>
      </c>
      <c r="AC6654" s="21">
        <v>595.23</v>
      </c>
      <c r="AD6654" s="21" t="s">
        <v>368</v>
      </c>
      <c r="AE6654" t="str">
        <f>VLOOKUP(Table_Query_from_Actuarial___Production3[[#This Row],[Kor1]],$AI$3:$AK$105,3,FALSE)</f>
        <v>Misc. Expense</v>
      </c>
      <c r="AF6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5" spans="18:32" x14ac:dyDescent="0.2">
      <c r="R6655" t="s">
        <v>13</v>
      </c>
      <c r="S6655" t="s">
        <v>261</v>
      </c>
      <c r="T6655" t="s">
        <v>7</v>
      </c>
      <c r="U6655" s="21">
        <v>118002</v>
      </c>
      <c r="V6655" s="21" t="s">
        <v>368</v>
      </c>
      <c r="W6655" t="str">
        <f>VLOOKUP(Table_Query_from_Actuarial___Production[[#This Row],[Kor1]],$AI$3:$AK$105,3,FALSE)</f>
        <v>Operating Service Fees</v>
      </c>
      <c r="X6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5"/>
      <c r="Z6655" t="s">
        <v>31</v>
      </c>
      <c r="AA6655" t="s">
        <v>253</v>
      </c>
      <c r="AB6655" t="s">
        <v>9</v>
      </c>
      <c r="AC6655" s="21">
        <v>298.73</v>
      </c>
      <c r="AD6655" s="21" t="s">
        <v>368</v>
      </c>
      <c r="AE6655" t="str">
        <f>VLOOKUP(Table_Query_from_Actuarial___Production3[[#This Row],[Kor1]],$AI$3:$AK$105,3,FALSE)</f>
        <v>Misc. Expense</v>
      </c>
      <c r="AF6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6" spans="18:32" x14ac:dyDescent="0.2">
      <c r="R6656" t="s">
        <v>14</v>
      </c>
      <c r="S6656" t="s">
        <v>266</v>
      </c>
      <c r="T6656" t="s">
        <v>351</v>
      </c>
      <c r="U6656" s="21">
        <v>17508.560000000001</v>
      </c>
      <c r="V6656" s="21" t="s">
        <v>368</v>
      </c>
      <c r="W6656" t="str">
        <f>VLOOKUP(Table_Query_from_Actuarial___Production[[#This Row],[Kor1]],$AI$3:$AK$105,3,FALSE)</f>
        <v>Claims Expense</v>
      </c>
      <c r="X6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6"/>
      <c r="Z6656" t="s">
        <v>3</v>
      </c>
      <c r="AA6656" t="s">
        <v>265</v>
      </c>
      <c r="AB6656" t="s">
        <v>6</v>
      </c>
      <c r="AC6656" s="21">
        <v>194283</v>
      </c>
      <c r="AD6656" s="21" t="s">
        <v>368</v>
      </c>
      <c r="AE6656" t="str">
        <f>VLOOKUP(Table_Query_from_Actuarial___Production3[[#This Row],[Kor1]],$AI$3:$AK$105,3,FALSE)</f>
        <v>Premiums Written</v>
      </c>
      <c r="AF6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7" spans="18:32" x14ac:dyDescent="0.2">
      <c r="R6657" t="s">
        <v>41</v>
      </c>
      <c r="S6657" t="s">
        <v>251</v>
      </c>
      <c r="T6657" t="s">
        <v>442</v>
      </c>
      <c r="U6657" s="21">
        <v>249.99</v>
      </c>
      <c r="V6657" s="21" t="s">
        <v>368</v>
      </c>
      <c r="W6657" t="str">
        <f>VLOOKUP(Table_Query_from_Actuarial___Production[[#This Row],[Kor1]],$AI$3:$AK$105,3,FALSE)</f>
        <v>Misc. Income</v>
      </c>
      <c r="X6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7"/>
      <c r="Z6657" t="s">
        <v>12</v>
      </c>
      <c r="AA6657" t="s">
        <v>255</v>
      </c>
      <c r="AB6657" t="s">
        <v>8</v>
      </c>
      <c r="AC6657" s="21">
        <v>10782.75</v>
      </c>
      <c r="AD6657" s="21" t="s">
        <v>368</v>
      </c>
      <c r="AE6657" t="str">
        <f>VLOOKUP(Table_Query_from_Actuarial___Production3[[#This Row],[Kor1]],$AI$3:$AK$105,3,FALSE)</f>
        <v>Premium Tax</v>
      </c>
      <c r="AF6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58" spans="18:32" x14ac:dyDescent="0.2">
      <c r="R6658" t="s">
        <v>3</v>
      </c>
      <c r="S6658" t="s">
        <v>354</v>
      </c>
      <c r="T6658" t="s">
        <v>441</v>
      </c>
      <c r="U6658" s="21">
        <v>149766932.09</v>
      </c>
      <c r="V6658" s="21" t="s">
        <v>368</v>
      </c>
      <c r="W6658" t="str">
        <f>VLOOKUP(Table_Query_from_Actuarial___Production[[#This Row],[Kor1]],$AI$3:$AK$105,3,FALSE)</f>
        <v>Premiums Written</v>
      </c>
      <c r="X6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58"/>
      <c r="Z6658" t="s">
        <v>13</v>
      </c>
      <c r="AA6658" t="s">
        <v>354</v>
      </c>
      <c r="AB6658" t="s">
        <v>441</v>
      </c>
      <c r="AC6658" s="21">
        <v>39332587.869999997</v>
      </c>
      <c r="AD6658" s="21" t="s">
        <v>368</v>
      </c>
      <c r="AE6658" t="str">
        <f>VLOOKUP(Table_Query_from_Actuarial___Production3[[#This Row],[Kor1]],$AI$3:$AK$105,3,FALSE)</f>
        <v>Operating Service Fees</v>
      </c>
      <c r="AF6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59" spans="18:32" x14ac:dyDescent="0.2">
      <c r="R6659" t="s">
        <v>3</v>
      </c>
      <c r="S6659" t="s">
        <v>248</v>
      </c>
      <c r="T6659" t="s">
        <v>442</v>
      </c>
      <c r="U6659" s="21">
        <v>358863</v>
      </c>
      <c r="V6659" s="21" t="s">
        <v>368</v>
      </c>
      <c r="W6659" t="str">
        <f>VLOOKUP(Table_Query_from_Actuarial___Production[[#This Row],[Kor1]],$AI$3:$AK$105,3,FALSE)</f>
        <v>Premiums Written</v>
      </c>
      <c r="X6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59"/>
      <c r="Z6659" t="s">
        <v>3</v>
      </c>
      <c r="AA6659" t="s">
        <v>255</v>
      </c>
      <c r="AB6659" t="s">
        <v>8</v>
      </c>
      <c r="AC6659" s="21">
        <v>479232</v>
      </c>
      <c r="AD6659" s="21" t="s">
        <v>368</v>
      </c>
      <c r="AE6659" t="str">
        <f>VLOOKUP(Table_Query_from_Actuarial___Production3[[#This Row],[Kor1]],$AI$3:$AK$105,3,FALSE)</f>
        <v>Premiums Written</v>
      </c>
      <c r="AF6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0" spans="18:32" x14ac:dyDescent="0.2">
      <c r="R6660" t="s">
        <v>33</v>
      </c>
      <c r="S6660" t="s">
        <v>256</v>
      </c>
      <c r="T6660" t="s">
        <v>6</v>
      </c>
      <c r="U6660" s="21">
        <v>21371.09</v>
      </c>
      <c r="V6660" s="21" t="s">
        <v>368</v>
      </c>
      <c r="W6660" t="str">
        <f>VLOOKUP(Table_Query_from_Actuarial___Production[[#This Row],[Kor1]],$AI$3:$AK$105,3,FALSE)</f>
        <v>Misc. Expense</v>
      </c>
      <c r="X6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0"/>
      <c r="Z6660" t="s">
        <v>47</v>
      </c>
      <c r="AA6660" t="s">
        <v>249</v>
      </c>
      <c r="AB6660" t="s">
        <v>443</v>
      </c>
      <c r="AC6660" s="21">
        <v>2854.9</v>
      </c>
      <c r="AD6660" s="21" t="s">
        <v>368</v>
      </c>
      <c r="AE6660" t="str">
        <f>VLOOKUP(Table_Query_from_Actuarial___Production3[[#This Row],[Kor1]],$AI$3:$AK$105,3,FALSE)</f>
        <v>Investment Income</v>
      </c>
      <c r="AF6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1" spans="18:32" x14ac:dyDescent="0.2">
      <c r="R6661" t="s">
        <v>43</v>
      </c>
      <c r="S6661" t="s">
        <v>233</v>
      </c>
      <c r="T6661" t="s">
        <v>8</v>
      </c>
      <c r="U6661" s="21">
        <v>-34.96</v>
      </c>
      <c r="V6661" s="21" t="s">
        <v>368</v>
      </c>
      <c r="W6661" t="str">
        <f>VLOOKUP(Table_Query_from_Actuarial___Production[[#This Row],[Kor1]],$AI$3:$AK$105,3,FALSE)</f>
        <v>Charge-offs</v>
      </c>
      <c r="X6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1"/>
      <c r="Z6661" t="s">
        <v>11</v>
      </c>
      <c r="AA6661" t="s">
        <v>224</v>
      </c>
      <c r="AB6661" t="s">
        <v>433</v>
      </c>
      <c r="AC6661" s="21">
        <v>645622.72</v>
      </c>
      <c r="AD6661" s="21" t="s">
        <v>368</v>
      </c>
      <c r="AE6661" t="str">
        <f>VLOOKUP(Table_Query_from_Actuarial___Production3[[#This Row],[Kor1]],$AI$3:$AK$105,3,FALSE)</f>
        <v>Losses Paid</v>
      </c>
      <c r="AF6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662" spans="18:32" x14ac:dyDescent="0.2">
      <c r="R6662" t="s">
        <v>14</v>
      </c>
      <c r="S6662" t="s">
        <v>265</v>
      </c>
      <c r="T6662" t="s">
        <v>6</v>
      </c>
      <c r="U6662" s="21">
        <v>11192.49</v>
      </c>
      <c r="V6662" s="21" t="s">
        <v>368</v>
      </c>
      <c r="W6662" t="str">
        <f>VLOOKUP(Table_Query_from_Actuarial___Production[[#This Row],[Kor1]],$AI$3:$AK$105,3,FALSE)</f>
        <v>Claims Expense</v>
      </c>
      <c r="X6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2"/>
      <c r="Z6662" t="s">
        <v>49</v>
      </c>
      <c r="AA6662" t="s">
        <v>240</v>
      </c>
      <c r="AB6662" t="s">
        <v>7</v>
      </c>
      <c r="AC6662" s="21">
        <v>42743.55</v>
      </c>
      <c r="AD6662" s="21" t="s">
        <v>368</v>
      </c>
      <c r="AE6662" t="str">
        <f>VLOOKUP(Table_Query_from_Actuarial___Production3[[#This Row],[Kor1]],$AI$3:$AK$105,3,FALSE)</f>
        <v>ALAE Paid</v>
      </c>
      <c r="AF6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3" spans="18:32" x14ac:dyDescent="0.2">
      <c r="R6663" t="s">
        <v>144</v>
      </c>
      <c r="S6663" t="s">
        <v>224</v>
      </c>
      <c r="T6663" t="s">
        <v>441</v>
      </c>
      <c r="U6663" s="21">
        <v>-45800</v>
      </c>
      <c r="V6663" s="21" t="s">
        <v>368</v>
      </c>
      <c r="W6663" t="str">
        <f>VLOOKUP(Table_Query_from_Actuarial___Production[[#This Row],[Kor1]],$AI$3:$AK$105,3,FALSE)</f>
        <v>Claims Expense</v>
      </c>
      <c r="X6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663"/>
      <c r="Z6663" t="s">
        <v>13</v>
      </c>
      <c r="AA6663" t="s">
        <v>261</v>
      </c>
      <c r="AB6663" t="s">
        <v>7</v>
      </c>
      <c r="AC6663" s="21">
        <v>118002</v>
      </c>
      <c r="AD6663" s="21" t="s">
        <v>368</v>
      </c>
      <c r="AE6663" t="str">
        <f>VLOOKUP(Table_Query_from_Actuarial___Production3[[#This Row],[Kor1]],$AI$3:$AK$105,3,FALSE)</f>
        <v>Operating Service Fees</v>
      </c>
      <c r="AF6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4" spans="18:32" x14ac:dyDescent="0.2">
      <c r="R6664" t="s">
        <v>10</v>
      </c>
      <c r="S6664" t="s">
        <v>226</v>
      </c>
      <c r="T6664" t="s">
        <v>445</v>
      </c>
      <c r="U6664" s="21">
        <v>524669.15</v>
      </c>
      <c r="V6664" s="21" t="s">
        <v>368</v>
      </c>
      <c r="W6664" t="str">
        <f>VLOOKUP(Table_Query_from_Actuarial___Production[[#This Row],[Kor1]],$AI$3:$AK$105,3,FALSE)</f>
        <v>Commissions</v>
      </c>
      <c r="X6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664"/>
      <c r="Z6664" t="s">
        <v>15</v>
      </c>
      <c r="AA6664" t="s">
        <v>354</v>
      </c>
      <c r="AB6664" t="s">
        <v>442</v>
      </c>
      <c r="AC6664" s="21">
        <v>12658496.52</v>
      </c>
      <c r="AD6664" s="21" t="s">
        <v>368</v>
      </c>
      <c r="AE6664" t="str">
        <f>VLOOKUP(Table_Query_from_Actuarial___Production3[[#This Row],[Kor1]],$AI$3:$AK$105,3,FALSE)</f>
        <v>Unearned Premiums</v>
      </c>
      <c r="AF6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65" spans="18:32" x14ac:dyDescent="0.2">
      <c r="R6665" t="s">
        <v>13</v>
      </c>
      <c r="S6665" t="s">
        <v>267</v>
      </c>
      <c r="T6665" t="s">
        <v>442</v>
      </c>
      <c r="U6665" s="21">
        <v>136000.79999999999</v>
      </c>
      <c r="V6665" s="21" t="s">
        <v>368</v>
      </c>
      <c r="W6665" t="str">
        <f>VLOOKUP(Table_Query_from_Actuarial___Production[[#This Row],[Kor1]],$AI$3:$AK$105,3,FALSE)</f>
        <v>Operating Service Fees</v>
      </c>
      <c r="X6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5"/>
      <c r="Z6665" t="s">
        <v>14</v>
      </c>
      <c r="AA6665" t="s">
        <v>266</v>
      </c>
      <c r="AB6665" t="s">
        <v>351</v>
      </c>
      <c r="AC6665" s="21">
        <v>17508.560000000001</v>
      </c>
      <c r="AD6665" s="21" t="s">
        <v>368</v>
      </c>
      <c r="AE6665" t="str">
        <f>VLOOKUP(Table_Query_from_Actuarial___Production3[[#This Row],[Kor1]],$AI$3:$AK$105,3,FALSE)</f>
        <v>Claims Expense</v>
      </c>
      <c r="AF6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6" spans="18:32" x14ac:dyDescent="0.2">
      <c r="R6666" t="s">
        <v>3</v>
      </c>
      <c r="S6666" t="s">
        <v>266</v>
      </c>
      <c r="T6666" t="s">
        <v>6</v>
      </c>
      <c r="U6666" s="21">
        <v>217228</v>
      </c>
      <c r="V6666" s="21" t="s">
        <v>368</v>
      </c>
      <c r="W6666" t="str">
        <f>VLOOKUP(Table_Query_from_Actuarial___Production[[#This Row],[Kor1]],$AI$3:$AK$105,3,FALSE)</f>
        <v>Premiums Written</v>
      </c>
      <c r="X6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6"/>
      <c r="Z6666" t="s">
        <v>41</v>
      </c>
      <c r="AA6666" t="s">
        <v>251</v>
      </c>
      <c r="AB6666" t="s">
        <v>442</v>
      </c>
      <c r="AC6666" s="21">
        <v>249.99</v>
      </c>
      <c r="AD6666" s="21" t="s">
        <v>368</v>
      </c>
      <c r="AE6666" t="str">
        <f>VLOOKUP(Table_Query_from_Actuarial___Production3[[#This Row],[Kor1]],$AI$3:$AK$105,3,FALSE)</f>
        <v>Misc. Income</v>
      </c>
      <c r="AF6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7" spans="18:32" x14ac:dyDescent="0.2">
      <c r="R6667" t="s">
        <v>46</v>
      </c>
      <c r="S6667" t="s">
        <v>225</v>
      </c>
      <c r="T6667" t="s">
        <v>443</v>
      </c>
      <c r="U6667" s="21">
        <v>55289.55</v>
      </c>
      <c r="V6667" s="21" t="s">
        <v>369</v>
      </c>
      <c r="W6667" t="str">
        <f>VLOOKUP(Table_Query_from_Actuarial___Production[[#This Row],[Kor1]],$AI$3:$AK$105,3,FALSE)</f>
        <v>Investment Income</v>
      </c>
      <c r="X6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667"/>
      <c r="Z6667" t="s">
        <v>3</v>
      </c>
      <c r="AA6667" t="s">
        <v>354</v>
      </c>
      <c r="AB6667" t="s">
        <v>441</v>
      </c>
      <c r="AC6667" s="21">
        <v>149743524.96000001</v>
      </c>
      <c r="AD6667" s="21" t="s">
        <v>368</v>
      </c>
      <c r="AE6667" t="str">
        <f>VLOOKUP(Table_Query_from_Actuarial___Production3[[#This Row],[Kor1]],$AI$3:$AK$105,3,FALSE)</f>
        <v>Premiums Written</v>
      </c>
      <c r="AF6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68" spans="18:32" x14ac:dyDescent="0.2">
      <c r="R6668" t="s">
        <v>50</v>
      </c>
      <c r="S6668" t="s">
        <v>225</v>
      </c>
      <c r="T6668" t="s">
        <v>445</v>
      </c>
      <c r="U6668" s="21">
        <v>70.75</v>
      </c>
      <c r="V6668" s="21" t="s">
        <v>368</v>
      </c>
      <c r="W6668" t="str">
        <f>VLOOKUP(Table_Query_from_Actuarial___Production[[#This Row],[Kor1]],$AI$3:$AK$105,3,FALSE)</f>
        <v>ALAE Reserve</v>
      </c>
      <c r="X6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668"/>
      <c r="Z6668" t="s">
        <v>3</v>
      </c>
      <c r="AA6668" t="s">
        <v>248</v>
      </c>
      <c r="AB6668" t="s">
        <v>442</v>
      </c>
      <c r="AC6668" s="21">
        <v>364265</v>
      </c>
      <c r="AD6668" s="21" t="s">
        <v>368</v>
      </c>
      <c r="AE6668" t="str">
        <f>VLOOKUP(Table_Query_from_Actuarial___Production3[[#This Row],[Kor1]],$AI$3:$AK$105,3,FALSE)</f>
        <v>Premiums Written</v>
      </c>
      <c r="AF6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69" spans="18:32" x14ac:dyDescent="0.2">
      <c r="R6669" t="s">
        <v>11</v>
      </c>
      <c r="S6669" t="s">
        <v>228</v>
      </c>
      <c r="T6669" t="s">
        <v>441</v>
      </c>
      <c r="U6669" s="21">
        <v>82650.3</v>
      </c>
      <c r="V6669" s="21" t="s">
        <v>368</v>
      </c>
      <c r="W6669" t="str">
        <f>VLOOKUP(Table_Query_from_Actuarial___Production[[#This Row],[Kor1]],$AI$3:$AK$105,3,FALSE)</f>
        <v>Losses Paid</v>
      </c>
      <c r="X6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69"/>
      <c r="Z6669" t="s">
        <v>14</v>
      </c>
      <c r="AA6669" t="s">
        <v>239</v>
      </c>
      <c r="AB6669" t="s">
        <v>5</v>
      </c>
      <c r="AC6669" s="21">
        <v>1348.52</v>
      </c>
      <c r="AD6669" s="21" t="s">
        <v>368</v>
      </c>
      <c r="AE6669" t="str">
        <f>VLOOKUP(Table_Query_from_Actuarial___Production3[[#This Row],[Kor1]],$AI$3:$AK$105,3,FALSE)</f>
        <v>Claims Expense</v>
      </c>
      <c r="AF6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0" spans="18:32" x14ac:dyDescent="0.2">
      <c r="R6670" t="s">
        <v>31</v>
      </c>
      <c r="S6670" t="s">
        <v>231</v>
      </c>
      <c r="T6670" t="s">
        <v>351</v>
      </c>
      <c r="U6670" s="21">
        <v>839.28</v>
      </c>
      <c r="V6670" s="21" t="s">
        <v>368</v>
      </c>
      <c r="W6670" t="str">
        <f>VLOOKUP(Table_Query_from_Actuarial___Production[[#This Row],[Kor1]],$AI$3:$AK$105,3,FALSE)</f>
        <v>Misc. Expense</v>
      </c>
      <c r="X6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0"/>
      <c r="Z6670" t="s">
        <v>33</v>
      </c>
      <c r="AA6670" t="s">
        <v>256</v>
      </c>
      <c r="AB6670" t="s">
        <v>6</v>
      </c>
      <c r="AC6670" s="21">
        <v>21371.09</v>
      </c>
      <c r="AD6670" s="21" t="s">
        <v>368</v>
      </c>
      <c r="AE6670" t="str">
        <f>VLOOKUP(Table_Query_from_Actuarial___Production3[[#This Row],[Kor1]],$AI$3:$AK$105,3,FALSE)</f>
        <v>Misc. Expense</v>
      </c>
      <c r="AF6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1" spans="18:32" x14ac:dyDescent="0.2">
      <c r="R6671" t="s">
        <v>13</v>
      </c>
      <c r="S6671" t="s">
        <v>354</v>
      </c>
      <c r="T6671" t="s">
        <v>351</v>
      </c>
      <c r="U6671" s="21">
        <v>28447754.440000001</v>
      </c>
      <c r="V6671" s="21" t="s">
        <v>368</v>
      </c>
      <c r="W6671" t="str">
        <f>VLOOKUP(Table_Query_from_Actuarial___Production[[#This Row],[Kor1]],$AI$3:$AK$105,3,FALSE)</f>
        <v>Operating Service Fees</v>
      </c>
      <c r="X6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71"/>
      <c r="Z6671" t="s">
        <v>43</v>
      </c>
      <c r="AA6671" t="s">
        <v>233</v>
      </c>
      <c r="AB6671" t="s">
        <v>8</v>
      </c>
      <c r="AC6671" s="21">
        <v>-34.96</v>
      </c>
      <c r="AD6671" s="21" t="s">
        <v>368</v>
      </c>
      <c r="AE6671" t="str">
        <f>VLOOKUP(Table_Query_from_Actuarial___Production3[[#This Row],[Kor1]],$AI$3:$AK$105,3,FALSE)</f>
        <v>Charge-offs</v>
      </c>
      <c r="AF6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2" spans="18:32" x14ac:dyDescent="0.2">
      <c r="R6672" t="s">
        <v>10</v>
      </c>
      <c r="S6672" t="s">
        <v>235</v>
      </c>
      <c r="T6672" t="s">
        <v>445</v>
      </c>
      <c r="U6672" s="21">
        <v>9604.5</v>
      </c>
      <c r="V6672" s="21" t="s">
        <v>368</v>
      </c>
      <c r="W6672" t="str">
        <f>VLOOKUP(Table_Query_from_Actuarial___Production[[#This Row],[Kor1]],$AI$3:$AK$105,3,FALSE)</f>
        <v>Commissions</v>
      </c>
      <c r="X6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2"/>
      <c r="Z6672" t="s">
        <v>14</v>
      </c>
      <c r="AA6672" t="s">
        <v>265</v>
      </c>
      <c r="AB6672" t="s">
        <v>6</v>
      </c>
      <c r="AC6672" s="21">
        <v>11192.49</v>
      </c>
      <c r="AD6672" s="21" t="s">
        <v>368</v>
      </c>
      <c r="AE6672" t="str">
        <f>VLOOKUP(Table_Query_from_Actuarial___Production3[[#This Row],[Kor1]],$AI$3:$AK$105,3,FALSE)</f>
        <v>Claims Expense</v>
      </c>
      <c r="AF6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3" spans="18:32" x14ac:dyDescent="0.2">
      <c r="R6673" t="s">
        <v>47</v>
      </c>
      <c r="S6673" t="s">
        <v>250</v>
      </c>
      <c r="T6673" t="s">
        <v>6</v>
      </c>
      <c r="U6673" s="21">
        <v>0.1</v>
      </c>
      <c r="V6673" s="21" t="s">
        <v>368</v>
      </c>
      <c r="W6673" t="str">
        <f>VLOOKUP(Table_Query_from_Actuarial___Production[[#This Row],[Kor1]],$AI$3:$AK$105,3,FALSE)</f>
        <v>Investment Income</v>
      </c>
      <c r="X6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3"/>
      <c r="Z6673" t="s">
        <v>144</v>
      </c>
      <c r="AA6673" t="s">
        <v>224</v>
      </c>
      <c r="AB6673" t="s">
        <v>441</v>
      </c>
      <c r="AC6673" s="21">
        <v>-45800</v>
      </c>
      <c r="AD6673" s="21" t="s">
        <v>368</v>
      </c>
      <c r="AE6673" t="str">
        <f>VLOOKUP(Table_Query_from_Actuarial___Production3[[#This Row],[Kor1]],$AI$3:$AK$105,3,FALSE)</f>
        <v>Claims Expense</v>
      </c>
      <c r="AF6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674" spans="18:32" x14ac:dyDescent="0.2">
      <c r="R6674" t="s">
        <v>40</v>
      </c>
      <c r="S6674" t="s">
        <v>255</v>
      </c>
      <c r="T6674" t="s">
        <v>442</v>
      </c>
      <c r="U6674" s="21">
        <v>1032.74</v>
      </c>
      <c r="V6674" s="21" t="s">
        <v>368</v>
      </c>
      <c r="W6674" t="str">
        <f>VLOOKUP(Table_Query_from_Actuarial___Production[[#This Row],[Kor1]],$AI$3:$AK$105,3,FALSE)</f>
        <v>Misc. Income</v>
      </c>
      <c r="X6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4"/>
      <c r="Z6674" t="s">
        <v>13</v>
      </c>
      <c r="AA6674" t="s">
        <v>267</v>
      </c>
      <c r="AB6674" t="s">
        <v>442</v>
      </c>
      <c r="AC6674" s="21">
        <v>141380.79999999999</v>
      </c>
      <c r="AD6674" s="21" t="s">
        <v>368</v>
      </c>
      <c r="AE6674" t="str">
        <f>VLOOKUP(Table_Query_from_Actuarial___Production3[[#This Row],[Kor1]],$AI$3:$AK$105,3,FALSE)</f>
        <v>Operating Service Fees</v>
      </c>
      <c r="AF6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5" spans="18:32" x14ac:dyDescent="0.2">
      <c r="R6675" t="s">
        <v>47</v>
      </c>
      <c r="S6675" t="s">
        <v>264</v>
      </c>
      <c r="T6675" t="s">
        <v>356</v>
      </c>
      <c r="U6675" s="21">
        <v>6586.5</v>
      </c>
      <c r="V6675" s="21" t="s">
        <v>368</v>
      </c>
      <c r="W6675" t="str">
        <f>VLOOKUP(Table_Query_from_Actuarial___Production[[#This Row],[Kor1]],$AI$3:$AK$105,3,FALSE)</f>
        <v>Investment Income</v>
      </c>
      <c r="X6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5"/>
      <c r="Z6675" t="s">
        <v>3</v>
      </c>
      <c r="AA6675" t="s">
        <v>266</v>
      </c>
      <c r="AB6675" t="s">
        <v>6</v>
      </c>
      <c r="AC6675" s="21">
        <v>217228</v>
      </c>
      <c r="AD6675" s="21" t="s">
        <v>368</v>
      </c>
      <c r="AE6675" t="str">
        <f>VLOOKUP(Table_Query_from_Actuarial___Production3[[#This Row],[Kor1]],$AI$3:$AK$105,3,FALSE)</f>
        <v>Premiums Written</v>
      </c>
      <c r="AF6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6" spans="18:32" x14ac:dyDescent="0.2">
      <c r="R6676" t="s">
        <v>48</v>
      </c>
      <c r="S6676" t="s">
        <v>230</v>
      </c>
      <c r="T6676" t="s">
        <v>443</v>
      </c>
      <c r="U6676" s="21">
        <v>56077.82</v>
      </c>
      <c r="V6676" s="21" t="s">
        <v>368</v>
      </c>
      <c r="W6676" t="str">
        <f>VLOOKUP(Table_Query_from_Actuarial___Production[[#This Row],[Kor1]],$AI$3:$AK$105,3,FALSE)</f>
        <v>Anticipated Salvage</v>
      </c>
      <c r="X6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6"/>
      <c r="Z6676" t="s">
        <v>46</v>
      </c>
      <c r="AA6676" t="s">
        <v>225</v>
      </c>
      <c r="AB6676" t="s">
        <v>443</v>
      </c>
      <c r="AC6676" s="21">
        <v>19885.87</v>
      </c>
      <c r="AD6676" s="21" t="s">
        <v>369</v>
      </c>
      <c r="AE6676" t="str">
        <f>VLOOKUP(Table_Query_from_Actuarial___Production3[[#This Row],[Kor1]],$AI$3:$AK$105,3,FALSE)</f>
        <v>Investment Income</v>
      </c>
      <c r="AF6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677" spans="18:32" x14ac:dyDescent="0.2">
      <c r="R6677" t="s">
        <v>49</v>
      </c>
      <c r="S6677" t="s">
        <v>241</v>
      </c>
      <c r="T6677" t="s">
        <v>8</v>
      </c>
      <c r="U6677" s="21">
        <v>14196.82</v>
      </c>
      <c r="V6677" s="21" t="s">
        <v>368</v>
      </c>
      <c r="W6677" t="str">
        <f>VLOOKUP(Table_Query_from_Actuarial___Production[[#This Row],[Kor1]],$AI$3:$AK$105,3,FALSE)</f>
        <v>ALAE Paid</v>
      </c>
      <c r="X6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7"/>
      <c r="Z6677" t="s">
        <v>11</v>
      </c>
      <c r="AA6677" t="s">
        <v>228</v>
      </c>
      <c r="AB6677" t="s">
        <v>441</v>
      </c>
      <c r="AC6677" s="21">
        <v>77968.19</v>
      </c>
      <c r="AD6677" s="21" t="s">
        <v>368</v>
      </c>
      <c r="AE6677" t="str">
        <f>VLOOKUP(Table_Query_from_Actuarial___Production3[[#This Row],[Kor1]],$AI$3:$AK$105,3,FALSE)</f>
        <v>Losses Paid</v>
      </c>
      <c r="AF6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8" spans="18:32" x14ac:dyDescent="0.2">
      <c r="R6678" t="s">
        <v>50</v>
      </c>
      <c r="S6678" t="s">
        <v>230</v>
      </c>
      <c r="T6678" t="s">
        <v>433</v>
      </c>
      <c r="U6678" s="21">
        <v>949555.91</v>
      </c>
      <c r="V6678" s="21" t="s">
        <v>368</v>
      </c>
      <c r="W6678" t="str">
        <f>VLOOKUP(Table_Query_from_Actuarial___Production[[#This Row],[Kor1]],$AI$3:$AK$105,3,FALSE)</f>
        <v>ALAE Reserve</v>
      </c>
      <c r="X6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8"/>
      <c r="Z6678" t="s">
        <v>31</v>
      </c>
      <c r="AA6678" t="s">
        <v>231</v>
      </c>
      <c r="AB6678" t="s">
        <v>351</v>
      </c>
      <c r="AC6678" s="21">
        <v>839.28</v>
      </c>
      <c r="AD6678" s="21" t="s">
        <v>368</v>
      </c>
      <c r="AE6678" t="str">
        <f>VLOOKUP(Table_Query_from_Actuarial___Production3[[#This Row],[Kor1]],$AI$3:$AK$105,3,FALSE)</f>
        <v>Misc. Expense</v>
      </c>
      <c r="AF6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79" spans="18:32" x14ac:dyDescent="0.2">
      <c r="R6679" t="s">
        <v>19</v>
      </c>
      <c r="S6679" t="s">
        <v>243</v>
      </c>
      <c r="T6679" t="s">
        <v>9</v>
      </c>
      <c r="U6679" s="21">
        <v>1345</v>
      </c>
      <c r="V6679" s="21" t="s">
        <v>368</v>
      </c>
      <c r="W6679" t="str">
        <f>VLOOKUP(Table_Query_from_Actuarial___Production[[#This Row],[Kor1]],$AI$3:$AK$105,3,FALSE)</f>
        <v>Misc. Expense for Insolvent Companies</v>
      </c>
      <c r="X6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79"/>
      <c r="Z6679" t="s">
        <v>13</v>
      </c>
      <c r="AA6679" t="s">
        <v>354</v>
      </c>
      <c r="AB6679" t="s">
        <v>351</v>
      </c>
      <c r="AC6679" s="21">
        <v>28448494.010000002</v>
      </c>
      <c r="AD6679" s="21" t="s">
        <v>368</v>
      </c>
      <c r="AE6679" t="str">
        <f>VLOOKUP(Table_Query_from_Actuarial___Production3[[#This Row],[Kor1]],$AI$3:$AK$105,3,FALSE)</f>
        <v>Operating Service Fees</v>
      </c>
      <c r="AF6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680" spans="18:32" x14ac:dyDescent="0.2">
      <c r="R6680" t="s">
        <v>19</v>
      </c>
      <c r="S6680" t="s">
        <v>247</v>
      </c>
      <c r="T6680" t="s">
        <v>433</v>
      </c>
      <c r="U6680" s="21">
        <v>7</v>
      </c>
      <c r="V6680" s="21" t="s">
        <v>368</v>
      </c>
      <c r="W6680" t="str">
        <f>VLOOKUP(Table_Query_from_Actuarial___Production[[#This Row],[Kor1]],$AI$3:$AK$105,3,FALSE)</f>
        <v>Misc. Expense for Insolvent Companies</v>
      </c>
      <c r="X6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0"/>
      <c r="Z6680" t="s">
        <v>47</v>
      </c>
      <c r="AA6680" t="s">
        <v>250</v>
      </c>
      <c r="AB6680" t="s">
        <v>6</v>
      </c>
      <c r="AC6680" s="21">
        <v>0.1</v>
      </c>
      <c r="AD6680" s="21" t="s">
        <v>368</v>
      </c>
      <c r="AE6680" t="str">
        <f>VLOOKUP(Table_Query_from_Actuarial___Production3[[#This Row],[Kor1]],$AI$3:$AK$105,3,FALSE)</f>
        <v>Investment Income</v>
      </c>
      <c r="AF6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1" spans="18:32" x14ac:dyDescent="0.2">
      <c r="R6681" t="s">
        <v>144</v>
      </c>
      <c r="S6681" t="s">
        <v>224</v>
      </c>
      <c r="T6681" t="s">
        <v>443</v>
      </c>
      <c r="U6681" s="21">
        <v>-18400</v>
      </c>
      <c r="V6681" s="21" t="s">
        <v>370</v>
      </c>
      <c r="W6681" t="str">
        <f>VLOOKUP(Table_Query_from_Actuarial___Production[[#This Row],[Kor1]],$AI$3:$AK$105,3,FALSE)</f>
        <v>Claims Expense</v>
      </c>
      <c r="X6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681"/>
      <c r="Z6681" t="s">
        <v>40</v>
      </c>
      <c r="AA6681" t="s">
        <v>255</v>
      </c>
      <c r="AB6681" t="s">
        <v>442</v>
      </c>
      <c r="AC6681" s="21">
        <v>1032.74</v>
      </c>
      <c r="AD6681" s="21" t="s">
        <v>368</v>
      </c>
      <c r="AE6681" t="str">
        <f>VLOOKUP(Table_Query_from_Actuarial___Production3[[#This Row],[Kor1]],$AI$3:$AK$105,3,FALSE)</f>
        <v>Misc. Income</v>
      </c>
      <c r="AF6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2" spans="18:32" x14ac:dyDescent="0.2">
      <c r="R6682" t="s">
        <v>11</v>
      </c>
      <c r="S6682" t="s">
        <v>257</v>
      </c>
      <c r="T6682" t="s">
        <v>433</v>
      </c>
      <c r="U6682" s="21">
        <v>3564424.65</v>
      </c>
      <c r="V6682" s="21" t="s">
        <v>368</v>
      </c>
      <c r="W6682" t="str">
        <f>VLOOKUP(Table_Query_from_Actuarial___Production[[#This Row],[Kor1]],$AI$3:$AK$105,3,FALSE)</f>
        <v>Losses Paid</v>
      </c>
      <c r="X6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2"/>
      <c r="Z6682" t="s">
        <v>47</v>
      </c>
      <c r="AA6682" t="s">
        <v>264</v>
      </c>
      <c r="AB6682" t="s">
        <v>356</v>
      </c>
      <c r="AC6682" s="21">
        <v>6586.5</v>
      </c>
      <c r="AD6682" s="21" t="s">
        <v>368</v>
      </c>
      <c r="AE6682" t="str">
        <f>VLOOKUP(Table_Query_from_Actuarial___Production3[[#This Row],[Kor1]],$AI$3:$AK$105,3,FALSE)</f>
        <v>Investment Income</v>
      </c>
      <c r="AF6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3" spans="18:32" x14ac:dyDescent="0.2">
      <c r="R6683" t="s">
        <v>130</v>
      </c>
      <c r="S6683" t="s">
        <v>224</v>
      </c>
      <c r="T6683" t="s">
        <v>9</v>
      </c>
      <c r="U6683" s="21">
        <v>2388777.02</v>
      </c>
      <c r="V6683" s="21" t="s">
        <v>370</v>
      </c>
      <c r="W6683" t="str">
        <f>VLOOKUP(Table_Query_from_Actuarial___Production[[#This Row],[Kor1]],$AI$3:$AK$105,3,FALSE)</f>
        <v>CPAI Charge-offs</v>
      </c>
      <c r="X6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683"/>
      <c r="Z6683" t="s">
        <v>48</v>
      </c>
      <c r="AA6683" t="s">
        <v>230</v>
      </c>
      <c r="AB6683" t="s">
        <v>443</v>
      </c>
      <c r="AC6683" s="21">
        <v>7784.16</v>
      </c>
      <c r="AD6683" s="21" t="s">
        <v>368</v>
      </c>
      <c r="AE6683" t="str">
        <f>VLOOKUP(Table_Query_from_Actuarial___Production3[[#This Row],[Kor1]],$AI$3:$AK$105,3,FALSE)</f>
        <v>Anticipated Salvage</v>
      </c>
      <c r="AF6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4" spans="18:32" x14ac:dyDescent="0.2">
      <c r="R6684" t="s">
        <v>44</v>
      </c>
      <c r="S6684" t="s">
        <v>225</v>
      </c>
      <c r="T6684" t="s">
        <v>442</v>
      </c>
      <c r="U6684" s="21">
        <v>13599.95</v>
      </c>
      <c r="V6684" s="21" t="s">
        <v>369</v>
      </c>
      <c r="W6684" t="str">
        <f>VLOOKUP(Table_Query_from_Actuarial___Production[[#This Row],[Kor1]],$AI$3:$AK$105,3,FALSE)</f>
        <v>Charge-offs</v>
      </c>
      <c r="X6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684"/>
      <c r="Z6684" t="s">
        <v>49</v>
      </c>
      <c r="AA6684" t="s">
        <v>241</v>
      </c>
      <c r="AB6684" t="s">
        <v>8</v>
      </c>
      <c r="AC6684" s="21">
        <v>14196.82</v>
      </c>
      <c r="AD6684" s="21" t="s">
        <v>368</v>
      </c>
      <c r="AE6684" t="str">
        <f>VLOOKUP(Table_Query_from_Actuarial___Production3[[#This Row],[Kor1]],$AI$3:$AK$105,3,FALSE)</f>
        <v>ALAE Paid</v>
      </c>
      <c r="AF6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5" spans="18:32" x14ac:dyDescent="0.2">
      <c r="R6685" t="s">
        <v>40</v>
      </c>
      <c r="S6685" t="s">
        <v>267</v>
      </c>
      <c r="T6685" t="s">
        <v>441</v>
      </c>
      <c r="U6685" s="21">
        <v>207</v>
      </c>
      <c r="V6685" s="21" t="s">
        <v>368</v>
      </c>
      <c r="W6685" t="str">
        <f>VLOOKUP(Table_Query_from_Actuarial___Production[[#This Row],[Kor1]],$AI$3:$AK$105,3,FALSE)</f>
        <v>Misc. Income</v>
      </c>
      <c r="X6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5"/>
      <c r="Z6685" t="s">
        <v>50</v>
      </c>
      <c r="AA6685" t="s">
        <v>230</v>
      </c>
      <c r="AB6685" t="s">
        <v>433</v>
      </c>
      <c r="AC6685" s="21">
        <v>1764948.49</v>
      </c>
      <c r="AD6685" s="21" t="s">
        <v>368</v>
      </c>
      <c r="AE6685" t="str">
        <f>VLOOKUP(Table_Query_from_Actuarial___Production3[[#This Row],[Kor1]],$AI$3:$AK$105,3,FALSE)</f>
        <v>ALAE Reserve</v>
      </c>
      <c r="AF6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6" spans="18:32" x14ac:dyDescent="0.2">
      <c r="R6686" t="s">
        <v>47</v>
      </c>
      <c r="S6686" t="s">
        <v>231</v>
      </c>
      <c r="T6686" t="s">
        <v>356</v>
      </c>
      <c r="U6686" s="21">
        <v>570.33000000000004</v>
      </c>
      <c r="V6686" s="21" t="s">
        <v>368</v>
      </c>
      <c r="W6686" t="str">
        <f>VLOOKUP(Table_Query_from_Actuarial___Production[[#This Row],[Kor1]],$AI$3:$AK$105,3,FALSE)</f>
        <v>Investment Income</v>
      </c>
      <c r="X6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6"/>
      <c r="Z6686" t="s">
        <v>19</v>
      </c>
      <c r="AA6686" t="s">
        <v>243</v>
      </c>
      <c r="AB6686" t="s">
        <v>9</v>
      </c>
      <c r="AC6686" s="21">
        <v>1345</v>
      </c>
      <c r="AD6686" s="21" t="s">
        <v>368</v>
      </c>
      <c r="AE6686" t="str">
        <f>VLOOKUP(Table_Query_from_Actuarial___Production3[[#This Row],[Kor1]],$AI$3:$AK$105,3,FALSE)</f>
        <v>Misc. Expense for Insolvent Companies</v>
      </c>
      <c r="AF6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7" spans="18:32" x14ac:dyDescent="0.2">
      <c r="R6687" t="s">
        <v>17</v>
      </c>
      <c r="S6687" t="s">
        <v>262</v>
      </c>
      <c r="T6687" t="s">
        <v>441</v>
      </c>
      <c r="U6687" s="21">
        <v>30977.59</v>
      </c>
      <c r="V6687" s="21" t="s">
        <v>368</v>
      </c>
      <c r="W6687" t="str">
        <f>VLOOKUP(Table_Query_from_Actuarial___Production[[#This Row],[Kor1]],$AI$3:$AK$105,3,FALSE)</f>
        <v>IBNR</v>
      </c>
      <c r="X6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87"/>
      <c r="Z6687" t="s">
        <v>19</v>
      </c>
      <c r="AA6687" t="s">
        <v>247</v>
      </c>
      <c r="AB6687" t="s">
        <v>433</v>
      </c>
      <c r="AC6687" s="21">
        <v>7</v>
      </c>
      <c r="AD6687" s="21" t="s">
        <v>368</v>
      </c>
      <c r="AE6687" t="str">
        <f>VLOOKUP(Table_Query_from_Actuarial___Production3[[#This Row],[Kor1]],$AI$3:$AK$105,3,FALSE)</f>
        <v>Misc. Expense for Insolvent Companies</v>
      </c>
      <c r="AF6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88" spans="18:32" x14ac:dyDescent="0.2">
      <c r="R6688" t="s">
        <v>16</v>
      </c>
      <c r="S6688" t="s">
        <v>354</v>
      </c>
      <c r="T6688" t="s">
        <v>443</v>
      </c>
      <c r="U6688" s="21">
        <v>266081231.96000001</v>
      </c>
      <c r="V6688" s="21" t="s">
        <v>369</v>
      </c>
      <c r="W6688" t="str">
        <f>VLOOKUP(Table_Query_from_Actuarial___Production[[#This Row],[Kor1]],$AI$3:$AK$105,3,FALSE)</f>
        <v>Losses Outstanding</v>
      </c>
      <c r="X6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688"/>
      <c r="Z6688" t="s">
        <v>144</v>
      </c>
      <c r="AA6688" t="s">
        <v>224</v>
      </c>
      <c r="AB6688" t="s">
        <v>443</v>
      </c>
      <c r="AC6688" s="21">
        <v>2200</v>
      </c>
      <c r="AD6688" s="21" t="s">
        <v>370</v>
      </c>
      <c r="AE6688" t="str">
        <f>VLOOKUP(Table_Query_from_Actuarial___Production3[[#This Row],[Kor1]],$AI$3:$AK$105,3,FALSE)</f>
        <v>Claims Expense</v>
      </c>
      <c r="AF6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689" spans="18:32" x14ac:dyDescent="0.2">
      <c r="R6689" t="s">
        <v>13</v>
      </c>
      <c r="S6689" t="s">
        <v>224</v>
      </c>
      <c r="T6689" t="s">
        <v>356</v>
      </c>
      <c r="U6689" s="21">
        <v>8069.95</v>
      </c>
      <c r="V6689" s="21" t="s">
        <v>369</v>
      </c>
      <c r="W6689" t="str">
        <f>VLOOKUP(Table_Query_from_Actuarial___Production[[#This Row],[Kor1]],$AI$3:$AK$105,3,FALSE)</f>
        <v>Operating Service Fees</v>
      </c>
      <c r="X6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689"/>
      <c r="Z6689" t="s">
        <v>11</v>
      </c>
      <c r="AA6689" t="s">
        <v>257</v>
      </c>
      <c r="AB6689" t="s">
        <v>433</v>
      </c>
      <c r="AC6689" s="21">
        <v>2906064.23</v>
      </c>
      <c r="AD6689" s="21" t="s">
        <v>368</v>
      </c>
      <c r="AE6689" t="str">
        <f>VLOOKUP(Table_Query_from_Actuarial___Production3[[#This Row],[Kor1]],$AI$3:$AK$105,3,FALSE)</f>
        <v>Losses Paid</v>
      </c>
      <c r="AF6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0" spans="18:32" x14ac:dyDescent="0.2">
      <c r="R6690" t="s">
        <v>14</v>
      </c>
      <c r="S6690" t="s">
        <v>235</v>
      </c>
      <c r="T6690" t="s">
        <v>445</v>
      </c>
      <c r="U6690" s="21">
        <v>1310.58</v>
      </c>
      <c r="V6690" s="21" t="s">
        <v>368</v>
      </c>
      <c r="W6690" t="str">
        <f>VLOOKUP(Table_Query_from_Actuarial___Production[[#This Row],[Kor1]],$AI$3:$AK$105,3,FALSE)</f>
        <v>Claims Expense</v>
      </c>
      <c r="X6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0"/>
      <c r="Z6690" t="s">
        <v>20</v>
      </c>
      <c r="AA6690" t="s">
        <v>236</v>
      </c>
      <c r="AB6690" t="s">
        <v>5</v>
      </c>
      <c r="AC6690" s="21">
        <v>34.54</v>
      </c>
      <c r="AD6690" s="21" t="s">
        <v>368</v>
      </c>
      <c r="AE6690" t="str">
        <f>VLOOKUP(Table_Query_from_Actuarial___Production3[[#This Row],[Kor1]],$AI$3:$AK$105,3,FALSE)</f>
        <v>Misc. Expense</v>
      </c>
      <c r="AF6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1" spans="18:32" x14ac:dyDescent="0.2">
      <c r="R6691" t="s">
        <v>19</v>
      </c>
      <c r="S6691" t="s">
        <v>256</v>
      </c>
      <c r="T6691" t="s">
        <v>6</v>
      </c>
      <c r="U6691" s="21">
        <v>62</v>
      </c>
      <c r="V6691" s="21" t="s">
        <v>368</v>
      </c>
      <c r="W6691" t="str">
        <f>VLOOKUP(Table_Query_from_Actuarial___Production[[#This Row],[Kor1]],$AI$3:$AK$105,3,FALSE)</f>
        <v>Misc. Expense for Insolvent Companies</v>
      </c>
      <c r="X6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1"/>
      <c r="Z6691" t="s">
        <v>130</v>
      </c>
      <c r="AA6691" t="s">
        <v>224</v>
      </c>
      <c r="AB6691" t="s">
        <v>9</v>
      </c>
      <c r="AC6691" s="21">
        <v>2388777.02</v>
      </c>
      <c r="AD6691" s="21" t="s">
        <v>370</v>
      </c>
      <c r="AE6691" t="str">
        <f>VLOOKUP(Table_Query_from_Actuarial___Production3[[#This Row],[Kor1]],$AI$3:$AK$105,3,FALSE)</f>
        <v>CPAI Charge-offs</v>
      </c>
      <c r="AF6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692" spans="18:32" x14ac:dyDescent="0.2">
      <c r="R6692" t="s">
        <v>25</v>
      </c>
      <c r="S6692" t="s">
        <v>250</v>
      </c>
      <c r="T6692" t="s">
        <v>427</v>
      </c>
      <c r="U6692" s="21">
        <v>704.73</v>
      </c>
      <c r="V6692" s="21" t="s">
        <v>368</v>
      </c>
      <c r="W6692" t="str">
        <f>VLOOKUP(Table_Query_from_Actuarial___Production[[#This Row],[Kor1]],$AI$3:$AK$105,3,FALSE)</f>
        <v>Misc. Expense</v>
      </c>
      <c r="X6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2"/>
      <c r="Z6692" t="s">
        <v>44</v>
      </c>
      <c r="AA6692" t="s">
        <v>225</v>
      </c>
      <c r="AB6692" t="s">
        <v>442</v>
      </c>
      <c r="AC6692" s="21">
        <v>-21313.05</v>
      </c>
      <c r="AD6692" s="21" t="s">
        <v>369</v>
      </c>
      <c r="AE6692" t="str">
        <f>VLOOKUP(Table_Query_from_Actuarial___Production3[[#This Row],[Kor1]],$AI$3:$AK$105,3,FALSE)</f>
        <v>Charge-offs</v>
      </c>
      <c r="AF6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693" spans="18:32" x14ac:dyDescent="0.2">
      <c r="R6693" t="s">
        <v>47</v>
      </c>
      <c r="S6693" t="s">
        <v>249</v>
      </c>
      <c r="T6693" t="s">
        <v>427</v>
      </c>
      <c r="U6693" s="21">
        <v>4549.09</v>
      </c>
      <c r="V6693" s="21" t="s">
        <v>368</v>
      </c>
      <c r="W6693" t="str">
        <f>VLOOKUP(Table_Query_from_Actuarial___Production[[#This Row],[Kor1]],$AI$3:$AK$105,3,FALSE)</f>
        <v>Investment Income</v>
      </c>
      <c r="X6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3"/>
      <c r="Z6693" t="s">
        <v>40</v>
      </c>
      <c r="AA6693" t="s">
        <v>267</v>
      </c>
      <c r="AB6693" t="s">
        <v>441</v>
      </c>
      <c r="AC6693" s="21">
        <v>207</v>
      </c>
      <c r="AD6693" s="21" t="s">
        <v>368</v>
      </c>
      <c r="AE6693" t="str">
        <f>VLOOKUP(Table_Query_from_Actuarial___Production3[[#This Row],[Kor1]],$AI$3:$AK$105,3,FALSE)</f>
        <v>Misc. Income</v>
      </c>
      <c r="AF6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4" spans="18:32" x14ac:dyDescent="0.2">
      <c r="R6694" t="s">
        <v>17</v>
      </c>
      <c r="S6694" t="s">
        <v>255</v>
      </c>
      <c r="T6694" t="s">
        <v>441</v>
      </c>
      <c r="U6694" s="21">
        <v>45820.97</v>
      </c>
      <c r="V6694" s="21" t="s">
        <v>368</v>
      </c>
      <c r="W6694" t="str">
        <f>VLOOKUP(Table_Query_from_Actuarial___Production[[#This Row],[Kor1]],$AI$3:$AK$105,3,FALSE)</f>
        <v>IBNR</v>
      </c>
      <c r="X6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4"/>
      <c r="Z6694" t="s">
        <v>47</v>
      </c>
      <c r="AA6694" t="s">
        <v>231</v>
      </c>
      <c r="AB6694" t="s">
        <v>356</v>
      </c>
      <c r="AC6694" s="21">
        <v>570.33000000000004</v>
      </c>
      <c r="AD6694" s="21" t="s">
        <v>368</v>
      </c>
      <c r="AE6694" t="str">
        <f>VLOOKUP(Table_Query_from_Actuarial___Production3[[#This Row],[Kor1]],$AI$3:$AK$105,3,FALSE)</f>
        <v>Investment Income</v>
      </c>
      <c r="AF6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5" spans="18:32" x14ac:dyDescent="0.2">
      <c r="R6695" t="s">
        <v>3</v>
      </c>
      <c r="S6695" t="s">
        <v>263</v>
      </c>
      <c r="T6695" t="s">
        <v>356</v>
      </c>
      <c r="U6695" s="21">
        <v>453638</v>
      </c>
      <c r="V6695" s="21" t="s">
        <v>368</v>
      </c>
      <c r="W6695" t="str">
        <f>VLOOKUP(Table_Query_from_Actuarial___Production[[#This Row],[Kor1]],$AI$3:$AK$105,3,FALSE)</f>
        <v>Premiums Written</v>
      </c>
      <c r="X6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5"/>
      <c r="Z6695" t="s">
        <v>17</v>
      </c>
      <c r="AA6695" t="s">
        <v>262</v>
      </c>
      <c r="AB6695" t="s">
        <v>441</v>
      </c>
      <c r="AC6695" s="21">
        <v>48747.74</v>
      </c>
      <c r="AD6695" s="21" t="s">
        <v>368</v>
      </c>
      <c r="AE6695" t="str">
        <f>VLOOKUP(Table_Query_from_Actuarial___Production3[[#This Row],[Kor1]],$AI$3:$AK$105,3,FALSE)</f>
        <v>IBNR</v>
      </c>
      <c r="AF6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6" spans="18:32" x14ac:dyDescent="0.2">
      <c r="R6696" t="s">
        <v>3</v>
      </c>
      <c r="S6696" t="s">
        <v>265</v>
      </c>
      <c r="T6696" t="s">
        <v>445</v>
      </c>
      <c r="U6696" s="21">
        <v>317192</v>
      </c>
      <c r="V6696" s="21" t="s">
        <v>368</v>
      </c>
      <c r="W6696" t="str">
        <f>VLOOKUP(Table_Query_from_Actuarial___Production[[#This Row],[Kor1]],$AI$3:$AK$105,3,FALSE)</f>
        <v>Premiums Written</v>
      </c>
      <c r="X6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6"/>
      <c r="Z6696" t="s">
        <v>16</v>
      </c>
      <c r="AA6696" t="s">
        <v>354</v>
      </c>
      <c r="AB6696" t="s">
        <v>443</v>
      </c>
      <c r="AC6696" s="21">
        <v>113663971.19</v>
      </c>
      <c r="AD6696" s="21" t="s">
        <v>369</v>
      </c>
      <c r="AE6696" t="str">
        <f>VLOOKUP(Table_Query_from_Actuarial___Production3[[#This Row],[Kor1]],$AI$3:$AK$105,3,FALSE)</f>
        <v>Losses Outstanding</v>
      </c>
      <c r="AF6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697" spans="18:32" x14ac:dyDescent="0.2">
      <c r="R6697" t="s">
        <v>48</v>
      </c>
      <c r="S6697" t="s">
        <v>234</v>
      </c>
      <c r="T6697" t="s">
        <v>445</v>
      </c>
      <c r="U6697" s="21">
        <v>294.56</v>
      </c>
      <c r="V6697" s="21" t="s">
        <v>368</v>
      </c>
      <c r="W6697" t="str">
        <f>VLOOKUP(Table_Query_from_Actuarial___Production[[#This Row],[Kor1]],$AI$3:$AK$105,3,FALSE)</f>
        <v>Anticipated Salvage</v>
      </c>
      <c r="X6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7"/>
      <c r="Z6697" t="s">
        <v>13</v>
      </c>
      <c r="AA6697" t="s">
        <v>224</v>
      </c>
      <c r="AB6697" t="s">
        <v>356</v>
      </c>
      <c r="AC6697" s="21">
        <v>8069.95</v>
      </c>
      <c r="AD6697" s="21" t="s">
        <v>369</v>
      </c>
      <c r="AE6697" t="str">
        <f>VLOOKUP(Table_Query_from_Actuarial___Production3[[#This Row],[Kor1]],$AI$3:$AK$105,3,FALSE)</f>
        <v>Operating Service Fees</v>
      </c>
      <c r="AF6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698" spans="18:32" x14ac:dyDescent="0.2">
      <c r="R6698" t="s">
        <v>3</v>
      </c>
      <c r="S6698" t="s">
        <v>354</v>
      </c>
      <c r="T6698" t="s">
        <v>351</v>
      </c>
      <c r="U6698" s="21">
        <v>106596604.75</v>
      </c>
      <c r="V6698" s="21" t="s">
        <v>368</v>
      </c>
      <c r="W6698" t="str">
        <f>VLOOKUP(Table_Query_from_Actuarial___Production[[#This Row],[Kor1]],$AI$3:$AK$105,3,FALSE)</f>
        <v>Premiums Written</v>
      </c>
      <c r="X6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6698"/>
      <c r="Z6698" t="s">
        <v>19</v>
      </c>
      <c r="AA6698" t="s">
        <v>256</v>
      </c>
      <c r="AB6698" t="s">
        <v>6</v>
      </c>
      <c r="AC6698" s="21">
        <v>62</v>
      </c>
      <c r="AD6698" s="21" t="s">
        <v>368</v>
      </c>
      <c r="AE6698" t="str">
        <f>VLOOKUP(Table_Query_from_Actuarial___Production3[[#This Row],[Kor1]],$AI$3:$AK$105,3,FALSE)</f>
        <v>Misc. Expense for Insolvent Companies</v>
      </c>
      <c r="AF6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699" spans="18:32" x14ac:dyDescent="0.2">
      <c r="R6699" t="s">
        <v>11</v>
      </c>
      <c r="S6699" t="s">
        <v>231</v>
      </c>
      <c r="T6699" t="s">
        <v>442</v>
      </c>
      <c r="U6699" s="21">
        <v>1312812.33</v>
      </c>
      <c r="V6699" s="21" t="s">
        <v>368</v>
      </c>
      <c r="W6699" t="str">
        <f>VLOOKUP(Table_Query_from_Actuarial___Production[[#This Row],[Kor1]],$AI$3:$AK$105,3,FALSE)</f>
        <v>Losses Paid</v>
      </c>
      <c r="X6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699"/>
      <c r="Z6699" t="s">
        <v>25</v>
      </c>
      <c r="AA6699" t="s">
        <v>250</v>
      </c>
      <c r="AB6699" t="s">
        <v>427</v>
      </c>
      <c r="AC6699" s="21">
        <v>704.73</v>
      </c>
      <c r="AD6699" s="21" t="s">
        <v>368</v>
      </c>
      <c r="AE6699" t="str">
        <f>VLOOKUP(Table_Query_from_Actuarial___Production3[[#This Row],[Kor1]],$AI$3:$AK$105,3,FALSE)</f>
        <v>Misc. Expense</v>
      </c>
      <c r="AF6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0" spans="18:32" x14ac:dyDescent="0.2">
      <c r="R6700" t="s">
        <v>13</v>
      </c>
      <c r="S6700" t="s">
        <v>239</v>
      </c>
      <c r="T6700" t="s">
        <v>433</v>
      </c>
      <c r="U6700" s="21">
        <v>1592522.29</v>
      </c>
      <c r="V6700" s="21" t="s">
        <v>368</v>
      </c>
      <c r="W6700" t="str">
        <f>VLOOKUP(Table_Query_from_Actuarial___Production[[#This Row],[Kor1]],$AI$3:$AK$105,3,FALSE)</f>
        <v>Operating Service Fees</v>
      </c>
      <c r="X6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0"/>
      <c r="Z6700" t="s">
        <v>34</v>
      </c>
      <c r="AA6700" t="s">
        <v>252</v>
      </c>
      <c r="AB6700" t="s">
        <v>5</v>
      </c>
      <c r="AC6700" s="21">
        <v>350.98</v>
      </c>
      <c r="AD6700" s="21" t="s">
        <v>368</v>
      </c>
      <c r="AE6700" t="str">
        <f>VLOOKUP(Table_Query_from_Actuarial___Production3[[#This Row],[Kor1]],$AI$3:$AK$105,3,FALSE)</f>
        <v>Misc. Expense</v>
      </c>
      <c r="AF6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1" spans="18:32" x14ac:dyDescent="0.2">
      <c r="R6701" t="s">
        <v>33</v>
      </c>
      <c r="S6701" t="s">
        <v>249</v>
      </c>
      <c r="T6701" t="s">
        <v>351</v>
      </c>
      <c r="U6701" s="21">
        <v>20248.2</v>
      </c>
      <c r="V6701" s="21" t="s">
        <v>368</v>
      </c>
      <c r="W6701" t="str">
        <f>VLOOKUP(Table_Query_from_Actuarial___Production[[#This Row],[Kor1]],$AI$3:$AK$105,3,FALSE)</f>
        <v>Misc. Expense</v>
      </c>
      <c r="X6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1"/>
      <c r="Z6701" t="s">
        <v>47</v>
      </c>
      <c r="AA6701" t="s">
        <v>249</v>
      </c>
      <c r="AB6701" t="s">
        <v>427</v>
      </c>
      <c r="AC6701" s="21">
        <v>4549.09</v>
      </c>
      <c r="AD6701" s="21" t="s">
        <v>368</v>
      </c>
      <c r="AE6701" t="str">
        <f>VLOOKUP(Table_Query_from_Actuarial___Production3[[#This Row],[Kor1]],$AI$3:$AK$105,3,FALSE)</f>
        <v>Investment Income</v>
      </c>
      <c r="AF6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2" spans="18:32" x14ac:dyDescent="0.2">
      <c r="R6702" t="s">
        <v>3</v>
      </c>
      <c r="S6702" t="s">
        <v>224</v>
      </c>
      <c r="T6702" t="s">
        <v>351</v>
      </c>
      <c r="U6702" s="21">
        <v>154070.42000000001</v>
      </c>
      <c r="V6702" s="21" t="s">
        <v>369</v>
      </c>
      <c r="W6702" t="str">
        <f>VLOOKUP(Table_Query_from_Actuarial___Production[[#This Row],[Kor1]],$AI$3:$AK$105,3,FALSE)</f>
        <v>Premiums Written</v>
      </c>
      <c r="X6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702"/>
      <c r="Z6702" t="s">
        <v>17</v>
      </c>
      <c r="AA6702" t="s">
        <v>255</v>
      </c>
      <c r="AB6702" t="s">
        <v>441</v>
      </c>
      <c r="AC6702" s="21">
        <v>62253.5</v>
      </c>
      <c r="AD6702" s="21" t="s">
        <v>368</v>
      </c>
      <c r="AE6702" t="str">
        <f>VLOOKUP(Table_Query_from_Actuarial___Production3[[#This Row],[Kor1]],$AI$3:$AK$105,3,FALSE)</f>
        <v>IBNR</v>
      </c>
      <c r="AF6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3" spans="18:32" x14ac:dyDescent="0.2">
      <c r="R6703" t="s">
        <v>10</v>
      </c>
      <c r="S6703" t="s">
        <v>233</v>
      </c>
      <c r="T6703" t="s">
        <v>7</v>
      </c>
      <c r="U6703" s="21">
        <v>34799.4</v>
      </c>
      <c r="V6703" s="21" t="s">
        <v>368</v>
      </c>
      <c r="W6703" t="str">
        <f>VLOOKUP(Table_Query_from_Actuarial___Production[[#This Row],[Kor1]],$AI$3:$AK$105,3,FALSE)</f>
        <v>Commissions</v>
      </c>
      <c r="X6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3"/>
      <c r="Z6703" t="s">
        <v>3</v>
      </c>
      <c r="AA6703" t="s">
        <v>263</v>
      </c>
      <c r="AB6703" t="s">
        <v>356</v>
      </c>
      <c r="AC6703" s="21">
        <v>453638</v>
      </c>
      <c r="AD6703" s="21" t="s">
        <v>368</v>
      </c>
      <c r="AE6703" t="str">
        <f>VLOOKUP(Table_Query_from_Actuarial___Production3[[#This Row],[Kor1]],$AI$3:$AK$105,3,FALSE)</f>
        <v>Premiums Written</v>
      </c>
      <c r="AF6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4" spans="18:32" x14ac:dyDescent="0.2">
      <c r="R6704" t="s">
        <v>20</v>
      </c>
      <c r="S6704" t="s">
        <v>232</v>
      </c>
      <c r="T6704" t="s">
        <v>9</v>
      </c>
      <c r="U6704" s="21">
        <v>1082.5999999999999</v>
      </c>
      <c r="V6704" s="21" t="s">
        <v>368</v>
      </c>
      <c r="W6704" t="str">
        <f>VLOOKUP(Table_Query_from_Actuarial___Production[[#This Row],[Kor1]],$AI$3:$AK$105,3,FALSE)</f>
        <v>Misc. Expense</v>
      </c>
      <c r="X6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4"/>
      <c r="Z6704" t="s">
        <v>3</v>
      </c>
      <c r="AA6704" t="s">
        <v>354</v>
      </c>
      <c r="AB6704" t="s">
        <v>351</v>
      </c>
      <c r="AC6704" s="21">
        <v>106599635.75</v>
      </c>
      <c r="AD6704" s="21" t="s">
        <v>368</v>
      </c>
      <c r="AE6704" t="str">
        <f>VLOOKUP(Table_Query_from_Actuarial___Production3[[#This Row],[Kor1]],$AI$3:$AK$105,3,FALSE)</f>
        <v>Premiums Written</v>
      </c>
      <c r="AF6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6705" spans="18:32" x14ac:dyDescent="0.2">
      <c r="R6705" t="s">
        <v>33</v>
      </c>
      <c r="S6705" t="s">
        <v>252</v>
      </c>
      <c r="T6705" t="s">
        <v>427</v>
      </c>
      <c r="U6705" s="21">
        <v>27594.63</v>
      </c>
      <c r="V6705" s="21" t="s">
        <v>368</v>
      </c>
      <c r="W6705" t="str">
        <f>VLOOKUP(Table_Query_from_Actuarial___Production[[#This Row],[Kor1]],$AI$3:$AK$105,3,FALSE)</f>
        <v>Misc. Expense</v>
      </c>
      <c r="X6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5"/>
      <c r="Z6705" t="s">
        <v>11</v>
      </c>
      <c r="AA6705" t="s">
        <v>231</v>
      </c>
      <c r="AB6705" t="s">
        <v>442</v>
      </c>
      <c r="AC6705" s="21">
        <v>424008.88</v>
      </c>
      <c r="AD6705" s="21" t="s">
        <v>368</v>
      </c>
      <c r="AE6705" t="str">
        <f>VLOOKUP(Table_Query_from_Actuarial___Production3[[#This Row],[Kor1]],$AI$3:$AK$105,3,FALSE)</f>
        <v>Losses Paid</v>
      </c>
      <c r="AF6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6" spans="18:32" x14ac:dyDescent="0.2">
      <c r="R6706" t="s">
        <v>31</v>
      </c>
      <c r="S6706" t="s">
        <v>230</v>
      </c>
      <c r="T6706" t="s">
        <v>8</v>
      </c>
      <c r="U6706" s="21">
        <v>195800.74</v>
      </c>
      <c r="V6706" s="21" t="s">
        <v>368</v>
      </c>
      <c r="W6706" t="str">
        <f>VLOOKUP(Table_Query_from_Actuarial___Production[[#This Row],[Kor1]],$AI$3:$AK$105,3,FALSE)</f>
        <v>Misc. Expense</v>
      </c>
      <c r="X6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6"/>
      <c r="Z6706" t="s">
        <v>13</v>
      </c>
      <c r="AA6706" t="s">
        <v>239</v>
      </c>
      <c r="AB6706" t="s">
        <v>433</v>
      </c>
      <c r="AC6706" s="21">
        <v>1592522.29</v>
      </c>
      <c r="AD6706" s="21" t="s">
        <v>368</v>
      </c>
      <c r="AE6706" t="str">
        <f>VLOOKUP(Table_Query_from_Actuarial___Production3[[#This Row],[Kor1]],$AI$3:$AK$105,3,FALSE)</f>
        <v>Operating Service Fees</v>
      </c>
      <c r="AF6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7" spans="18:32" x14ac:dyDescent="0.2">
      <c r="R6707" t="s">
        <v>10</v>
      </c>
      <c r="S6707" t="s">
        <v>225</v>
      </c>
      <c r="T6707" t="s">
        <v>442</v>
      </c>
      <c r="U6707" s="21">
        <v>75856.3</v>
      </c>
      <c r="V6707" s="21" t="s">
        <v>368</v>
      </c>
      <c r="W6707" t="str">
        <f>VLOOKUP(Table_Query_from_Actuarial___Production[[#This Row],[Kor1]],$AI$3:$AK$105,3,FALSE)</f>
        <v>Commissions</v>
      </c>
      <c r="X6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707"/>
      <c r="Z6707" t="s">
        <v>33</v>
      </c>
      <c r="AA6707" t="s">
        <v>249</v>
      </c>
      <c r="AB6707" t="s">
        <v>351</v>
      </c>
      <c r="AC6707" s="21">
        <v>20248.2</v>
      </c>
      <c r="AD6707" s="21" t="s">
        <v>368</v>
      </c>
      <c r="AE6707" t="str">
        <f>VLOOKUP(Table_Query_from_Actuarial___Production3[[#This Row],[Kor1]],$AI$3:$AK$105,3,FALSE)</f>
        <v>Misc. Expense</v>
      </c>
      <c r="AF6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08" spans="18:32" x14ac:dyDescent="0.2">
      <c r="R6708" t="s">
        <v>50</v>
      </c>
      <c r="S6708" t="s">
        <v>225</v>
      </c>
      <c r="T6708" t="s">
        <v>351</v>
      </c>
      <c r="U6708" s="21">
        <v>26319.21</v>
      </c>
      <c r="V6708" s="21" t="s">
        <v>368</v>
      </c>
      <c r="W6708" t="str">
        <f>VLOOKUP(Table_Query_from_Actuarial___Production[[#This Row],[Kor1]],$AI$3:$AK$105,3,FALSE)</f>
        <v>ALAE Reserve</v>
      </c>
      <c r="X6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708"/>
      <c r="Z6708" t="s">
        <v>3</v>
      </c>
      <c r="AA6708" t="s">
        <v>224</v>
      </c>
      <c r="AB6708" t="s">
        <v>351</v>
      </c>
      <c r="AC6708" s="21">
        <v>156162.96</v>
      </c>
      <c r="AD6708" s="21" t="s">
        <v>369</v>
      </c>
      <c r="AE6708" t="str">
        <f>VLOOKUP(Table_Query_from_Actuarial___Production3[[#This Row],[Kor1]],$AI$3:$AK$105,3,FALSE)</f>
        <v>Premiums Written</v>
      </c>
      <c r="AF6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709" spans="18:32" x14ac:dyDescent="0.2">
      <c r="R6709" t="s">
        <v>17</v>
      </c>
      <c r="S6709" t="s">
        <v>255</v>
      </c>
      <c r="T6709" t="s">
        <v>443</v>
      </c>
      <c r="U6709" s="21">
        <v>171662.58</v>
      </c>
      <c r="V6709" s="21" t="s">
        <v>368</v>
      </c>
      <c r="W6709" t="str">
        <f>VLOOKUP(Table_Query_from_Actuarial___Production[[#This Row],[Kor1]],$AI$3:$AK$105,3,FALSE)</f>
        <v>IBNR</v>
      </c>
      <c r="X6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09"/>
      <c r="Z6709" t="s">
        <v>10</v>
      </c>
      <c r="AA6709" t="s">
        <v>233</v>
      </c>
      <c r="AB6709" t="s">
        <v>7</v>
      </c>
      <c r="AC6709" s="21">
        <v>34799.4</v>
      </c>
      <c r="AD6709" s="21" t="s">
        <v>368</v>
      </c>
      <c r="AE6709" t="str">
        <f>VLOOKUP(Table_Query_from_Actuarial___Production3[[#This Row],[Kor1]],$AI$3:$AK$105,3,FALSE)</f>
        <v>Commissions</v>
      </c>
      <c r="AF6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0" spans="18:32" x14ac:dyDescent="0.2">
      <c r="R6710" t="s">
        <v>12</v>
      </c>
      <c r="S6710" t="s">
        <v>265</v>
      </c>
      <c r="T6710" t="s">
        <v>9</v>
      </c>
      <c r="U6710" s="21">
        <v>12407.34</v>
      </c>
      <c r="V6710" s="21" t="s">
        <v>368</v>
      </c>
      <c r="W6710" t="str">
        <f>VLOOKUP(Table_Query_from_Actuarial___Production[[#This Row],[Kor1]],$AI$3:$AK$105,3,FALSE)</f>
        <v>Premium Tax</v>
      </c>
      <c r="X6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0"/>
      <c r="Z6710" t="s">
        <v>20</v>
      </c>
      <c r="AA6710" t="s">
        <v>232</v>
      </c>
      <c r="AB6710" t="s">
        <v>9</v>
      </c>
      <c r="AC6710" s="21">
        <v>1082.5999999999999</v>
      </c>
      <c r="AD6710" s="21" t="s">
        <v>368</v>
      </c>
      <c r="AE6710" t="str">
        <f>VLOOKUP(Table_Query_from_Actuarial___Production3[[#This Row],[Kor1]],$AI$3:$AK$105,3,FALSE)</f>
        <v>Misc. Expense</v>
      </c>
      <c r="AF6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1" spans="18:32" x14ac:dyDescent="0.2">
      <c r="R6711" t="s">
        <v>25</v>
      </c>
      <c r="S6711" t="s">
        <v>4</v>
      </c>
      <c r="T6711" t="s">
        <v>356</v>
      </c>
      <c r="U6711" s="21">
        <v>14677.05</v>
      </c>
      <c r="V6711" s="21" t="s">
        <v>368</v>
      </c>
      <c r="W6711" t="str">
        <f>VLOOKUP(Table_Query_from_Actuarial___Production[[#This Row],[Kor1]],$AI$3:$AK$105,3,FALSE)</f>
        <v>Misc. Expense</v>
      </c>
      <c r="X6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1"/>
      <c r="Z6711" t="s">
        <v>33</v>
      </c>
      <c r="AA6711" t="s">
        <v>252</v>
      </c>
      <c r="AB6711" t="s">
        <v>427</v>
      </c>
      <c r="AC6711" s="21">
        <v>27594.63</v>
      </c>
      <c r="AD6711" s="21" t="s">
        <v>368</v>
      </c>
      <c r="AE6711" t="str">
        <f>VLOOKUP(Table_Query_from_Actuarial___Production3[[#This Row],[Kor1]],$AI$3:$AK$105,3,FALSE)</f>
        <v>Misc. Expense</v>
      </c>
      <c r="AF6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2" spans="18:32" x14ac:dyDescent="0.2">
      <c r="R6712" t="s">
        <v>31</v>
      </c>
      <c r="S6712" t="s">
        <v>237</v>
      </c>
      <c r="T6712" t="s">
        <v>433</v>
      </c>
      <c r="U6712" s="21">
        <v>513.24</v>
      </c>
      <c r="V6712" s="21" t="s">
        <v>368</v>
      </c>
      <c r="W6712" t="str">
        <f>VLOOKUP(Table_Query_from_Actuarial___Production[[#This Row],[Kor1]],$AI$3:$AK$105,3,FALSE)</f>
        <v>Misc. Expense</v>
      </c>
      <c r="X6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2"/>
      <c r="Z6712" t="s">
        <v>31</v>
      </c>
      <c r="AA6712" t="s">
        <v>230</v>
      </c>
      <c r="AB6712" t="s">
        <v>8</v>
      </c>
      <c r="AC6712" s="21">
        <v>195800.74</v>
      </c>
      <c r="AD6712" s="21" t="s">
        <v>368</v>
      </c>
      <c r="AE6712" t="str">
        <f>VLOOKUP(Table_Query_from_Actuarial___Production3[[#This Row],[Kor1]],$AI$3:$AK$105,3,FALSE)</f>
        <v>Misc. Expense</v>
      </c>
      <c r="AF6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3" spans="18:32" x14ac:dyDescent="0.2">
      <c r="R6713" t="s">
        <v>29</v>
      </c>
      <c r="S6713" t="s">
        <v>230</v>
      </c>
      <c r="T6713" t="s">
        <v>6</v>
      </c>
      <c r="U6713" s="21">
        <v>5302.01</v>
      </c>
      <c r="V6713" s="21" t="s">
        <v>368</v>
      </c>
      <c r="W6713" t="str">
        <f>VLOOKUP(Table_Query_from_Actuarial___Production[[#This Row],[Kor1]],$AI$3:$AK$105,3,FALSE)</f>
        <v>Misc. Expense</v>
      </c>
      <c r="X6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3"/>
      <c r="Z6713" t="s">
        <v>10</v>
      </c>
      <c r="AA6713" t="s">
        <v>225</v>
      </c>
      <c r="AB6713" t="s">
        <v>442</v>
      </c>
      <c r="AC6713" s="21">
        <v>71088.899999999994</v>
      </c>
      <c r="AD6713" s="21" t="s">
        <v>368</v>
      </c>
      <c r="AE6713" t="str">
        <f>VLOOKUP(Table_Query_from_Actuarial___Production3[[#This Row],[Kor1]],$AI$3:$AK$105,3,FALSE)</f>
        <v>Commissions</v>
      </c>
      <c r="AF6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714" spans="18:32" x14ac:dyDescent="0.2">
      <c r="R6714" t="s">
        <v>50</v>
      </c>
      <c r="S6714" t="s">
        <v>257</v>
      </c>
      <c r="T6714" t="s">
        <v>433</v>
      </c>
      <c r="U6714" s="21">
        <v>21119.88</v>
      </c>
      <c r="V6714" s="21" t="s">
        <v>368</v>
      </c>
      <c r="W6714" t="str">
        <f>VLOOKUP(Table_Query_from_Actuarial___Production[[#This Row],[Kor1]],$AI$3:$AK$105,3,FALSE)</f>
        <v>ALAE Reserve</v>
      </c>
      <c r="X6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4"/>
      <c r="Z6714" t="s">
        <v>50</v>
      </c>
      <c r="AA6714" t="s">
        <v>225</v>
      </c>
      <c r="AB6714" t="s">
        <v>351</v>
      </c>
      <c r="AC6714" s="21">
        <v>27.2</v>
      </c>
      <c r="AD6714" s="21" t="s">
        <v>368</v>
      </c>
      <c r="AE6714" t="str">
        <f>VLOOKUP(Table_Query_from_Actuarial___Production3[[#This Row],[Kor1]],$AI$3:$AK$105,3,FALSE)</f>
        <v>ALAE Reserve</v>
      </c>
      <c r="AF6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715" spans="18:32" x14ac:dyDescent="0.2">
      <c r="R6715" t="s">
        <v>44</v>
      </c>
      <c r="S6715" t="s">
        <v>248</v>
      </c>
      <c r="T6715" t="s">
        <v>427</v>
      </c>
      <c r="U6715" s="21">
        <v>3.6</v>
      </c>
      <c r="V6715" s="21" t="s">
        <v>368</v>
      </c>
      <c r="W6715" t="str">
        <f>VLOOKUP(Table_Query_from_Actuarial___Production[[#This Row],[Kor1]],$AI$3:$AK$105,3,FALSE)</f>
        <v>Charge-offs</v>
      </c>
      <c r="X6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5"/>
      <c r="Z6715" t="s">
        <v>17</v>
      </c>
      <c r="AA6715" t="s">
        <v>255</v>
      </c>
      <c r="AB6715" t="s">
        <v>443</v>
      </c>
      <c r="AC6715" s="21">
        <v>20848.599999999999</v>
      </c>
      <c r="AD6715" s="21" t="s">
        <v>368</v>
      </c>
      <c r="AE6715" t="str">
        <f>VLOOKUP(Table_Query_from_Actuarial___Production3[[#This Row],[Kor1]],$AI$3:$AK$105,3,FALSE)</f>
        <v>IBNR</v>
      </c>
      <c r="AF6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6" spans="18:32" x14ac:dyDescent="0.2">
      <c r="R6716" t="s">
        <v>3</v>
      </c>
      <c r="S6716" t="s">
        <v>251</v>
      </c>
      <c r="T6716" t="s">
        <v>442</v>
      </c>
      <c r="U6716" s="21">
        <v>893798</v>
      </c>
      <c r="V6716" s="21" t="s">
        <v>368</v>
      </c>
      <c r="W6716" t="str">
        <f>VLOOKUP(Table_Query_from_Actuarial___Production[[#This Row],[Kor1]],$AI$3:$AK$105,3,FALSE)</f>
        <v>Premiums Written</v>
      </c>
      <c r="X6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6"/>
      <c r="Z6716" t="s">
        <v>12</v>
      </c>
      <c r="AA6716" t="s">
        <v>265</v>
      </c>
      <c r="AB6716" t="s">
        <v>9</v>
      </c>
      <c r="AC6716" s="21">
        <v>12407.34</v>
      </c>
      <c r="AD6716" s="21" t="s">
        <v>368</v>
      </c>
      <c r="AE6716" t="str">
        <f>VLOOKUP(Table_Query_from_Actuarial___Production3[[#This Row],[Kor1]],$AI$3:$AK$105,3,FALSE)</f>
        <v>Premium Tax</v>
      </c>
      <c r="AF6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7" spans="18:32" x14ac:dyDescent="0.2">
      <c r="R6717" t="s">
        <v>11</v>
      </c>
      <c r="S6717" t="s">
        <v>258</v>
      </c>
      <c r="T6717" t="s">
        <v>7</v>
      </c>
      <c r="U6717" s="21">
        <v>2748657.71</v>
      </c>
      <c r="V6717" s="21" t="s">
        <v>368</v>
      </c>
      <c r="W6717" t="str">
        <f>VLOOKUP(Table_Query_from_Actuarial___Production[[#This Row],[Kor1]],$AI$3:$AK$105,3,FALSE)</f>
        <v>Losses Paid</v>
      </c>
      <c r="X6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7"/>
      <c r="Z6717" t="s">
        <v>25</v>
      </c>
      <c r="AA6717" t="s">
        <v>4</v>
      </c>
      <c r="AB6717" t="s">
        <v>356</v>
      </c>
      <c r="AC6717" s="21">
        <v>14677.05</v>
      </c>
      <c r="AD6717" s="21" t="s">
        <v>368</v>
      </c>
      <c r="AE6717" t="str">
        <f>VLOOKUP(Table_Query_from_Actuarial___Production3[[#This Row],[Kor1]],$AI$3:$AK$105,3,FALSE)</f>
        <v>Misc. Expense</v>
      </c>
      <c r="AF6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8" spans="18:32" x14ac:dyDescent="0.2">
      <c r="R6718" t="s">
        <v>44</v>
      </c>
      <c r="S6718" t="s">
        <v>237</v>
      </c>
      <c r="T6718" t="s">
        <v>351</v>
      </c>
      <c r="U6718" s="21">
        <v>1498031.2</v>
      </c>
      <c r="V6718" s="21" t="s">
        <v>368</v>
      </c>
      <c r="W6718" t="str">
        <f>VLOOKUP(Table_Query_from_Actuarial___Production[[#This Row],[Kor1]],$AI$3:$AK$105,3,FALSE)</f>
        <v>Charge-offs</v>
      </c>
      <c r="X6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18"/>
      <c r="Z6718" t="s">
        <v>31</v>
      </c>
      <c r="AA6718" t="s">
        <v>237</v>
      </c>
      <c r="AB6718" t="s">
        <v>433</v>
      </c>
      <c r="AC6718" s="21">
        <v>513.24</v>
      </c>
      <c r="AD6718" s="21" t="s">
        <v>368</v>
      </c>
      <c r="AE6718" t="str">
        <f>VLOOKUP(Table_Query_from_Actuarial___Production3[[#This Row],[Kor1]],$AI$3:$AK$105,3,FALSE)</f>
        <v>Misc. Expense</v>
      </c>
      <c r="AF6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19" spans="18:32" x14ac:dyDescent="0.2">
      <c r="R6719" t="s">
        <v>11</v>
      </c>
      <c r="S6719" t="s">
        <v>225</v>
      </c>
      <c r="T6719" t="s">
        <v>8</v>
      </c>
      <c r="U6719" s="21">
        <v>560510.51</v>
      </c>
      <c r="V6719" s="21" t="s">
        <v>368</v>
      </c>
      <c r="W6719" t="str">
        <f>VLOOKUP(Table_Query_from_Actuarial___Production[[#This Row],[Kor1]],$AI$3:$AK$105,3,FALSE)</f>
        <v>Losses Paid</v>
      </c>
      <c r="X6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719"/>
      <c r="Z6719" t="s">
        <v>29</v>
      </c>
      <c r="AA6719" t="s">
        <v>230</v>
      </c>
      <c r="AB6719" t="s">
        <v>6</v>
      </c>
      <c r="AC6719" s="21">
        <v>5302.01</v>
      </c>
      <c r="AD6719" s="21" t="s">
        <v>368</v>
      </c>
      <c r="AE6719" t="str">
        <f>VLOOKUP(Table_Query_from_Actuarial___Production3[[#This Row],[Kor1]],$AI$3:$AK$105,3,FALSE)</f>
        <v>Misc. Expense</v>
      </c>
      <c r="AF6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0" spans="18:32" x14ac:dyDescent="0.2">
      <c r="R6720" t="s">
        <v>12</v>
      </c>
      <c r="S6720" t="s">
        <v>254</v>
      </c>
      <c r="T6720" t="s">
        <v>6</v>
      </c>
      <c r="U6720" s="21">
        <v>16192.88</v>
      </c>
      <c r="V6720" s="21" t="s">
        <v>368</v>
      </c>
      <c r="W6720" t="str">
        <f>VLOOKUP(Table_Query_from_Actuarial___Production[[#This Row],[Kor1]],$AI$3:$AK$105,3,FALSE)</f>
        <v>Premium Tax</v>
      </c>
      <c r="X6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0"/>
      <c r="Z6720" t="s">
        <v>50</v>
      </c>
      <c r="AA6720" t="s">
        <v>257</v>
      </c>
      <c r="AB6720" t="s">
        <v>433</v>
      </c>
      <c r="AC6720" s="21">
        <v>50219.58</v>
      </c>
      <c r="AD6720" s="21" t="s">
        <v>368</v>
      </c>
      <c r="AE6720" t="str">
        <f>VLOOKUP(Table_Query_from_Actuarial___Production3[[#This Row],[Kor1]],$AI$3:$AK$105,3,FALSE)</f>
        <v>ALAE Reserve</v>
      </c>
      <c r="AF6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1" spans="18:32" x14ac:dyDescent="0.2">
      <c r="R6721" t="s">
        <v>13</v>
      </c>
      <c r="S6721" t="s">
        <v>267</v>
      </c>
      <c r="T6721" t="s">
        <v>445</v>
      </c>
      <c r="U6721" s="21">
        <v>49134.879999999997</v>
      </c>
      <c r="V6721" s="21" t="s">
        <v>368</v>
      </c>
      <c r="W6721" t="str">
        <f>VLOOKUP(Table_Query_from_Actuarial___Production[[#This Row],[Kor1]],$AI$3:$AK$105,3,FALSE)</f>
        <v>Operating Service Fees</v>
      </c>
      <c r="X6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1"/>
      <c r="Z6721" t="s">
        <v>44</v>
      </c>
      <c r="AA6721" t="s">
        <v>248</v>
      </c>
      <c r="AB6721" t="s">
        <v>427</v>
      </c>
      <c r="AC6721" s="21">
        <v>3.6</v>
      </c>
      <c r="AD6721" s="21" t="s">
        <v>368</v>
      </c>
      <c r="AE6721" t="str">
        <f>VLOOKUP(Table_Query_from_Actuarial___Production3[[#This Row],[Kor1]],$AI$3:$AK$105,3,FALSE)</f>
        <v>Charge-offs</v>
      </c>
      <c r="AF6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2" spans="18:32" x14ac:dyDescent="0.2">
      <c r="R6722" t="s">
        <v>33</v>
      </c>
      <c r="S6722" t="s">
        <v>257</v>
      </c>
      <c r="T6722" t="s">
        <v>443</v>
      </c>
      <c r="U6722" s="21">
        <v>18564.41</v>
      </c>
      <c r="V6722" s="21" t="s">
        <v>368</v>
      </c>
      <c r="W6722" t="str">
        <f>VLOOKUP(Table_Query_from_Actuarial___Production[[#This Row],[Kor1]],$AI$3:$AK$105,3,FALSE)</f>
        <v>Misc. Expense</v>
      </c>
      <c r="X6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2"/>
      <c r="Z6722" t="s">
        <v>3</v>
      </c>
      <c r="AA6722" t="s">
        <v>251</v>
      </c>
      <c r="AB6722" t="s">
        <v>442</v>
      </c>
      <c r="AC6722" s="21">
        <v>877512</v>
      </c>
      <c r="AD6722" s="21" t="s">
        <v>368</v>
      </c>
      <c r="AE6722" t="str">
        <f>VLOOKUP(Table_Query_from_Actuarial___Production3[[#This Row],[Kor1]],$AI$3:$AK$105,3,FALSE)</f>
        <v>Premiums Written</v>
      </c>
      <c r="AF6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3" spans="18:32" x14ac:dyDescent="0.2">
      <c r="R6723" t="s">
        <v>10</v>
      </c>
      <c r="S6723" t="s">
        <v>230</v>
      </c>
      <c r="T6723" t="s">
        <v>351</v>
      </c>
      <c r="U6723" s="21">
        <v>1393053.09</v>
      </c>
      <c r="V6723" s="21" t="s">
        <v>368</v>
      </c>
      <c r="W6723" t="str">
        <f>VLOOKUP(Table_Query_from_Actuarial___Production[[#This Row],[Kor1]],$AI$3:$AK$105,3,FALSE)</f>
        <v>Commissions</v>
      </c>
      <c r="X6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3"/>
      <c r="Z6723" t="s">
        <v>11</v>
      </c>
      <c r="AA6723" t="s">
        <v>258</v>
      </c>
      <c r="AB6723" t="s">
        <v>7</v>
      </c>
      <c r="AC6723" s="21">
        <v>2751891.1</v>
      </c>
      <c r="AD6723" s="21" t="s">
        <v>368</v>
      </c>
      <c r="AE6723" t="str">
        <f>VLOOKUP(Table_Query_from_Actuarial___Production3[[#This Row],[Kor1]],$AI$3:$AK$105,3,FALSE)</f>
        <v>Losses Paid</v>
      </c>
      <c r="AF6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4" spans="18:32" x14ac:dyDescent="0.2">
      <c r="R6724" t="s">
        <v>3</v>
      </c>
      <c r="S6724" t="s">
        <v>241</v>
      </c>
      <c r="T6724" t="s">
        <v>427</v>
      </c>
      <c r="U6724" s="21">
        <v>793580</v>
      </c>
      <c r="V6724" s="21" t="s">
        <v>368</v>
      </c>
      <c r="W6724" t="str">
        <f>VLOOKUP(Table_Query_from_Actuarial___Production[[#This Row],[Kor1]],$AI$3:$AK$105,3,FALSE)</f>
        <v>Premiums Written</v>
      </c>
      <c r="X6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4"/>
      <c r="Z6724" t="s">
        <v>44</v>
      </c>
      <c r="AA6724" t="s">
        <v>237</v>
      </c>
      <c r="AB6724" t="s">
        <v>351</v>
      </c>
      <c r="AC6724" s="21">
        <v>1498031.2</v>
      </c>
      <c r="AD6724" s="21" t="s">
        <v>368</v>
      </c>
      <c r="AE6724" t="str">
        <f>VLOOKUP(Table_Query_from_Actuarial___Production3[[#This Row],[Kor1]],$AI$3:$AK$105,3,FALSE)</f>
        <v>Charge-offs</v>
      </c>
      <c r="AF6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5" spans="18:32" x14ac:dyDescent="0.2">
      <c r="R6725" t="s">
        <v>12</v>
      </c>
      <c r="S6725" t="s">
        <v>243</v>
      </c>
      <c r="T6725" t="s">
        <v>7</v>
      </c>
      <c r="U6725" s="21">
        <v>9243.0400000000009</v>
      </c>
      <c r="V6725" s="21" t="s">
        <v>368</v>
      </c>
      <c r="W6725" t="str">
        <f>VLOOKUP(Table_Query_from_Actuarial___Production[[#This Row],[Kor1]],$AI$3:$AK$105,3,FALSE)</f>
        <v>Premium Tax</v>
      </c>
      <c r="X6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5"/>
      <c r="Z6725" t="s">
        <v>11</v>
      </c>
      <c r="AA6725" t="s">
        <v>225</v>
      </c>
      <c r="AB6725" t="s">
        <v>8</v>
      </c>
      <c r="AC6725" s="21">
        <v>560510.51</v>
      </c>
      <c r="AD6725" s="21" t="s">
        <v>368</v>
      </c>
      <c r="AE6725" t="str">
        <f>VLOOKUP(Table_Query_from_Actuarial___Production3[[#This Row],[Kor1]],$AI$3:$AK$105,3,FALSE)</f>
        <v>Losses Paid</v>
      </c>
      <c r="AF6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726" spans="18:32" x14ac:dyDescent="0.2">
      <c r="R6726" t="s">
        <v>13</v>
      </c>
      <c r="S6726" t="s">
        <v>229</v>
      </c>
      <c r="T6726" t="s">
        <v>445</v>
      </c>
      <c r="U6726" s="21">
        <v>6946.99</v>
      </c>
      <c r="V6726" s="21" t="s">
        <v>368</v>
      </c>
      <c r="W6726" t="str">
        <f>VLOOKUP(Table_Query_from_Actuarial___Production[[#This Row],[Kor1]],$AI$3:$AK$105,3,FALSE)</f>
        <v>Operating Service Fees</v>
      </c>
      <c r="X6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6"/>
      <c r="Z6726" t="s">
        <v>12</v>
      </c>
      <c r="AA6726" t="s">
        <v>254</v>
      </c>
      <c r="AB6726" t="s">
        <v>6</v>
      </c>
      <c r="AC6726" s="21">
        <v>16192.88</v>
      </c>
      <c r="AD6726" s="21" t="s">
        <v>368</v>
      </c>
      <c r="AE6726" t="str">
        <f>VLOOKUP(Table_Query_from_Actuarial___Production3[[#This Row],[Kor1]],$AI$3:$AK$105,3,FALSE)</f>
        <v>Premium Tax</v>
      </c>
      <c r="AF6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7" spans="18:32" x14ac:dyDescent="0.2">
      <c r="R6727" t="s">
        <v>10</v>
      </c>
      <c r="S6727" t="s">
        <v>233</v>
      </c>
      <c r="T6727" t="s">
        <v>427</v>
      </c>
      <c r="U6727" s="21">
        <v>61746.35</v>
      </c>
      <c r="V6727" s="21" t="s">
        <v>368</v>
      </c>
      <c r="W6727" t="str">
        <f>VLOOKUP(Table_Query_from_Actuarial___Production[[#This Row],[Kor1]],$AI$3:$AK$105,3,FALSE)</f>
        <v>Commissions</v>
      </c>
      <c r="X6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7"/>
      <c r="Z6727" t="s">
        <v>33</v>
      </c>
      <c r="AA6727" t="s">
        <v>257</v>
      </c>
      <c r="AB6727" t="s">
        <v>443</v>
      </c>
      <c r="AC6727" s="21">
        <v>9527.2800000000007</v>
      </c>
      <c r="AD6727" s="21" t="s">
        <v>368</v>
      </c>
      <c r="AE6727" t="str">
        <f>VLOOKUP(Table_Query_from_Actuarial___Production3[[#This Row],[Kor1]],$AI$3:$AK$105,3,FALSE)</f>
        <v>Misc. Expense</v>
      </c>
      <c r="AF6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8" spans="18:32" x14ac:dyDescent="0.2">
      <c r="R6728" t="s">
        <v>20</v>
      </c>
      <c r="S6728" t="s">
        <v>234</v>
      </c>
      <c r="T6728" t="s">
        <v>356</v>
      </c>
      <c r="U6728" s="21">
        <v>198.41</v>
      </c>
      <c r="V6728" s="21" t="s">
        <v>368</v>
      </c>
      <c r="W6728" t="str">
        <f>VLOOKUP(Table_Query_from_Actuarial___Production[[#This Row],[Kor1]],$AI$3:$AK$105,3,FALSE)</f>
        <v>Misc. Expense</v>
      </c>
      <c r="X6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8"/>
      <c r="Z6728" t="s">
        <v>10</v>
      </c>
      <c r="AA6728" t="s">
        <v>230</v>
      </c>
      <c r="AB6728" t="s">
        <v>351</v>
      </c>
      <c r="AC6728" s="21">
        <v>1393053.09</v>
      </c>
      <c r="AD6728" s="21" t="s">
        <v>368</v>
      </c>
      <c r="AE6728" t="str">
        <f>VLOOKUP(Table_Query_from_Actuarial___Production3[[#This Row],[Kor1]],$AI$3:$AK$105,3,FALSE)</f>
        <v>Commissions</v>
      </c>
      <c r="AF6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29" spans="18:32" x14ac:dyDescent="0.2">
      <c r="R6729" t="s">
        <v>3</v>
      </c>
      <c r="S6729" t="s">
        <v>262</v>
      </c>
      <c r="T6729" t="s">
        <v>433</v>
      </c>
      <c r="U6729" s="21">
        <v>259062</v>
      </c>
      <c r="V6729" s="21" t="s">
        <v>368</v>
      </c>
      <c r="W6729" t="str">
        <f>VLOOKUP(Table_Query_from_Actuarial___Production[[#This Row],[Kor1]],$AI$3:$AK$105,3,FALSE)</f>
        <v>Premiums Written</v>
      </c>
      <c r="X6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29"/>
      <c r="Z6729" t="s">
        <v>3</v>
      </c>
      <c r="AA6729" t="s">
        <v>241</v>
      </c>
      <c r="AB6729" t="s">
        <v>427</v>
      </c>
      <c r="AC6729" s="21">
        <v>793580</v>
      </c>
      <c r="AD6729" s="21" t="s">
        <v>368</v>
      </c>
      <c r="AE6729" t="str">
        <f>VLOOKUP(Table_Query_from_Actuarial___Production3[[#This Row],[Kor1]],$AI$3:$AK$105,3,FALSE)</f>
        <v>Premiums Written</v>
      </c>
      <c r="AF6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0" spans="18:32" x14ac:dyDescent="0.2">
      <c r="R6730" t="s">
        <v>13</v>
      </c>
      <c r="S6730" t="s">
        <v>247</v>
      </c>
      <c r="T6730" t="s">
        <v>8</v>
      </c>
      <c r="U6730" s="21">
        <v>891.14</v>
      </c>
      <c r="V6730" s="21" t="s">
        <v>368</v>
      </c>
      <c r="W6730" t="str">
        <f>VLOOKUP(Table_Query_from_Actuarial___Production[[#This Row],[Kor1]],$AI$3:$AK$105,3,FALSE)</f>
        <v>Operating Service Fees</v>
      </c>
      <c r="X6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0"/>
      <c r="Z6730" t="s">
        <v>12</v>
      </c>
      <c r="AA6730" t="s">
        <v>243</v>
      </c>
      <c r="AB6730" t="s">
        <v>7</v>
      </c>
      <c r="AC6730" s="21">
        <v>9243.0400000000009</v>
      </c>
      <c r="AD6730" s="21" t="s">
        <v>368</v>
      </c>
      <c r="AE6730" t="str">
        <f>VLOOKUP(Table_Query_from_Actuarial___Production3[[#This Row],[Kor1]],$AI$3:$AK$105,3,FALSE)</f>
        <v>Premium Tax</v>
      </c>
      <c r="AF6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1" spans="18:32" x14ac:dyDescent="0.2">
      <c r="R6731" t="s">
        <v>34</v>
      </c>
      <c r="S6731" t="s">
        <v>263</v>
      </c>
      <c r="T6731" t="s">
        <v>443</v>
      </c>
      <c r="U6731" s="21">
        <v>4559.99</v>
      </c>
      <c r="V6731" s="21" t="s">
        <v>368</v>
      </c>
      <c r="W6731" t="str">
        <f>VLOOKUP(Table_Query_from_Actuarial___Production[[#This Row],[Kor1]],$AI$3:$AK$105,3,FALSE)</f>
        <v>Misc. Expense</v>
      </c>
      <c r="X6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1"/>
      <c r="Z6731" t="s">
        <v>10</v>
      </c>
      <c r="AA6731" t="s">
        <v>233</v>
      </c>
      <c r="AB6731" t="s">
        <v>427</v>
      </c>
      <c r="AC6731" s="21">
        <v>61746.35</v>
      </c>
      <c r="AD6731" s="21" t="s">
        <v>368</v>
      </c>
      <c r="AE6731" t="str">
        <f>VLOOKUP(Table_Query_from_Actuarial___Production3[[#This Row],[Kor1]],$AI$3:$AK$105,3,FALSE)</f>
        <v>Commissions</v>
      </c>
      <c r="AF6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2" spans="18:32" x14ac:dyDescent="0.2">
      <c r="R6732" t="s">
        <v>19</v>
      </c>
      <c r="S6732" t="s">
        <v>257</v>
      </c>
      <c r="T6732" t="s">
        <v>351</v>
      </c>
      <c r="U6732" s="21">
        <v>2915.02</v>
      </c>
      <c r="V6732" s="21" t="s">
        <v>368</v>
      </c>
      <c r="W6732" t="str">
        <f>VLOOKUP(Table_Query_from_Actuarial___Production[[#This Row],[Kor1]],$AI$3:$AK$105,3,FALSE)</f>
        <v>Misc. Expense for Insolvent Companies</v>
      </c>
      <c r="X6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2"/>
      <c r="Z6732" t="s">
        <v>20</v>
      </c>
      <c r="AA6732" t="s">
        <v>234</v>
      </c>
      <c r="AB6732" t="s">
        <v>356</v>
      </c>
      <c r="AC6732" s="21">
        <v>198.41</v>
      </c>
      <c r="AD6732" s="21" t="s">
        <v>368</v>
      </c>
      <c r="AE6732" t="str">
        <f>VLOOKUP(Table_Query_from_Actuarial___Production3[[#This Row],[Kor1]],$AI$3:$AK$105,3,FALSE)</f>
        <v>Misc. Expense</v>
      </c>
      <c r="AF6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3" spans="18:32" x14ac:dyDescent="0.2">
      <c r="R6733" t="s">
        <v>39</v>
      </c>
      <c r="S6733" t="s">
        <v>267</v>
      </c>
      <c r="T6733" t="s">
        <v>7</v>
      </c>
      <c r="U6733" s="21">
        <v>16</v>
      </c>
      <c r="V6733" s="21" t="s">
        <v>368</v>
      </c>
      <c r="W6733" t="str">
        <f>VLOOKUP(Table_Query_from_Actuarial___Production[[#This Row],[Kor1]],$AI$3:$AK$105,3,FALSE)</f>
        <v>Misc. Income for Insolvent Companies</v>
      </c>
      <c r="X6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3"/>
      <c r="Z6733" t="s">
        <v>3</v>
      </c>
      <c r="AA6733" t="s">
        <v>262</v>
      </c>
      <c r="AB6733" t="s">
        <v>433</v>
      </c>
      <c r="AC6733" s="21">
        <v>259062</v>
      </c>
      <c r="AD6733" s="21" t="s">
        <v>368</v>
      </c>
      <c r="AE6733" t="str">
        <f>VLOOKUP(Table_Query_from_Actuarial___Production3[[#This Row],[Kor1]],$AI$3:$AK$105,3,FALSE)</f>
        <v>Premiums Written</v>
      </c>
      <c r="AF6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4" spans="18:32" x14ac:dyDescent="0.2">
      <c r="R6734" t="s">
        <v>43</v>
      </c>
      <c r="S6734" t="s">
        <v>232</v>
      </c>
      <c r="T6734" t="s">
        <v>9</v>
      </c>
      <c r="U6734" s="21">
        <v>2382.5700000000002</v>
      </c>
      <c r="V6734" s="21" t="s">
        <v>368</v>
      </c>
      <c r="W6734" t="str">
        <f>VLOOKUP(Table_Query_from_Actuarial___Production[[#This Row],[Kor1]],$AI$3:$AK$105,3,FALSE)</f>
        <v>Charge-offs</v>
      </c>
      <c r="X6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4"/>
      <c r="Z6734" t="s">
        <v>13</v>
      </c>
      <c r="AA6734" t="s">
        <v>247</v>
      </c>
      <c r="AB6734" t="s">
        <v>8</v>
      </c>
      <c r="AC6734" s="21">
        <v>891.14</v>
      </c>
      <c r="AD6734" s="21" t="s">
        <v>368</v>
      </c>
      <c r="AE6734" t="str">
        <f>VLOOKUP(Table_Query_from_Actuarial___Production3[[#This Row],[Kor1]],$AI$3:$AK$105,3,FALSE)</f>
        <v>Operating Service Fees</v>
      </c>
      <c r="AF6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5" spans="18:32" x14ac:dyDescent="0.2">
      <c r="R6735" t="s">
        <v>40</v>
      </c>
      <c r="S6735" t="s">
        <v>242</v>
      </c>
      <c r="T6735" t="s">
        <v>427</v>
      </c>
      <c r="U6735" s="21">
        <v>261</v>
      </c>
      <c r="V6735" s="21" t="s">
        <v>368</v>
      </c>
      <c r="W6735" t="str">
        <f>VLOOKUP(Table_Query_from_Actuarial___Production[[#This Row],[Kor1]],$AI$3:$AK$105,3,FALSE)</f>
        <v>Misc. Income</v>
      </c>
      <c r="X6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5"/>
      <c r="Z6735" t="s">
        <v>19</v>
      </c>
      <c r="AA6735" t="s">
        <v>257</v>
      </c>
      <c r="AB6735" t="s">
        <v>351</v>
      </c>
      <c r="AC6735" s="21">
        <v>2915.02</v>
      </c>
      <c r="AD6735" s="21" t="s">
        <v>368</v>
      </c>
      <c r="AE6735" t="str">
        <f>VLOOKUP(Table_Query_from_Actuarial___Production3[[#This Row],[Kor1]],$AI$3:$AK$105,3,FALSE)</f>
        <v>Misc. Expense for Insolvent Companies</v>
      </c>
      <c r="AF6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6" spans="18:32" x14ac:dyDescent="0.2">
      <c r="R6736" t="s">
        <v>41</v>
      </c>
      <c r="S6736" t="s">
        <v>230</v>
      </c>
      <c r="T6736" t="s">
        <v>445</v>
      </c>
      <c r="U6736" s="21">
        <v>2089.9699999999998</v>
      </c>
      <c r="V6736" s="21" t="s">
        <v>368</v>
      </c>
      <c r="W6736" t="str">
        <f>VLOOKUP(Table_Query_from_Actuarial___Production[[#This Row],[Kor1]],$AI$3:$AK$105,3,FALSE)</f>
        <v>Misc. Income</v>
      </c>
      <c r="X6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6"/>
      <c r="Z6736" t="s">
        <v>39</v>
      </c>
      <c r="AA6736" t="s">
        <v>267</v>
      </c>
      <c r="AB6736" t="s">
        <v>7</v>
      </c>
      <c r="AC6736" s="21">
        <v>16</v>
      </c>
      <c r="AD6736" s="21" t="s">
        <v>368</v>
      </c>
      <c r="AE6736" t="str">
        <f>VLOOKUP(Table_Query_from_Actuarial___Production3[[#This Row],[Kor1]],$AI$3:$AK$105,3,FALSE)</f>
        <v>Misc. Income for Insolvent Companies</v>
      </c>
      <c r="AF6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7" spans="18:32" x14ac:dyDescent="0.2">
      <c r="R6737" t="s">
        <v>439</v>
      </c>
      <c r="S6737" t="s">
        <v>255</v>
      </c>
      <c r="T6737" t="s">
        <v>443</v>
      </c>
      <c r="U6737" s="21">
        <v>-6072.33</v>
      </c>
      <c r="V6737" s="21" t="s">
        <v>368</v>
      </c>
      <c r="W6737" t="str">
        <f>VLOOKUP(Table_Query_from_Actuarial___Production[[#This Row],[Kor1]],$AI$3:$AK$105,3,FALSE)</f>
        <v>Operating Service Fees</v>
      </c>
      <c r="X6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7"/>
      <c r="Z6737" t="s">
        <v>43</v>
      </c>
      <c r="AA6737" t="s">
        <v>232</v>
      </c>
      <c r="AB6737" t="s">
        <v>9</v>
      </c>
      <c r="AC6737" s="21">
        <v>2382.5700000000002</v>
      </c>
      <c r="AD6737" s="21" t="s">
        <v>368</v>
      </c>
      <c r="AE6737" t="str">
        <f>VLOOKUP(Table_Query_from_Actuarial___Production3[[#This Row],[Kor1]],$AI$3:$AK$105,3,FALSE)</f>
        <v>Charge-offs</v>
      </c>
      <c r="AF6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8" spans="18:32" x14ac:dyDescent="0.2">
      <c r="R6738" t="s">
        <v>31</v>
      </c>
      <c r="S6738" t="s">
        <v>252</v>
      </c>
      <c r="T6738" t="s">
        <v>356</v>
      </c>
      <c r="U6738" s="21">
        <v>-1101.47</v>
      </c>
      <c r="V6738" s="21" t="s">
        <v>368</v>
      </c>
      <c r="W6738" t="str">
        <f>VLOOKUP(Table_Query_from_Actuarial___Production[[#This Row],[Kor1]],$AI$3:$AK$105,3,FALSE)</f>
        <v>Misc. Expense</v>
      </c>
      <c r="X6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8"/>
      <c r="Z6738" t="s">
        <v>40</v>
      </c>
      <c r="AA6738" t="s">
        <v>242</v>
      </c>
      <c r="AB6738" t="s">
        <v>427</v>
      </c>
      <c r="AC6738" s="21">
        <v>261</v>
      </c>
      <c r="AD6738" s="21" t="s">
        <v>368</v>
      </c>
      <c r="AE6738" t="str">
        <f>VLOOKUP(Table_Query_from_Actuarial___Production3[[#This Row],[Kor1]],$AI$3:$AK$105,3,FALSE)</f>
        <v>Misc. Income</v>
      </c>
      <c r="AF6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39" spans="18:32" x14ac:dyDescent="0.2">
      <c r="R6739" t="s">
        <v>41</v>
      </c>
      <c r="S6739" t="s">
        <v>245</v>
      </c>
      <c r="T6739" t="s">
        <v>9</v>
      </c>
      <c r="U6739" s="21">
        <v>750</v>
      </c>
      <c r="V6739" s="21" t="s">
        <v>368</v>
      </c>
      <c r="W6739" t="str">
        <f>VLOOKUP(Table_Query_from_Actuarial___Production[[#This Row],[Kor1]],$AI$3:$AK$105,3,FALSE)</f>
        <v>Misc. Income</v>
      </c>
      <c r="X6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39"/>
      <c r="Z6739" t="s">
        <v>439</v>
      </c>
      <c r="AA6739" t="s">
        <v>255</v>
      </c>
      <c r="AB6739" t="s">
        <v>443</v>
      </c>
      <c r="AC6739" s="21">
        <v>-6072.33</v>
      </c>
      <c r="AD6739" s="21" t="s">
        <v>368</v>
      </c>
      <c r="AE6739" t="str">
        <f>VLOOKUP(Table_Query_from_Actuarial___Production3[[#This Row],[Kor1]],$AI$3:$AK$105,3,FALSE)</f>
        <v>Operating Service Fees</v>
      </c>
      <c r="AF6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0" spans="18:32" x14ac:dyDescent="0.2">
      <c r="R6740" t="s">
        <v>34</v>
      </c>
      <c r="S6740" t="s">
        <v>232</v>
      </c>
      <c r="T6740" t="s">
        <v>427</v>
      </c>
      <c r="U6740" s="21">
        <v>846.73</v>
      </c>
      <c r="V6740" s="21" t="s">
        <v>368</v>
      </c>
      <c r="W6740" t="str">
        <f>VLOOKUP(Table_Query_from_Actuarial___Production[[#This Row],[Kor1]],$AI$3:$AK$105,3,FALSE)</f>
        <v>Misc. Expense</v>
      </c>
      <c r="X6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0"/>
      <c r="Z6740" t="s">
        <v>31</v>
      </c>
      <c r="AA6740" t="s">
        <v>252</v>
      </c>
      <c r="AB6740" t="s">
        <v>356</v>
      </c>
      <c r="AC6740" s="21">
        <v>-1101.47</v>
      </c>
      <c r="AD6740" s="21" t="s">
        <v>368</v>
      </c>
      <c r="AE6740" t="str">
        <f>VLOOKUP(Table_Query_from_Actuarial___Production3[[#This Row],[Kor1]],$AI$3:$AK$105,3,FALSE)</f>
        <v>Misc. Expense</v>
      </c>
      <c r="AF6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1" spans="18:32" x14ac:dyDescent="0.2">
      <c r="R6741" t="s">
        <v>44</v>
      </c>
      <c r="S6741" t="s">
        <v>252</v>
      </c>
      <c r="T6741" t="s">
        <v>8</v>
      </c>
      <c r="U6741" s="21">
        <v>323522.46999999997</v>
      </c>
      <c r="V6741" s="21" t="s">
        <v>368</v>
      </c>
      <c r="W6741" t="str">
        <f>VLOOKUP(Table_Query_from_Actuarial___Production[[#This Row],[Kor1]],$AI$3:$AK$105,3,FALSE)</f>
        <v>Charge-offs</v>
      </c>
      <c r="X6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1"/>
      <c r="Z6741" t="s">
        <v>41</v>
      </c>
      <c r="AA6741" t="s">
        <v>245</v>
      </c>
      <c r="AB6741" t="s">
        <v>9</v>
      </c>
      <c r="AC6741" s="21">
        <v>750</v>
      </c>
      <c r="AD6741" s="21" t="s">
        <v>368</v>
      </c>
      <c r="AE6741" t="str">
        <f>VLOOKUP(Table_Query_from_Actuarial___Production3[[#This Row],[Kor1]],$AI$3:$AK$105,3,FALSE)</f>
        <v>Misc. Income</v>
      </c>
      <c r="AF6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2" spans="18:32" x14ac:dyDescent="0.2">
      <c r="R6742" t="s">
        <v>48</v>
      </c>
      <c r="S6742" t="s">
        <v>255</v>
      </c>
      <c r="T6742" t="s">
        <v>443</v>
      </c>
      <c r="U6742" s="21">
        <v>1430.91</v>
      </c>
      <c r="V6742" s="21" t="s">
        <v>368</v>
      </c>
      <c r="W6742" t="str">
        <f>VLOOKUP(Table_Query_from_Actuarial___Production[[#This Row],[Kor1]],$AI$3:$AK$105,3,FALSE)</f>
        <v>Anticipated Salvage</v>
      </c>
      <c r="X6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2"/>
      <c r="Z6742" t="s">
        <v>34</v>
      </c>
      <c r="AA6742" t="s">
        <v>232</v>
      </c>
      <c r="AB6742" t="s">
        <v>427</v>
      </c>
      <c r="AC6742" s="21">
        <v>846.73</v>
      </c>
      <c r="AD6742" s="21" t="s">
        <v>368</v>
      </c>
      <c r="AE6742" t="str">
        <f>VLOOKUP(Table_Query_from_Actuarial___Production3[[#This Row],[Kor1]],$AI$3:$AK$105,3,FALSE)</f>
        <v>Misc. Expense</v>
      </c>
      <c r="AF6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3" spans="18:32" x14ac:dyDescent="0.2">
      <c r="R6743" t="s">
        <v>31</v>
      </c>
      <c r="S6743" t="s">
        <v>236</v>
      </c>
      <c r="T6743" t="s">
        <v>356</v>
      </c>
      <c r="U6743" s="21">
        <v>627.13</v>
      </c>
      <c r="V6743" s="21" t="s">
        <v>368</v>
      </c>
      <c r="W6743" t="str">
        <f>VLOOKUP(Table_Query_from_Actuarial___Production[[#This Row],[Kor1]],$AI$3:$AK$105,3,FALSE)</f>
        <v>Misc. Expense</v>
      </c>
      <c r="X6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3"/>
      <c r="Z6743" t="s">
        <v>44</v>
      </c>
      <c r="AA6743" t="s">
        <v>252</v>
      </c>
      <c r="AB6743" t="s">
        <v>8</v>
      </c>
      <c r="AC6743" s="21">
        <v>323522.46999999997</v>
      </c>
      <c r="AD6743" s="21" t="s">
        <v>368</v>
      </c>
      <c r="AE6743" t="str">
        <f>VLOOKUP(Table_Query_from_Actuarial___Production3[[#This Row],[Kor1]],$AI$3:$AK$105,3,FALSE)</f>
        <v>Charge-offs</v>
      </c>
      <c r="AF6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4" spans="18:32" x14ac:dyDescent="0.2">
      <c r="R6744" t="s">
        <v>11</v>
      </c>
      <c r="S6744" t="s">
        <v>230</v>
      </c>
      <c r="T6744" t="s">
        <v>9</v>
      </c>
      <c r="U6744" s="21">
        <v>16666358.130000001</v>
      </c>
      <c r="V6744" s="21" t="s">
        <v>368</v>
      </c>
      <c r="W6744" t="str">
        <f>VLOOKUP(Table_Query_from_Actuarial___Production[[#This Row],[Kor1]],$AI$3:$AK$105,3,FALSE)</f>
        <v>Losses Paid</v>
      </c>
      <c r="X6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4"/>
      <c r="Z6744" t="s">
        <v>48</v>
      </c>
      <c r="AA6744" t="s">
        <v>255</v>
      </c>
      <c r="AB6744" t="s">
        <v>443</v>
      </c>
      <c r="AC6744" s="21">
        <v>132.4</v>
      </c>
      <c r="AD6744" s="21" t="s">
        <v>368</v>
      </c>
      <c r="AE6744" t="str">
        <f>VLOOKUP(Table_Query_from_Actuarial___Production3[[#This Row],[Kor1]],$AI$3:$AK$105,3,FALSE)</f>
        <v>Anticipated Salvage</v>
      </c>
      <c r="AF6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5" spans="18:32" x14ac:dyDescent="0.2">
      <c r="R6745" t="s">
        <v>43</v>
      </c>
      <c r="S6745" t="s">
        <v>261</v>
      </c>
      <c r="T6745" t="s">
        <v>8</v>
      </c>
      <c r="U6745" s="21">
        <v>320.63</v>
      </c>
      <c r="V6745" s="21" t="s">
        <v>368</v>
      </c>
      <c r="W6745" t="str">
        <f>VLOOKUP(Table_Query_from_Actuarial___Production[[#This Row],[Kor1]],$AI$3:$AK$105,3,FALSE)</f>
        <v>Charge-offs</v>
      </c>
      <c r="X6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5"/>
      <c r="Z6745" t="s">
        <v>31</v>
      </c>
      <c r="AA6745" t="s">
        <v>236</v>
      </c>
      <c r="AB6745" t="s">
        <v>356</v>
      </c>
      <c r="AC6745" s="21">
        <v>627.13</v>
      </c>
      <c r="AD6745" s="21" t="s">
        <v>368</v>
      </c>
      <c r="AE6745" t="str">
        <f>VLOOKUP(Table_Query_from_Actuarial___Production3[[#This Row],[Kor1]],$AI$3:$AK$105,3,FALSE)</f>
        <v>Misc. Expense</v>
      </c>
      <c r="AF6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6" spans="18:32" x14ac:dyDescent="0.2">
      <c r="R6746" t="s">
        <v>14</v>
      </c>
      <c r="S6746" t="s">
        <v>241</v>
      </c>
      <c r="T6746" t="s">
        <v>9</v>
      </c>
      <c r="U6746" s="21">
        <v>71544.02</v>
      </c>
      <c r="V6746" s="21" t="s">
        <v>368</v>
      </c>
      <c r="W6746" t="str">
        <f>VLOOKUP(Table_Query_from_Actuarial___Production[[#This Row],[Kor1]],$AI$3:$AK$105,3,FALSE)</f>
        <v>Claims Expense</v>
      </c>
      <c r="X6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6"/>
      <c r="Z6746" t="s">
        <v>11</v>
      </c>
      <c r="AA6746" t="s">
        <v>230</v>
      </c>
      <c r="AB6746" t="s">
        <v>9</v>
      </c>
      <c r="AC6746" s="21">
        <v>15841358.130000001</v>
      </c>
      <c r="AD6746" s="21" t="s">
        <v>368</v>
      </c>
      <c r="AE6746" t="str">
        <f>VLOOKUP(Table_Query_from_Actuarial___Production3[[#This Row],[Kor1]],$AI$3:$AK$105,3,FALSE)</f>
        <v>Losses Paid</v>
      </c>
      <c r="AF6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7" spans="18:32" x14ac:dyDescent="0.2">
      <c r="R6747" t="s">
        <v>21</v>
      </c>
      <c r="S6747" t="s">
        <v>256</v>
      </c>
      <c r="T6747" t="s">
        <v>442</v>
      </c>
      <c r="U6747" s="21">
        <v>230</v>
      </c>
      <c r="V6747" s="21" t="s">
        <v>368</v>
      </c>
      <c r="W6747" t="str">
        <f>VLOOKUP(Table_Query_from_Actuarial___Production[[#This Row],[Kor1]],$AI$3:$AK$105,3,FALSE)</f>
        <v>Misc. Expense</v>
      </c>
      <c r="X6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7"/>
      <c r="Z6747" t="s">
        <v>43</v>
      </c>
      <c r="AA6747" t="s">
        <v>261</v>
      </c>
      <c r="AB6747" t="s">
        <v>8</v>
      </c>
      <c r="AC6747" s="21">
        <v>320.63</v>
      </c>
      <c r="AD6747" s="21" t="s">
        <v>368</v>
      </c>
      <c r="AE6747" t="str">
        <f>VLOOKUP(Table_Query_from_Actuarial___Production3[[#This Row],[Kor1]],$AI$3:$AK$105,3,FALSE)</f>
        <v>Charge-offs</v>
      </c>
      <c r="AF6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8" spans="18:32" x14ac:dyDescent="0.2">
      <c r="R6748" t="s">
        <v>13</v>
      </c>
      <c r="S6748" t="s">
        <v>253</v>
      </c>
      <c r="T6748" t="s">
        <v>441</v>
      </c>
      <c r="U6748" s="21">
        <v>8120.77</v>
      </c>
      <c r="V6748" s="21" t="s">
        <v>368</v>
      </c>
      <c r="W6748" t="str">
        <f>VLOOKUP(Table_Query_from_Actuarial___Production[[#This Row],[Kor1]],$AI$3:$AK$105,3,FALSE)</f>
        <v>Operating Service Fees</v>
      </c>
      <c r="X6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8"/>
      <c r="Z6748" t="s">
        <v>14</v>
      </c>
      <c r="AA6748" t="s">
        <v>241</v>
      </c>
      <c r="AB6748" t="s">
        <v>9</v>
      </c>
      <c r="AC6748" s="21">
        <v>71544.02</v>
      </c>
      <c r="AD6748" s="21" t="s">
        <v>368</v>
      </c>
      <c r="AE6748" t="str">
        <f>VLOOKUP(Table_Query_from_Actuarial___Production3[[#This Row],[Kor1]],$AI$3:$AK$105,3,FALSE)</f>
        <v>Claims Expense</v>
      </c>
      <c r="AF6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49" spans="18:32" x14ac:dyDescent="0.2">
      <c r="R6749" t="s">
        <v>14</v>
      </c>
      <c r="S6749" t="s">
        <v>258</v>
      </c>
      <c r="T6749" t="s">
        <v>433</v>
      </c>
      <c r="U6749" s="21">
        <v>282708.65999999997</v>
      </c>
      <c r="V6749" s="21" t="s">
        <v>368</v>
      </c>
      <c r="W6749" t="str">
        <f>VLOOKUP(Table_Query_from_Actuarial___Production[[#This Row],[Kor1]],$AI$3:$AK$105,3,FALSE)</f>
        <v>Claims Expense</v>
      </c>
      <c r="X6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49"/>
      <c r="Z6749" t="s">
        <v>17</v>
      </c>
      <c r="AA6749" t="s">
        <v>255</v>
      </c>
      <c r="AB6749" t="s">
        <v>427</v>
      </c>
      <c r="AC6749" s="21">
        <v>39846.94</v>
      </c>
      <c r="AD6749" s="21" t="s">
        <v>368</v>
      </c>
      <c r="AE6749" t="str">
        <f>VLOOKUP(Table_Query_from_Actuarial___Production3[[#This Row],[Kor1]],$AI$3:$AK$105,3,FALSE)</f>
        <v>IBNR</v>
      </c>
      <c r="AF6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0" spans="18:32" x14ac:dyDescent="0.2">
      <c r="R6750" t="s">
        <v>19</v>
      </c>
      <c r="S6750" t="s">
        <v>233</v>
      </c>
      <c r="T6750" t="s">
        <v>441</v>
      </c>
      <c r="U6750" s="21">
        <v>505</v>
      </c>
      <c r="V6750" s="21" t="s">
        <v>368</v>
      </c>
      <c r="W6750" t="str">
        <f>VLOOKUP(Table_Query_from_Actuarial___Production[[#This Row],[Kor1]],$AI$3:$AK$105,3,FALSE)</f>
        <v>Misc. Expense for Insolvent Companies</v>
      </c>
      <c r="X6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0"/>
      <c r="Z6750" t="s">
        <v>21</v>
      </c>
      <c r="AA6750" t="s">
        <v>256</v>
      </c>
      <c r="AB6750" t="s">
        <v>442</v>
      </c>
      <c r="AC6750" s="21">
        <v>230</v>
      </c>
      <c r="AD6750" s="21" t="s">
        <v>368</v>
      </c>
      <c r="AE6750" t="str">
        <f>VLOOKUP(Table_Query_from_Actuarial___Production3[[#This Row],[Kor1]],$AI$3:$AK$105,3,FALSE)</f>
        <v>Misc. Expense</v>
      </c>
      <c r="AF6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1" spans="18:32" x14ac:dyDescent="0.2">
      <c r="R6751" t="s">
        <v>21</v>
      </c>
      <c r="S6751" t="s">
        <v>4</v>
      </c>
      <c r="T6751" t="s">
        <v>6</v>
      </c>
      <c r="U6751" s="21">
        <v>195</v>
      </c>
      <c r="V6751" s="21" t="s">
        <v>368</v>
      </c>
      <c r="W6751" t="str">
        <f>VLOOKUP(Table_Query_from_Actuarial___Production[[#This Row],[Kor1]],$AI$3:$AK$105,3,FALSE)</f>
        <v>Misc. Expense</v>
      </c>
      <c r="X6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1"/>
      <c r="Z6751" t="s">
        <v>13</v>
      </c>
      <c r="AA6751" t="s">
        <v>253</v>
      </c>
      <c r="AB6751" t="s">
        <v>441</v>
      </c>
      <c r="AC6751" s="21">
        <v>8120.77</v>
      </c>
      <c r="AD6751" s="21" t="s">
        <v>368</v>
      </c>
      <c r="AE6751" t="str">
        <f>VLOOKUP(Table_Query_from_Actuarial___Production3[[#This Row],[Kor1]],$AI$3:$AK$105,3,FALSE)</f>
        <v>Operating Service Fees</v>
      </c>
      <c r="AF6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2" spans="18:32" x14ac:dyDescent="0.2">
      <c r="R6752" t="s">
        <v>21</v>
      </c>
      <c r="S6752" t="s">
        <v>227</v>
      </c>
      <c r="T6752" t="s">
        <v>9</v>
      </c>
      <c r="U6752" s="21">
        <v>4025.01</v>
      </c>
      <c r="V6752" s="21" t="s">
        <v>368</v>
      </c>
      <c r="W6752" t="str">
        <f>VLOOKUP(Table_Query_from_Actuarial___Production[[#This Row],[Kor1]],$AI$3:$AK$105,3,FALSE)</f>
        <v>Misc. Expense</v>
      </c>
      <c r="X6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2"/>
      <c r="Z6752" t="s">
        <v>14</v>
      </c>
      <c r="AA6752" t="s">
        <v>258</v>
      </c>
      <c r="AB6752" t="s">
        <v>433</v>
      </c>
      <c r="AC6752" s="21">
        <v>282708.65999999997</v>
      </c>
      <c r="AD6752" s="21" t="s">
        <v>368</v>
      </c>
      <c r="AE6752" t="str">
        <f>VLOOKUP(Table_Query_from_Actuarial___Production3[[#This Row],[Kor1]],$AI$3:$AK$105,3,FALSE)</f>
        <v>Claims Expense</v>
      </c>
      <c r="AF6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3" spans="18:32" x14ac:dyDescent="0.2">
      <c r="R6753" t="s">
        <v>41</v>
      </c>
      <c r="S6753" t="s">
        <v>232</v>
      </c>
      <c r="T6753" t="s">
        <v>8</v>
      </c>
      <c r="U6753" s="21">
        <v>1019.35</v>
      </c>
      <c r="V6753" s="21" t="s">
        <v>368</v>
      </c>
      <c r="W6753" t="str">
        <f>VLOOKUP(Table_Query_from_Actuarial___Production[[#This Row],[Kor1]],$AI$3:$AK$105,3,FALSE)</f>
        <v>Misc. Income</v>
      </c>
      <c r="X6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3"/>
      <c r="Z6753" t="s">
        <v>19</v>
      </c>
      <c r="AA6753" t="s">
        <v>233</v>
      </c>
      <c r="AB6753" t="s">
        <v>441</v>
      </c>
      <c r="AC6753" s="21">
        <v>505</v>
      </c>
      <c r="AD6753" s="21" t="s">
        <v>368</v>
      </c>
      <c r="AE6753" t="str">
        <f>VLOOKUP(Table_Query_from_Actuarial___Production3[[#This Row],[Kor1]],$AI$3:$AK$105,3,FALSE)</f>
        <v>Misc. Expense for Insolvent Companies</v>
      </c>
      <c r="AF6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4" spans="18:32" x14ac:dyDescent="0.2">
      <c r="R6754" t="s">
        <v>19</v>
      </c>
      <c r="S6754" t="s">
        <v>258</v>
      </c>
      <c r="T6754" t="s">
        <v>443</v>
      </c>
      <c r="U6754" s="21">
        <v>99.03</v>
      </c>
      <c r="V6754" s="21" t="s">
        <v>368</v>
      </c>
      <c r="W6754" t="str">
        <f>VLOOKUP(Table_Query_from_Actuarial___Production[[#This Row],[Kor1]],$AI$3:$AK$105,3,FALSE)</f>
        <v>Misc. Expense for Insolvent Companies</v>
      </c>
      <c r="X6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4"/>
      <c r="Z6754" t="s">
        <v>21</v>
      </c>
      <c r="AA6754" t="s">
        <v>4</v>
      </c>
      <c r="AB6754" t="s">
        <v>6</v>
      </c>
      <c r="AC6754" s="21">
        <v>195</v>
      </c>
      <c r="AD6754" s="21" t="s">
        <v>368</v>
      </c>
      <c r="AE6754" t="str">
        <f>VLOOKUP(Table_Query_from_Actuarial___Production3[[#This Row],[Kor1]],$AI$3:$AK$105,3,FALSE)</f>
        <v>Misc. Expense</v>
      </c>
      <c r="AF6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5" spans="18:32" x14ac:dyDescent="0.2">
      <c r="R6755" t="s">
        <v>3</v>
      </c>
      <c r="S6755" t="s">
        <v>227</v>
      </c>
      <c r="T6755" t="s">
        <v>6</v>
      </c>
      <c r="U6755" s="21">
        <v>1479739</v>
      </c>
      <c r="V6755" s="21" t="s">
        <v>368</v>
      </c>
      <c r="W6755" t="str">
        <f>VLOOKUP(Table_Query_from_Actuarial___Production[[#This Row],[Kor1]],$AI$3:$AK$105,3,FALSE)</f>
        <v>Premiums Written</v>
      </c>
      <c r="X6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5"/>
      <c r="Z6755" t="s">
        <v>21</v>
      </c>
      <c r="AA6755" t="s">
        <v>227</v>
      </c>
      <c r="AB6755" t="s">
        <v>9</v>
      </c>
      <c r="AC6755" s="21">
        <v>4025.01</v>
      </c>
      <c r="AD6755" s="21" t="s">
        <v>368</v>
      </c>
      <c r="AE6755" t="str">
        <f>VLOOKUP(Table_Query_from_Actuarial___Production3[[#This Row],[Kor1]],$AI$3:$AK$105,3,FALSE)</f>
        <v>Misc. Expense</v>
      </c>
      <c r="AF6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6" spans="18:32" x14ac:dyDescent="0.2">
      <c r="R6756" t="s">
        <v>47</v>
      </c>
      <c r="S6756" t="s">
        <v>242</v>
      </c>
      <c r="T6756" t="s">
        <v>433</v>
      </c>
      <c r="U6756" s="21">
        <v>1799.12</v>
      </c>
      <c r="V6756" s="21" t="s">
        <v>368</v>
      </c>
      <c r="W6756" t="str">
        <f>VLOOKUP(Table_Query_from_Actuarial___Production[[#This Row],[Kor1]],$AI$3:$AK$105,3,FALSE)</f>
        <v>Investment Income</v>
      </c>
      <c r="X6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6"/>
      <c r="Z6756" t="s">
        <v>41</v>
      </c>
      <c r="AA6756" t="s">
        <v>232</v>
      </c>
      <c r="AB6756" t="s">
        <v>8</v>
      </c>
      <c r="AC6756" s="21">
        <v>1019.35</v>
      </c>
      <c r="AD6756" s="21" t="s">
        <v>368</v>
      </c>
      <c r="AE6756" t="str">
        <f>VLOOKUP(Table_Query_from_Actuarial___Production3[[#This Row],[Kor1]],$AI$3:$AK$105,3,FALSE)</f>
        <v>Misc. Income</v>
      </c>
      <c r="AF6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7" spans="18:32" x14ac:dyDescent="0.2">
      <c r="R6757" t="s">
        <v>20</v>
      </c>
      <c r="S6757" t="s">
        <v>236</v>
      </c>
      <c r="T6757" t="s">
        <v>351</v>
      </c>
      <c r="U6757" s="21">
        <v>111.41</v>
      </c>
      <c r="V6757" s="21" t="s">
        <v>368</v>
      </c>
      <c r="W6757" t="str">
        <f>VLOOKUP(Table_Query_from_Actuarial___Production[[#This Row],[Kor1]],$AI$3:$AK$105,3,FALSE)</f>
        <v>Misc. Expense</v>
      </c>
      <c r="X6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7"/>
      <c r="Z6757" t="s">
        <v>19</v>
      </c>
      <c r="AA6757" t="s">
        <v>258</v>
      </c>
      <c r="AB6757" t="s">
        <v>443</v>
      </c>
      <c r="AC6757" s="21">
        <v>99.03</v>
      </c>
      <c r="AD6757" s="21" t="s">
        <v>368</v>
      </c>
      <c r="AE6757" t="str">
        <f>VLOOKUP(Table_Query_from_Actuarial___Production3[[#This Row],[Kor1]],$AI$3:$AK$105,3,FALSE)</f>
        <v>Misc. Expense for Insolvent Companies</v>
      </c>
      <c r="AF6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8" spans="18:32" x14ac:dyDescent="0.2">
      <c r="R6758" t="s">
        <v>3</v>
      </c>
      <c r="S6758" t="s">
        <v>225</v>
      </c>
      <c r="T6758" t="s">
        <v>351</v>
      </c>
      <c r="U6758" s="21">
        <v>2891068.43</v>
      </c>
      <c r="V6758" s="21" t="s">
        <v>369</v>
      </c>
      <c r="W6758" t="str">
        <f>VLOOKUP(Table_Query_from_Actuarial___Production[[#This Row],[Kor1]],$AI$3:$AK$105,3,FALSE)</f>
        <v>Premiums Written</v>
      </c>
      <c r="X6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758"/>
      <c r="Z6758" t="s">
        <v>3</v>
      </c>
      <c r="AA6758" t="s">
        <v>227</v>
      </c>
      <c r="AB6758" t="s">
        <v>6</v>
      </c>
      <c r="AC6758" s="21">
        <v>1479739</v>
      </c>
      <c r="AD6758" s="21" t="s">
        <v>368</v>
      </c>
      <c r="AE6758" t="str">
        <f>VLOOKUP(Table_Query_from_Actuarial___Production3[[#This Row],[Kor1]],$AI$3:$AK$105,3,FALSE)</f>
        <v>Premiums Written</v>
      </c>
      <c r="AF6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59" spans="18:32" x14ac:dyDescent="0.2">
      <c r="R6759" t="s">
        <v>12</v>
      </c>
      <c r="S6759" t="s">
        <v>254</v>
      </c>
      <c r="T6759" t="s">
        <v>445</v>
      </c>
      <c r="U6759" s="21">
        <v>265044.52</v>
      </c>
      <c r="V6759" s="21" t="s">
        <v>368</v>
      </c>
      <c r="W6759" t="str">
        <f>VLOOKUP(Table_Query_from_Actuarial___Production[[#This Row],[Kor1]],$AI$3:$AK$105,3,FALSE)</f>
        <v>Premium Tax</v>
      </c>
      <c r="X6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59"/>
      <c r="Z6759" t="s">
        <v>47</v>
      </c>
      <c r="AA6759" t="s">
        <v>242</v>
      </c>
      <c r="AB6759" t="s">
        <v>433</v>
      </c>
      <c r="AC6759" s="21">
        <v>1799.12</v>
      </c>
      <c r="AD6759" s="21" t="s">
        <v>368</v>
      </c>
      <c r="AE6759" t="str">
        <f>VLOOKUP(Table_Query_from_Actuarial___Production3[[#This Row],[Kor1]],$AI$3:$AK$105,3,FALSE)</f>
        <v>Investment Income</v>
      </c>
      <c r="AF6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0" spans="18:32" x14ac:dyDescent="0.2">
      <c r="R6760" t="s">
        <v>19</v>
      </c>
      <c r="S6760" t="s">
        <v>243</v>
      </c>
      <c r="T6760" t="s">
        <v>7</v>
      </c>
      <c r="U6760" s="21">
        <v>3552</v>
      </c>
      <c r="V6760" s="21" t="s">
        <v>368</v>
      </c>
      <c r="W6760" t="str">
        <f>VLOOKUP(Table_Query_from_Actuarial___Production[[#This Row],[Kor1]],$AI$3:$AK$105,3,FALSE)</f>
        <v>Misc. Expense for Insolvent Companies</v>
      </c>
      <c r="X6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0"/>
      <c r="Z6760" t="s">
        <v>20</v>
      </c>
      <c r="AA6760" t="s">
        <v>236</v>
      </c>
      <c r="AB6760" t="s">
        <v>351</v>
      </c>
      <c r="AC6760" s="21">
        <v>111.41</v>
      </c>
      <c r="AD6760" s="21" t="s">
        <v>368</v>
      </c>
      <c r="AE6760" t="str">
        <f>VLOOKUP(Table_Query_from_Actuarial___Production3[[#This Row],[Kor1]],$AI$3:$AK$105,3,FALSE)</f>
        <v>Misc. Expense</v>
      </c>
      <c r="AF6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1" spans="18:32" x14ac:dyDescent="0.2">
      <c r="R6761" t="s">
        <v>13</v>
      </c>
      <c r="S6761" t="s">
        <v>224</v>
      </c>
      <c r="T6761" t="s">
        <v>433</v>
      </c>
      <c r="U6761" s="21">
        <v>84350.04</v>
      </c>
      <c r="V6761" s="21" t="s">
        <v>370</v>
      </c>
      <c r="W6761" t="str">
        <f>VLOOKUP(Table_Query_from_Actuarial___Production[[#This Row],[Kor1]],$AI$3:$AK$105,3,FALSE)</f>
        <v>Operating Service Fees</v>
      </c>
      <c r="X6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761"/>
      <c r="Z6761" t="s">
        <v>3</v>
      </c>
      <c r="AA6761" t="s">
        <v>225</v>
      </c>
      <c r="AB6761" t="s">
        <v>351</v>
      </c>
      <c r="AC6761" s="21">
        <v>2891220.43</v>
      </c>
      <c r="AD6761" s="21" t="s">
        <v>369</v>
      </c>
      <c r="AE6761" t="str">
        <f>VLOOKUP(Table_Query_from_Actuarial___Production3[[#This Row],[Kor1]],$AI$3:$AK$105,3,FALSE)</f>
        <v>Premiums Written</v>
      </c>
      <c r="AF6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762" spans="18:32" x14ac:dyDescent="0.2">
      <c r="R6762" t="s">
        <v>14</v>
      </c>
      <c r="S6762" t="s">
        <v>257</v>
      </c>
      <c r="T6762" t="s">
        <v>8</v>
      </c>
      <c r="U6762" s="21">
        <v>152448.68</v>
      </c>
      <c r="V6762" s="21" t="s">
        <v>368</v>
      </c>
      <c r="W6762" t="str">
        <f>VLOOKUP(Table_Query_from_Actuarial___Production[[#This Row],[Kor1]],$AI$3:$AK$105,3,FALSE)</f>
        <v>Claims Expense</v>
      </c>
      <c r="X6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2"/>
      <c r="Z6762" t="s">
        <v>19</v>
      </c>
      <c r="AA6762" t="s">
        <v>243</v>
      </c>
      <c r="AB6762" t="s">
        <v>7</v>
      </c>
      <c r="AC6762" s="21">
        <v>3552</v>
      </c>
      <c r="AD6762" s="21" t="s">
        <v>368</v>
      </c>
      <c r="AE6762" t="str">
        <f>VLOOKUP(Table_Query_from_Actuarial___Production3[[#This Row],[Kor1]],$AI$3:$AK$105,3,FALSE)</f>
        <v>Misc. Expense for Insolvent Companies</v>
      </c>
      <c r="AF6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3" spans="18:32" x14ac:dyDescent="0.2">
      <c r="R6763" t="s">
        <v>19</v>
      </c>
      <c r="S6763" t="s">
        <v>232</v>
      </c>
      <c r="T6763" t="s">
        <v>351</v>
      </c>
      <c r="U6763" s="21">
        <v>1721.02</v>
      </c>
      <c r="V6763" s="21" t="s">
        <v>368</v>
      </c>
      <c r="W6763" t="str">
        <f>VLOOKUP(Table_Query_from_Actuarial___Production[[#This Row],[Kor1]],$AI$3:$AK$105,3,FALSE)</f>
        <v>Misc. Expense for Insolvent Companies</v>
      </c>
      <c r="X6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3"/>
      <c r="Z6763" t="s">
        <v>13</v>
      </c>
      <c r="AA6763" t="s">
        <v>224</v>
      </c>
      <c r="AB6763" t="s">
        <v>433</v>
      </c>
      <c r="AC6763" s="21">
        <v>84350.04</v>
      </c>
      <c r="AD6763" s="21" t="s">
        <v>370</v>
      </c>
      <c r="AE6763" t="str">
        <f>VLOOKUP(Table_Query_from_Actuarial___Production3[[#This Row],[Kor1]],$AI$3:$AK$105,3,FALSE)</f>
        <v>Operating Service Fees</v>
      </c>
      <c r="AF6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764" spans="18:32" x14ac:dyDescent="0.2">
      <c r="R6764" t="s">
        <v>10</v>
      </c>
      <c r="S6764" t="s">
        <v>258</v>
      </c>
      <c r="T6764" t="s">
        <v>427</v>
      </c>
      <c r="U6764" s="21">
        <v>227443.48</v>
      </c>
      <c r="V6764" s="21" t="s">
        <v>368</v>
      </c>
      <c r="W6764" t="str">
        <f>VLOOKUP(Table_Query_from_Actuarial___Production[[#This Row],[Kor1]],$AI$3:$AK$105,3,FALSE)</f>
        <v>Commissions</v>
      </c>
      <c r="X6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4"/>
      <c r="Z6764" t="s">
        <v>14</v>
      </c>
      <c r="AA6764" t="s">
        <v>257</v>
      </c>
      <c r="AB6764" t="s">
        <v>8</v>
      </c>
      <c r="AC6764" s="21">
        <v>152448.68</v>
      </c>
      <c r="AD6764" s="21" t="s">
        <v>368</v>
      </c>
      <c r="AE6764" t="str">
        <f>VLOOKUP(Table_Query_from_Actuarial___Production3[[#This Row],[Kor1]],$AI$3:$AK$105,3,FALSE)</f>
        <v>Claims Expense</v>
      </c>
      <c r="AF6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5" spans="18:32" x14ac:dyDescent="0.2">
      <c r="R6765" t="s">
        <v>49</v>
      </c>
      <c r="S6765" t="s">
        <v>4</v>
      </c>
      <c r="T6765" t="s">
        <v>7</v>
      </c>
      <c r="U6765" s="21">
        <v>652573.82999999996</v>
      </c>
      <c r="V6765" s="21" t="s">
        <v>368</v>
      </c>
      <c r="W6765" t="str">
        <f>VLOOKUP(Table_Query_from_Actuarial___Production[[#This Row],[Kor1]],$AI$3:$AK$105,3,FALSE)</f>
        <v>ALAE Paid</v>
      </c>
      <c r="X6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5"/>
      <c r="Z6765" t="s">
        <v>19</v>
      </c>
      <c r="AA6765" t="s">
        <v>232</v>
      </c>
      <c r="AB6765" t="s">
        <v>351</v>
      </c>
      <c r="AC6765" s="21">
        <v>1721.02</v>
      </c>
      <c r="AD6765" s="21" t="s">
        <v>368</v>
      </c>
      <c r="AE6765" t="str">
        <f>VLOOKUP(Table_Query_from_Actuarial___Production3[[#This Row],[Kor1]],$AI$3:$AK$105,3,FALSE)</f>
        <v>Misc. Expense for Insolvent Companies</v>
      </c>
      <c r="AF6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6" spans="18:32" x14ac:dyDescent="0.2">
      <c r="R6766" t="s">
        <v>38</v>
      </c>
      <c r="S6766" t="s">
        <v>224</v>
      </c>
      <c r="T6766" t="s">
        <v>442</v>
      </c>
      <c r="U6766" s="21">
        <v>111672.7</v>
      </c>
      <c r="V6766" s="21" t="s">
        <v>370</v>
      </c>
      <c r="W6766" t="str">
        <f>VLOOKUP(Table_Query_from_Actuarial___Production[[#This Row],[Kor1]],$AI$3:$AK$105,3,FALSE)</f>
        <v>Misc. Income</v>
      </c>
      <c r="X6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766"/>
      <c r="Z6766" t="s">
        <v>10</v>
      </c>
      <c r="AA6766" t="s">
        <v>258</v>
      </c>
      <c r="AB6766" t="s">
        <v>427</v>
      </c>
      <c r="AC6766" s="21">
        <v>227443.48</v>
      </c>
      <c r="AD6766" s="21" t="s">
        <v>368</v>
      </c>
      <c r="AE6766" t="str">
        <f>VLOOKUP(Table_Query_from_Actuarial___Production3[[#This Row],[Kor1]],$AI$3:$AK$105,3,FALSE)</f>
        <v>Commissions</v>
      </c>
      <c r="AF6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7" spans="18:32" x14ac:dyDescent="0.2">
      <c r="R6767" t="s">
        <v>3</v>
      </c>
      <c r="S6767" t="s">
        <v>240</v>
      </c>
      <c r="T6767" t="s">
        <v>427</v>
      </c>
      <c r="U6767" s="21">
        <v>4970739</v>
      </c>
      <c r="V6767" s="21" t="s">
        <v>368</v>
      </c>
      <c r="W6767" t="str">
        <f>VLOOKUP(Table_Query_from_Actuarial___Production[[#This Row],[Kor1]],$AI$3:$AK$105,3,FALSE)</f>
        <v>Premiums Written</v>
      </c>
      <c r="X6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7"/>
      <c r="Z6767" t="s">
        <v>49</v>
      </c>
      <c r="AA6767" t="s">
        <v>4</v>
      </c>
      <c r="AB6767" t="s">
        <v>7</v>
      </c>
      <c r="AC6767" s="21">
        <v>652235.97</v>
      </c>
      <c r="AD6767" s="21" t="s">
        <v>368</v>
      </c>
      <c r="AE6767" t="str">
        <f>VLOOKUP(Table_Query_from_Actuarial___Production3[[#This Row],[Kor1]],$AI$3:$AK$105,3,FALSE)</f>
        <v>ALAE Paid</v>
      </c>
      <c r="AF6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68" spans="18:32" x14ac:dyDescent="0.2">
      <c r="R6768" t="s">
        <v>34</v>
      </c>
      <c r="S6768" t="s">
        <v>244</v>
      </c>
      <c r="T6768" t="s">
        <v>6</v>
      </c>
      <c r="U6768" s="21">
        <v>3.37</v>
      </c>
      <c r="V6768" s="21" t="s">
        <v>368</v>
      </c>
      <c r="W6768" t="str">
        <f>VLOOKUP(Table_Query_from_Actuarial___Production[[#This Row],[Kor1]],$AI$3:$AK$105,3,FALSE)</f>
        <v>Misc. Expense</v>
      </c>
      <c r="X6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8"/>
      <c r="Z6768" t="s">
        <v>38</v>
      </c>
      <c r="AA6768" t="s">
        <v>224</v>
      </c>
      <c r="AB6768" t="s">
        <v>442</v>
      </c>
      <c r="AC6768" s="21">
        <v>111672.7</v>
      </c>
      <c r="AD6768" s="21" t="s">
        <v>370</v>
      </c>
      <c r="AE6768" t="str">
        <f>VLOOKUP(Table_Query_from_Actuarial___Production3[[#This Row],[Kor1]],$AI$3:$AK$105,3,FALSE)</f>
        <v>Misc. Income</v>
      </c>
      <c r="AF6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769" spans="18:32" x14ac:dyDescent="0.2">
      <c r="R6769" t="s">
        <v>12</v>
      </c>
      <c r="S6769" t="s">
        <v>255</v>
      </c>
      <c r="T6769" t="s">
        <v>351</v>
      </c>
      <c r="U6769" s="21">
        <v>3497.55</v>
      </c>
      <c r="V6769" s="21" t="s">
        <v>368</v>
      </c>
      <c r="W6769" t="str">
        <f>VLOOKUP(Table_Query_from_Actuarial___Production[[#This Row],[Kor1]],$AI$3:$AK$105,3,FALSE)</f>
        <v>Premium Tax</v>
      </c>
      <c r="X6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69"/>
      <c r="Z6769" t="s">
        <v>3</v>
      </c>
      <c r="AA6769" t="s">
        <v>240</v>
      </c>
      <c r="AB6769" t="s">
        <v>427</v>
      </c>
      <c r="AC6769" s="21">
        <v>4970739</v>
      </c>
      <c r="AD6769" s="21" t="s">
        <v>368</v>
      </c>
      <c r="AE6769" t="str">
        <f>VLOOKUP(Table_Query_from_Actuarial___Production3[[#This Row],[Kor1]],$AI$3:$AK$105,3,FALSE)</f>
        <v>Premiums Written</v>
      </c>
      <c r="AF6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0" spans="18:32" x14ac:dyDescent="0.2">
      <c r="R6770" t="s">
        <v>15</v>
      </c>
      <c r="S6770" t="s">
        <v>228</v>
      </c>
      <c r="T6770" t="s">
        <v>443</v>
      </c>
      <c r="U6770" s="21">
        <v>12135.43</v>
      </c>
      <c r="V6770" s="21" t="s">
        <v>368</v>
      </c>
      <c r="W6770" t="str">
        <f>VLOOKUP(Table_Query_from_Actuarial___Production[[#This Row],[Kor1]],$AI$3:$AK$105,3,FALSE)</f>
        <v>Unearned Premiums</v>
      </c>
      <c r="X6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0"/>
      <c r="Z6770" t="s">
        <v>34</v>
      </c>
      <c r="AA6770" t="s">
        <v>244</v>
      </c>
      <c r="AB6770" t="s">
        <v>6</v>
      </c>
      <c r="AC6770" s="21">
        <v>3.37</v>
      </c>
      <c r="AD6770" s="21" t="s">
        <v>368</v>
      </c>
      <c r="AE6770" t="str">
        <f>VLOOKUP(Table_Query_from_Actuarial___Production3[[#This Row],[Kor1]],$AI$3:$AK$105,3,FALSE)</f>
        <v>Misc. Expense</v>
      </c>
      <c r="AF6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1" spans="18:32" x14ac:dyDescent="0.2">
      <c r="R6771" t="s">
        <v>19</v>
      </c>
      <c r="S6771" t="s">
        <v>261</v>
      </c>
      <c r="T6771" t="s">
        <v>6</v>
      </c>
      <c r="U6771" s="21">
        <v>6604.99</v>
      </c>
      <c r="V6771" s="21" t="s">
        <v>368</v>
      </c>
      <c r="W6771" t="str">
        <f>VLOOKUP(Table_Query_from_Actuarial___Production[[#This Row],[Kor1]],$AI$3:$AK$105,3,FALSE)</f>
        <v>Misc. Expense for Insolvent Companies</v>
      </c>
      <c r="X6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1"/>
      <c r="Z6771" t="s">
        <v>12</v>
      </c>
      <c r="AA6771" t="s">
        <v>255</v>
      </c>
      <c r="AB6771" t="s">
        <v>351</v>
      </c>
      <c r="AC6771" s="21">
        <v>3497.55</v>
      </c>
      <c r="AD6771" s="21" t="s">
        <v>368</v>
      </c>
      <c r="AE6771" t="str">
        <f>VLOOKUP(Table_Query_from_Actuarial___Production3[[#This Row],[Kor1]],$AI$3:$AK$105,3,FALSE)</f>
        <v>Premium Tax</v>
      </c>
      <c r="AF6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2" spans="18:32" x14ac:dyDescent="0.2">
      <c r="R6772" t="s">
        <v>37</v>
      </c>
      <c r="S6772" t="s">
        <v>249</v>
      </c>
      <c r="T6772" t="s">
        <v>8</v>
      </c>
      <c r="U6772" s="21">
        <v>139.37</v>
      </c>
      <c r="V6772" s="21" t="s">
        <v>368</v>
      </c>
      <c r="W6772" t="str">
        <f>VLOOKUP(Table_Query_from_Actuarial___Production[[#This Row],[Kor1]],$AI$3:$AK$105,3,FALSE)</f>
        <v>Misc. Expense</v>
      </c>
      <c r="X6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2"/>
      <c r="Z6772" t="s">
        <v>15</v>
      </c>
      <c r="AA6772" t="s">
        <v>228</v>
      </c>
      <c r="AB6772" t="s">
        <v>443</v>
      </c>
      <c r="AC6772" s="21">
        <v>597555.68999999994</v>
      </c>
      <c r="AD6772" s="21" t="s">
        <v>368</v>
      </c>
      <c r="AE6772" t="str">
        <f>VLOOKUP(Table_Query_from_Actuarial___Production3[[#This Row],[Kor1]],$AI$3:$AK$105,3,FALSE)</f>
        <v>Unearned Premiums</v>
      </c>
      <c r="AF6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3" spans="18:32" x14ac:dyDescent="0.2">
      <c r="R6773" t="s">
        <v>15</v>
      </c>
      <c r="S6773" t="s">
        <v>248</v>
      </c>
      <c r="T6773" t="s">
        <v>445</v>
      </c>
      <c r="U6773" s="21">
        <v>332336.23</v>
      </c>
      <c r="V6773" s="21" t="s">
        <v>368</v>
      </c>
      <c r="W6773" t="str">
        <f>VLOOKUP(Table_Query_from_Actuarial___Production[[#This Row],[Kor1]],$AI$3:$AK$105,3,FALSE)</f>
        <v>Unearned Premiums</v>
      </c>
      <c r="X6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3"/>
      <c r="Z6773" t="s">
        <v>19</v>
      </c>
      <c r="AA6773" t="s">
        <v>261</v>
      </c>
      <c r="AB6773" t="s">
        <v>6</v>
      </c>
      <c r="AC6773" s="21">
        <v>6604.99</v>
      </c>
      <c r="AD6773" s="21" t="s">
        <v>368</v>
      </c>
      <c r="AE6773" t="str">
        <f>VLOOKUP(Table_Query_from_Actuarial___Production3[[#This Row],[Kor1]],$AI$3:$AK$105,3,FALSE)</f>
        <v>Misc. Expense for Insolvent Companies</v>
      </c>
      <c r="AF6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4" spans="18:32" x14ac:dyDescent="0.2">
      <c r="R6774" t="s">
        <v>20</v>
      </c>
      <c r="S6774" t="s">
        <v>247</v>
      </c>
      <c r="T6774" t="s">
        <v>442</v>
      </c>
      <c r="U6774" s="21">
        <v>72.3</v>
      </c>
      <c r="V6774" s="21" t="s">
        <v>368</v>
      </c>
      <c r="W6774" t="str">
        <f>VLOOKUP(Table_Query_from_Actuarial___Production[[#This Row],[Kor1]],$AI$3:$AK$105,3,FALSE)</f>
        <v>Misc. Expense</v>
      </c>
      <c r="X6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4"/>
      <c r="Z6774" t="s">
        <v>37</v>
      </c>
      <c r="AA6774" t="s">
        <v>249</v>
      </c>
      <c r="AB6774" t="s">
        <v>8</v>
      </c>
      <c r="AC6774" s="21">
        <v>139.37</v>
      </c>
      <c r="AD6774" s="21" t="s">
        <v>368</v>
      </c>
      <c r="AE6774" t="str">
        <f>VLOOKUP(Table_Query_from_Actuarial___Production3[[#This Row],[Kor1]],$AI$3:$AK$105,3,FALSE)</f>
        <v>Misc. Expense</v>
      </c>
      <c r="AF6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5" spans="18:32" x14ac:dyDescent="0.2">
      <c r="R6775" t="s">
        <v>40</v>
      </c>
      <c r="S6775" t="s">
        <v>4</v>
      </c>
      <c r="T6775" t="s">
        <v>9</v>
      </c>
      <c r="U6775" s="21">
        <v>4384.3900000000003</v>
      </c>
      <c r="V6775" s="21" t="s">
        <v>368</v>
      </c>
      <c r="W6775" t="str">
        <f>VLOOKUP(Table_Query_from_Actuarial___Production[[#This Row],[Kor1]],$AI$3:$AK$105,3,FALSE)</f>
        <v>Misc. Income</v>
      </c>
      <c r="X6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5"/>
      <c r="Z6775" t="s">
        <v>20</v>
      </c>
      <c r="AA6775" t="s">
        <v>247</v>
      </c>
      <c r="AB6775" t="s">
        <v>442</v>
      </c>
      <c r="AC6775" s="21">
        <v>72.3</v>
      </c>
      <c r="AD6775" s="21" t="s">
        <v>368</v>
      </c>
      <c r="AE6775" t="str">
        <f>VLOOKUP(Table_Query_from_Actuarial___Production3[[#This Row],[Kor1]],$AI$3:$AK$105,3,FALSE)</f>
        <v>Misc. Expense</v>
      </c>
      <c r="AF6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6" spans="18:32" x14ac:dyDescent="0.2">
      <c r="R6776" t="s">
        <v>3</v>
      </c>
      <c r="S6776" t="s">
        <v>265</v>
      </c>
      <c r="T6776" t="s">
        <v>442</v>
      </c>
      <c r="U6776" s="21">
        <v>658895</v>
      </c>
      <c r="V6776" s="21" t="s">
        <v>368</v>
      </c>
      <c r="W6776" t="str">
        <f>VLOOKUP(Table_Query_from_Actuarial___Production[[#This Row],[Kor1]],$AI$3:$AK$105,3,FALSE)</f>
        <v>Premiums Written</v>
      </c>
      <c r="X6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6"/>
      <c r="Z6776" t="s">
        <v>40</v>
      </c>
      <c r="AA6776" t="s">
        <v>4</v>
      </c>
      <c r="AB6776" t="s">
        <v>9</v>
      </c>
      <c r="AC6776" s="21">
        <v>4384.3900000000003</v>
      </c>
      <c r="AD6776" s="21" t="s">
        <v>368</v>
      </c>
      <c r="AE6776" t="str">
        <f>VLOOKUP(Table_Query_from_Actuarial___Production3[[#This Row],[Kor1]],$AI$3:$AK$105,3,FALSE)</f>
        <v>Misc. Income</v>
      </c>
      <c r="AF6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7" spans="18:32" x14ac:dyDescent="0.2">
      <c r="R6777" t="s">
        <v>13</v>
      </c>
      <c r="S6777" t="s">
        <v>224</v>
      </c>
      <c r="T6777" t="s">
        <v>351</v>
      </c>
      <c r="U6777" s="21">
        <v>128124.2</v>
      </c>
      <c r="V6777" s="21" t="s">
        <v>370</v>
      </c>
      <c r="W6777" t="str">
        <f>VLOOKUP(Table_Query_from_Actuarial___Production[[#This Row],[Kor1]],$AI$3:$AK$105,3,FALSE)</f>
        <v>Operating Service Fees</v>
      </c>
      <c r="X6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777"/>
      <c r="Z6777" t="s">
        <v>3</v>
      </c>
      <c r="AA6777" t="s">
        <v>265</v>
      </c>
      <c r="AB6777" t="s">
        <v>442</v>
      </c>
      <c r="AC6777" s="21">
        <v>681225</v>
      </c>
      <c r="AD6777" s="21" t="s">
        <v>368</v>
      </c>
      <c r="AE6777" t="str">
        <f>VLOOKUP(Table_Query_from_Actuarial___Production3[[#This Row],[Kor1]],$AI$3:$AK$105,3,FALSE)</f>
        <v>Premiums Written</v>
      </c>
      <c r="AF6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78" spans="18:32" x14ac:dyDescent="0.2">
      <c r="R6778" t="s">
        <v>14</v>
      </c>
      <c r="S6778" t="s">
        <v>247</v>
      </c>
      <c r="T6778" t="s">
        <v>351</v>
      </c>
      <c r="U6778" s="21">
        <v>524.52</v>
      </c>
      <c r="V6778" s="21" t="s">
        <v>368</v>
      </c>
      <c r="W6778" t="str">
        <f>VLOOKUP(Table_Query_from_Actuarial___Production[[#This Row],[Kor1]],$AI$3:$AK$105,3,FALSE)</f>
        <v>Claims Expense</v>
      </c>
      <c r="X6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8"/>
      <c r="Z6778" t="s">
        <v>13</v>
      </c>
      <c r="AA6778" t="s">
        <v>224</v>
      </c>
      <c r="AB6778" t="s">
        <v>351</v>
      </c>
      <c r="AC6778" s="21">
        <v>128124.2</v>
      </c>
      <c r="AD6778" s="21" t="s">
        <v>370</v>
      </c>
      <c r="AE6778" t="str">
        <f>VLOOKUP(Table_Query_from_Actuarial___Production3[[#This Row],[Kor1]],$AI$3:$AK$105,3,FALSE)</f>
        <v>Operating Service Fees</v>
      </c>
      <c r="AF6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779" spans="18:32" x14ac:dyDescent="0.2">
      <c r="R6779" t="s">
        <v>14</v>
      </c>
      <c r="S6779" t="s">
        <v>268</v>
      </c>
      <c r="T6779" t="s">
        <v>441</v>
      </c>
      <c r="U6779" s="21">
        <v>11122.44</v>
      </c>
      <c r="V6779" s="21" t="s">
        <v>368</v>
      </c>
      <c r="W6779" t="str">
        <f>VLOOKUP(Table_Query_from_Actuarial___Production[[#This Row],[Kor1]],$AI$3:$AK$105,3,FALSE)</f>
        <v>Claims Expense</v>
      </c>
      <c r="X6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79"/>
      <c r="Z6779" t="s">
        <v>14</v>
      </c>
      <c r="AA6779" t="s">
        <v>247</v>
      </c>
      <c r="AB6779" t="s">
        <v>351</v>
      </c>
      <c r="AC6779" s="21">
        <v>524.52</v>
      </c>
      <c r="AD6779" s="21" t="s">
        <v>368</v>
      </c>
      <c r="AE6779" t="str">
        <f>VLOOKUP(Table_Query_from_Actuarial___Production3[[#This Row],[Kor1]],$AI$3:$AK$105,3,FALSE)</f>
        <v>Claims Expense</v>
      </c>
      <c r="AF6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0" spans="18:32" x14ac:dyDescent="0.2">
      <c r="R6780" t="s">
        <v>20</v>
      </c>
      <c r="S6780" t="s">
        <v>236</v>
      </c>
      <c r="T6780" t="s">
        <v>7</v>
      </c>
      <c r="U6780" s="21">
        <v>113.37</v>
      </c>
      <c r="V6780" s="21" t="s">
        <v>368</v>
      </c>
      <c r="W6780" t="str">
        <f>VLOOKUP(Table_Query_from_Actuarial___Production[[#This Row],[Kor1]],$AI$3:$AK$105,3,FALSE)</f>
        <v>Misc. Expense</v>
      </c>
      <c r="X6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0"/>
      <c r="Z6780" t="s">
        <v>14</v>
      </c>
      <c r="AA6780" t="s">
        <v>268</v>
      </c>
      <c r="AB6780" t="s">
        <v>441</v>
      </c>
      <c r="AC6780" s="21">
        <v>11122.44</v>
      </c>
      <c r="AD6780" s="21" t="s">
        <v>368</v>
      </c>
      <c r="AE6780" t="str">
        <f>VLOOKUP(Table_Query_from_Actuarial___Production3[[#This Row],[Kor1]],$AI$3:$AK$105,3,FALSE)</f>
        <v>Claims Expense</v>
      </c>
      <c r="AF6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1" spans="18:32" x14ac:dyDescent="0.2">
      <c r="R6781" t="s">
        <v>15</v>
      </c>
      <c r="S6781" t="s">
        <v>224</v>
      </c>
      <c r="T6781" t="s">
        <v>443</v>
      </c>
      <c r="U6781" s="21">
        <v>678.35</v>
      </c>
      <c r="V6781" s="21" t="s">
        <v>425</v>
      </c>
      <c r="W6781" t="str">
        <f>VLOOKUP(Table_Query_from_Actuarial___Production[[#This Row],[Kor1]],$AI$3:$AK$105,3,FALSE)</f>
        <v>Unearned Premiums</v>
      </c>
      <c r="X6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781"/>
      <c r="Z6781" t="s">
        <v>20</v>
      </c>
      <c r="AA6781" t="s">
        <v>236</v>
      </c>
      <c r="AB6781" t="s">
        <v>7</v>
      </c>
      <c r="AC6781" s="21">
        <v>113.37</v>
      </c>
      <c r="AD6781" s="21" t="s">
        <v>368</v>
      </c>
      <c r="AE6781" t="str">
        <f>VLOOKUP(Table_Query_from_Actuarial___Production3[[#This Row],[Kor1]],$AI$3:$AK$105,3,FALSE)</f>
        <v>Misc. Expense</v>
      </c>
      <c r="AF6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2" spans="18:32" x14ac:dyDescent="0.2">
      <c r="R6782" t="s">
        <v>3</v>
      </c>
      <c r="S6782" t="s">
        <v>255</v>
      </c>
      <c r="T6782" t="s">
        <v>445</v>
      </c>
      <c r="U6782" s="21">
        <v>241202</v>
      </c>
      <c r="V6782" s="21" t="s">
        <v>368</v>
      </c>
      <c r="W6782" t="str">
        <f>VLOOKUP(Table_Query_from_Actuarial___Production[[#This Row],[Kor1]],$AI$3:$AK$105,3,FALSE)</f>
        <v>Premiums Written</v>
      </c>
      <c r="X6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2"/>
      <c r="Z6782" t="s">
        <v>15</v>
      </c>
      <c r="AA6782" t="s">
        <v>224</v>
      </c>
      <c r="AB6782" t="s">
        <v>443</v>
      </c>
      <c r="AC6782" s="21">
        <v>10466.07</v>
      </c>
      <c r="AD6782" s="21" t="s">
        <v>425</v>
      </c>
      <c r="AE6782" t="str">
        <f>VLOOKUP(Table_Query_from_Actuarial___Production3[[#This Row],[Kor1]],$AI$3:$AK$105,3,FALSE)</f>
        <v>Unearned Premiums</v>
      </c>
      <c r="AF6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783" spans="18:32" x14ac:dyDescent="0.2">
      <c r="R6783" t="s">
        <v>39</v>
      </c>
      <c r="S6783" t="s">
        <v>267</v>
      </c>
      <c r="T6783" t="s">
        <v>443</v>
      </c>
      <c r="U6783" s="21">
        <v>540.20000000000005</v>
      </c>
      <c r="V6783" s="21" t="s">
        <v>368</v>
      </c>
      <c r="W6783" t="str">
        <f>VLOOKUP(Table_Query_from_Actuarial___Production[[#This Row],[Kor1]],$AI$3:$AK$105,3,FALSE)</f>
        <v>Misc. Income for Insolvent Companies</v>
      </c>
      <c r="X6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3"/>
      <c r="Z6783" t="s">
        <v>39</v>
      </c>
      <c r="AA6783" t="s">
        <v>267</v>
      </c>
      <c r="AB6783" t="s">
        <v>443</v>
      </c>
      <c r="AC6783" s="21">
        <v>540.20000000000005</v>
      </c>
      <c r="AD6783" s="21" t="s">
        <v>368</v>
      </c>
      <c r="AE6783" t="str">
        <f>VLOOKUP(Table_Query_from_Actuarial___Production3[[#This Row],[Kor1]],$AI$3:$AK$105,3,FALSE)</f>
        <v>Misc. Income for Insolvent Companies</v>
      </c>
      <c r="AF6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4" spans="18:32" x14ac:dyDescent="0.2">
      <c r="R6784" t="s">
        <v>130</v>
      </c>
      <c r="S6784" t="s">
        <v>224</v>
      </c>
      <c r="T6784" t="s">
        <v>356</v>
      </c>
      <c r="U6784" s="21">
        <v>1995181.19</v>
      </c>
      <c r="V6784" s="21" t="s">
        <v>370</v>
      </c>
      <c r="W6784" t="str">
        <f>VLOOKUP(Table_Query_from_Actuarial___Production[[#This Row],[Kor1]],$AI$3:$AK$105,3,FALSE)</f>
        <v>CPAI Charge-offs</v>
      </c>
      <c r="X6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6784"/>
      <c r="Z6784" t="s">
        <v>130</v>
      </c>
      <c r="AA6784" t="s">
        <v>224</v>
      </c>
      <c r="AB6784" t="s">
        <v>356</v>
      </c>
      <c r="AC6784" s="21">
        <v>1995181.19</v>
      </c>
      <c r="AD6784" s="21" t="s">
        <v>370</v>
      </c>
      <c r="AE6784" t="str">
        <f>VLOOKUP(Table_Query_from_Actuarial___Production3[[#This Row],[Kor1]],$AI$3:$AK$105,3,FALSE)</f>
        <v>CPAI Charge-offs</v>
      </c>
      <c r="AF6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6785" spans="18:32" x14ac:dyDescent="0.2">
      <c r="R6785" t="s">
        <v>13</v>
      </c>
      <c r="S6785" t="s">
        <v>267</v>
      </c>
      <c r="T6785" t="s">
        <v>6</v>
      </c>
      <c r="U6785" s="21">
        <v>50970.400000000001</v>
      </c>
      <c r="V6785" s="21" t="s">
        <v>368</v>
      </c>
      <c r="W6785" t="str">
        <f>VLOOKUP(Table_Query_from_Actuarial___Production[[#This Row],[Kor1]],$AI$3:$AK$105,3,FALSE)</f>
        <v>Operating Service Fees</v>
      </c>
      <c r="X6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5"/>
      <c r="Z6785" t="s">
        <v>13</v>
      </c>
      <c r="AA6785" t="s">
        <v>267</v>
      </c>
      <c r="AB6785" t="s">
        <v>6</v>
      </c>
      <c r="AC6785" s="21">
        <v>50970.400000000001</v>
      </c>
      <c r="AD6785" s="21" t="s">
        <v>368</v>
      </c>
      <c r="AE6785" t="str">
        <f>VLOOKUP(Table_Query_from_Actuarial___Production3[[#This Row],[Kor1]],$AI$3:$AK$105,3,FALSE)</f>
        <v>Operating Service Fees</v>
      </c>
      <c r="AF6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6" spans="18:32" x14ac:dyDescent="0.2">
      <c r="R6786" t="s">
        <v>14</v>
      </c>
      <c r="S6786" t="s">
        <v>237</v>
      </c>
      <c r="T6786" t="s">
        <v>427</v>
      </c>
      <c r="U6786" s="21">
        <v>5501023.8799999999</v>
      </c>
      <c r="V6786" s="21" t="s">
        <v>368</v>
      </c>
      <c r="W6786" t="str">
        <f>VLOOKUP(Table_Query_from_Actuarial___Production[[#This Row],[Kor1]],$AI$3:$AK$105,3,FALSE)</f>
        <v>Claims Expense</v>
      </c>
      <c r="X6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6"/>
      <c r="Z6786" t="s">
        <v>14</v>
      </c>
      <c r="AA6786" t="s">
        <v>237</v>
      </c>
      <c r="AB6786" t="s">
        <v>427</v>
      </c>
      <c r="AC6786" s="21">
        <v>5501023.8799999999</v>
      </c>
      <c r="AD6786" s="21" t="s">
        <v>368</v>
      </c>
      <c r="AE6786" t="str">
        <f>VLOOKUP(Table_Query_from_Actuarial___Production3[[#This Row],[Kor1]],$AI$3:$AK$105,3,FALSE)</f>
        <v>Claims Expense</v>
      </c>
      <c r="AF6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7" spans="18:32" x14ac:dyDescent="0.2">
      <c r="R6787" t="s">
        <v>3</v>
      </c>
      <c r="S6787" t="s">
        <v>256</v>
      </c>
      <c r="T6787" t="s">
        <v>356</v>
      </c>
      <c r="U6787" s="21">
        <v>79042</v>
      </c>
      <c r="V6787" s="21" t="s">
        <v>368</v>
      </c>
      <c r="W6787" t="str">
        <f>VLOOKUP(Table_Query_from_Actuarial___Production[[#This Row],[Kor1]],$AI$3:$AK$105,3,FALSE)</f>
        <v>Premiums Written</v>
      </c>
      <c r="X6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7"/>
      <c r="Z6787" t="s">
        <v>50</v>
      </c>
      <c r="AA6787" t="s">
        <v>242</v>
      </c>
      <c r="AB6787" t="s">
        <v>427</v>
      </c>
      <c r="AC6787" s="21">
        <v>15179.46</v>
      </c>
      <c r="AD6787" s="21" t="s">
        <v>368</v>
      </c>
      <c r="AE6787" t="str">
        <f>VLOOKUP(Table_Query_from_Actuarial___Production3[[#This Row],[Kor1]],$AI$3:$AK$105,3,FALSE)</f>
        <v>ALAE Reserve</v>
      </c>
      <c r="AF6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8" spans="18:32" x14ac:dyDescent="0.2">
      <c r="R6788" t="s">
        <v>10</v>
      </c>
      <c r="S6788" t="s">
        <v>233</v>
      </c>
      <c r="T6788" t="s">
        <v>9</v>
      </c>
      <c r="U6788" s="21">
        <v>53374.45</v>
      </c>
      <c r="V6788" s="21" t="s">
        <v>368</v>
      </c>
      <c r="W6788" t="str">
        <f>VLOOKUP(Table_Query_from_Actuarial___Production[[#This Row],[Kor1]],$AI$3:$AK$105,3,FALSE)</f>
        <v>Commissions</v>
      </c>
      <c r="X6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8"/>
      <c r="Z6788" t="s">
        <v>3</v>
      </c>
      <c r="AA6788" t="s">
        <v>256</v>
      </c>
      <c r="AB6788" t="s">
        <v>356</v>
      </c>
      <c r="AC6788" s="21">
        <v>79042</v>
      </c>
      <c r="AD6788" s="21" t="s">
        <v>368</v>
      </c>
      <c r="AE6788" t="str">
        <f>VLOOKUP(Table_Query_from_Actuarial___Production3[[#This Row],[Kor1]],$AI$3:$AK$105,3,FALSE)</f>
        <v>Premiums Written</v>
      </c>
      <c r="AF6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89" spans="18:32" x14ac:dyDescent="0.2">
      <c r="R6789" t="s">
        <v>12</v>
      </c>
      <c r="S6789" t="s">
        <v>260</v>
      </c>
      <c r="T6789" t="s">
        <v>7</v>
      </c>
      <c r="U6789" s="21">
        <v>815.3</v>
      </c>
      <c r="V6789" s="21" t="s">
        <v>368</v>
      </c>
      <c r="W6789" t="str">
        <f>VLOOKUP(Table_Query_from_Actuarial___Production[[#This Row],[Kor1]],$AI$3:$AK$105,3,FALSE)</f>
        <v>Premium Tax</v>
      </c>
      <c r="X6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89"/>
      <c r="Z6789" t="s">
        <v>10</v>
      </c>
      <c r="AA6789" t="s">
        <v>233</v>
      </c>
      <c r="AB6789" t="s">
        <v>9</v>
      </c>
      <c r="AC6789" s="21">
        <v>53374.45</v>
      </c>
      <c r="AD6789" s="21" t="s">
        <v>368</v>
      </c>
      <c r="AE6789" t="str">
        <f>VLOOKUP(Table_Query_from_Actuarial___Production3[[#This Row],[Kor1]],$AI$3:$AK$105,3,FALSE)</f>
        <v>Commissions</v>
      </c>
      <c r="AF6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0" spans="18:32" x14ac:dyDescent="0.2">
      <c r="R6790" t="s">
        <v>19</v>
      </c>
      <c r="S6790" t="s">
        <v>235</v>
      </c>
      <c r="T6790" t="s">
        <v>442</v>
      </c>
      <c r="U6790" s="21">
        <v>35</v>
      </c>
      <c r="V6790" s="21" t="s">
        <v>368</v>
      </c>
      <c r="W6790" t="str">
        <f>VLOOKUP(Table_Query_from_Actuarial___Production[[#This Row],[Kor1]],$AI$3:$AK$105,3,FALSE)</f>
        <v>Misc. Expense for Insolvent Companies</v>
      </c>
      <c r="X6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0"/>
      <c r="Z6790" t="s">
        <v>12</v>
      </c>
      <c r="AA6790" t="s">
        <v>260</v>
      </c>
      <c r="AB6790" t="s">
        <v>7</v>
      </c>
      <c r="AC6790" s="21">
        <v>815.3</v>
      </c>
      <c r="AD6790" s="21" t="s">
        <v>368</v>
      </c>
      <c r="AE6790" t="str">
        <f>VLOOKUP(Table_Query_from_Actuarial___Production3[[#This Row],[Kor1]],$AI$3:$AK$105,3,FALSE)</f>
        <v>Premium Tax</v>
      </c>
      <c r="AF6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1" spans="18:32" x14ac:dyDescent="0.2">
      <c r="R6791" t="s">
        <v>138</v>
      </c>
      <c r="S6791" t="s">
        <v>354</v>
      </c>
      <c r="T6791" t="s">
        <v>445</v>
      </c>
      <c r="U6791" s="21">
        <v>109666.68</v>
      </c>
      <c r="V6791" s="21" t="s">
        <v>369</v>
      </c>
      <c r="W6791" t="str">
        <f>VLOOKUP(Table_Query_from_Actuarial___Production[[#This Row],[Kor1]],$AI$3:$AK$105,3,FALSE)</f>
        <v>Advance Ceding Expense</v>
      </c>
      <c r="X6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791"/>
      <c r="Z6791" t="s">
        <v>19</v>
      </c>
      <c r="AA6791" t="s">
        <v>235</v>
      </c>
      <c r="AB6791" t="s">
        <v>442</v>
      </c>
      <c r="AC6791" s="21">
        <v>35</v>
      </c>
      <c r="AD6791" s="21" t="s">
        <v>368</v>
      </c>
      <c r="AE6791" t="str">
        <f>VLOOKUP(Table_Query_from_Actuarial___Production3[[#This Row],[Kor1]],$AI$3:$AK$105,3,FALSE)</f>
        <v>Misc. Expense for Insolvent Companies</v>
      </c>
      <c r="AF6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2" spans="18:32" x14ac:dyDescent="0.2">
      <c r="R6792" t="s">
        <v>3</v>
      </c>
      <c r="S6792" t="s">
        <v>226</v>
      </c>
      <c r="T6792" t="s">
        <v>8</v>
      </c>
      <c r="U6792" s="21">
        <v>7413194</v>
      </c>
      <c r="V6792" s="21" t="s">
        <v>368</v>
      </c>
      <c r="W6792" t="str">
        <f>VLOOKUP(Table_Query_from_Actuarial___Production[[#This Row],[Kor1]],$AI$3:$AK$105,3,FALSE)</f>
        <v>Premiums Written</v>
      </c>
      <c r="X6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792"/>
      <c r="Z6792" t="s">
        <v>31</v>
      </c>
      <c r="AA6792" t="s">
        <v>250</v>
      </c>
      <c r="AB6792" t="s">
        <v>5</v>
      </c>
      <c r="AC6792" s="21">
        <v>-5626.38</v>
      </c>
      <c r="AD6792" s="21" t="s">
        <v>368</v>
      </c>
      <c r="AE6792" t="str">
        <f>VLOOKUP(Table_Query_from_Actuarial___Production3[[#This Row],[Kor1]],$AI$3:$AK$105,3,FALSE)</f>
        <v>Misc. Expense</v>
      </c>
      <c r="AF6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3" spans="18:32" x14ac:dyDescent="0.2">
      <c r="R6793" t="s">
        <v>40</v>
      </c>
      <c r="S6793" t="s">
        <v>253</v>
      </c>
      <c r="T6793" t="s">
        <v>8</v>
      </c>
      <c r="U6793" s="21">
        <v>53</v>
      </c>
      <c r="V6793" s="21" t="s">
        <v>368</v>
      </c>
      <c r="W6793" t="str">
        <f>VLOOKUP(Table_Query_from_Actuarial___Production[[#This Row],[Kor1]],$AI$3:$AK$105,3,FALSE)</f>
        <v>Misc. Income</v>
      </c>
      <c r="X6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3"/>
      <c r="Z6793" t="s">
        <v>3</v>
      </c>
      <c r="AA6793" t="s">
        <v>226</v>
      </c>
      <c r="AB6793" t="s">
        <v>8</v>
      </c>
      <c r="AC6793" s="21">
        <v>7413194</v>
      </c>
      <c r="AD6793" s="21" t="s">
        <v>368</v>
      </c>
      <c r="AE6793" t="str">
        <f>VLOOKUP(Table_Query_from_Actuarial___Production3[[#This Row],[Kor1]],$AI$3:$AK$105,3,FALSE)</f>
        <v>Premiums Written</v>
      </c>
      <c r="AF6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794" spans="18:32" x14ac:dyDescent="0.2">
      <c r="R6794" t="s">
        <v>40</v>
      </c>
      <c r="S6794" t="s">
        <v>265</v>
      </c>
      <c r="T6794" t="s">
        <v>9</v>
      </c>
      <c r="U6794" s="21">
        <v>28</v>
      </c>
      <c r="V6794" s="21" t="s">
        <v>368</v>
      </c>
      <c r="W6794" t="str">
        <f>VLOOKUP(Table_Query_from_Actuarial___Production[[#This Row],[Kor1]],$AI$3:$AK$105,3,FALSE)</f>
        <v>Misc. Income</v>
      </c>
      <c r="X6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4"/>
      <c r="Z6794" t="s">
        <v>40</v>
      </c>
      <c r="AA6794" t="s">
        <v>253</v>
      </c>
      <c r="AB6794" t="s">
        <v>8</v>
      </c>
      <c r="AC6794" s="21">
        <v>53</v>
      </c>
      <c r="AD6794" s="21" t="s">
        <v>368</v>
      </c>
      <c r="AE6794" t="str">
        <f>VLOOKUP(Table_Query_from_Actuarial___Production3[[#This Row],[Kor1]],$AI$3:$AK$105,3,FALSE)</f>
        <v>Misc. Income</v>
      </c>
      <c r="AF6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5" spans="18:32" x14ac:dyDescent="0.2">
      <c r="R6795" t="s">
        <v>19</v>
      </c>
      <c r="S6795" t="s">
        <v>257</v>
      </c>
      <c r="T6795" t="s">
        <v>7</v>
      </c>
      <c r="U6795" s="21">
        <v>2</v>
      </c>
      <c r="V6795" s="21" t="s">
        <v>368</v>
      </c>
      <c r="W6795" t="str">
        <f>VLOOKUP(Table_Query_from_Actuarial___Production[[#This Row],[Kor1]],$AI$3:$AK$105,3,FALSE)</f>
        <v>Misc. Expense for Insolvent Companies</v>
      </c>
      <c r="X6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5"/>
      <c r="Z6795" t="s">
        <v>40</v>
      </c>
      <c r="AA6795" t="s">
        <v>265</v>
      </c>
      <c r="AB6795" t="s">
        <v>9</v>
      </c>
      <c r="AC6795" s="21">
        <v>28</v>
      </c>
      <c r="AD6795" s="21" t="s">
        <v>368</v>
      </c>
      <c r="AE6795" t="str">
        <f>VLOOKUP(Table_Query_from_Actuarial___Production3[[#This Row],[Kor1]],$AI$3:$AK$105,3,FALSE)</f>
        <v>Misc. Income</v>
      </c>
      <c r="AF6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6" spans="18:32" x14ac:dyDescent="0.2">
      <c r="R6796" t="s">
        <v>12</v>
      </c>
      <c r="S6796" t="s">
        <v>231</v>
      </c>
      <c r="T6796" t="s">
        <v>6</v>
      </c>
      <c r="U6796" s="21">
        <v>1993.82</v>
      </c>
      <c r="V6796" s="21" t="s">
        <v>368</v>
      </c>
      <c r="W6796" t="str">
        <f>VLOOKUP(Table_Query_from_Actuarial___Production[[#This Row],[Kor1]],$AI$3:$AK$105,3,FALSE)</f>
        <v>Premium Tax</v>
      </c>
      <c r="X6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6"/>
      <c r="Z6796" t="s">
        <v>19</v>
      </c>
      <c r="AA6796" t="s">
        <v>257</v>
      </c>
      <c r="AB6796" t="s">
        <v>7</v>
      </c>
      <c r="AC6796" s="21">
        <v>2</v>
      </c>
      <c r="AD6796" s="21" t="s">
        <v>368</v>
      </c>
      <c r="AE6796" t="str">
        <f>VLOOKUP(Table_Query_from_Actuarial___Production3[[#This Row],[Kor1]],$AI$3:$AK$105,3,FALSE)</f>
        <v>Misc. Expense for Insolvent Companies</v>
      </c>
      <c r="AF6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7" spans="18:32" x14ac:dyDescent="0.2">
      <c r="R6797" t="s">
        <v>16</v>
      </c>
      <c r="S6797" t="s">
        <v>4</v>
      </c>
      <c r="T6797" t="s">
        <v>9</v>
      </c>
      <c r="U6797" s="21">
        <v>375000</v>
      </c>
      <c r="V6797" s="21" t="s">
        <v>368</v>
      </c>
      <c r="W6797" t="str">
        <f>VLOOKUP(Table_Query_from_Actuarial___Production[[#This Row],[Kor1]],$AI$3:$AK$105,3,FALSE)</f>
        <v>Losses Outstanding</v>
      </c>
      <c r="X6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7"/>
      <c r="Z6797" t="s">
        <v>16</v>
      </c>
      <c r="AA6797" t="s">
        <v>235</v>
      </c>
      <c r="AB6797" t="s">
        <v>433</v>
      </c>
      <c r="AC6797" s="21">
        <v>49857.67</v>
      </c>
      <c r="AD6797" s="21" t="s">
        <v>368</v>
      </c>
      <c r="AE6797" t="str">
        <f>VLOOKUP(Table_Query_from_Actuarial___Production3[[#This Row],[Kor1]],$AI$3:$AK$105,3,FALSE)</f>
        <v>Losses Outstanding</v>
      </c>
      <c r="AF6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8" spans="18:32" x14ac:dyDescent="0.2">
      <c r="R6798" t="s">
        <v>31</v>
      </c>
      <c r="S6798" t="s">
        <v>237</v>
      </c>
      <c r="T6798" t="s">
        <v>6</v>
      </c>
      <c r="U6798" s="21">
        <v>1.01</v>
      </c>
      <c r="V6798" s="21" t="s">
        <v>368</v>
      </c>
      <c r="W6798" t="str">
        <f>VLOOKUP(Table_Query_from_Actuarial___Production[[#This Row],[Kor1]],$AI$3:$AK$105,3,FALSE)</f>
        <v>Misc. Expense</v>
      </c>
      <c r="X6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8"/>
      <c r="Z6798" t="s">
        <v>12</v>
      </c>
      <c r="AA6798" t="s">
        <v>231</v>
      </c>
      <c r="AB6798" t="s">
        <v>6</v>
      </c>
      <c r="AC6798" s="21">
        <v>1993.82</v>
      </c>
      <c r="AD6798" s="21" t="s">
        <v>368</v>
      </c>
      <c r="AE6798" t="str">
        <f>VLOOKUP(Table_Query_from_Actuarial___Production3[[#This Row],[Kor1]],$AI$3:$AK$105,3,FALSE)</f>
        <v>Premium Tax</v>
      </c>
      <c r="AF6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799" spans="18:32" x14ac:dyDescent="0.2">
      <c r="R6799" t="s">
        <v>14</v>
      </c>
      <c r="S6799" t="s">
        <v>250</v>
      </c>
      <c r="T6799" t="s">
        <v>427</v>
      </c>
      <c r="U6799" s="21">
        <v>129553.2</v>
      </c>
      <c r="V6799" s="21" t="s">
        <v>368</v>
      </c>
      <c r="W6799" t="str">
        <f>VLOOKUP(Table_Query_from_Actuarial___Production[[#This Row],[Kor1]],$AI$3:$AK$105,3,FALSE)</f>
        <v>Claims Expense</v>
      </c>
      <c r="X6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799"/>
      <c r="Z6799" t="s">
        <v>16</v>
      </c>
      <c r="AA6799" t="s">
        <v>4</v>
      </c>
      <c r="AB6799" t="s">
        <v>9</v>
      </c>
      <c r="AC6799" s="21">
        <v>1005048.46</v>
      </c>
      <c r="AD6799" s="21" t="s">
        <v>368</v>
      </c>
      <c r="AE6799" t="str">
        <f>VLOOKUP(Table_Query_from_Actuarial___Production3[[#This Row],[Kor1]],$AI$3:$AK$105,3,FALSE)</f>
        <v>Losses Outstanding</v>
      </c>
      <c r="AF6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0" spans="18:32" x14ac:dyDescent="0.2">
      <c r="R6800" t="s">
        <v>43</v>
      </c>
      <c r="S6800" t="s">
        <v>231</v>
      </c>
      <c r="T6800" t="s">
        <v>8</v>
      </c>
      <c r="U6800" s="21">
        <v>35.25</v>
      </c>
      <c r="V6800" s="21" t="s">
        <v>368</v>
      </c>
      <c r="W6800" t="str">
        <f>VLOOKUP(Table_Query_from_Actuarial___Production[[#This Row],[Kor1]],$AI$3:$AK$105,3,FALSE)</f>
        <v>Charge-offs</v>
      </c>
      <c r="X6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0"/>
      <c r="Z6800" t="s">
        <v>31</v>
      </c>
      <c r="AA6800" t="s">
        <v>237</v>
      </c>
      <c r="AB6800" t="s">
        <v>6</v>
      </c>
      <c r="AC6800" s="21">
        <v>1.01</v>
      </c>
      <c r="AD6800" s="21" t="s">
        <v>368</v>
      </c>
      <c r="AE6800" t="str">
        <f>VLOOKUP(Table_Query_from_Actuarial___Production3[[#This Row],[Kor1]],$AI$3:$AK$105,3,FALSE)</f>
        <v>Misc. Expense</v>
      </c>
      <c r="AF6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1" spans="18:32" x14ac:dyDescent="0.2">
      <c r="R6801" t="s">
        <v>3</v>
      </c>
      <c r="S6801" t="s">
        <v>225</v>
      </c>
      <c r="T6801" t="s">
        <v>441</v>
      </c>
      <c r="U6801" s="21">
        <v>368978</v>
      </c>
      <c r="V6801" s="21" t="s">
        <v>369</v>
      </c>
      <c r="W6801" t="str">
        <f>VLOOKUP(Table_Query_from_Actuarial___Production[[#This Row],[Kor1]],$AI$3:$AK$105,3,FALSE)</f>
        <v>Premiums Written</v>
      </c>
      <c r="X6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801"/>
      <c r="Z6801" t="s">
        <v>14</v>
      </c>
      <c r="AA6801" t="s">
        <v>250</v>
      </c>
      <c r="AB6801" t="s">
        <v>427</v>
      </c>
      <c r="AC6801" s="21">
        <v>129553.2</v>
      </c>
      <c r="AD6801" s="21" t="s">
        <v>368</v>
      </c>
      <c r="AE6801" t="str">
        <f>VLOOKUP(Table_Query_from_Actuarial___Production3[[#This Row],[Kor1]],$AI$3:$AK$105,3,FALSE)</f>
        <v>Claims Expense</v>
      </c>
      <c r="AF6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2" spans="18:32" x14ac:dyDescent="0.2">
      <c r="R6802" t="s">
        <v>43</v>
      </c>
      <c r="S6802" t="s">
        <v>244</v>
      </c>
      <c r="T6802" t="s">
        <v>445</v>
      </c>
      <c r="U6802" s="21">
        <v>-248.38</v>
      </c>
      <c r="V6802" s="21" t="s">
        <v>368</v>
      </c>
      <c r="W6802" t="str">
        <f>VLOOKUP(Table_Query_from_Actuarial___Production[[#This Row],[Kor1]],$AI$3:$AK$105,3,FALSE)</f>
        <v>Charge-offs</v>
      </c>
      <c r="X6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2"/>
      <c r="Z6802" t="s">
        <v>43</v>
      </c>
      <c r="AA6802" t="s">
        <v>231</v>
      </c>
      <c r="AB6802" t="s">
        <v>8</v>
      </c>
      <c r="AC6802" s="21">
        <v>35.25</v>
      </c>
      <c r="AD6802" s="21" t="s">
        <v>368</v>
      </c>
      <c r="AE6802" t="str">
        <f>VLOOKUP(Table_Query_from_Actuarial___Production3[[#This Row],[Kor1]],$AI$3:$AK$105,3,FALSE)</f>
        <v>Charge-offs</v>
      </c>
      <c r="AF6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3" spans="18:32" x14ac:dyDescent="0.2">
      <c r="R6803" t="s">
        <v>11</v>
      </c>
      <c r="S6803" t="s">
        <v>257</v>
      </c>
      <c r="T6803" t="s">
        <v>351</v>
      </c>
      <c r="U6803" s="21">
        <v>273289.43</v>
      </c>
      <c r="V6803" s="21" t="s">
        <v>368</v>
      </c>
      <c r="W6803" t="str">
        <f>VLOOKUP(Table_Query_from_Actuarial___Production[[#This Row],[Kor1]],$AI$3:$AK$105,3,FALSE)</f>
        <v>Losses Paid</v>
      </c>
      <c r="X6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3"/>
      <c r="Z6803" t="s">
        <v>3</v>
      </c>
      <c r="AA6803" t="s">
        <v>225</v>
      </c>
      <c r="AB6803" t="s">
        <v>441</v>
      </c>
      <c r="AC6803" s="21">
        <v>368978</v>
      </c>
      <c r="AD6803" s="21" t="s">
        <v>369</v>
      </c>
      <c r="AE6803" t="str">
        <f>VLOOKUP(Table_Query_from_Actuarial___Production3[[#This Row],[Kor1]],$AI$3:$AK$105,3,FALSE)</f>
        <v>Premiums Written</v>
      </c>
      <c r="AF6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804" spans="18:32" x14ac:dyDescent="0.2">
      <c r="R6804" t="s">
        <v>12</v>
      </c>
      <c r="S6804" t="s">
        <v>255</v>
      </c>
      <c r="T6804" t="s">
        <v>441</v>
      </c>
      <c r="U6804" s="21">
        <v>14476.89</v>
      </c>
      <c r="V6804" s="21" t="s">
        <v>368</v>
      </c>
      <c r="W6804" t="str">
        <f>VLOOKUP(Table_Query_from_Actuarial___Production[[#This Row],[Kor1]],$AI$3:$AK$105,3,FALSE)</f>
        <v>Premium Tax</v>
      </c>
      <c r="X6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4"/>
      <c r="Z6804" t="s">
        <v>11</v>
      </c>
      <c r="AA6804" t="s">
        <v>257</v>
      </c>
      <c r="AB6804" t="s">
        <v>351</v>
      </c>
      <c r="AC6804" s="21">
        <v>273289.43</v>
      </c>
      <c r="AD6804" s="21" t="s">
        <v>368</v>
      </c>
      <c r="AE6804" t="str">
        <f>VLOOKUP(Table_Query_from_Actuarial___Production3[[#This Row],[Kor1]],$AI$3:$AK$105,3,FALSE)</f>
        <v>Losses Paid</v>
      </c>
      <c r="AF6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5" spans="18:32" x14ac:dyDescent="0.2">
      <c r="R6805" t="s">
        <v>16</v>
      </c>
      <c r="S6805" t="s">
        <v>244</v>
      </c>
      <c r="T6805" t="s">
        <v>433</v>
      </c>
      <c r="U6805" s="21">
        <v>384394.15</v>
      </c>
      <c r="V6805" s="21" t="s">
        <v>368</v>
      </c>
      <c r="W6805" t="str">
        <f>VLOOKUP(Table_Query_from_Actuarial___Production[[#This Row],[Kor1]],$AI$3:$AK$105,3,FALSE)</f>
        <v>Losses Outstanding</v>
      </c>
      <c r="X6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5"/>
      <c r="Z6805" t="s">
        <v>12</v>
      </c>
      <c r="AA6805" t="s">
        <v>255</v>
      </c>
      <c r="AB6805" t="s">
        <v>441</v>
      </c>
      <c r="AC6805" s="21">
        <v>14476.89</v>
      </c>
      <c r="AD6805" s="21" t="s">
        <v>368</v>
      </c>
      <c r="AE6805" t="str">
        <f>VLOOKUP(Table_Query_from_Actuarial___Production3[[#This Row],[Kor1]],$AI$3:$AK$105,3,FALSE)</f>
        <v>Premium Tax</v>
      </c>
      <c r="AF6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6" spans="18:32" x14ac:dyDescent="0.2">
      <c r="R6806" t="s">
        <v>11</v>
      </c>
      <c r="S6806" t="s">
        <v>262</v>
      </c>
      <c r="T6806" t="s">
        <v>9</v>
      </c>
      <c r="U6806" s="21">
        <v>12710.74</v>
      </c>
      <c r="V6806" s="21" t="s">
        <v>368</v>
      </c>
      <c r="W6806" t="str">
        <f>VLOOKUP(Table_Query_from_Actuarial___Production[[#This Row],[Kor1]],$AI$3:$AK$105,3,FALSE)</f>
        <v>Losses Paid</v>
      </c>
      <c r="X6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6"/>
      <c r="Z6806" t="s">
        <v>16</v>
      </c>
      <c r="AA6806" t="s">
        <v>244</v>
      </c>
      <c r="AB6806" t="s">
        <v>433</v>
      </c>
      <c r="AC6806" s="21">
        <v>500740.46</v>
      </c>
      <c r="AD6806" s="21" t="s">
        <v>368</v>
      </c>
      <c r="AE6806" t="str">
        <f>VLOOKUP(Table_Query_from_Actuarial___Production3[[#This Row],[Kor1]],$AI$3:$AK$105,3,FALSE)</f>
        <v>Losses Outstanding</v>
      </c>
      <c r="AF6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7" spans="18:32" x14ac:dyDescent="0.2">
      <c r="R6807" t="s">
        <v>14</v>
      </c>
      <c r="S6807" t="s">
        <v>238</v>
      </c>
      <c r="T6807" t="s">
        <v>6</v>
      </c>
      <c r="U6807" s="21">
        <v>4222.7299999999996</v>
      </c>
      <c r="V6807" s="21" t="s">
        <v>368</v>
      </c>
      <c r="W6807" t="str">
        <f>VLOOKUP(Table_Query_from_Actuarial___Production[[#This Row],[Kor1]],$AI$3:$AK$105,3,FALSE)</f>
        <v>Claims Expense</v>
      </c>
      <c r="X6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7"/>
      <c r="Z6807" t="s">
        <v>11</v>
      </c>
      <c r="AA6807" t="s">
        <v>262</v>
      </c>
      <c r="AB6807" t="s">
        <v>9</v>
      </c>
      <c r="AC6807" s="21">
        <v>12710.74</v>
      </c>
      <c r="AD6807" s="21" t="s">
        <v>368</v>
      </c>
      <c r="AE6807" t="str">
        <f>VLOOKUP(Table_Query_from_Actuarial___Production3[[#This Row],[Kor1]],$AI$3:$AK$105,3,FALSE)</f>
        <v>Losses Paid</v>
      </c>
      <c r="AF6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8" spans="18:32" x14ac:dyDescent="0.2">
      <c r="R6808" t="s">
        <v>41</v>
      </c>
      <c r="S6808" t="s">
        <v>243</v>
      </c>
      <c r="T6808" t="s">
        <v>356</v>
      </c>
      <c r="U6808" s="21">
        <v>100.01</v>
      </c>
      <c r="V6808" s="21" t="s">
        <v>368</v>
      </c>
      <c r="W6808" t="str">
        <f>VLOOKUP(Table_Query_from_Actuarial___Production[[#This Row],[Kor1]],$AI$3:$AK$105,3,FALSE)</f>
        <v>Misc. Income</v>
      </c>
      <c r="X6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08"/>
      <c r="Z6808" t="s">
        <v>14</v>
      </c>
      <c r="AA6808" t="s">
        <v>238</v>
      </c>
      <c r="AB6808" t="s">
        <v>6</v>
      </c>
      <c r="AC6808" s="21">
        <v>4222.7299999999996</v>
      </c>
      <c r="AD6808" s="21" t="s">
        <v>368</v>
      </c>
      <c r="AE6808" t="str">
        <f>VLOOKUP(Table_Query_from_Actuarial___Production3[[#This Row],[Kor1]],$AI$3:$AK$105,3,FALSE)</f>
        <v>Claims Expense</v>
      </c>
      <c r="AF6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09" spans="18:32" x14ac:dyDescent="0.2">
      <c r="R6809" t="s">
        <v>16</v>
      </c>
      <c r="S6809" t="s">
        <v>354</v>
      </c>
      <c r="T6809" t="s">
        <v>8</v>
      </c>
      <c r="U6809" s="21">
        <v>209928.99</v>
      </c>
      <c r="V6809" s="21" t="s">
        <v>369</v>
      </c>
      <c r="W6809" t="str">
        <f>VLOOKUP(Table_Query_from_Actuarial___Production[[#This Row],[Kor1]],$AI$3:$AK$105,3,FALSE)</f>
        <v>Losses Outstanding</v>
      </c>
      <c r="X6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809"/>
      <c r="Z6809" t="s">
        <v>41</v>
      </c>
      <c r="AA6809" t="s">
        <v>243</v>
      </c>
      <c r="AB6809" t="s">
        <v>356</v>
      </c>
      <c r="AC6809" s="21">
        <v>100.01</v>
      </c>
      <c r="AD6809" s="21" t="s">
        <v>368</v>
      </c>
      <c r="AE6809" t="str">
        <f>VLOOKUP(Table_Query_from_Actuarial___Production3[[#This Row],[Kor1]],$AI$3:$AK$105,3,FALSE)</f>
        <v>Misc. Income</v>
      </c>
      <c r="AF6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0" spans="18:32" x14ac:dyDescent="0.2">
      <c r="R6810" t="s">
        <v>14</v>
      </c>
      <c r="S6810" t="s">
        <v>251</v>
      </c>
      <c r="T6810" t="s">
        <v>6</v>
      </c>
      <c r="U6810" s="21">
        <v>3421.19</v>
      </c>
      <c r="V6810" s="21" t="s">
        <v>368</v>
      </c>
      <c r="W6810" t="str">
        <f>VLOOKUP(Table_Query_from_Actuarial___Production[[#This Row],[Kor1]],$AI$3:$AK$105,3,FALSE)</f>
        <v>Claims Expense</v>
      </c>
      <c r="X6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0"/>
      <c r="Z6810" t="s">
        <v>16</v>
      </c>
      <c r="AA6810" t="s">
        <v>354</v>
      </c>
      <c r="AB6810" t="s">
        <v>8</v>
      </c>
      <c r="AC6810" s="21">
        <v>319109.49</v>
      </c>
      <c r="AD6810" s="21" t="s">
        <v>369</v>
      </c>
      <c r="AE6810" t="str">
        <f>VLOOKUP(Table_Query_from_Actuarial___Production3[[#This Row],[Kor1]],$AI$3:$AK$105,3,FALSE)</f>
        <v>Losses Outstanding</v>
      </c>
      <c r="AF6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811" spans="18:32" x14ac:dyDescent="0.2">
      <c r="R6811" t="s">
        <v>19</v>
      </c>
      <c r="S6811" t="s">
        <v>246</v>
      </c>
      <c r="T6811" t="s">
        <v>445</v>
      </c>
      <c r="U6811" s="21">
        <v>18179</v>
      </c>
      <c r="V6811" s="21" t="s">
        <v>368</v>
      </c>
      <c r="W6811" t="str">
        <f>VLOOKUP(Table_Query_from_Actuarial___Production[[#This Row],[Kor1]],$AI$3:$AK$105,3,FALSE)</f>
        <v>Misc. Expense for Insolvent Companies</v>
      </c>
      <c r="X6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1"/>
      <c r="Z6811" t="s">
        <v>14</v>
      </c>
      <c r="AA6811" t="s">
        <v>251</v>
      </c>
      <c r="AB6811" t="s">
        <v>6</v>
      </c>
      <c r="AC6811" s="21">
        <v>3421.19</v>
      </c>
      <c r="AD6811" s="21" t="s">
        <v>368</v>
      </c>
      <c r="AE6811" t="str">
        <f>VLOOKUP(Table_Query_from_Actuarial___Production3[[#This Row],[Kor1]],$AI$3:$AK$105,3,FALSE)</f>
        <v>Claims Expense</v>
      </c>
      <c r="AF6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2" spans="18:32" x14ac:dyDescent="0.2">
      <c r="R6812" t="s">
        <v>3</v>
      </c>
      <c r="S6812" t="s">
        <v>267</v>
      </c>
      <c r="T6812" t="s">
        <v>356</v>
      </c>
      <c r="U6812" s="21">
        <v>431675</v>
      </c>
      <c r="V6812" s="21" t="s">
        <v>368</v>
      </c>
      <c r="W6812" t="str">
        <f>VLOOKUP(Table_Query_from_Actuarial___Production[[#This Row],[Kor1]],$AI$3:$AK$105,3,FALSE)</f>
        <v>Premiums Written</v>
      </c>
      <c r="X6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2"/>
      <c r="Z6812" t="s">
        <v>3</v>
      </c>
      <c r="AA6812" t="s">
        <v>267</v>
      </c>
      <c r="AB6812" t="s">
        <v>356</v>
      </c>
      <c r="AC6812" s="21">
        <v>431675</v>
      </c>
      <c r="AD6812" s="21" t="s">
        <v>368</v>
      </c>
      <c r="AE6812" t="str">
        <f>VLOOKUP(Table_Query_from_Actuarial___Production3[[#This Row],[Kor1]],$AI$3:$AK$105,3,FALSE)</f>
        <v>Premiums Written</v>
      </c>
      <c r="AF6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3" spans="18:32" x14ac:dyDescent="0.2">
      <c r="R6813" t="s">
        <v>12</v>
      </c>
      <c r="S6813" t="s">
        <v>263</v>
      </c>
      <c r="T6813" t="s">
        <v>356</v>
      </c>
      <c r="U6813" s="21">
        <v>9072.76</v>
      </c>
      <c r="V6813" s="21" t="s">
        <v>368</v>
      </c>
      <c r="W6813" t="str">
        <f>VLOOKUP(Table_Query_from_Actuarial___Production[[#This Row],[Kor1]],$AI$3:$AK$105,3,FALSE)</f>
        <v>Premium Tax</v>
      </c>
      <c r="X6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3"/>
      <c r="Z6813" t="s">
        <v>12</v>
      </c>
      <c r="AA6813" t="s">
        <v>263</v>
      </c>
      <c r="AB6813" t="s">
        <v>356</v>
      </c>
      <c r="AC6813" s="21">
        <v>9072.76</v>
      </c>
      <c r="AD6813" s="21" t="s">
        <v>368</v>
      </c>
      <c r="AE6813" t="str">
        <f>VLOOKUP(Table_Query_from_Actuarial___Production3[[#This Row],[Kor1]],$AI$3:$AK$105,3,FALSE)</f>
        <v>Premium Tax</v>
      </c>
      <c r="AF6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4" spans="18:32" x14ac:dyDescent="0.2">
      <c r="R6814" t="s">
        <v>19</v>
      </c>
      <c r="S6814" t="s">
        <v>232</v>
      </c>
      <c r="T6814" t="s">
        <v>441</v>
      </c>
      <c r="U6814" s="21">
        <v>3633.99</v>
      </c>
      <c r="V6814" s="21" t="s">
        <v>368</v>
      </c>
      <c r="W6814" t="str">
        <f>VLOOKUP(Table_Query_from_Actuarial___Production[[#This Row],[Kor1]],$AI$3:$AK$105,3,FALSE)</f>
        <v>Misc. Expense for Insolvent Companies</v>
      </c>
      <c r="X6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4"/>
      <c r="Z6814" t="s">
        <v>19</v>
      </c>
      <c r="AA6814" t="s">
        <v>232</v>
      </c>
      <c r="AB6814" t="s">
        <v>441</v>
      </c>
      <c r="AC6814" s="21">
        <v>3633.99</v>
      </c>
      <c r="AD6814" s="21" t="s">
        <v>368</v>
      </c>
      <c r="AE6814" t="str">
        <f>VLOOKUP(Table_Query_from_Actuarial___Production3[[#This Row],[Kor1]],$AI$3:$AK$105,3,FALSE)</f>
        <v>Misc. Expense for Insolvent Companies</v>
      </c>
      <c r="AF6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5" spans="18:32" x14ac:dyDescent="0.2">
      <c r="R6815" t="s">
        <v>32</v>
      </c>
      <c r="S6815" t="s">
        <v>246</v>
      </c>
      <c r="T6815" t="s">
        <v>351</v>
      </c>
      <c r="U6815" s="21">
        <v>65887.08</v>
      </c>
      <c r="V6815" s="21" t="s">
        <v>368</v>
      </c>
      <c r="W6815" t="str">
        <f>VLOOKUP(Table_Query_from_Actuarial___Production[[#This Row],[Kor1]],$AI$3:$AK$105,3,FALSE)</f>
        <v>Misc. Expense</v>
      </c>
      <c r="X6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5"/>
      <c r="Z6815" t="s">
        <v>32</v>
      </c>
      <c r="AA6815" t="s">
        <v>246</v>
      </c>
      <c r="AB6815" t="s">
        <v>351</v>
      </c>
      <c r="AC6815" s="21">
        <v>65887.08</v>
      </c>
      <c r="AD6815" s="21" t="s">
        <v>368</v>
      </c>
      <c r="AE6815" t="str">
        <f>VLOOKUP(Table_Query_from_Actuarial___Production3[[#This Row],[Kor1]],$AI$3:$AK$105,3,FALSE)</f>
        <v>Misc. Expense</v>
      </c>
      <c r="AF6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6" spans="18:32" x14ac:dyDescent="0.2">
      <c r="R6816" t="s">
        <v>10</v>
      </c>
      <c r="S6816" t="s">
        <v>234</v>
      </c>
      <c r="T6816" t="s">
        <v>443</v>
      </c>
      <c r="U6816" s="21">
        <v>115446.75</v>
      </c>
      <c r="V6816" s="21" t="s">
        <v>368</v>
      </c>
      <c r="W6816" t="str">
        <f>VLOOKUP(Table_Query_from_Actuarial___Production[[#This Row],[Kor1]],$AI$3:$AK$105,3,FALSE)</f>
        <v>Commissions</v>
      </c>
      <c r="X6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6"/>
      <c r="Z6816" t="s">
        <v>10</v>
      </c>
      <c r="AA6816" t="s">
        <v>234</v>
      </c>
      <c r="AB6816" t="s">
        <v>443</v>
      </c>
      <c r="AC6816" s="21">
        <v>20864.099999999999</v>
      </c>
      <c r="AD6816" s="21" t="s">
        <v>368</v>
      </c>
      <c r="AE6816" t="str">
        <f>VLOOKUP(Table_Query_from_Actuarial___Production3[[#This Row],[Kor1]],$AI$3:$AK$105,3,FALSE)</f>
        <v>Commissions</v>
      </c>
      <c r="AF6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7" spans="18:32" x14ac:dyDescent="0.2">
      <c r="R6817" t="s">
        <v>40</v>
      </c>
      <c r="S6817" t="s">
        <v>233</v>
      </c>
      <c r="T6817" t="s">
        <v>9</v>
      </c>
      <c r="U6817" s="21">
        <v>7.01</v>
      </c>
      <c r="V6817" s="21" t="s">
        <v>368</v>
      </c>
      <c r="W6817" t="str">
        <f>VLOOKUP(Table_Query_from_Actuarial___Production[[#This Row],[Kor1]],$AI$3:$AK$105,3,FALSE)</f>
        <v>Misc. Income</v>
      </c>
      <c r="X6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7"/>
      <c r="Z6817" t="s">
        <v>40</v>
      </c>
      <c r="AA6817" t="s">
        <v>233</v>
      </c>
      <c r="AB6817" t="s">
        <v>9</v>
      </c>
      <c r="AC6817" s="21">
        <v>7.01</v>
      </c>
      <c r="AD6817" s="21" t="s">
        <v>368</v>
      </c>
      <c r="AE6817" t="str">
        <f>VLOOKUP(Table_Query_from_Actuarial___Production3[[#This Row],[Kor1]],$AI$3:$AK$105,3,FALSE)</f>
        <v>Misc. Income</v>
      </c>
      <c r="AF6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8" spans="18:32" x14ac:dyDescent="0.2">
      <c r="R6818" t="s">
        <v>3</v>
      </c>
      <c r="S6818" t="s">
        <v>257</v>
      </c>
      <c r="T6818" t="s">
        <v>443</v>
      </c>
      <c r="U6818" s="21">
        <v>2981715</v>
      </c>
      <c r="V6818" s="21" t="s">
        <v>368</v>
      </c>
      <c r="W6818" t="str">
        <f>VLOOKUP(Table_Query_from_Actuarial___Production[[#This Row],[Kor1]],$AI$3:$AK$105,3,FALSE)</f>
        <v>Premiums Written</v>
      </c>
      <c r="X6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8"/>
      <c r="Z6818" t="s">
        <v>3</v>
      </c>
      <c r="AA6818" t="s">
        <v>257</v>
      </c>
      <c r="AB6818" t="s">
        <v>443</v>
      </c>
      <c r="AC6818" s="21">
        <v>953095</v>
      </c>
      <c r="AD6818" s="21" t="s">
        <v>368</v>
      </c>
      <c r="AE6818" t="str">
        <f>VLOOKUP(Table_Query_from_Actuarial___Production3[[#This Row],[Kor1]],$AI$3:$AK$105,3,FALSE)</f>
        <v>Premiums Written</v>
      </c>
      <c r="AF6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19" spans="18:32" x14ac:dyDescent="0.2">
      <c r="R6819" t="s">
        <v>10</v>
      </c>
      <c r="S6819" t="s">
        <v>262</v>
      </c>
      <c r="T6819" t="s">
        <v>441</v>
      </c>
      <c r="U6819" s="21">
        <v>22583.35</v>
      </c>
      <c r="V6819" s="21" t="s">
        <v>368</v>
      </c>
      <c r="W6819" t="str">
        <f>VLOOKUP(Table_Query_from_Actuarial___Production[[#This Row],[Kor1]],$AI$3:$AK$105,3,FALSE)</f>
        <v>Commissions</v>
      </c>
      <c r="X6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19"/>
      <c r="Z6819" t="s">
        <v>10</v>
      </c>
      <c r="AA6819" t="s">
        <v>262</v>
      </c>
      <c r="AB6819" t="s">
        <v>441</v>
      </c>
      <c r="AC6819" s="21">
        <v>22583.35</v>
      </c>
      <c r="AD6819" s="21" t="s">
        <v>368</v>
      </c>
      <c r="AE6819" t="str">
        <f>VLOOKUP(Table_Query_from_Actuarial___Production3[[#This Row],[Kor1]],$AI$3:$AK$105,3,FALSE)</f>
        <v>Commissions</v>
      </c>
      <c r="AF6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0" spans="18:32" x14ac:dyDescent="0.2">
      <c r="R6820" t="s">
        <v>14</v>
      </c>
      <c r="S6820" t="s">
        <v>246</v>
      </c>
      <c r="T6820" t="s">
        <v>6</v>
      </c>
      <c r="U6820" s="21">
        <v>8166.35</v>
      </c>
      <c r="V6820" s="21" t="s">
        <v>368</v>
      </c>
      <c r="W6820" t="str">
        <f>VLOOKUP(Table_Query_from_Actuarial___Production[[#This Row],[Kor1]],$AI$3:$AK$105,3,FALSE)</f>
        <v>Claims Expense</v>
      </c>
      <c r="X6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0"/>
      <c r="Z6820" t="s">
        <v>43</v>
      </c>
      <c r="AA6820" t="s">
        <v>227</v>
      </c>
      <c r="AB6820" t="s">
        <v>5</v>
      </c>
      <c r="AC6820" s="21">
        <v>3.57</v>
      </c>
      <c r="AD6820" s="21" t="s">
        <v>368</v>
      </c>
      <c r="AE6820" t="str">
        <f>VLOOKUP(Table_Query_from_Actuarial___Production3[[#This Row],[Kor1]],$AI$3:$AK$105,3,FALSE)</f>
        <v>Charge-offs</v>
      </c>
      <c r="AF6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1" spans="18:32" x14ac:dyDescent="0.2">
      <c r="R6821" t="s">
        <v>12</v>
      </c>
      <c r="S6821" t="s">
        <v>256</v>
      </c>
      <c r="T6821" t="s">
        <v>433</v>
      </c>
      <c r="U6821" s="21">
        <v>5193.66</v>
      </c>
      <c r="V6821" s="21" t="s">
        <v>368</v>
      </c>
      <c r="W6821" t="str">
        <f>VLOOKUP(Table_Query_from_Actuarial___Production[[#This Row],[Kor1]],$AI$3:$AK$105,3,FALSE)</f>
        <v>Premium Tax</v>
      </c>
      <c r="X6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1"/>
      <c r="Z6821" t="s">
        <v>14</v>
      </c>
      <c r="AA6821" t="s">
        <v>246</v>
      </c>
      <c r="AB6821" t="s">
        <v>6</v>
      </c>
      <c r="AC6821" s="21">
        <v>8166.35</v>
      </c>
      <c r="AD6821" s="21" t="s">
        <v>368</v>
      </c>
      <c r="AE6821" t="str">
        <f>VLOOKUP(Table_Query_from_Actuarial___Production3[[#This Row],[Kor1]],$AI$3:$AK$105,3,FALSE)</f>
        <v>Claims Expense</v>
      </c>
      <c r="AF6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2" spans="18:32" x14ac:dyDescent="0.2">
      <c r="R6822" t="s">
        <v>19</v>
      </c>
      <c r="S6822" t="s">
        <v>246</v>
      </c>
      <c r="T6822" t="s">
        <v>6</v>
      </c>
      <c r="U6822" s="21">
        <v>403</v>
      </c>
      <c r="V6822" s="21" t="s">
        <v>368</v>
      </c>
      <c r="W6822" t="str">
        <f>VLOOKUP(Table_Query_from_Actuarial___Production[[#This Row],[Kor1]],$AI$3:$AK$105,3,FALSE)</f>
        <v>Misc. Expense for Insolvent Companies</v>
      </c>
      <c r="X6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2"/>
      <c r="Z6822" t="s">
        <v>12</v>
      </c>
      <c r="AA6822" t="s">
        <v>256</v>
      </c>
      <c r="AB6822" t="s">
        <v>433</v>
      </c>
      <c r="AC6822" s="21">
        <v>5193.66</v>
      </c>
      <c r="AD6822" s="21" t="s">
        <v>368</v>
      </c>
      <c r="AE6822" t="str">
        <f>VLOOKUP(Table_Query_from_Actuarial___Production3[[#This Row],[Kor1]],$AI$3:$AK$105,3,FALSE)</f>
        <v>Premium Tax</v>
      </c>
      <c r="AF6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3" spans="18:32" x14ac:dyDescent="0.2">
      <c r="R6823" t="s">
        <v>34</v>
      </c>
      <c r="S6823" t="s">
        <v>231</v>
      </c>
      <c r="T6823" t="s">
        <v>445</v>
      </c>
      <c r="U6823" s="21">
        <v>5614.17</v>
      </c>
      <c r="V6823" s="21" t="s">
        <v>368</v>
      </c>
      <c r="W6823" t="str">
        <f>VLOOKUP(Table_Query_from_Actuarial___Production[[#This Row],[Kor1]],$AI$3:$AK$105,3,FALSE)</f>
        <v>Misc. Expense</v>
      </c>
      <c r="X6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3"/>
      <c r="Z6823" t="s">
        <v>19</v>
      </c>
      <c r="AA6823" t="s">
        <v>246</v>
      </c>
      <c r="AB6823" t="s">
        <v>6</v>
      </c>
      <c r="AC6823" s="21">
        <v>308</v>
      </c>
      <c r="AD6823" s="21" t="s">
        <v>368</v>
      </c>
      <c r="AE6823" t="str">
        <f>VLOOKUP(Table_Query_from_Actuarial___Production3[[#This Row],[Kor1]],$AI$3:$AK$105,3,FALSE)</f>
        <v>Misc. Expense for Insolvent Companies</v>
      </c>
      <c r="AF6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4" spans="18:32" x14ac:dyDescent="0.2">
      <c r="R6824" t="s">
        <v>12</v>
      </c>
      <c r="S6824" t="s">
        <v>243</v>
      </c>
      <c r="T6824" t="s">
        <v>351</v>
      </c>
      <c r="U6824" s="21">
        <v>7324.54</v>
      </c>
      <c r="V6824" s="21" t="s">
        <v>368</v>
      </c>
      <c r="W6824" t="str">
        <f>VLOOKUP(Table_Query_from_Actuarial___Production[[#This Row],[Kor1]],$AI$3:$AK$105,3,FALSE)</f>
        <v>Premium Tax</v>
      </c>
      <c r="X6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4"/>
      <c r="Z6824" t="s">
        <v>12</v>
      </c>
      <c r="AA6824" t="s">
        <v>243</v>
      </c>
      <c r="AB6824" t="s">
        <v>351</v>
      </c>
      <c r="AC6824" s="21">
        <v>7324.54</v>
      </c>
      <c r="AD6824" s="21" t="s">
        <v>368</v>
      </c>
      <c r="AE6824" t="str">
        <f>VLOOKUP(Table_Query_from_Actuarial___Production3[[#This Row],[Kor1]],$AI$3:$AK$105,3,FALSE)</f>
        <v>Premium Tax</v>
      </c>
      <c r="AF6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5" spans="18:32" x14ac:dyDescent="0.2">
      <c r="R6825" t="s">
        <v>20</v>
      </c>
      <c r="S6825" t="s">
        <v>252</v>
      </c>
      <c r="T6825" t="s">
        <v>356</v>
      </c>
      <c r="U6825" s="21">
        <v>7146.64</v>
      </c>
      <c r="V6825" s="21" t="s">
        <v>368</v>
      </c>
      <c r="W6825" t="str">
        <f>VLOOKUP(Table_Query_from_Actuarial___Production[[#This Row],[Kor1]],$AI$3:$AK$105,3,FALSE)</f>
        <v>Misc. Expense</v>
      </c>
      <c r="X6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5"/>
      <c r="Z6825" t="s">
        <v>20</v>
      </c>
      <c r="AA6825" t="s">
        <v>252</v>
      </c>
      <c r="AB6825" t="s">
        <v>356</v>
      </c>
      <c r="AC6825" s="21">
        <v>7146.64</v>
      </c>
      <c r="AD6825" s="21" t="s">
        <v>368</v>
      </c>
      <c r="AE6825" t="str">
        <f>VLOOKUP(Table_Query_from_Actuarial___Production3[[#This Row],[Kor1]],$AI$3:$AK$105,3,FALSE)</f>
        <v>Misc. Expense</v>
      </c>
      <c r="AF6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6" spans="18:32" x14ac:dyDescent="0.2">
      <c r="R6826" t="s">
        <v>10</v>
      </c>
      <c r="S6826" t="s">
        <v>257</v>
      </c>
      <c r="T6826" t="s">
        <v>443</v>
      </c>
      <c r="U6826" s="21">
        <v>200535.25</v>
      </c>
      <c r="V6826" s="21" t="s">
        <v>368</v>
      </c>
      <c r="W6826" t="str">
        <f>VLOOKUP(Table_Query_from_Actuarial___Production[[#This Row],[Kor1]],$AI$3:$AK$105,3,FALSE)</f>
        <v>Commissions</v>
      </c>
      <c r="X6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6"/>
      <c r="Z6826" t="s">
        <v>10</v>
      </c>
      <c r="AA6826" t="s">
        <v>257</v>
      </c>
      <c r="AB6826" t="s">
        <v>443</v>
      </c>
      <c r="AC6826" s="21">
        <v>75262</v>
      </c>
      <c r="AD6826" s="21" t="s">
        <v>368</v>
      </c>
      <c r="AE6826" t="str">
        <f>VLOOKUP(Table_Query_from_Actuarial___Production3[[#This Row],[Kor1]],$AI$3:$AK$105,3,FALSE)</f>
        <v>Commissions</v>
      </c>
      <c r="AF6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7" spans="18:32" x14ac:dyDescent="0.2">
      <c r="R6827" t="s">
        <v>11</v>
      </c>
      <c r="S6827" t="s">
        <v>244</v>
      </c>
      <c r="T6827" t="s">
        <v>441</v>
      </c>
      <c r="U6827" s="21">
        <v>2930377.05</v>
      </c>
      <c r="V6827" s="21" t="s">
        <v>368</v>
      </c>
      <c r="W6827" t="str">
        <f>VLOOKUP(Table_Query_from_Actuarial___Production[[#This Row],[Kor1]],$AI$3:$AK$105,3,FALSE)</f>
        <v>Losses Paid</v>
      </c>
      <c r="X6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7"/>
      <c r="Z6827" t="s">
        <v>11</v>
      </c>
      <c r="AA6827" t="s">
        <v>244</v>
      </c>
      <c r="AB6827" t="s">
        <v>441</v>
      </c>
      <c r="AC6827" s="21">
        <v>2367812.73</v>
      </c>
      <c r="AD6827" s="21" t="s">
        <v>368</v>
      </c>
      <c r="AE6827" t="str">
        <f>VLOOKUP(Table_Query_from_Actuarial___Production3[[#This Row],[Kor1]],$AI$3:$AK$105,3,FALSE)</f>
        <v>Losses Paid</v>
      </c>
      <c r="AF6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8" spans="18:32" x14ac:dyDescent="0.2">
      <c r="R6828" t="s">
        <v>39</v>
      </c>
      <c r="S6828" t="s">
        <v>247</v>
      </c>
      <c r="T6828" t="s">
        <v>8</v>
      </c>
      <c r="U6828" s="21">
        <v>292</v>
      </c>
      <c r="V6828" s="21" t="s">
        <v>368</v>
      </c>
      <c r="W6828" t="str">
        <f>VLOOKUP(Table_Query_from_Actuarial___Production[[#This Row],[Kor1]],$AI$3:$AK$105,3,FALSE)</f>
        <v>Misc. Income for Insolvent Companies</v>
      </c>
      <c r="X6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8"/>
      <c r="Z6828" t="s">
        <v>39</v>
      </c>
      <c r="AA6828" t="s">
        <v>247</v>
      </c>
      <c r="AB6828" t="s">
        <v>8</v>
      </c>
      <c r="AC6828" s="21">
        <v>292</v>
      </c>
      <c r="AD6828" s="21" t="s">
        <v>368</v>
      </c>
      <c r="AE6828" t="str">
        <f>VLOOKUP(Table_Query_from_Actuarial___Production3[[#This Row],[Kor1]],$AI$3:$AK$105,3,FALSE)</f>
        <v>Misc. Income for Insolvent Companies</v>
      </c>
      <c r="AF6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29" spans="18:32" x14ac:dyDescent="0.2">
      <c r="R6829" t="s">
        <v>44</v>
      </c>
      <c r="S6829" t="s">
        <v>237</v>
      </c>
      <c r="T6829" t="s">
        <v>441</v>
      </c>
      <c r="U6829" s="21">
        <v>1808787.37</v>
      </c>
      <c r="V6829" s="21" t="s">
        <v>368</v>
      </c>
      <c r="W6829" t="str">
        <f>VLOOKUP(Table_Query_from_Actuarial___Production[[#This Row],[Kor1]],$AI$3:$AK$105,3,FALSE)</f>
        <v>Charge-offs</v>
      </c>
      <c r="X6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29"/>
      <c r="Z6829" t="s">
        <v>44</v>
      </c>
      <c r="AA6829" t="s">
        <v>237</v>
      </c>
      <c r="AB6829" t="s">
        <v>441</v>
      </c>
      <c r="AC6829" s="21">
        <v>1388893.37</v>
      </c>
      <c r="AD6829" s="21" t="s">
        <v>368</v>
      </c>
      <c r="AE6829" t="str">
        <f>VLOOKUP(Table_Query_from_Actuarial___Production3[[#This Row],[Kor1]],$AI$3:$AK$105,3,FALSE)</f>
        <v>Charge-offs</v>
      </c>
      <c r="AF6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0" spans="18:32" x14ac:dyDescent="0.2">
      <c r="R6830" t="s">
        <v>50</v>
      </c>
      <c r="S6830" t="s">
        <v>255</v>
      </c>
      <c r="T6830" t="s">
        <v>433</v>
      </c>
      <c r="U6830" s="21">
        <v>1629.55</v>
      </c>
      <c r="V6830" s="21" t="s">
        <v>368</v>
      </c>
      <c r="W6830" t="str">
        <f>VLOOKUP(Table_Query_from_Actuarial___Production[[#This Row],[Kor1]],$AI$3:$AK$105,3,FALSE)</f>
        <v>ALAE Reserve</v>
      </c>
      <c r="X6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0"/>
      <c r="Z6830" t="s">
        <v>50</v>
      </c>
      <c r="AA6830" t="s">
        <v>255</v>
      </c>
      <c r="AB6830" t="s">
        <v>433</v>
      </c>
      <c r="AC6830" s="21">
        <v>1223.32</v>
      </c>
      <c r="AD6830" s="21" t="s">
        <v>368</v>
      </c>
      <c r="AE6830" t="str">
        <f>VLOOKUP(Table_Query_from_Actuarial___Production3[[#This Row],[Kor1]],$AI$3:$AK$105,3,FALSE)</f>
        <v>ALAE Reserve</v>
      </c>
      <c r="AF6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1" spans="18:32" x14ac:dyDescent="0.2">
      <c r="R6831" t="s">
        <v>11</v>
      </c>
      <c r="S6831" t="s">
        <v>236</v>
      </c>
      <c r="T6831" t="s">
        <v>351</v>
      </c>
      <c r="U6831" s="21">
        <v>4512.9399999999996</v>
      </c>
      <c r="V6831" s="21" t="s">
        <v>368</v>
      </c>
      <c r="W6831" t="str">
        <f>VLOOKUP(Table_Query_from_Actuarial___Production[[#This Row],[Kor1]],$AI$3:$AK$105,3,FALSE)</f>
        <v>Losses Paid</v>
      </c>
      <c r="X6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1"/>
      <c r="Z6831" t="s">
        <v>11</v>
      </c>
      <c r="AA6831" t="s">
        <v>236</v>
      </c>
      <c r="AB6831" t="s">
        <v>351</v>
      </c>
      <c r="AC6831" s="21">
        <v>4512.9399999999996</v>
      </c>
      <c r="AD6831" s="21" t="s">
        <v>368</v>
      </c>
      <c r="AE6831" t="str">
        <f>VLOOKUP(Table_Query_from_Actuarial___Production3[[#This Row],[Kor1]],$AI$3:$AK$105,3,FALSE)</f>
        <v>Losses Paid</v>
      </c>
      <c r="AF6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2" spans="18:32" x14ac:dyDescent="0.2">
      <c r="R6832" t="s">
        <v>14</v>
      </c>
      <c r="S6832" t="s">
        <v>264</v>
      </c>
      <c r="T6832" t="s">
        <v>427</v>
      </c>
      <c r="U6832" s="21">
        <v>333028.26</v>
      </c>
      <c r="V6832" s="21" t="s">
        <v>368</v>
      </c>
      <c r="W6832" t="str">
        <f>VLOOKUP(Table_Query_from_Actuarial___Production[[#This Row],[Kor1]],$AI$3:$AK$105,3,FALSE)</f>
        <v>Claims Expense</v>
      </c>
      <c r="X6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2"/>
      <c r="Z6832" t="s">
        <v>14</v>
      </c>
      <c r="AA6832" t="s">
        <v>264</v>
      </c>
      <c r="AB6832" t="s">
        <v>427</v>
      </c>
      <c r="AC6832" s="21">
        <v>333028.26</v>
      </c>
      <c r="AD6832" s="21" t="s">
        <v>368</v>
      </c>
      <c r="AE6832" t="str">
        <f>VLOOKUP(Table_Query_from_Actuarial___Production3[[#This Row],[Kor1]],$AI$3:$AK$105,3,FALSE)</f>
        <v>Claims Expense</v>
      </c>
      <c r="AF6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3" spans="18:32" x14ac:dyDescent="0.2">
      <c r="R6833" t="s">
        <v>25</v>
      </c>
      <c r="S6833" t="s">
        <v>259</v>
      </c>
      <c r="T6833" t="s">
        <v>9</v>
      </c>
      <c r="U6833" s="21">
        <v>287.76</v>
      </c>
      <c r="V6833" s="21" t="s">
        <v>368</v>
      </c>
      <c r="W6833" t="str">
        <f>VLOOKUP(Table_Query_from_Actuarial___Production[[#This Row],[Kor1]],$AI$3:$AK$105,3,FALSE)</f>
        <v>Misc. Expense</v>
      </c>
      <c r="X6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3"/>
      <c r="Z6833" t="s">
        <v>25</v>
      </c>
      <c r="AA6833" t="s">
        <v>259</v>
      </c>
      <c r="AB6833" t="s">
        <v>9</v>
      </c>
      <c r="AC6833" s="21">
        <v>287.76</v>
      </c>
      <c r="AD6833" s="21" t="s">
        <v>368</v>
      </c>
      <c r="AE6833" t="str">
        <f>VLOOKUP(Table_Query_from_Actuarial___Production3[[#This Row],[Kor1]],$AI$3:$AK$105,3,FALSE)</f>
        <v>Misc. Expense</v>
      </c>
      <c r="AF6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4" spans="18:32" x14ac:dyDescent="0.2">
      <c r="R6834" t="s">
        <v>17</v>
      </c>
      <c r="S6834" t="s">
        <v>231</v>
      </c>
      <c r="T6834" t="s">
        <v>442</v>
      </c>
      <c r="U6834" s="21">
        <v>282757.40000000002</v>
      </c>
      <c r="V6834" s="21" t="s">
        <v>368</v>
      </c>
      <c r="W6834" t="str">
        <f>VLOOKUP(Table_Query_from_Actuarial___Production[[#This Row],[Kor1]],$AI$3:$AK$105,3,FALSE)</f>
        <v>IBNR</v>
      </c>
      <c r="X6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4"/>
      <c r="Z6834" t="s">
        <v>17</v>
      </c>
      <c r="AA6834" t="s">
        <v>231</v>
      </c>
      <c r="AB6834" t="s">
        <v>442</v>
      </c>
      <c r="AC6834" s="21">
        <v>465952.06</v>
      </c>
      <c r="AD6834" s="21" t="s">
        <v>368</v>
      </c>
      <c r="AE6834" t="str">
        <f>VLOOKUP(Table_Query_from_Actuarial___Production3[[#This Row],[Kor1]],$AI$3:$AK$105,3,FALSE)</f>
        <v>IBNR</v>
      </c>
      <c r="AF6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5" spans="18:32" x14ac:dyDescent="0.2">
      <c r="R6835" t="s">
        <v>40</v>
      </c>
      <c r="S6835" t="s">
        <v>234</v>
      </c>
      <c r="T6835" t="s">
        <v>442</v>
      </c>
      <c r="U6835" s="21">
        <v>101.73</v>
      </c>
      <c r="V6835" s="21" t="s">
        <v>368</v>
      </c>
      <c r="W6835" t="str">
        <f>VLOOKUP(Table_Query_from_Actuarial___Production[[#This Row],[Kor1]],$AI$3:$AK$105,3,FALSE)</f>
        <v>Misc. Income</v>
      </c>
      <c r="X6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5"/>
      <c r="Z6835" t="s">
        <v>40</v>
      </c>
      <c r="AA6835" t="s">
        <v>234</v>
      </c>
      <c r="AB6835" t="s">
        <v>442</v>
      </c>
      <c r="AC6835" s="21">
        <v>101.73</v>
      </c>
      <c r="AD6835" s="21" t="s">
        <v>368</v>
      </c>
      <c r="AE6835" t="str">
        <f>VLOOKUP(Table_Query_from_Actuarial___Production3[[#This Row],[Kor1]],$AI$3:$AK$105,3,FALSE)</f>
        <v>Misc. Income</v>
      </c>
      <c r="AF6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6" spans="18:32" x14ac:dyDescent="0.2">
      <c r="R6836" t="s">
        <v>10</v>
      </c>
      <c r="S6836" t="s">
        <v>236</v>
      </c>
      <c r="T6836" t="s">
        <v>445</v>
      </c>
      <c r="U6836" s="21">
        <v>1849.1</v>
      </c>
      <c r="V6836" s="21" t="s">
        <v>368</v>
      </c>
      <c r="W6836" t="str">
        <f>VLOOKUP(Table_Query_from_Actuarial___Production[[#This Row],[Kor1]],$AI$3:$AK$105,3,FALSE)</f>
        <v>Commissions</v>
      </c>
      <c r="X6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6"/>
      <c r="Z6836" t="s">
        <v>14</v>
      </c>
      <c r="AA6836" t="s">
        <v>250</v>
      </c>
      <c r="AB6836" t="s">
        <v>443</v>
      </c>
      <c r="AC6836" s="21">
        <v>12058.14</v>
      </c>
      <c r="AD6836" s="21" t="s">
        <v>368</v>
      </c>
      <c r="AE6836" t="str">
        <f>VLOOKUP(Table_Query_from_Actuarial___Production3[[#This Row],[Kor1]],$AI$3:$AK$105,3,FALSE)</f>
        <v>Claims Expense</v>
      </c>
      <c r="AF6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7" spans="18:32" x14ac:dyDescent="0.2">
      <c r="R6837" t="s">
        <v>14</v>
      </c>
      <c r="S6837" t="s">
        <v>250</v>
      </c>
      <c r="T6837" t="s">
        <v>443</v>
      </c>
      <c r="U6837" s="21">
        <v>89341.59</v>
      </c>
      <c r="V6837" s="21" t="s">
        <v>368</v>
      </c>
      <c r="W6837" t="str">
        <f>VLOOKUP(Table_Query_from_Actuarial___Production[[#This Row],[Kor1]],$AI$3:$AK$105,3,FALSE)</f>
        <v>Claims Expense</v>
      </c>
      <c r="X6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7"/>
      <c r="Z6837" t="s">
        <v>43</v>
      </c>
      <c r="AA6837" t="s">
        <v>251</v>
      </c>
      <c r="AB6837" t="s">
        <v>356</v>
      </c>
      <c r="AC6837" s="21">
        <v>296.2</v>
      </c>
      <c r="AD6837" s="21" t="s">
        <v>368</v>
      </c>
      <c r="AE6837" t="str">
        <f>VLOOKUP(Table_Query_from_Actuarial___Production3[[#This Row],[Kor1]],$AI$3:$AK$105,3,FALSE)</f>
        <v>Charge-offs</v>
      </c>
      <c r="AF6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8" spans="18:32" x14ac:dyDescent="0.2">
      <c r="R6838" t="s">
        <v>43</v>
      </c>
      <c r="S6838" t="s">
        <v>251</v>
      </c>
      <c r="T6838" t="s">
        <v>356</v>
      </c>
      <c r="U6838" s="21">
        <v>296.2</v>
      </c>
      <c r="V6838" s="21" t="s">
        <v>368</v>
      </c>
      <c r="W6838" t="str">
        <f>VLOOKUP(Table_Query_from_Actuarial___Production[[#This Row],[Kor1]],$AI$3:$AK$105,3,FALSE)</f>
        <v>Charge-offs</v>
      </c>
      <c r="X6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8"/>
      <c r="Z6838" t="s">
        <v>12</v>
      </c>
      <c r="AA6838" t="s">
        <v>259</v>
      </c>
      <c r="AB6838" t="s">
        <v>9</v>
      </c>
      <c r="AC6838" s="21">
        <v>5004.33</v>
      </c>
      <c r="AD6838" s="21" t="s">
        <v>368</v>
      </c>
      <c r="AE6838" t="str">
        <f>VLOOKUP(Table_Query_from_Actuarial___Production3[[#This Row],[Kor1]],$AI$3:$AK$105,3,FALSE)</f>
        <v>Premium Tax</v>
      </c>
      <c r="AF6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39" spans="18:32" x14ac:dyDescent="0.2">
      <c r="R6839" t="s">
        <v>12</v>
      </c>
      <c r="S6839" t="s">
        <v>259</v>
      </c>
      <c r="T6839" t="s">
        <v>9</v>
      </c>
      <c r="U6839" s="21">
        <v>5004.33</v>
      </c>
      <c r="V6839" s="21" t="s">
        <v>368</v>
      </c>
      <c r="W6839" t="str">
        <f>VLOOKUP(Table_Query_from_Actuarial___Production[[#This Row],[Kor1]],$AI$3:$AK$105,3,FALSE)</f>
        <v>Premium Tax</v>
      </c>
      <c r="X6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39"/>
      <c r="Z6839" t="s">
        <v>31</v>
      </c>
      <c r="AA6839" t="s">
        <v>4</v>
      </c>
      <c r="AB6839" t="s">
        <v>356</v>
      </c>
      <c r="AC6839" s="21">
        <v>-2177.56</v>
      </c>
      <c r="AD6839" s="21" t="s">
        <v>368</v>
      </c>
      <c r="AE6839" t="str">
        <f>VLOOKUP(Table_Query_from_Actuarial___Production3[[#This Row],[Kor1]],$AI$3:$AK$105,3,FALSE)</f>
        <v>Misc. Expense</v>
      </c>
      <c r="AF6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0" spans="18:32" x14ac:dyDescent="0.2">
      <c r="R6840" t="s">
        <v>31</v>
      </c>
      <c r="S6840" t="s">
        <v>4</v>
      </c>
      <c r="T6840" t="s">
        <v>356</v>
      </c>
      <c r="U6840" s="21">
        <v>-2177.56</v>
      </c>
      <c r="V6840" s="21" t="s">
        <v>368</v>
      </c>
      <c r="W6840" t="str">
        <f>VLOOKUP(Table_Query_from_Actuarial___Production[[#This Row],[Kor1]],$AI$3:$AK$105,3,FALSE)</f>
        <v>Misc. Expense</v>
      </c>
      <c r="X6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0"/>
      <c r="Z6840" t="s">
        <v>50</v>
      </c>
      <c r="AA6840" t="s">
        <v>229</v>
      </c>
      <c r="AB6840" t="s">
        <v>9</v>
      </c>
      <c r="AC6840" s="21">
        <v>32380.37</v>
      </c>
      <c r="AD6840" s="21" t="s">
        <v>368</v>
      </c>
      <c r="AE6840" t="str">
        <f>VLOOKUP(Table_Query_from_Actuarial___Production3[[#This Row],[Kor1]],$AI$3:$AK$105,3,FALSE)</f>
        <v>ALAE Reserve</v>
      </c>
      <c r="AF6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1" spans="18:32" x14ac:dyDescent="0.2">
      <c r="R6841" t="s">
        <v>3</v>
      </c>
      <c r="S6841" t="s">
        <v>257</v>
      </c>
      <c r="T6841" t="s">
        <v>427</v>
      </c>
      <c r="U6841" s="21">
        <v>2037406</v>
      </c>
      <c r="V6841" s="21" t="s">
        <v>368</v>
      </c>
      <c r="W6841" t="str">
        <f>VLOOKUP(Table_Query_from_Actuarial___Production[[#This Row],[Kor1]],$AI$3:$AK$105,3,FALSE)</f>
        <v>Premiums Written</v>
      </c>
      <c r="X6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1"/>
      <c r="Z6841" t="s">
        <v>3</v>
      </c>
      <c r="AA6841" t="s">
        <v>257</v>
      </c>
      <c r="AB6841" t="s">
        <v>427</v>
      </c>
      <c r="AC6841" s="21">
        <v>2037406</v>
      </c>
      <c r="AD6841" s="21" t="s">
        <v>368</v>
      </c>
      <c r="AE6841" t="str">
        <f>VLOOKUP(Table_Query_from_Actuarial___Production3[[#This Row],[Kor1]],$AI$3:$AK$105,3,FALSE)</f>
        <v>Premiums Written</v>
      </c>
      <c r="AF6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2" spans="18:32" x14ac:dyDescent="0.2">
      <c r="R6842" t="s">
        <v>31</v>
      </c>
      <c r="S6842" t="s">
        <v>268</v>
      </c>
      <c r="T6842" t="s">
        <v>445</v>
      </c>
      <c r="U6842" s="21">
        <v>-13.53</v>
      </c>
      <c r="V6842" s="21" t="s">
        <v>368</v>
      </c>
      <c r="W6842" t="str">
        <f>VLOOKUP(Table_Query_from_Actuarial___Production[[#This Row],[Kor1]],$AI$3:$AK$105,3,FALSE)</f>
        <v>Misc. Expense</v>
      </c>
      <c r="X6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2"/>
      <c r="Z6842" t="s">
        <v>3</v>
      </c>
      <c r="AA6842" t="s">
        <v>262</v>
      </c>
      <c r="AB6842" t="s">
        <v>351</v>
      </c>
      <c r="AC6842" s="21">
        <v>868976</v>
      </c>
      <c r="AD6842" s="21" t="s">
        <v>368</v>
      </c>
      <c r="AE6842" t="str">
        <f>VLOOKUP(Table_Query_from_Actuarial___Production3[[#This Row],[Kor1]],$AI$3:$AK$105,3,FALSE)</f>
        <v>Premiums Written</v>
      </c>
      <c r="AF6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3" spans="18:32" x14ac:dyDescent="0.2">
      <c r="R6843" t="s">
        <v>3</v>
      </c>
      <c r="S6843" t="s">
        <v>262</v>
      </c>
      <c r="T6843" t="s">
        <v>351</v>
      </c>
      <c r="U6843" s="21">
        <v>868976</v>
      </c>
      <c r="V6843" s="21" t="s">
        <v>368</v>
      </c>
      <c r="W6843" t="str">
        <f>VLOOKUP(Table_Query_from_Actuarial___Production[[#This Row],[Kor1]],$AI$3:$AK$105,3,FALSE)</f>
        <v>Premiums Written</v>
      </c>
      <c r="X6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3"/>
      <c r="Z6843" t="s">
        <v>33</v>
      </c>
      <c r="AA6843" t="s">
        <v>4</v>
      </c>
      <c r="AB6843" t="s">
        <v>442</v>
      </c>
      <c r="AC6843" s="21">
        <v>36001.82</v>
      </c>
      <c r="AD6843" s="21" t="s">
        <v>368</v>
      </c>
      <c r="AE6843" t="str">
        <f>VLOOKUP(Table_Query_from_Actuarial___Production3[[#This Row],[Kor1]],$AI$3:$AK$105,3,FALSE)</f>
        <v>Misc. Expense</v>
      </c>
      <c r="AF6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4" spans="18:32" x14ac:dyDescent="0.2">
      <c r="R6844" t="s">
        <v>33</v>
      </c>
      <c r="S6844" t="s">
        <v>4</v>
      </c>
      <c r="T6844" t="s">
        <v>442</v>
      </c>
      <c r="U6844" s="21">
        <v>36001.82</v>
      </c>
      <c r="V6844" s="21" t="s">
        <v>368</v>
      </c>
      <c r="W6844" t="str">
        <f>VLOOKUP(Table_Query_from_Actuarial___Production[[#This Row],[Kor1]],$AI$3:$AK$105,3,FALSE)</f>
        <v>Misc. Expense</v>
      </c>
      <c r="X6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4"/>
      <c r="Z6844" t="s">
        <v>13</v>
      </c>
      <c r="AA6844" t="s">
        <v>253</v>
      </c>
      <c r="AB6844" t="s">
        <v>351</v>
      </c>
      <c r="AC6844" s="21">
        <v>560.01</v>
      </c>
      <c r="AD6844" s="21" t="s">
        <v>368</v>
      </c>
      <c r="AE6844" t="str">
        <f>VLOOKUP(Table_Query_from_Actuarial___Production3[[#This Row],[Kor1]],$AI$3:$AK$105,3,FALSE)</f>
        <v>Operating Service Fees</v>
      </c>
      <c r="AF6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5" spans="18:32" x14ac:dyDescent="0.2">
      <c r="R6845" t="s">
        <v>13</v>
      </c>
      <c r="S6845" t="s">
        <v>253</v>
      </c>
      <c r="T6845" t="s">
        <v>351</v>
      </c>
      <c r="U6845" s="21">
        <v>560.01</v>
      </c>
      <c r="V6845" s="21" t="s">
        <v>368</v>
      </c>
      <c r="W6845" t="str">
        <f>VLOOKUP(Table_Query_from_Actuarial___Production[[#This Row],[Kor1]],$AI$3:$AK$105,3,FALSE)</f>
        <v>Operating Service Fees</v>
      </c>
      <c r="X6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5"/>
      <c r="Z6845" t="s">
        <v>107</v>
      </c>
      <c r="AA6845" t="s">
        <v>259</v>
      </c>
      <c r="AB6845" t="s">
        <v>356</v>
      </c>
      <c r="AC6845" s="21">
        <v>187.81</v>
      </c>
      <c r="AD6845" s="21" t="s">
        <v>368</v>
      </c>
      <c r="AE6845" t="str">
        <f>VLOOKUP(Table_Query_from_Actuarial___Production3[[#This Row],[Kor1]],$AI$3:$AK$105,3,FALSE)</f>
        <v>Misc. Expense</v>
      </c>
      <c r="AF6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6" spans="18:32" x14ac:dyDescent="0.2">
      <c r="R6846" t="s">
        <v>107</v>
      </c>
      <c r="S6846" t="s">
        <v>259</v>
      </c>
      <c r="T6846" t="s">
        <v>356</v>
      </c>
      <c r="U6846" s="21">
        <v>187.81</v>
      </c>
      <c r="V6846" s="21" t="s">
        <v>368</v>
      </c>
      <c r="W6846" t="str">
        <f>VLOOKUP(Table_Query_from_Actuarial___Production[[#This Row],[Kor1]],$AI$3:$AK$105,3,FALSE)</f>
        <v>Misc. Expense</v>
      </c>
      <c r="X6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6"/>
      <c r="Z6846" t="s">
        <v>33</v>
      </c>
      <c r="AA6846" t="s">
        <v>230</v>
      </c>
      <c r="AB6846" t="s">
        <v>433</v>
      </c>
      <c r="AC6846" s="21">
        <v>18268.669999999998</v>
      </c>
      <c r="AD6846" s="21" t="s">
        <v>368</v>
      </c>
      <c r="AE6846" t="str">
        <f>VLOOKUP(Table_Query_from_Actuarial___Production3[[#This Row],[Kor1]],$AI$3:$AK$105,3,FALSE)</f>
        <v>Misc. Expense</v>
      </c>
      <c r="AF6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7" spans="18:32" x14ac:dyDescent="0.2">
      <c r="R6847" t="s">
        <v>33</v>
      </c>
      <c r="S6847" t="s">
        <v>230</v>
      </c>
      <c r="T6847" t="s">
        <v>433</v>
      </c>
      <c r="U6847" s="21">
        <v>18268.669999999998</v>
      </c>
      <c r="V6847" s="21" t="s">
        <v>368</v>
      </c>
      <c r="W6847" t="str">
        <f>VLOOKUP(Table_Query_from_Actuarial___Production[[#This Row],[Kor1]],$AI$3:$AK$105,3,FALSE)</f>
        <v>Misc. Expense</v>
      </c>
      <c r="X6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7"/>
      <c r="Z6847" t="s">
        <v>33</v>
      </c>
      <c r="AA6847" t="s">
        <v>238</v>
      </c>
      <c r="AB6847" t="s">
        <v>5</v>
      </c>
      <c r="AC6847" s="21">
        <v>15923.67</v>
      </c>
      <c r="AD6847" s="21" t="s">
        <v>368</v>
      </c>
      <c r="AE6847" t="str">
        <f>VLOOKUP(Table_Query_from_Actuarial___Production3[[#This Row],[Kor1]],$AI$3:$AK$105,3,FALSE)</f>
        <v>Misc. Expense</v>
      </c>
      <c r="AF6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8" spans="18:32" x14ac:dyDescent="0.2">
      <c r="R6848" t="s">
        <v>50</v>
      </c>
      <c r="S6848" t="s">
        <v>241</v>
      </c>
      <c r="T6848" t="s">
        <v>441</v>
      </c>
      <c r="U6848" s="21">
        <v>1237.45</v>
      </c>
      <c r="V6848" s="21" t="s">
        <v>368</v>
      </c>
      <c r="W6848" t="str">
        <f>VLOOKUP(Table_Query_from_Actuarial___Production[[#This Row],[Kor1]],$AI$3:$AK$105,3,FALSE)</f>
        <v>ALAE Reserve</v>
      </c>
      <c r="X6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8"/>
      <c r="Z6848" t="s">
        <v>50</v>
      </c>
      <c r="AA6848" t="s">
        <v>241</v>
      </c>
      <c r="AB6848" t="s">
        <v>441</v>
      </c>
      <c r="AC6848" s="21">
        <v>9316.43</v>
      </c>
      <c r="AD6848" s="21" t="s">
        <v>368</v>
      </c>
      <c r="AE6848" t="str">
        <f>VLOOKUP(Table_Query_from_Actuarial___Production3[[#This Row],[Kor1]],$AI$3:$AK$105,3,FALSE)</f>
        <v>ALAE Reserve</v>
      </c>
      <c r="AF6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49" spans="18:32" x14ac:dyDescent="0.2">
      <c r="R6849" t="s">
        <v>3</v>
      </c>
      <c r="S6849" t="s">
        <v>234</v>
      </c>
      <c r="T6849" t="s">
        <v>8</v>
      </c>
      <c r="U6849" s="21">
        <v>797398</v>
      </c>
      <c r="V6849" s="21" t="s">
        <v>368</v>
      </c>
      <c r="W6849" t="str">
        <f>VLOOKUP(Table_Query_from_Actuarial___Production[[#This Row],[Kor1]],$AI$3:$AK$105,3,FALSE)</f>
        <v>Premiums Written</v>
      </c>
      <c r="X6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49"/>
      <c r="Z6849" t="s">
        <v>3</v>
      </c>
      <c r="AA6849" t="s">
        <v>234</v>
      </c>
      <c r="AB6849" t="s">
        <v>8</v>
      </c>
      <c r="AC6849" s="21">
        <v>797398</v>
      </c>
      <c r="AD6849" s="21" t="s">
        <v>368</v>
      </c>
      <c r="AE6849" t="str">
        <f>VLOOKUP(Table_Query_from_Actuarial___Production3[[#This Row],[Kor1]],$AI$3:$AK$105,3,FALSE)</f>
        <v>Premiums Written</v>
      </c>
      <c r="AF6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0" spans="18:32" x14ac:dyDescent="0.2">
      <c r="R6850" t="s">
        <v>3</v>
      </c>
      <c r="S6850" t="s">
        <v>352</v>
      </c>
      <c r="T6850" t="s">
        <v>442</v>
      </c>
      <c r="U6850" s="21">
        <v>72515</v>
      </c>
      <c r="V6850" s="21" t="s">
        <v>369</v>
      </c>
      <c r="W6850" t="str">
        <f>VLOOKUP(Table_Query_from_Actuarial___Production[[#This Row],[Kor1]],$AI$3:$AK$105,3,FALSE)</f>
        <v>Premiums Written</v>
      </c>
      <c r="X6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6850"/>
      <c r="Z6850" t="s">
        <v>3</v>
      </c>
      <c r="AA6850" t="s">
        <v>352</v>
      </c>
      <c r="AB6850" t="s">
        <v>442</v>
      </c>
      <c r="AC6850" s="21">
        <v>75821</v>
      </c>
      <c r="AD6850" s="21" t="s">
        <v>369</v>
      </c>
      <c r="AE6850" t="str">
        <f>VLOOKUP(Table_Query_from_Actuarial___Production3[[#This Row],[Kor1]],$AI$3:$AK$105,3,FALSE)</f>
        <v>Premiums Written</v>
      </c>
      <c r="AF6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6851" spans="18:32" x14ac:dyDescent="0.2">
      <c r="R6851" t="s">
        <v>49</v>
      </c>
      <c r="S6851" t="s">
        <v>229</v>
      </c>
      <c r="T6851" t="s">
        <v>433</v>
      </c>
      <c r="U6851" s="21">
        <v>1348.5</v>
      </c>
      <c r="V6851" s="21" t="s">
        <v>368</v>
      </c>
      <c r="W6851" t="str">
        <f>VLOOKUP(Table_Query_from_Actuarial___Production[[#This Row],[Kor1]],$AI$3:$AK$105,3,FALSE)</f>
        <v>ALAE Paid</v>
      </c>
      <c r="X6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1"/>
      <c r="Z6851" t="s">
        <v>13</v>
      </c>
      <c r="AA6851" t="s">
        <v>248</v>
      </c>
      <c r="AB6851" t="s">
        <v>6</v>
      </c>
      <c r="AC6851" s="21">
        <v>5918.75</v>
      </c>
      <c r="AD6851" s="21" t="s">
        <v>368</v>
      </c>
      <c r="AE6851" t="str">
        <f>VLOOKUP(Table_Query_from_Actuarial___Production3[[#This Row],[Kor1]],$AI$3:$AK$105,3,FALSE)</f>
        <v>Operating Service Fees</v>
      </c>
      <c r="AF6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2" spans="18:32" x14ac:dyDescent="0.2">
      <c r="R6852" t="s">
        <v>50</v>
      </c>
      <c r="S6852" t="s">
        <v>226</v>
      </c>
      <c r="T6852" t="s">
        <v>445</v>
      </c>
      <c r="U6852" s="21">
        <v>45840</v>
      </c>
      <c r="V6852" s="21" t="s">
        <v>368</v>
      </c>
      <c r="W6852" t="str">
        <f>VLOOKUP(Table_Query_from_Actuarial___Production[[#This Row],[Kor1]],$AI$3:$AK$105,3,FALSE)</f>
        <v>ALAE Reserve</v>
      </c>
      <c r="X6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852"/>
      <c r="Z6852" t="s">
        <v>3</v>
      </c>
      <c r="AA6852" t="s">
        <v>4</v>
      </c>
      <c r="AB6852" t="s">
        <v>442</v>
      </c>
      <c r="AC6852" s="21">
        <v>51964690</v>
      </c>
      <c r="AD6852" s="21" t="s">
        <v>368</v>
      </c>
      <c r="AE6852" t="str">
        <f>VLOOKUP(Table_Query_from_Actuarial___Production3[[#This Row],[Kor1]],$AI$3:$AK$105,3,FALSE)</f>
        <v>Premiums Written</v>
      </c>
      <c r="AF6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3" spans="18:32" x14ac:dyDescent="0.2">
      <c r="R6853" t="s">
        <v>13</v>
      </c>
      <c r="S6853" t="s">
        <v>248</v>
      </c>
      <c r="T6853" t="s">
        <v>6</v>
      </c>
      <c r="U6853" s="21">
        <v>5918.75</v>
      </c>
      <c r="V6853" s="21" t="s">
        <v>368</v>
      </c>
      <c r="W6853" t="str">
        <f>VLOOKUP(Table_Query_from_Actuarial___Production[[#This Row],[Kor1]],$AI$3:$AK$105,3,FALSE)</f>
        <v>Operating Service Fees</v>
      </c>
      <c r="X6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3"/>
      <c r="Z6853" t="s">
        <v>19</v>
      </c>
      <c r="AA6853" t="s">
        <v>254</v>
      </c>
      <c r="AB6853" t="s">
        <v>7</v>
      </c>
      <c r="AC6853" s="21">
        <v>1430</v>
      </c>
      <c r="AD6853" s="21" t="s">
        <v>368</v>
      </c>
      <c r="AE6853" t="str">
        <f>VLOOKUP(Table_Query_from_Actuarial___Production3[[#This Row],[Kor1]],$AI$3:$AK$105,3,FALSE)</f>
        <v>Misc. Expense for Insolvent Companies</v>
      </c>
      <c r="AF6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4" spans="18:32" x14ac:dyDescent="0.2">
      <c r="R6854" t="s">
        <v>3</v>
      </c>
      <c r="S6854" t="s">
        <v>4</v>
      </c>
      <c r="T6854" t="s">
        <v>442</v>
      </c>
      <c r="U6854" s="21">
        <v>52115515</v>
      </c>
      <c r="V6854" s="21" t="s">
        <v>368</v>
      </c>
      <c r="W6854" t="str">
        <f>VLOOKUP(Table_Query_from_Actuarial___Production[[#This Row],[Kor1]],$AI$3:$AK$105,3,FALSE)</f>
        <v>Premiums Written</v>
      </c>
      <c r="X6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4"/>
      <c r="Z6854" t="s">
        <v>12</v>
      </c>
      <c r="AA6854" t="s">
        <v>262</v>
      </c>
      <c r="AB6854" t="s">
        <v>5</v>
      </c>
      <c r="AC6854" s="21">
        <v>482.18</v>
      </c>
      <c r="AD6854" s="21" t="s">
        <v>368</v>
      </c>
      <c r="AE6854" t="str">
        <f>VLOOKUP(Table_Query_from_Actuarial___Production3[[#This Row],[Kor1]],$AI$3:$AK$105,3,FALSE)</f>
        <v>Premium Tax</v>
      </c>
      <c r="AF6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5" spans="18:32" x14ac:dyDescent="0.2">
      <c r="R6855" t="s">
        <v>19</v>
      </c>
      <c r="S6855" t="s">
        <v>254</v>
      </c>
      <c r="T6855" t="s">
        <v>7</v>
      </c>
      <c r="U6855" s="21">
        <v>1430</v>
      </c>
      <c r="V6855" s="21" t="s">
        <v>368</v>
      </c>
      <c r="W6855" t="str">
        <f>VLOOKUP(Table_Query_from_Actuarial___Production[[#This Row],[Kor1]],$AI$3:$AK$105,3,FALSE)</f>
        <v>Misc. Expense for Insolvent Companies</v>
      </c>
      <c r="X6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5"/>
      <c r="Z6855" t="s">
        <v>33</v>
      </c>
      <c r="AA6855" t="s">
        <v>251</v>
      </c>
      <c r="AB6855" t="s">
        <v>5</v>
      </c>
      <c r="AC6855" s="21">
        <v>14094.33</v>
      </c>
      <c r="AD6855" s="21" t="s">
        <v>368</v>
      </c>
      <c r="AE6855" t="str">
        <f>VLOOKUP(Table_Query_from_Actuarial___Production3[[#This Row],[Kor1]],$AI$3:$AK$105,3,FALSE)</f>
        <v>Misc. Expense</v>
      </c>
      <c r="AF6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6" spans="18:32" x14ac:dyDescent="0.2">
      <c r="R6856" t="s">
        <v>21</v>
      </c>
      <c r="S6856" t="s">
        <v>243</v>
      </c>
      <c r="T6856" t="s">
        <v>433</v>
      </c>
      <c r="U6856" s="21">
        <v>384</v>
      </c>
      <c r="V6856" s="21" t="s">
        <v>368</v>
      </c>
      <c r="W6856" t="str">
        <f>VLOOKUP(Table_Query_from_Actuarial___Production[[#This Row],[Kor1]],$AI$3:$AK$105,3,FALSE)</f>
        <v>Misc. Expense</v>
      </c>
      <c r="X6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6"/>
      <c r="Z6856" t="s">
        <v>21</v>
      </c>
      <c r="AA6856" t="s">
        <v>243</v>
      </c>
      <c r="AB6856" t="s">
        <v>433</v>
      </c>
      <c r="AC6856" s="21">
        <v>384</v>
      </c>
      <c r="AD6856" s="21" t="s">
        <v>368</v>
      </c>
      <c r="AE6856" t="str">
        <f>VLOOKUP(Table_Query_from_Actuarial___Production3[[#This Row],[Kor1]],$AI$3:$AK$105,3,FALSE)</f>
        <v>Misc. Expense</v>
      </c>
      <c r="AF6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7" spans="18:32" x14ac:dyDescent="0.2">
      <c r="R6857" t="s">
        <v>47</v>
      </c>
      <c r="S6857" t="s">
        <v>258</v>
      </c>
      <c r="T6857" t="s">
        <v>7</v>
      </c>
      <c r="U6857" s="21">
        <v>0.09</v>
      </c>
      <c r="V6857" s="21" t="s">
        <v>368</v>
      </c>
      <c r="W6857" t="str">
        <f>VLOOKUP(Table_Query_from_Actuarial___Production[[#This Row],[Kor1]],$AI$3:$AK$105,3,FALSE)</f>
        <v>Investment Income</v>
      </c>
      <c r="X6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7"/>
      <c r="Z6857" t="s">
        <v>47</v>
      </c>
      <c r="AA6857" t="s">
        <v>258</v>
      </c>
      <c r="AB6857" t="s">
        <v>7</v>
      </c>
      <c r="AC6857" s="21">
        <v>0.09</v>
      </c>
      <c r="AD6857" s="21" t="s">
        <v>368</v>
      </c>
      <c r="AE6857" t="str">
        <f>VLOOKUP(Table_Query_from_Actuarial___Production3[[#This Row],[Kor1]],$AI$3:$AK$105,3,FALSE)</f>
        <v>Investment Income</v>
      </c>
      <c r="AF6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8" spans="18:32" x14ac:dyDescent="0.2">
      <c r="R6858" t="s">
        <v>39</v>
      </c>
      <c r="S6858" t="s">
        <v>233</v>
      </c>
      <c r="T6858" t="s">
        <v>442</v>
      </c>
      <c r="U6858" s="21">
        <v>190</v>
      </c>
      <c r="V6858" s="21" t="s">
        <v>368</v>
      </c>
      <c r="W6858" t="str">
        <f>VLOOKUP(Table_Query_from_Actuarial___Production[[#This Row],[Kor1]],$AI$3:$AK$105,3,FALSE)</f>
        <v>Misc. Income for Insolvent Companies</v>
      </c>
      <c r="X6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8"/>
      <c r="Z6858" t="s">
        <v>39</v>
      </c>
      <c r="AA6858" t="s">
        <v>233</v>
      </c>
      <c r="AB6858" t="s">
        <v>442</v>
      </c>
      <c r="AC6858" s="21">
        <v>190</v>
      </c>
      <c r="AD6858" s="21" t="s">
        <v>368</v>
      </c>
      <c r="AE6858" t="str">
        <f>VLOOKUP(Table_Query_from_Actuarial___Production3[[#This Row],[Kor1]],$AI$3:$AK$105,3,FALSE)</f>
        <v>Misc. Income for Insolvent Companies</v>
      </c>
      <c r="AF6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59" spans="18:32" x14ac:dyDescent="0.2">
      <c r="R6859" t="s">
        <v>11</v>
      </c>
      <c r="S6859" t="s">
        <v>238</v>
      </c>
      <c r="T6859" t="s">
        <v>6</v>
      </c>
      <c r="U6859" s="21">
        <v>1028.68</v>
      </c>
      <c r="V6859" s="21" t="s">
        <v>368</v>
      </c>
      <c r="W6859" t="str">
        <f>VLOOKUP(Table_Query_from_Actuarial___Production[[#This Row],[Kor1]],$AI$3:$AK$105,3,FALSE)</f>
        <v>Losses Paid</v>
      </c>
      <c r="X6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59"/>
      <c r="Z6859" t="s">
        <v>11</v>
      </c>
      <c r="AA6859" t="s">
        <v>238</v>
      </c>
      <c r="AB6859" t="s">
        <v>6</v>
      </c>
      <c r="AC6859" s="21">
        <v>1028.68</v>
      </c>
      <c r="AD6859" s="21" t="s">
        <v>368</v>
      </c>
      <c r="AE6859" t="str">
        <f>VLOOKUP(Table_Query_from_Actuarial___Production3[[#This Row],[Kor1]],$AI$3:$AK$105,3,FALSE)</f>
        <v>Losses Paid</v>
      </c>
      <c r="AF6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0" spans="18:32" x14ac:dyDescent="0.2">
      <c r="R6860" t="s">
        <v>13</v>
      </c>
      <c r="S6860" t="s">
        <v>261</v>
      </c>
      <c r="T6860" t="s">
        <v>9</v>
      </c>
      <c r="U6860" s="21">
        <v>138853.79</v>
      </c>
      <c r="V6860" s="21" t="s">
        <v>368</v>
      </c>
      <c r="W6860" t="str">
        <f>VLOOKUP(Table_Query_from_Actuarial___Production[[#This Row],[Kor1]],$AI$3:$AK$105,3,FALSE)</f>
        <v>Operating Service Fees</v>
      </c>
      <c r="X6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0"/>
      <c r="Z6860" t="s">
        <v>13</v>
      </c>
      <c r="AA6860" t="s">
        <v>261</v>
      </c>
      <c r="AB6860" t="s">
        <v>9</v>
      </c>
      <c r="AC6860" s="21">
        <v>138853.79</v>
      </c>
      <c r="AD6860" s="21" t="s">
        <v>368</v>
      </c>
      <c r="AE6860" t="str">
        <f>VLOOKUP(Table_Query_from_Actuarial___Production3[[#This Row],[Kor1]],$AI$3:$AK$105,3,FALSE)</f>
        <v>Operating Service Fees</v>
      </c>
      <c r="AF6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1" spans="18:32" x14ac:dyDescent="0.2">
      <c r="R6861" t="s">
        <v>3</v>
      </c>
      <c r="S6861" t="s">
        <v>235</v>
      </c>
      <c r="T6861" t="s">
        <v>442</v>
      </c>
      <c r="U6861" s="21">
        <v>164166.20000000001</v>
      </c>
      <c r="V6861" s="21" t="s">
        <v>368</v>
      </c>
      <c r="W6861" t="str">
        <f>VLOOKUP(Table_Query_from_Actuarial___Production[[#This Row],[Kor1]],$AI$3:$AK$105,3,FALSE)</f>
        <v>Premiums Written</v>
      </c>
      <c r="X6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1"/>
      <c r="Z6861" t="s">
        <v>3</v>
      </c>
      <c r="AA6861" t="s">
        <v>235</v>
      </c>
      <c r="AB6861" t="s">
        <v>442</v>
      </c>
      <c r="AC6861" s="21">
        <v>170267.2</v>
      </c>
      <c r="AD6861" s="21" t="s">
        <v>368</v>
      </c>
      <c r="AE6861" t="str">
        <f>VLOOKUP(Table_Query_from_Actuarial___Production3[[#This Row],[Kor1]],$AI$3:$AK$105,3,FALSE)</f>
        <v>Premiums Written</v>
      </c>
      <c r="AF6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2" spans="18:32" x14ac:dyDescent="0.2">
      <c r="R6862" t="s">
        <v>21</v>
      </c>
      <c r="S6862" t="s">
        <v>263</v>
      </c>
      <c r="T6862" t="s">
        <v>356</v>
      </c>
      <c r="U6862" s="21">
        <v>372.01</v>
      </c>
      <c r="V6862" s="21" t="s">
        <v>368</v>
      </c>
      <c r="W6862" t="str">
        <f>VLOOKUP(Table_Query_from_Actuarial___Production[[#This Row],[Kor1]],$AI$3:$AK$105,3,FALSE)</f>
        <v>Misc. Expense</v>
      </c>
      <c r="X6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2"/>
      <c r="Z6862" t="s">
        <v>21</v>
      </c>
      <c r="AA6862" t="s">
        <v>263</v>
      </c>
      <c r="AB6862" t="s">
        <v>356</v>
      </c>
      <c r="AC6862" s="21">
        <v>372.01</v>
      </c>
      <c r="AD6862" s="21" t="s">
        <v>368</v>
      </c>
      <c r="AE6862" t="str">
        <f>VLOOKUP(Table_Query_from_Actuarial___Production3[[#This Row],[Kor1]],$AI$3:$AK$105,3,FALSE)</f>
        <v>Misc. Expense</v>
      </c>
      <c r="AF6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3" spans="18:32" x14ac:dyDescent="0.2">
      <c r="R6863" t="s">
        <v>43</v>
      </c>
      <c r="S6863" t="s">
        <v>242</v>
      </c>
      <c r="T6863" t="s">
        <v>427</v>
      </c>
      <c r="U6863" s="21">
        <v>2875.37</v>
      </c>
      <c r="V6863" s="21" t="s">
        <v>368</v>
      </c>
      <c r="W6863" t="str">
        <f>VLOOKUP(Table_Query_from_Actuarial___Production[[#This Row],[Kor1]],$AI$3:$AK$105,3,FALSE)</f>
        <v>Charge-offs</v>
      </c>
      <c r="X6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3"/>
      <c r="Z6863" t="s">
        <v>33</v>
      </c>
      <c r="AA6863" t="s">
        <v>252</v>
      </c>
      <c r="AB6863" t="s">
        <v>5</v>
      </c>
      <c r="AC6863" s="21">
        <v>18241.46</v>
      </c>
      <c r="AD6863" s="21" t="s">
        <v>368</v>
      </c>
      <c r="AE6863" t="str">
        <f>VLOOKUP(Table_Query_from_Actuarial___Production3[[#This Row],[Kor1]],$AI$3:$AK$105,3,FALSE)</f>
        <v>Misc. Expense</v>
      </c>
      <c r="AF6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4" spans="18:32" x14ac:dyDescent="0.2">
      <c r="R6864" t="s">
        <v>44</v>
      </c>
      <c r="S6864" t="s">
        <v>240</v>
      </c>
      <c r="T6864" t="s">
        <v>356</v>
      </c>
      <c r="U6864" s="21">
        <v>90322.93</v>
      </c>
      <c r="V6864" s="21" t="s">
        <v>368</v>
      </c>
      <c r="W6864" t="str">
        <f>VLOOKUP(Table_Query_from_Actuarial___Production[[#This Row],[Kor1]],$AI$3:$AK$105,3,FALSE)</f>
        <v>Charge-offs</v>
      </c>
      <c r="X6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4"/>
      <c r="Z6864" t="s">
        <v>43</v>
      </c>
      <c r="AA6864" t="s">
        <v>242</v>
      </c>
      <c r="AB6864" t="s">
        <v>427</v>
      </c>
      <c r="AC6864" s="21">
        <v>2875.37</v>
      </c>
      <c r="AD6864" s="21" t="s">
        <v>368</v>
      </c>
      <c r="AE6864" t="str">
        <f>VLOOKUP(Table_Query_from_Actuarial___Production3[[#This Row],[Kor1]],$AI$3:$AK$105,3,FALSE)</f>
        <v>Charge-offs</v>
      </c>
      <c r="AF6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5" spans="18:32" x14ac:dyDescent="0.2">
      <c r="R6865" t="s">
        <v>47</v>
      </c>
      <c r="S6865" t="s">
        <v>263</v>
      </c>
      <c r="T6865" t="s">
        <v>6</v>
      </c>
      <c r="U6865" s="21">
        <v>0.11</v>
      </c>
      <c r="V6865" s="21" t="s">
        <v>368</v>
      </c>
      <c r="W6865" t="str">
        <f>VLOOKUP(Table_Query_from_Actuarial___Production[[#This Row],[Kor1]],$AI$3:$AK$105,3,FALSE)</f>
        <v>Investment Income</v>
      </c>
      <c r="X6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5"/>
      <c r="Z6865" t="s">
        <v>44</v>
      </c>
      <c r="AA6865" t="s">
        <v>240</v>
      </c>
      <c r="AB6865" t="s">
        <v>356</v>
      </c>
      <c r="AC6865" s="21">
        <v>90322.93</v>
      </c>
      <c r="AD6865" s="21" t="s">
        <v>368</v>
      </c>
      <c r="AE6865" t="str">
        <f>VLOOKUP(Table_Query_from_Actuarial___Production3[[#This Row],[Kor1]],$AI$3:$AK$105,3,FALSE)</f>
        <v>Charge-offs</v>
      </c>
      <c r="AF6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6" spans="18:32" x14ac:dyDescent="0.2">
      <c r="R6866" t="s">
        <v>10</v>
      </c>
      <c r="S6866" t="s">
        <v>232</v>
      </c>
      <c r="T6866" t="s">
        <v>427</v>
      </c>
      <c r="U6866" s="21">
        <v>79791.59</v>
      </c>
      <c r="V6866" s="21" t="s">
        <v>368</v>
      </c>
      <c r="W6866" t="str">
        <f>VLOOKUP(Table_Query_from_Actuarial___Production[[#This Row],[Kor1]],$AI$3:$AK$105,3,FALSE)</f>
        <v>Commissions</v>
      </c>
      <c r="X6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6"/>
      <c r="Z6866" t="s">
        <v>47</v>
      </c>
      <c r="AA6866" t="s">
        <v>263</v>
      </c>
      <c r="AB6866" t="s">
        <v>6</v>
      </c>
      <c r="AC6866" s="21">
        <v>0.11</v>
      </c>
      <c r="AD6866" s="21" t="s">
        <v>368</v>
      </c>
      <c r="AE6866" t="str">
        <f>VLOOKUP(Table_Query_from_Actuarial___Production3[[#This Row],[Kor1]],$AI$3:$AK$105,3,FALSE)</f>
        <v>Investment Income</v>
      </c>
      <c r="AF6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7" spans="18:32" x14ac:dyDescent="0.2">
      <c r="R6867" t="s">
        <v>14</v>
      </c>
      <c r="S6867" t="s">
        <v>242</v>
      </c>
      <c r="T6867" t="s">
        <v>427</v>
      </c>
      <c r="U6867" s="21">
        <v>83053.97</v>
      </c>
      <c r="V6867" s="21" t="s">
        <v>368</v>
      </c>
      <c r="W6867" t="str">
        <f>VLOOKUP(Table_Query_from_Actuarial___Production[[#This Row],[Kor1]],$AI$3:$AK$105,3,FALSE)</f>
        <v>Claims Expense</v>
      </c>
      <c r="X6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7"/>
      <c r="Z6867" t="s">
        <v>10</v>
      </c>
      <c r="AA6867" t="s">
        <v>232</v>
      </c>
      <c r="AB6867" t="s">
        <v>427</v>
      </c>
      <c r="AC6867" s="21">
        <v>79791.59</v>
      </c>
      <c r="AD6867" s="21" t="s">
        <v>368</v>
      </c>
      <c r="AE6867" t="str">
        <f>VLOOKUP(Table_Query_from_Actuarial___Production3[[#This Row],[Kor1]],$AI$3:$AK$105,3,FALSE)</f>
        <v>Commissions</v>
      </c>
      <c r="AF6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8" spans="18:32" x14ac:dyDescent="0.2">
      <c r="R6868" t="s">
        <v>39</v>
      </c>
      <c r="S6868" t="s">
        <v>262</v>
      </c>
      <c r="T6868" t="s">
        <v>441</v>
      </c>
      <c r="U6868" s="21">
        <v>13.34</v>
      </c>
      <c r="V6868" s="21" t="s">
        <v>368</v>
      </c>
      <c r="W6868" t="str">
        <f>VLOOKUP(Table_Query_from_Actuarial___Production[[#This Row],[Kor1]],$AI$3:$AK$105,3,FALSE)</f>
        <v>Misc. Income for Insolvent Companies</v>
      </c>
      <c r="X6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8"/>
      <c r="Z6868" t="s">
        <v>14</v>
      </c>
      <c r="AA6868" t="s">
        <v>242</v>
      </c>
      <c r="AB6868" t="s">
        <v>427</v>
      </c>
      <c r="AC6868" s="21">
        <v>83053.97</v>
      </c>
      <c r="AD6868" s="21" t="s">
        <v>368</v>
      </c>
      <c r="AE6868" t="str">
        <f>VLOOKUP(Table_Query_from_Actuarial___Production3[[#This Row],[Kor1]],$AI$3:$AK$105,3,FALSE)</f>
        <v>Claims Expense</v>
      </c>
      <c r="AF6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69" spans="18:32" x14ac:dyDescent="0.2">
      <c r="R6869" t="s">
        <v>34</v>
      </c>
      <c r="S6869" t="s">
        <v>235</v>
      </c>
      <c r="T6869" t="s">
        <v>9</v>
      </c>
      <c r="U6869" s="21">
        <v>267.33999999999997</v>
      </c>
      <c r="V6869" s="21" t="s">
        <v>368</v>
      </c>
      <c r="W6869" t="str">
        <f>VLOOKUP(Table_Query_from_Actuarial___Production[[#This Row],[Kor1]],$AI$3:$AK$105,3,FALSE)</f>
        <v>Misc. Expense</v>
      </c>
      <c r="X6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69"/>
      <c r="Z6869" t="s">
        <v>40</v>
      </c>
      <c r="AA6869" t="s">
        <v>239</v>
      </c>
      <c r="AB6869" t="s">
        <v>5</v>
      </c>
      <c r="AC6869" s="21">
        <v>70</v>
      </c>
      <c r="AD6869" s="21" t="s">
        <v>368</v>
      </c>
      <c r="AE6869" t="str">
        <f>VLOOKUP(Table_Query_from_Actuarial___Production3[[#This Row],[Kor1]],$AI$3:$AK$105,3,FALSE)</f>
        <v>Misc. Income</v>
      </c>
      <c r="AF6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0" spans="18:32" x14ac:dyDescent="0.2">
      <c r="R6870" t="s">
        <v>21</v>
      </c>
      <c r="S6870" t="s">
        <v>262</v>
      </c>
      <c r="T6870" t="s">
        <v>427</v>
      </c>
      <c r="U6870" s="21">
        <v>1109.24</v>
      </c>
      <c r="V6870" s="21" t="s">
        <v>368</v>
      </c>
      <c r="W6870" t="str">
        <f>VLOOKUP(Table_Query_from_Actuarial___Production[[#This Row],[Kor1]],$AI$3:$AK$105,3,FALSE)</f>
        <v>Misc. Expense</v>
      </c>
      <c r="X6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0"/>
      <c r="Z6870" t="s">
        <v>39</v>
      </c>
      <c r="AA6870" t="s">
        <v>262</v>
      </c>
      <c r="AB6870" t="s">
        <v>441</v>
      </c>
      <c r="AC6870" s="21">
        <v>13.34</v>
      </c>
      <c r="AD6870" s="21" t="s">
        <v>368</v>
      </c>
      <c r="AE6870" t="str">
        <f>VLOOKUP(Table_Query_from_Actuarial___Production3[[#This Row],[Kor1]],$AI$3:$AK$105,3,FALSE)</f>
        <v>Misc. Income for Insolvent Companies</v>
      </c>
      <c r="AF6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1" spans="18:32" x14ac:dyDescent="0.2">
      <c r="R6871" t="s">
        <v>11</v>
      </c>
      <c r="S6871" t="s">
        <v>354</v>
      </c>
      <c r="T6871" t="s">
        <v>433</v>
      </c>
      <c r="U6871" s="21">
        <v>838484233.99000001</v>
      </c>
      <c r="V6871" s="21" t="s">
        <v>369</v>
      </c>
      <c r="W6871" t="str">
        <f>VLOOKUP(Table_Query_from_Actuarial___Production[[#This Row],[Kor1]],$AI$3:$AK$105,3,FALSE)</f>
        <v>Losses Paid</v>
      </c>
      <c r="X6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871"/>
      <c r="Z6871" t="s">
        <v>34</v>
      </c>
      <c r="AA6871" t="s">
        <v>235</v>
      </c>
      <c r="AB6871" t="s">
        <v>9</v>
      </c>
      <c r="AC6871" s="21">
        <v>267.33999999999997</v>
      </c>
      <c r="AD6871" s="21" t="s">
        <v>368</v>
      </c>
      <c r="AE6871" t="str">
        <f>VLOOKUP(Table_Query_from_Actuarial___Production3[[#This Row],[Kor1]],$AI$3:$AK$105,3,FALSE)</f>
        <v>Misc. Expense</v>
      </c>
      <c r="AF6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2" spans="18:32" x14ac:dyDescent="0.2">
      <c r="R6872" t="s">
        <v>19</v>
      </c>
      <c r="S6872" t="s">
        <v>227</v>
      </c>
      <c r="T6872" t="s">
        <v>351</v>
      </c>
      <c r="U6872" s="21">
        <v>22</v>
      </c>
      <c r="V6872" s="21" t="s">
        <v>368</v>
      </c>
      <c r="W6872" t="str">
        <f>VLOOKUP(Table_Query_from_Actuarial___Production[[#This Row],[Kor1]],$AI$3:$AK$105,3,FALSE)</f>
        <v>Misc. Expense for Insolvent Companies</v>
      </c>
      <c r="X6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2"/>
      <c r="Z6872" t="s">
        <v>21</v>
      </c>
      <c r="AA6872" t="s">
        <v>262</v>
      </c>
      <c r="AB6872" t="s">
        <v>427</v>
      </c>
      <c r="AC6872" s="21">
        <v>1109.24</v>
      </c>
      <c r="AD6872" s="21" t="s">
        <v>368</v>
      </c>
      <c r="AE6872" t="str">
        <f>VLOOKUP(Table_Query_from_Actuarial___Production3[[#This Row],[Kor1]],$AI$3:$AK$105,3,FALSE)</f>
        <v>Misc. Expense</v>
      </c>
      <c r="AF6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3" spans="18:32" x14ac:dyDescent="0.2">
      <c r="R6873" t="s">
        <v>31</v>
      </c>
      <c r="S6873" t="s">
        <v>244</v>
      </c>
      <c r="T6873" t="s">
        <v>441</v>
      </c>
      <c r="U6873" s="21">
        <v>1069.3599999999999</v>
      </c>
      <c r="V6873" s="21" t="s">
        <v>368</v>
      </c>
      <c r="W6873" t="str">
        <f>VLOOKUP(Table_Query_from_Actuarial___Production[[#This Row],[Kor1]],$AI$3:$AK$105,3,FALSE)</f>
        <v>Misc. Expense</v>
      </c>
      <c r="X6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3"/>
      <c r="Z6873" t="s">
        <v>11</v>
      </c>
      <c r="AA6873" t="s">
        <v>354</v>
      </c>
      <c r="AB6873" t="s">
        <v>433</v>
      </c>
      <c r="AC6873" s="21">
        <v>808640754.32000005</v>
      </c>
      <c r="AD6873" s="21" t="s">
        <v>369</v>
      </c>
      <c r="AE6873" t="str">
        <f>VLOOKUP(Table_Query_from_Actuarial___Production3[[#This Row],[Kor1]],$AI$3:$AK$105,3,FALSE)</f>
        <v>Losses Paid</v>
      </c>
      <c r="AF6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874" spans="18:32" x14ac:dyDescent="0.2">
      <c r="R6874" t="s">
        <v>33</v>
      </c>
      <c r="S6874" t="s">
        <v>249</v>
      </c>
      <c r="T6874" t="s">
        <v>8</v>
      </c>
      <c r="U6874" s="21">
        <v>17183.87</v>
      </c>
      <c r="V6874" s="21" t="s">
        <v>368</v>
      </c>
      <c r="W6874" t="str">
        <f>VLOOKUP(Table_Query_from_Actuarial___Production[[#This Row],[Kor1]],$AI$3:$AK$105,3,FALSE)</f>
        <v>Misc. Expense</v>
      </c>
      <c r="X6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4"/>
      <c r="Z6874" t="s">
        <v>19</v>
      </c>
      <c r="AA6874" t="s">
        <v>227</v>
      </c>
      <c r="AB6874" t="s">
        <v>351</v>
      </c>
      <c r="AC6874" s="21">
        <v>22</v>
      </c>
      <c r="AD6874" s="21" t="s">
        <v>368</v>
      </c>
      <c r="AE6874" t="str">
        <f>VLOOKUP(Table_Query_from_Actuarial___Production3[[#This Row],[Kor1]],$AI$3:$AK$105,3,FALSE)</f>
        <v>Misc. Expense for Insolvent Companies</v>
      </c>
      <c r="AF6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5" spans="18:32" x14ac:dyDescent="0.2">
      <c r="R6875" t="s">
        <v>10</v>
      </c>
      <c r="S6875" t="s">
        <v>242</v>
      </c>
      <c r="T6875" t="s">
        <v>7</v>
      </c>
      <c r="U6875" s="21">
        <v>20237</v>
      </c>
      <c r="V6875" s="21" t="s">
        <v>368</v>
      </c>
      <c r="W6875" t="str">
        <f>VLOOKUP(Table_Query_from_Actuarial___Production[[#This Row],[Kor1]],$AI$3:$AK$105,3,FALSE)</f>
        <v>Commissions</v>
      </c>
      <c r="X6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5"/>
      <c r="Z6875" t="s">
        <v>31</v>
      </c>
      <c r="AA6875" t="s">
        <v>244</v>
      </c>
      <c r="AB6875" t="s">
        <v>441</v>
      </c>
      <c r="AC6875" s="21">
        <v>1069.3599999999999</v>
      </c>
      <c r="AD6875" s="21" t="s">
        <v>368</v>
      </c>
      <c r="AE6875" t="str">
        <f>VLOOKUP(Table_Query_from_Actuarial___Production3[[#This Row],[Kor1]],$AI$3:$AK$105,3,FALSE)</f>
        <v>Misc. Expense</v>
      </c>
      <c r="AF6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6" spans="18:32" x14ac:dyDescent="0.2">
      <c r="R6876" t="s">
        <v>33</v>
      </c>
      <c r="S6876" t="s">
        <v>234</v>
      </c>
      <c r="T6876" t="s">
        <v>356</v>
      </c>
      <c r="U6876" s="21">
        <v>15028.57</v>
      </c>
      <c r="V6876" s="21" t="s">
        <v>368</v>
      </c>
      <c r="W6876" t="str">
        <f>VLOOKUP(Table_Query_from_Actuarial___Production[[#This Row],[Kor1]],$AI$3:$AK$105,3,FALSE)</f>
        <v>Misc. Expense</v>
      </c>
      <c r="X6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6"/>
      <c r="Z6876" t="s">
        <v>33</v>
      </c>
      <c r="AA6876" t="s">
        <v>249</v>
      </c>
      <c r="AB6876" t="s">
        <v>8</v>
      </c>
      <c r="AC6876" s="21">
        <v>17183.87</v>
      </c>
      <c r="AD6876" s="21" t="s">
        <v>368</v>
      </c>
      <c r="AE6876" t="str">
        <f>VLOOKUP(Table_Query_from_Actuarial___Production3[[#This Row],[Kor1]],$AI$3:$AK$105,3,FALSE)</f>
        <v>Misc. Expense</v>
      </c>
      <c r="AF6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7" spans="18:32" x14ac:dyDescent="0.2">
      <c r="R6877" t="s">
        <v>17</v>
      </c>
      <c r="S6877" t="s">
        <v>224</v>
      </c>
      <c r="T6877" t="s">
        <v>433</v>
      </c>
      <c r="U6877" s="21">
        <v>1404.77</v>
      </c>
      <c r="V6877" s="21" t="s">
        <v>368</v>
      </c>
      <c r="W6877" t="str">
        <f>VLOOKUP(Table_Query_from_Actuarial___Production[[#This Row],[Kor1]],$AI$3:$AK$105,3,FALSE)</f>
        <v>IBNR</v>
      </c>
      <c r="X6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6877"/>
      <c r="Z6877" t="s">
        <v>10</v>
      </c>
      <c r="AA6877" t="s">
        <v>242</v>
      </c>
      <c r="AB6877" t="s">
        <v>7</v>
      </c>
      <c r="AC6877" s="21">
        <v>20237</v>
      </c>
      <c r="AD6877" s="21" t="s">
        <v>368</v>
      </c>
      <c r="AE6877" t="str">
        <f>VLOOKUP(Table_Query_from_Actuarial___Production3[[#This Row],[Kor1]],$AI$3:$AK$105,3,FALSE)</f>
        <v>Commissions</v>
      </c>
      <c r="AF6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8" spans="18:32" x14ac:dyDescent="0.2">
      <c r="R6878" t="s">
        <v>3</v>
      </c>
      <c r="S6878" t="s">
        <v>255</v>
      </c>
      <c r="T6878" t="s">
        <v>6</v>
      </c>
      <c r="U6878" s="21">
        <v>138070</v>
      </c>
      <c r="V6878" s="21" t="s">
        <v>368</v>
      </c>
      <c r="W6878" t="str">
        <f>VLOOKUP(Table_Query_from_Actuarial___Production[[#This Row],[Kor1]],$AI$3:$AK$105,3,FALSE)</f>
        <v>Premiums Written</v>
      </c>
      <c r="X6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8"/>
      <c r="Z6878" t="s">
        <v>33</v>
      </c>
      <c r="AA6878" t="s">
        <v>234</v>
      </c>
      <c r="AB6878" t="s">
        <v>356</v>
      </c>
      <c r="AC6878" s="21">
        <v>15028.57</v>
      </c>
      <c r="AD6878" s="21" t="s">
        <v>368</v>
      </c>
      <c r="AE6878" t="str">
        <f>VLOOKUP(Table_Query_from_Actuarial___Production3[[#This Row],[Kor1]],$AI$3:$AK$105,3,FALSE)</f>
        <v>Misc. Expense</v>
      </c>
      <c r="AF6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79" spans="18:32" x14ac:dyDescent="0.2">
      <c r="R6879" t="s">
        <v>39</v>
      </c>
      <c r="S6879" t="s">
        <v>241</v>
      </c>
      <c r="T6879" t="s">
        <v>433</v>
      </c>
      <c r="U6879" s="21">
        <v>1371.98</v>
      </c>
      <c r="V6879" s="21" t="s">
        <v>368</v>
      </c>
      <c r="W6879" t="str">
        <f>VLOOKUP(Table_Query_from_Actuarial___Production[[#This Row],[Kor1]],$AI$3:$AK$105,3,FALSE)</f>
        <v>Misc. Income for Insolvent Companies</v>
      </c>
      <c r="X6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79"/>
      <c r="Z6879" t="s">
        <v>17</v>
      </c>
      <c r="AA6879" t="s">
        <v>224</v>
      </c>
      <c r="AB6879" t="s">
        <v>433</v>
      </c>
      <c r="AC6879" s="21">
        <v>12778.46</v>
      </c>
      <c r="AD6879" s="21" t="s">
        <v>368</v>
      </c>
      <c r="AE6879" t="str">
        <f>VLOOKUP(Table_Query_from_Actuarial___Production3[[#This Row],[Kor1]],$AI$3:$AK$105,3,FALSE)</f>
        <v>IBNR</v>
      </c>
      <c r="AF6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6880" spans="18:32" x14ac:dyDescent="0.2">
      <c r="R6880" t="s">
        <v>47</v>
      </c>
      <c r="S6880" t="s">
        <v>234</v>
      </c>
      <c r="T6880" t="s">
        <v>441</v>
      </c>
      <c r="U6880" s="21">
        <v>25.01</v>
      </c>
      <c r="V6880" s="21" t="s">
        <v>368</v>
      </c>
      <c r="W6880" t="str">
        <f>VLOOKUP(Table_Query_from_Actuarial___Production[[#This Row],[Kor1]],$AI$3:$AK$105,3,FALSE)</f>
        <v>Investment Income</v>
      </c>
      <c r="X6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0"/>
      <c r="Z6880" t="s">
        <v>3</v>
      </c>
      <c r="AA6880" t="s">
        <v>255</v>
      </c>
      <c r="AB6880" t="s">
        <v>6</v>
      </c>
      <c r="AC6880" s="21">
        <v>138070</v>
      </c>
      <c r="AD6880" s="21" t="s">
        <v>368</v>
      </c>
      <c r="AE6880" t="str">
        <f>VLOOKUP(Table_Query_from_Actuarial___Production3[[#This Row],[Kor1]],$AI$3:$AK$105,3,FALSE)</f>
        <v>Premiums Written</v>
      </c>
      <c r="AF6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1" spans="18:32" x14ac:dyDescent="0.2">
      <c r="R6881" t="s">
        <v>48</v>
      </c>
      <c r="S6881" t="s">
        <v>258</v>
      </c>
      <c r="T6881" t="s">
        <v>443</v>
      </c>
      <c r="U6881" s="21">
        <v>10372.91</v>
      </c>
      <c r="V6881" s="21" t="s">
        <v>368</v>
      </c>
      <c r="W6881" t="str">
        <f>VLOOKUP(Table_Query_from_Actuarial___Production[[#This Row],[Kor1]],$AI$3:$AK$105,3,FALSE)</f>
        <v>Anticipated Salvage</v>
      </c>
      <c r="X6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1"/>
      <c r="Z6881" t="s">
        <v>39</v>
      </c>
      <c r="AA6881" t="s">
        <v>241</v>
      </c>
      <c r="AB6881" t="s">
        <v>433</v>
      </c>
      <c r="AC6881" s="21">
        <v>1371.98</v>
      </c>
      <c r="AD6881" s="21" t="s">
        <v>368</v>
      </c>
      <c r="AE6881" t="str">
        <f>VLOOKUP(Table_Query_from_Actuarial___Production3[[#This Row],[Kor1]],$AI$3:$AK$105,3,FALSE)</f>
        <v>Misc. Income for Insolvent Companies</v>
      </c>
      <c r="AF6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2" spans="18:32" x14ac:dyDescent="0.2">
      <c r="R6882" t="s">
        <v>3</v>
      </c>
      <c r="S6882" t="s">
        <v>262</v>
      </c>
      <c r="T6882" t="s">
        <v>441</v>
      </c>
      <c r="U6882" s="21">
        <v>426771</v>
      </c>
      <c r="V6882" s="21" t="s">
        <v>368</v>
      </c>
      <c r="W6882" t="str">
        <f>VLOOKUP(Table_Query_from_Actuarial___Production[[#This Row],[Kor1]],$AI$3:$AK$105,3,FALSE)</f>
        <v>Premiums Written</v>
      </c>
      <c r="X6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2"/>
      <c r="Z6882" t="s">
        <v>47</v>
      </c>
      <c r="AA6882" t="s">
        <v>234</v>
      </c>
      <c r="AB6882" t="s">
        <v>441</v>
      </c>
      <c r="AC6882" s="21">
        <v>25.01</v>
      </c>
      <c r="AD6882" s="21" t="s">
        <v>368</v>
      </c>
      <c r="AE6882" t="str">
        <f>VLOOKUP(Table_Query_from_Actuarial___Production3[[#This Row],[Kor1]],$AI$3:$AK$105,3,FALSE)</f>
        <v>Investment Income</v>
      </c>
      <c r="AF6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3" spans="18:32" x14ac:dyDescent="0.2">
      <c r="R6883" t="s">
        <v>11</v>
      </c>
      <c r="S6883" t="s">
        <v>245</v>
      </c>
      <c r="T6883" t="s">
        <v>6</v>
      </c>
      <c r="U6883" s="21">
        <v>3165.45</v>
      </c>
      <c r="V6883" s="21" t="s">
        <v>368</v>
      </c>
      <c r="W6883" t="str">
        <f>VLOOKUP(Table_Query_from_Actuarial___Production[[#This Row],[Kor1]],$AI$3:$AK$105,3,FALSE)</f>
        <v>Losses Paid</v>
      </c>
      <c r="X6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3"/>
      <c r="Z6883" t="s">
        <v>48</v>
      </c>
      <c r="AA6883" t="s">
        <v>258</v>
      </c>
      <c r="AB6883" t="s">
        <v>443</v>
      </c>
      <c r="AC6883" s="21">
        <v>1647.9</v>
      </c>
      <c r="AD6883" s="21" t="s">
        <v>368</v>
      </c>
      <c r="AE6883" t="str">
        <f>VLOOKUP(Table_Query_from_Actuarial___Production3[[#This Row],[Kor1]],$AI$3:$AK$105,3,FALSE)</f>
        <v>Anticipated Salvage</v>
      </c>
      <c r="AF6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4" spans="18:32" x14ac:dyDescent="0.2">
      <c r="R6884" t="s">
        <v>48</v>
      </c>
      <c r="S6884" t="s">
        <v>251</v>
      </c>
      <c r="T6884" t="s">
        <v>441</v>
      </c>
      <c r="U6884" s="21">
        <v>939.83</v>
      </c>
      <c r="V6884" s="21" t="s">
        <v>368</v>
      </c>
      <c r="W6884" t="str">
        <f>VLOOKUP(Table_Query_from_Actuarial___Production[[#This Row],[Kor1]],$AI$3:$AK$105,3,FALSE)</f>
        <v>Anticipated Salvage</v>
      </c>
      <c r="X6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4"/>
      <c r="Z6884" t="s">
        <v>3</v>
      </c>
      <c r="AA6884" t="s">
        <v>262</v>
      </c>
      <c r="AB6884" t="s">
        <v>441</v>
      </c>
      <c r="AC6884" s="21">
        <v>426771</v>
      </c>
      <c r="AD6884" s="21" t="s">
        <v>368</v>
      </c>
      <c r="AE6884" t="str">
        <f>VLOOKUP(Table_Query_from_Actuarial___Production3[[#This Row],[Kor1]],$AI$3:$AK$105,3,FALSE)</f>
        <v>Premiums Written</v>
      </c>
      <c r="AF6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5" spans="18:32" x14ac:dyDescent="0.2">
      <c r="R6885" t="s">
        <v>39</v>
      </c>
      <c r="S6885" t="s">
        <v>255</v>
      </c>
      <c r="T6885" t="s">
        <v>6</v>
      </c>
      <c r="U6885" s="21">
        <v>6018.43</v>
      </c>
      <c r="V6885" s="21" t="s">
        <v>368</v>
      </c>
      <c r="W6885" t="str">
        <f>VLOOKUP(Table_Query_from_Actuarial___Production[[#This Row],[Kor1]],$AI$3:$AK$105,3,FALSE)</f>
        <v>Misc. Income for Insolvent Companies</v>
      </c>
      <c r="X6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5"/>
      <c r="Z6885" t="s">
        <v>11</v>
      </c>
      <c r="AA6885" t="s">
        <v>245</v>
      </c>
      <c r="AB6885" t="s">
        <v>6</v>
      </c>
      <c r="AC6885" s="21">
        <v>3165.45</v>
      </c>
      <c r="AD6885" s="21" t="s">
        <v>368</v>
      </c>
      <c r="AE6885" t="str">
        <f>VLOOKUP(Table_Query_from_Actuarial___Production3[[#This Row],[Kor1]],$AI$3:$AK$105,3,FALSE)</f>
        <v>Losses Paid</v>
      </c>
      <c r="AF6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6" spans="18:32" x14ac:dyDescent="0.2">
      <c r="R6886" t="s">
        <v>33</v>
      </c>
      <c r="S6886" t="s">
        <v>238</v>
      </c>
      <c r="T6886" t="s">
        <v>351</v>
      </c>
      <c r="U6886" s="21">
        <v>20042.59</v>
      </c>
      <c r="V6886" s="21" t="s">
        <v>368</v>
      </c>
      <c r="W6886" t="str">
        <f>VLOOKUP(Table_Query_from_Actuarial___Production[[#This Row],[Kor1]],$AI$3:$AK$105,3,FALSE)</f>
        <v>Misc. Expense</v>
      </c>
      <c r="X6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6"/>
      <c r="Z6886" t="s">
        <v>48</v>
      </c>
      <c r="AA6886" t="s">
        <v>251</v>
      </c>
      <c r="AB6886" t="s">
        <v>441</v>
      </c>
      <c r="AC6886" s="21">
        <v>1632.74</v>
      </c>
      <c r="AD6886" s="21" t="s">
        <v>368</v>
      </c>
      <c r="AE6886" t="str">
        <f>VLOOKUP(Table_Query_from_Actuarial___Production3[[#This Row],[Kor1]],$AI$3:$AK$105,3,FALSE)</f>
        <v>Anticipated Salvage</v>
      </c>
      <c r="AF6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7" spans="18:32" x14ac:dyDescent="0.2">
      <c r="R6887" t="s">
        <v>38</v>
      </c>
      <c r="S6887" t="s">
        <v>354</v>
      </c>
      <c r="T6887" t="s">
        <v>9</v>
      </c>
      <c r="U6887" s="21">
        <v>157838.92000000001</v>
      </c>
      <c r="V6887" s="21" t="s">
        <v>369</v>
      </c>
      <c r="W6887" t="str">
        <f>VLOOKUP(Table_Query_from_Actuarial___Production[[#This Row],[Kor1]],$AI$3:$AK$105,3,FALSE)</f>
        <v>Misc. Income</v>
      </c>
      <c r="X6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6887"/>
      <c r="Z6887" t="s">
        <v>39</v>
      </c>
      <c r="AA6887" t="s">
        <v>255</v>
      </c>
      <c r="AB6887" t="s">
        <v>6</v>
      </c>
      <c r="AC6887" s="21">
        <v>6018.43</v>
      </c>
      <c r="AD6887" s="21" t="s">
        <v>368</v>
      </c>
      <c r="AE6887" t="str">
        <f>VLOOKUP(Table_Query_from_Actuarial___Production3[[#This Row],[Kor1]],$AI$3:$AK$105,3,FALSE)</f>
        <v>Misc. Income for Insolvent Companies</v>
      </c>
      <c r="AF6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8" spans="18:32" x14ac:dyDescent="0.2">
      <c r="R6888" t="s">
        <v>33</v>
      </c>
      <c r="S6888" t="s">
        <v>251</v>
      </c>
      <c r="T6888" t="s">
        <v>351</v>
      </c>
      <c r="U6888" s="21">
        <v>16068.98</v>
      </c>
      <c r="V6888" s="21" t="s">
        <v>368</v>
      </c>
      <c r="W6888" t="str">
        <f>VLOOKUP(Table_Query_from_Actuarial___Production[[#This Row],[Kor1]],$AI$3:$AK$105,3,FALSE)</f>
        <v>Misc. Expense</v>
      </c>
      <c r="X6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8"/>
      <c r="Z6888" t="s">
        <v>33</v>
      </c>
      <c r="AA6888" t="s">
        <v>238</v>
      </c>
      <c r="AB6888" t="s">
        <v>351</v>
      </c>
      <c r="AC6888" s="21">
        <v>20042.59</v>
      </c>
      <c r="AD6888" s="21" t="s">
        <v>368</v>
      </c>
      <c r="AE6888" t="str">
        <f>VLOOKUP(Table_Query_from_Actuarial___Production3[[#This Row],[Kor1]],$AI$3:$AK$105,3,FALSE)</f>
        <v>Misc. Expense</v>
      </c>
      <c r="AF6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89" spans="18:32" x14ac:dyDescent="0.2">
      <c r="R6889" t="s">
        <v>3</v>
      </c>
      <c r="S6889" t="s">
        <v>257</v>
      </c>
      <c r="T6889" t="s">
        <v>7</v>
      </c>
      <c r="U6889" s="21">
        <v>1268965</v>
      </c>
      <c r="V6889" s="21" t="s">
        <v>368</v>
      </c>
      <c r="W6889" t="str">
        <f>VLOOKUP(Table_Query_from_Actuarial___Production[[#This Row],[Kor1]],$AI$3:$AK$105,3,FALSE)</f>
        <v>Premiums Written</v>
      </c>
      <c r="X6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89"/>
      <c r="Z6889" t="s">
        <v>38</v>
      </c>
      <c r="AA6889" t="s">
        <v>354</v>
      </c>
      <c r="AB6889" t="s">
        <v>9</v>
      </c>
      <c r="AC6889" s="21">
        <v>157838.92000000001</v>
      </c>
      <c r="AD6889" s="21" t="s">
        <v>369</v>
      </c>
      <c r="AE6889" t="str">
        <f>VLOOKUP(Table_Query_from_Actuarial___Production3[[#This Row],[Kor1]],$AI$3:$AK$105,3,FALSE)</f>
        <v>Misc. Income</v>
      </c>
      <c r="AF6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6890" spans="18:32" x14ac:dyDescent="0.2">
      <c r="R6890" t="s">
        <v>15</v>
      </c>
      <c r="S6890" t="s">
        <v>242</v>
      </c>
      <c r="T6890" t="s">
        <v>445</v>
      </c>
      <c r="U6890" s="21">
        <v>261220.24</v>
      </c>
      <c r="V6890" s="21" t="s">
        <v>368</v>
      </c>
      <c r="W6890" t="str">
        <f>VLOOKUP(Table_Query_from_Actuarial___Production[[#This Row],[Kor1]],$AI$3:$AK$105,3,FALSE)</f>
        <v>Unearned Premiums</v>
      </c>
      <c r="X6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0"/>
      <c r="Z6890" t="s">
        <v>33</v>
      </c>
      <c r="AA6890" t="s">
        <v>251</v>
      </c>
      <c r="AB6890" t="s">
        <v>351</v>
      </c>
      <c r="AC6890" s="21">
        <v>16068.98</v>
      </c>
      <c r="AD6890" s="21" t="s">
        <v>368</v>
      </c>
      <c r="AE6890" t="str">
        <f>VLOOKUP(Table_Query_from_Actuarial___Production3[[#This Row],[Kor1]],$AI$3:$AK$105,3,FALSE)</f>
        <v>Misc. Expense</v>
      </c>
      <c r="AF6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1" spans="18:32" x14ac:dyDescent="0.2">
      <c r="R6891" t="s">
        <v>47</v>
      </c>
      <c r="S6891" t="s">
        <v>235</v>
      </c>
      <c r="T6891" t="s">
        <v>442</v>
      </c>
      <c r="U6891" s="21">
        <v>2653.38</v>
      </c>
      <c r="V6891" s="21" t="s">
        <v>368</v>
      </c>
      <c r="W6891" t="str">
        <f>VLOOKUP(Table_Query_from_Actuarial___Production[[#This Row],[Kor1]],$AI$3:$AK$105,3,FALSE)</f>
        <v>Investment Income</v>
      </c>
      <c r="X6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1"/>
      <c r="Z6891" t="s">
        <v>3</v>
      </c>
      <c r="AA6891" t="s">
        <v>257</v>
      </c>
      <c r="AB6891" t="s">
        <v>7</v>
      </c>
      <c r="AC6891" s="21">
        <v>1268965</v>
      </c>
      <c r="AD6891" s="21" t="s">
        <v>368</v>
      </c>
      <c r="AE6891" t="str">
        <f>VLOOKUP(Table_Query_from_Actuarial___Production3[[#This Row],[Kor1]],$AI$3:$AK$105,3,FALSE)</f>
        <v>Premiums Written</v>
      </c>
      <c r="AF6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2" spans="18:32" x14ac:dyDescent="0.2">
      <c r="R6892" t="s">
        <v>41</v>
      </c>
      <c r="S6892" t="s">
        <v>246</v>
      </c>
      <c r="T6892" t="s">
        <v>7</v>
      </c>
      <c r="U6892" s="21">
        <v>100</v>
      </c>
      <c r="V6892" s="21" t="s">
        <v>368</v>
      </c>
      <c r="W6892" t="str">
        <f>VLOOKUP(Table_Query_from_Actuarial___Production[[#This Row],[Kor1]],$AI$3:$AK$105,3,FALSE)</f>
        <v>Misc. Income</v>
      </c>
      <c r="X6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2"/>
      <c r="Z6892" t="s">
        <v>47</v>
      </c>
      <c r="AA6892" t="s">
        <v>235</v>
      </c>
      <c r="AB6892" t="s">
        <v>442</v>
      </c>
      <c r="AC6892" s="21">
        <v>2653.38</v>
      </c>
      <c r="AD6892" s="21" t="s">
        <v>368</v>
      </c>
      <c r="AE6892" t="str">
        <f>VLOOKUP(Table_Query_from_Actuarial___Production3[[#This Row],[Kor1]],$AI$3:$AK$105,3,FALSE)</f>
        <v>Investment Income</v>
      </c>
      <c r="AF6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3" spans="18:32" x14ac:dyDescent="0.2">
      <c r="R6893" t="s">
        <v>33</v>
      </c>
      <c r="S6893" t="s">
        <v>248</v>
      </c>
      <c r="T6893" t="s">
        <v>9</v>
      </c>
      <c r="U6893" s="21">
        <v>15868.33</v>
      </c>
      <c r="V6893" s="21" t="s">
        <v>368</v>
      </c>
      <c r="W6893" t="str">
        <f>VLOOKUP(Table_Query_from_Actuarial___Production[[#This Row],[Kor1]],$AI$3:$AK$105,3,FALSE)</f>
        <v>Misc. Expense</v>
      </c>
      <c r="X6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3"/>
      <c r="Z6893" t="s">
        <v>3</v>
      </c>
      <c r="AA6893" t="s">
        <v>225</v>
      </c>
      <c r="AB6893" t="s">
        <v>5</v>
      </c>
      <c r="AC6893" s="21">
        <v>4874148.46</v>
      </c>
      <c r="AD6893" s="21" t="s">
        <v>369</v>
      </c>
      <c r="AE6893" t="str">
        <f>VLOOKUP(Table_Query_from_Actuarial___Production3[[#This Row],[Kor1]],$AI$3:$AK$105,3,FALSE)</f>
        <v>Premiums Written</v>
      </c>
      <c r="AF6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894" spans="18:32" x14ac:dyDescent="0.2">
      <c r="R6894" t="s">
        <v>40</v>
      </c>
      <c r="S6894" t="s">
        <v>248</v>
      </c>
      <c r="T6894" t="s">
        <v>7</v>
      </c>
      <c r="U6894" s="21">
        <v>303.01</v>
      </c>
      <c r="V6894" s="21" t="s">
        <v>368</v>
      </c>
      <c r="W6894" t="str">
        <f>VLOOKUP(Table_Query_from_Actuarial___Production[[#This Row],[Kor1]],$AI$3:$AK$105,3,FALSE)</f>
        <v>Misc. Income</v>
      </c>
      <c r="X6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4"/>
      <c r="Z6894" t="s">
        <v>41</v>
      </c>
      <c r="AA6894" t="s">
        <v>246</v>
      </c>
      <c r="AB6894" t="s">
        <v>7</v>
      </c>
      <c r="AC6894" s="21">
        <v>100</v>
      </c>
      <c r="AD6894" s="21" t="s">
        <v>368</v>
      </c>
      <c r="AE6894" t="str">
        <f>VLOOKUP(Table_Query_from_Actuarial___Production3[[#This Row],[Kor1]],$AI$3:$AK$105,3,FALSE)</f>
        <v>Misc. Income</v>
      </c>
      <c r="AF6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5" spans="18:32" x14ac:dyDescent="0.2">
      <c r="R6895" t="s">
        <v>41</v>
      </c>
      <c r="S6895" t="s">
        <v>261</v>
      </c>
      <c r="T6895" t="s">
        <v>356</v>
      </c>
      <c r="U6895" s="21">
        <v>300</v>
      </c>
      <c r="V6895" s="21" t="s">
        <v>368</v>
      </c>
      <c r="W6895" t="str">
        <f>VLOOKUP(Table_Query_from_Actuarial___Production[[#This Row],[Kor1]],$AI$3:$AK$105,3,FALSE)</f>
        <v>Misc. Income</v>
      </c>
      <c r="X6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5"/>
      <c r="Z6895" t="s">
        <v>33</v>
      </c>
      <c r="AA6895" t="s">
        <v>248</v>
      </c>
      <c r="AB6895" t="s">
        <v>9</v>
      </c>
      <c r="AC6895" s="21">
        <v>15868.33</v>
      </c>
      <c r="AD6895" s="21" t="s">
        <v>368</v>
      </c>
      <c r="AE6895" t="str">
        <f>VLOOKUP(Table_Query_from_Actuarial___Production3[[#This Row],[Kor1]],$AI$3:$AK$105,3,FALSE)</f>
        <v>Misc. Expense</v>
      </c>
      <c r="AF6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6" spans="18:32" x14ac:dyDescent="0.2">
      <c r="R6896" t="s">
        <v>29</v>
      </c>
      <c r="S6896" t="s">
        <v>4</v>
      </c>
      <c r="T6896" t="s">
        <v>427</v>
      </c>
      <c r="U6896" s="21">
        <v>2403.14</v>
      </c>
      <c r="V6896" s="21" t="s">
        <v>368</v>
      </c>
      <c r="W6896" t="str">
        <f>VLOOKUP(Table_Query_from_Actuarial___Production[[#This Row],[Kor1]],$AI$3:$AK$105,3,FALSE)</f>
        <v>Misc. Expense</v>
      </c>
      <c r="X6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6"/>
      <c r="Z6896" t="s">
        <v>40</v>
      </c>
      <c r="AA6896" t="s">
        <v>248</v>
      </c>
      <c r="AB6896" t="s">
        <v>7</v>
      </c>
      <c r="AC6896" s="21">
        <v>303.01</v>
      </c>
      <c r="AD6896" s="21" t="s">
        <v>368</v>
      </c>
      <c r="AE6896" t="str">
        <f>VLOOKUP(Table_Query_from_Actuarial___Production3[[#This Row],[Kor1]],$AI$3:$AK$105,3,FALSE)</f>
        <v>Misc. Income</v>
      </c>
      <c r="AF6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7" spans="18:32" x14ac:dyDescent="0.2">
      <c r="R6897" t="s">
        <v>48</v>
      </c>
      <c r="S6897" t="s">
        <v>257</v>
      </c>
      <c r="T6897" t="s">
        <v>441</v>
      </c>
      <c r="U6897" s="21">
        <v>10730.81</v>
      </c>
      <c r="V6897" s="21" t="s">
        <v>368</v>
      </c>
      <c r="W6897" t="str">
        <f>VLOOKUP(Table_Query_from_Actuarial___Production[[#This Row],[Kor1]],$AI$3:$AK$105,3,FALSE)</f>
        <v>Anticipated Salvage</v>
      </c>
      <c r="X6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7"/>
      <c r="Z6897" t="s">
        <v>41</v>
      </c>
      <c r="AA6897" t="s">
        <v>261</v>
      </c>
      <c r="AB6897" t="s">
        <v>356</v>
      </c>
      <c r="AC6897" s="21">
        <v>300</v>
      </c>
      <c r="AD6897" s="21" t="s">
        <v>368</v>
      </c>
      <c r="AE6897" t="str">
        <f>VLOOKUP(Table_Query_from_Actuarial___Production3[[#This Row],[Kor1]],$AI$3:$AK$105,3,FALSE)</f>
        <v>Misc. Income</v>
      </c>
      <c r="AF6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8" spans="18:32" x14ac:dyDescent="0.2">
      <c r="R6898" t="s">
        <v>50</v>
      </c>
      <c r="S6898" t="s">
        <v>242</v>
      </c>
      <c r="T6898" t="s">
        <v>7</v>
      </c>
      <c r="U6898" s="21">
        <v>1667</v>
      </c>
      <c r="V6898" s="21" t="s">
        <v>368</v>
      </c>
      <c r="W6898" t="str">
        <f>VLOOKUP(Table_Query_from_Actuarial___Production[[#This Row],[Kor1]],$AI$3:$AK$105,3,FALSE)</f>
        <v>ALAE Reserve</v>
      </c>
      <c r="X6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8"/>
      <c r="Z6898" t="s">
        <v>48</v>
      </c>
      <c r="AA6898" t="s">
        <v>250</v>
      </c>
      <c r="AB6898" t="s">
        <v>356</v>
      </c>
      <c r="AC6898" s="21">
        <v>783.09</v>
      </c>
      <c r="AD6898" s="21" t="s">
        <v>368</v>
      </c>
      <c r="AE6898" t="str">
        <f>VLOOKUP(Table_Query_from_Actuarial___Production3[[#This Row],[Kor1]],$AI$3:$AK$105,3,FALSE)</f>
        <v>Anticipated Salvage</v>
      </c>
      <c r="AF6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899" spans="18:32" x14ac:dyDescent="0.2">
      <c r="R6899" t="s">
        <v>34</v>
      </c>
      <c r="S6899" t="s">
        <v>239</v>
      </c>
      <c r="T6899" t="s">
        <v>442</v>
      </c>
      <c r="U6899" s="21">
        <v>7262.73</v>
      </c>
      <c r="V6899" s="21" t="s">
        <v>368</v>
      </c>
      <c r="W6899" t="str">
        <f>VLOOKUP(Table_Query_from_Actuarial___Production[[#This Row],[Kor1]],$AI$3:$AK$105,3,FALSE)</f>
        <v>Misc. Expense</v>
      </c>
      <c r="X6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899"/>
      <c r="Z6899" t="s">
        <v>29</v>
      </c>
      <c r="AA6899" t="s">
        <v>4</v>
      </c>
      <c r="AB6899" t="s">
        <v>427</v>
      </c>
      <c r="AC6899" s="21">
        <v>2403.14</v>
      </c>
      <c r="AD6899" s="21" t="s">
        <v>368</v>
      </c>
      <c r="AE6899" t="str">
        <f>VLOOKUP(Table_Query_from_Actuarial___Production3[[#This Row],[Kor1]],$AI$3:$AK$105,3,FALSE)</f>
        <v>Misc. Expense</v>
      </c>
      <c r="AF6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0" spans="18:32" x14ac:dyDescent="0.2">
      <c r="R6900" t="s">
        <v>11</v>
      </c>
      <c r="S6900" t="s">
        <v>254</v>
      </c>
      <c r="T6900" t="s">
        <v>427</v>
      </c>
      <c r="U6900" s="21">
        <v>5847363.3399999999</v>
      </c>
      <c r="V6900" s="21" t="s">
        <v>368</v>
      </c>
      <c r="W6900" t="str">
        <f>VLOOKUP(Table_Query_from_Actuarial___Production[[#This Row],[Kor1]],$AI$3:$AK$105,3,FALSE)</f>
        <v>Losses Paid</v>
      </c>
      <c r="X6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0"/>
      <c r="Z6900" t="s">
        <v>48</v>
      </c>
      <c r="AA6900" t="s">
        <v>257</v>
      </c>
      <c r="AB6900" t="s">
        <v>441</v>
      </c>
      <c r="AC6900" s="21">
        <v>7552.1</v>
      </c>
      <c r="AD6900" s="21" t="s">
        <v>368</v>
      </c>
      <c r="AE6900" t="str">
        <f>VLOOKUP(Table_Query_from_Actuarial___Production3[[#This Row],[Kor1]],$AI$3:$AK$105,3,FALSE)</f>
        <v>Anticipated Salvage</v>
      </c>
      <c r="AF6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1" spans="18:32" x14ac:dyDescent="0.2">
      <c r="R6901" t="s">
        <v>43</v>
      </c>
      <c r="S6901" t="s">
        <v>241</v>
      </c>
      <c r="T6901" t="s">
        <v>441</v>
      </c>
      <c r="U6901" s="21">
        <v>-13.78</v>
      </c>
      <c r="V6901" s="21" t="s">
        <v>368</v>
      </c>
      <c r="W6901" t="str">
        <f>VLOOKUP(Table_Query_from_Actuarial___Production[[#This Row],[Kor1]],$AI$3:$AK$105,3,FALSE)</f>
        <v>Charge-offs</v>
      </c>
      <c r="X6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1"/>
      <c r="Z6901" t="s">
        <v>50</v>
      </c>
      <c r="AA6901" t="s">
        <v>242</v>
      </c>
      <c r="AB6901" t="s">
        <v>7</v>
      </c>
      <c r="AC6901" s="21">
        <v>10793.46</v>
      </c>
      <c r="AD6901" s="21" t="s">
        <v>368</v>
      </c>
      <c r="AE6901" t="str">
        <f>VLOOKUP(Table_Query_from_Actuarial___Production3[[#This Row],[Kor1]],$AI$3:$AK$105,3,FALSE)</f>
        <v>ALAE Reserve</v>
      </c>
      <c r="AF6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2" spans="18:32" x14ac:dyDescent="0.2">
      <c r="R6902" t="s">
        <v>10</v>
      </c>
      <c r="S6902" t="s">
        <v>254</v>
      </c>
      <c r="T6902" t="s">
        <v>8</v>
      </c>
      <c r="U6902" s="21">
        <v>56208.25</v>
      </c>
      <c r="V6902" s="21" t="s">
        <v>368</v>
      </c>
      <c r="W6902" t="str">
        <f>VLOOKUP(Table_Query_from_Actuarial___Production[[#This Row],[Kor1]],$AI$3:$AK$105,3,FALSE)</f>
        <v>Commissions</v>
      </c>
      <c r="X6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2"/>
      <c r="Z6902" t="s">
        <v>34</v>
      </c>
      <c r="AA6902" t="s">
        <v>239</v>
      </c>
      <c r="AB6902" t="s">
        <v>442</v>
      </c>
      <c r="AC6902" s="21">
        <v>7262.73</v>
      </c>
      <c r="AD6902" s="21" t="s">
        <v>368</v>
      </c>
      <c r="AE6902" t="str">
        <f>VLOOKUP(Table_Query_from_Actuarial___Production3[[#This Row],[Kor1]],$AI$3:$AK$105,3,FALSE)</f>
        <v>Misc. Expense</v>
      </c>
      <c r="AF6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3" spans="18:32" x14ac:dyDescent="0.2">
      <c r="R6903" t="s">
        <v>41</v>
      </c>
      <c r="S6903" t="s">
        <v>268</v>
      </c>
      <c r="T6903" t="s">
        <v>443</v>
      </c>
      <c r="U6903" s="21">
        <v>650</v>
      </c>
      <c r="V6903" s="21" t="s">
        <v>368</v>
      </c>
      <c r="W6903" t="str">
        <f>VLOOKUP(Table_Query_from_Actuarial___Production[[#This Row],[Kor1]],$AI$3:$AK$105,3,FALSE)</f>
        <v>Misc. Income</v>
      </c>
      <c r="X6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3"/>
      <c r="Z6903" t="s">
        <v>11</v>
      </c>
      <c r="AA6903" t="s">
        <v>254</v>
      </c>
      <c r="AB6903" t="s">
        <v>427</v>
      </c>
      <c r="AC6903" s="21">
        <v>5072363.34</v>
      </c>
      <c r="AD6903" s="21" t="s">
        <v>368</v>
      </c>
      <c r="AE6903" t="str">
        <f>VLOOKUP(Table_Query_from_Actuarial___Production3[[#This Row],[Kor1]],$AI$3:$AK$105,3,FALSE)</f>
        <v>Losses Paid</v>
      </c>
      <c r="AF6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4" spans="18:32" x14ac:dyDescent="0.2">
      <c r="R6904" t="s">
        <v>39</v>
      </c>
      <c r="S6904" t="s">
        <v>237</v>
      </c>
      <c r="T6904" t="s">
        <v>351</v>
      </c>
      <c r="U6904" s="21">
        <v>45294.720000000001</v>
      </c>
      <c r="V6904" s="21" t="s">
        <v>368</v>
      </c>
      <c r="W6904" t="str">
        <f>VLOOKUP(Table_Query_from_Actuarial___Production[[#This Row],[Kor1]],$AI$3:$AK$105,3,FALSE)</f>
        <v>Misc. Income for Insolvent Companies</v>
      </c>
      <c r="X6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4"/>
      <c r="Z6904" t="s">
        <v>43</v>
      </c>
      <c r="AA6904" t="s">
        <v>241</v>
      </c>
      <c r="AB6904" t="s">
        <v>441</v>
      </c>
      <c r="AC6904" s="21">
        <v>-13.78</v>
      </c>
      <c r="AD6904" s="21" t="s">
        <v>368</v>
      </c>
      <c r="AE6904" t="str">
        <f>VLOOKUP(Table_Query_from_Actuarial___Production3[[#This Row],[Kor1]],$AI$3:$AK$105,3,FALSE)</f>
        <v>Charge-offs</v>
      </c>
      <c r="AF6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5" spans="18:32" x14ac:dyDescent="0.2">
      <c r="R6905" t="s">
        <v>10</v>
      </c>
      <c r="S6905" t="s">
        <v>245</v>
      </c>
      <c r="T6905" t="s">
        <v>356</v>
      </c>
      <c r="U6905" s="21">
        <v>324.89999999999998</v>
      </c>
      <c r="V6905" s="21" t="s">
        <v>368</v>
      </c>
      <c r="W6905" t="str">
        <f>VLOOKUP(Table_Query_from_Actuarial___Production[[#This Row],[Kor1]],$AI$3:$AK$105,3,FALSE)</f>
        <v>Commissions</v>
      </c>
      <c r="X6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5"/>
      <c r="Z6905" t="s">
        <v>10</v>
      </c>
      <c r="AA6905" t="s">
        <v>254</v>
      </c>
      <c r="AB6905" t="s">
        <v>8</v>
      </c>
      <c r="AC6905" s="21">
        <v>56208.25</v>
      </c>
      <c r="AD6905" s="21" t="s">
        <v>368</v>
      </c>
      <c r="AE6905" t="str">
        <f>VLOOKUP(Table_Query_from_Actuarial___Production3[[#This Row],[Kor1]],$AI$3:$AK$105,3,FALSE)</f>
        <v>Commissions</v>
      </c>
      <c r="AF6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6" spans="18:32" x14ac:dyDescent="0.2">
      <c r="R6906" t="s">
        <v>21</v>
      </c>
      <c r="S6906" t="s">
        <v>246</v>
      </c>
      <c r="T6906" t="s">
        <v>433</v>
      </c>
      <c r="U6906" s="21">
        <v>1369.73</v>
      </c>
      <c r="V6906" s="21" t="s">
        <v>368</v>
      </c>
      <c r="W6906" t="str">
        <f>VLOOKUP(Table_Query_from_Actuarial___Production[[#This Row],[Kor1]],$AI$3:$AK$105,3,FALSE)</f>
        <v>Misc. Expense</v>
      </c>
      <c r="X6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6"/>
      <c r="Z6906" t="s">
        <v>41</v>
      </c>
      <c r="AA6906" t="s">
        <v>268</v>
      </c>
      <c r="AB6906" t="s">
        <v>443</v>
      </c>
      <c r="AC6906" s="21">
        <v>150</v>
      </c>
      <c r="AD6906" s="21" t="s">
        <v>368</v>
      </c>
      <c r="AE6906" t="str">
        <f>VLOOKUP(Table_Query_from_Actuarial___Production3[[#This Row],[Kor1]],$AI$3:$AK$105,3,FALSE)</f>
        <v>Misc. Income</v>
      </c>
      <c r="AF6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7" spans="18:32" x14ac:dyDescent="0.2">
      <c r="R6907" t="s">
        <v>13</v>
      </c>
      <c r="S6907" t="s">
        <v>231</v>
      </c>
      <c r="T6907" t="s">
        <v>6</v>
      </c>
      <c r="U6907" s="21">
        <v>20619.02</v>
      </c>
      <c r="V6907" s="21" t="s">
        <v>368</v>
      </c>
      <c r="W6907" t="str">
        <f>VLOOKUP(Table_Query_from_Actuarial___Production[[#This Row],[Kor1]],$AI$3:$AK$105,3,FALSE)</f>
        <v>Operating Service Fees</v>
      </c>
      <c r="X6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7"/>
      <c r="Z6907" t="s">
        <v>39</v>
      </c>
      <c r="AA6907" t="s">
        <v>237</v>
      </c>
      <c r="AB6907" t="s">
        <v>351</v>
      </c>
      <c r="AC6907" s="21">
        <v>45031.72</v>
      </c>
      <c r="AD6907" s="21" t="s">
        <v>368</v>
      </c>
      <c r="AE6907" t="str">
        <f>VLOOKUP(Table_Query_from_Actuarial___Production3[[#This Row],[Kor1]],$AI$3:$AK$105,3,FALSE)</f>
        <v>Misc. Income for Insolvent Companies</v>
      </c>
      <c r="AF6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8" spans="18:32" x14ac:dyDescent="0.2">
      <c r="R6908" t="s">
        <v>31</v>
      </c>
      <c r="S6908" t="s">
        <v>228</v>
      </c>
      <c r="T6908" t="s">
        <v>433</v>
      </c>
      <c r="U6908" s="21">
        <v>258.91000000000003</v>
      </c>
      <c r="V6908" s="21" t="s">
        <v>368</v>
      </c>
      <c r="W6908" t="str">
        <f>VLOOKUP(Table_Query_from_Actuarial___Production[[#This Row],[Kor1]],$AI$3:$AK$105,3,FALSE)</f>
        <v>Misc. Expense</v>
      </c>
      <c r="X6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8"/>
      <c r="Z6908" t="s">
        <v>44</v>
      </c>
      <c r="AA6908" t="s">
        <v>237</v>
      </c>
      <c r="AB6908" t="s">
        <v>5</v>
      </c>
      <c r="AC6908" s="21">
        <v>7.96</v>
      </c>
      <c r="AD6908" s="21" t="s">
        <v>368</v>
      </c>
      <c r="AE6908" t="str">
        <f>VLOOKUP(Table_Query_from_Actuarial___Production3[[#This Row],[Kor1]],$AI$3:$AK$105,3,FALSE)</f>
        <v>Charge-offs</v>
      </c>
      <c r="AF6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09" spans="18:32" x14ac:dyDescent="0.2">
      <c r="R6909" t="s">
        <v>47</v>
      </c>
      <c r="S6909" t="s">
        <v>251</v>
      </c>
      <c r="T6909" t="s">
        <v>433</v>
      </c>
      <c r="U6909" s="21">
        <v>604.88</v>
      </c>
      <c r="V6909" s="21" t="s">
        <v>368</v>
      </c>
      <c r="W6909" t="str">
        <f>VLOOKUP(Table_Query_from_Actuarial___Production[[#This Row],[Kor1]],$AI$3:$AK$105,3,FALSE)</f>
        <v>Investment Income</v>
      </c>
      <c r="X6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09"/>
      <c r="Z6909" t="s">
        <v>10</v>
      </c>
      <c r="AA6909" t="s">
        <v>245</v>
      </c>
      <c r="AB6909" t="s">
        <v>356</v>
      </c>
      <c r="AC6909" s="21">
        <v>324.89999999999998</v>
      </c>
      <c r="AD6909" s="21" t="s">
        <v>368</v>
      </c>
      <c r="AE6909" t="str">
        <f>VLOOKUP(Table_Query_from_Actuarial___Production3[[#This Row],[Kor1]],$AI$3:$AK$105,3,FALSE)</f>
        <v>Commissions</v>
      </c>
      <c r="AF6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0" spans="18:32" x14ac:dyDescent="0.2">
      <c r="R6910" t="s">
        <v>17</v>
      </c>
      <c r="S6910" t="s">
        <v>230</v>
      </c>
      <c r="T6910" t="s">
        <v>442</v>
      </c>
      <c r="U6910" s="21">
        <v>2434077.85</v>
      </c>
      <c r="V6910" s="21" t="s">
        <v>368</v>
      </c>
      <c r="W6910" t="str">
        <f>VLOOKUP(Table_Query_from_Actuarial___Production[[#This Row],[Kor1]],$AI$3:$AK$105,3,FALSE)</f>
        <v>IBNR</v>
      </c>
      <c r="X6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0"/>
      <c r="Z6910" t="s">
        <v>21</v>
      </c>
      <c r="AA6910" t="s">
        <v>246</v>
      </c>
      <c r="AB6910" t="s">
        <v>433</v>
      </c>
      <c r="AC6910" s="21">
        <v>1369.73</v>
      </c>
      <c r="AD6910" s="21" t="s">
        <v>368</v>
      </c>
      <c r="AE6910" t="str">
        <f>VLOOKUP(Table_Query_from_Actuarial___Production3[[#This Row],[Kor1]],$AI$3:$AK$105,3,FALSE)</f>
        <v>Misc. Expense</v>
      </c>
      <c r="AF6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1" spans="18:32" x14ac:dyDescent="0.2">
      <c r="R6911" t="s">
        <v>47</v>
      </c>
      <c r="S6911" t="s">
        <v>252</v>
      </c>
      <c r="T6911" t="s">
        <v>351</v>
      </c>
      <c r="U6911" s="21">
        <v>21121.119999999999</v>
      </c>
      <c r="V6911" s="21" t="s">
        <v>368</v>
      </c>
      <c r="W6911" t="str">
        <f>VLOOKUP(Table_Query_from_Actuarial___Production[[#This Row],[Kor1]],$AI$3:$AK$105,3,FALSE)</f>
        <v>Investment Income</v>
      </c>
      <c r="X6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1"/>
      <c r="Z6911" t="s">
        <v>13</v>
      </c>
      <c r="AA6911" t="s">
        <v>231</v>
      </c>
      <c r="AB6911" t="s">
        <v>6</v>
      </c>
      <c r="AC6911" s="21">
        <v>20619.02</v>
      </c>
      <c r="AD6911" s="21" t="s">
        <v>368</v>
      </c>
      <c r="AE6911" t="str">
        <f>VLOOKUP(Table_Query_from_Actuarial___Production3[[#This Row],[Kor1]],$AI$3:$AK$105,3,FALSE)</f>
        <v>Operating Service Fees</v>
      </c>
      <c r="AF6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2" spans="18:32" x14ac:dyDescent="0.2">
      <c r="R6912" t="s">
        <v>13</v>
      </c>
      <c r="S6912" t="s">
        <v>255</v>
      </c>
      <c r="T6912" t="s">
        <v>433</v>
      </c>
      <c r="U6912" s="21">
        <v>45810</v>
      </c>
      <c r="V6912" s="21" t="s">
        <v>368</v>
      </c>
      <c r="W6912" t="str">
        <f>VLOOKUP(Table_Query_from_Actuarial___Production[[#This Row],[Kor1]],$AI$3:$AK$105,3,FALSE)</f>
        <v>Operating Service Fees</v>
      </c>
      <c r="X6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2"/>
      <c r="Z6912" t="s">
        <v>14</v>
      </c>
      <c r="AA6912" t="s">
        <v>247</v>
      </c>
      <c r="AB6912" t="s">
        <v>5</v>
      </c>
      <c r="AC6912" s="21">
        <v>1356.45</v>
      </c>
      <c r="AD6912" s="21" t="s">
        <v>368</v>
      </c>
      <c r="AE6912" t="str">
        <f>VLOOKUP(Table_Query_from_Actuarial___Production3[[#This Row],[Kor1]],$AI$3:$AK$105,3,FALSE)</f>
        <v>Claims Expense</v>
      </c>
      <c r="AF6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3" spans="18:32" x14ac:dyDescent="0.2">
      <c r="R6913" t="s">
        <v>33</v>
      </c>
      <c r="S6913" t="s">
        <v>239</v>
      </c>
      <c r="T6913" t="s">
        <v>8</v>
      </c>
      <c r="U6913" s="21">
        <v>15045.02</v>
      </c>
      <c r="V6913" s="21" t="s">
        <v>368</v>
      </c>
      <c r="W6913" t="str">
        <f>VLOOKUP(Table_Query_from_Actuarial___Production[[#This Row],[Kor1]],$AI$3:$AK$105,3,FALSE)</f>
        <v>Misc. Expense</v>
      </c>
      <c r="X6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3"/>
      <c r="Z6913" t="s">
        <v>31</v>
      </c>
      <c r="AA6913" t="s">
        <v>228</v>
      </c>
      <c r="AB6913" t="s">
        <v>433</v>
      </c>
      <c r="AC6913" s="21">
        <v>258.91000000000003</v>
      </c>
      <c r="AD6913" s="21" t="s">
        <v>368</v>
      </c>
      <c r="AE6913" t="str">
        <f>VLOOKUP(Table_Query_from_Actuarial___Production3[[#This Row],[Kor1]],$AI$3:$AK$105,3,FALSE)</f>
        <v>Misc. Expense</v>
      </c>
      <c r="AF6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4" spans="18:32" x14ac:dyDescent="0.2">
      <c r="R6914" t="s">
        <v>31</v>
      </c>
      <c r="S6914" t="s">
        <v>241</v>
      </c>
      <c r="T6914" t="s">
        <v>8</v>
      </c>
      <c r="U6914" s="21">
        <v>555.41</v>
      </c>
      <c r="V6914" s="21" t="s">
        <v>368</v>
      </c>
      <c r="W6914" t="str">
        <f>VLOOKUP(Table_Query_from_Actuarial___Production[[#This Row],[Kor1]],$AI$3:$AK$105,3,FALSE)</f>
        <v>Misc. Expense</v>
      </c>
      <c r="X6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4"/>
      <c r="Z6914" t="s">
        <v>47</v>
      </c>
      <c r="AA6914" t="s">
        <v>251</v>
      </c>
      <c r="AB6914" t="s">
        <v>433</v>
      </c>
      <c r="AC6914" s="21">
        <v>604.88</v>
      </c>
      <c r="AD6914" s="21" t="s">
        <v>368</v>
      </c>
      <c r="AE6914" t="str">
        <f>VLOOKUP(Table_Query_from_Actuarial___Production3[[#This Row],[Kor1]],$AI$3:$AK$105,3,FALSE)</f>
        <v>Investment Income</v>
      </c>
      <c r="AF6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5" spans="18:32" x14ac:dyDescent="0.2">
      <c r="R6915" t="s">
        <v>21</v>
      </c>
      <c r="S6915" t="s">
        <v>258</v>
      </c>
      <c r="T6915" t="s">
        <v>433</v>
      </c>
      <c r="U6915" s="21">
        <v>7373.5</v>
      </c>
      <c r="V6915" s="21" t="s">
        <v>368</v>
      </c>
      <c r="W6915" t="str">
        <f>VLOOKUP(Table_Query_from_Actuarial___Production[[#This Row],[Kor1]],$AI$3:$AK$105,3,FALSE)</f>
        <v>Misc. Expense</v>
      </c>
      <c r="X6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5"/>
      <c r="Z6915" t="s">
        <v>17</v>
      </c>
      <c r="AA6915" t="s">
        <v>230</v>
      </c>
      <c r="AB6915" t="s">
        <v>442</v>
      </c>
      <c r="AC6915" s="21">
        <v>3551446.47</v>
      </c>
      <c r="AD6915" s="21" t="s">
        <v>368</v>
      </c>
      <c r="AE6915" t="str">
        <f>VLOOKUP(Table_Query_from_Actuarial___Production3[[#This Row],[Kor1]],$AI$3:$AK$105,3,FALSE)</f>
        <v>IBNR</v>
      </c>
      <c r="AF6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6" spans="18:32" x14ac:dyDescent="0.2">
      <c r="R6916" t="s">
        <v>49</v>
      </c>
      <c r="S6916" t="s">
        <v>225</v>
      </c>
      <c r="T6916" t="s">
        <v>6</v>
      </c>
      <c r="U6916" s="21">
        <v>669889.42000000004</v>
      </c>
      <c r="V6916" s="21" t="s">
        <v>369</v>
      </c>
      <c r="W6916" t="str">
        <f>VLOOKUP(Table_Query_from_Actuarial___Production[[#This Row],[Kor1]],$AI$3:$AK$105,3,FALSE)</f>
        <v>ALAE Paid</v>
      </c>
      <c r="X6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916"/>
      <c r="Z6916" t="s">
        <v>33</v>
      </c>
      <c r="AA6916" t="s">
        <v>230</v>
      </c>
      <c r="AB6916" t="s">
        <v>5</v>
      </c>
      <c r="AC6916" s="21">
        <v>25420.57</v>
      </c>
      <c r="AD6916" s="21" t="s">
        <v>368</v>
      </c>
      <c r="AE6916" t="str">
        <f>VLOOKUP(Table_Query_from_Actuarial___Production3[[#This Row],[Kor1]],$AI$3:$AK$105,3,FALSE)</f>
        <v>Misc. Expense</v>
      </c>
      <c r="AF6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7" spans="18:32" x14ac:dyDescent="0.2">
      <c r="R6917" t="s">
        <v>44</v>
      </c>
      <c r="S6917" t="s">
        <v>259</v>
      </c>
      <c r="T6917" t="s">
        <v>427</v>
      </c>
      <c r="U6917" s="21">
        <v>-7</v>
      </c>
      <c r="V6917" s="21" t="s">
        <v>368</v>
      </c>
      <c r="W6917" t="str">
        <f>VLOOKUP(Table_Query_from_Actuarial___Production[[#This Row],[Kor1]],$AI$3:$AK$105,3,FALSE)</f>
        <v>Charge-offs</v>
      </c>
      <c r="X6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7"/>
      <c r="Z6917" t="s">
        <v>47</v>
      </c>
      <c r="AA6917" t="s">
        <v>252</v>
      </c>
      <c r="AB6917" t="s">
        <v>351</v>
      </c>
      <c r="AC6917" s="21">
        <v>21121.119999999999</v>
      </c>
      <c r="AD6917" s="21" t="s">
        <v>368</v>
      </c>
      <c r="AE6917" t="str">
        <f>VLOOKUP(Table_Query_from_Actuarial___Production3[[#This Row],[Kor1]],$AI$3:$AK$105,3,FALSE)</f>
        <v>Investment Income</v>
      </c>
      <c r="AF6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8" spans="18:32" x14ac:dyDescent="0.2">
      <c r="R6918" t="s">
        <v>47</v>
      </c>
      <c r="S6918" t="s">
        <v>243</v>
      </c>
      <c r="T6918" t="s">
        <v>9</v>
      </c>
      <c r="U6918" s="21">
        <v>96.85</v>
      </c>
      <c r="V6918" s="21" t="s">
        <v>368</v>
      </c>
      <c r="W6918" t="str">
        <f>VLOOKUP(Table_Query_from_Actuarial___Production[[#This Row],[Kor1]],$AI$3:$AK$105,3,FALSE)</f>
        <v>Investment Income</v>
      </c>
      <c r="X6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8"/>
      <c r="Z6918" t="s">
        <v>13</v>
      </c>
      <c r="AA6918" t="s">
        <v>255</v>
      </c>
      <c r="AB6918" t="s">
        <v>433</v>
      </c>
      <c r="AC6918" s="21">
        <v>45810</v>
      </c>
      <c r="AD6918" s="21" t="s">
        <v>368</v>
      </c>
      <c r="AE6918" t="str">
        <f>VLOOKUP(Table_Query_from_Actuarial___Production3[[#This Row],[Kor1]],$AI$3:$AK$105,3,FALSE)</f>
        <v>Operating Service Fees</v>
      </c>
      <c r="AF6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19" spans="18:32" x14ac:dyDescent="0.2">
      <c r="R6919" t="s">
        <v>14</v>
      </c>
      <c r="S6919" t="s">
        <v>242</v>
      </c>
      <c r="T6919" t="s">
        <v>443</v>
      </c>
      <c r="U6919" s="21">
        <v>54910.879999999997</v>
      </c>
      <c r="V6919" s="21" t="s">
        <v>368</v>
      </c>
      <c r="W6919" t="str">
        <f>VLOOKUP(Table_Query_from_Actuarial___Production[[#This Row],[Kor1]],$AI$3:$AK$105,3,FALSE)</f>
        <v>Claims Expense</v>
      </c>
      <c r="X6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19"/>
      <c r="Z6919" t="s">
        <v>33</v>
      </c>
      <c r="AA6919" t="s">
        <v>239</v>
      </c>
      <c r="AB6919" t="s">
        <v>8</v>
      </c>
      <c r="AC6919" s="21">
        <v>15045.02</v>
      </c>
      <c r="AD6919" s="21" t="s">
        <v>368</v>
      </c>
      <c r="AE6919" t="str">
        <f>VLOOKUP(Table_Query_from_Actuarial___Production3[[#This Row],[Kor1]],$AI$3:$AK$105,3,FALSE)</f>
        <v>Misc. Expense</v>
      </c>
      <c r="AF6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0" spans="18:32" x14ac:dyDescent="0.2">
      <c r="R6920" t="s">
        <v>14</v>
      </c>
      <c r="S6920" t="s">
        <v>246</v>
      </c>
      <c r="T6920" t="s">
        <v>445</v>
      </c>
      <c r="U6920" s="21">
        <v>4188.75</v>
      </c>
      <c r="V6920" s="21" t="s">
        <v>368</v>
      </c>
      <c r="W6920" t="str">
        <f>VLOOKUP(Table_Query_from_Actuarial___Production[[#This Row],[Kor1]],$AI$3:$AK$105,3,FALSE)</f>
        <v>Claims Expense</v>
      </c>
      <c r="X6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0"/>
      <c r="Z6920" t="s">
        <v>31</v>
      </c>
      <c r="AA6920" t="s">
        <v>241</v>
      </c>
      <c r="AB6920" t="s">
        <v>8</v>
      </c>
      <c r="AC6920" s="21">
        <v>555.41</v>
      </c>
      <c r="AD6920" s="21" t="s">
        <v>368</v>
      </c>
      <c r="AE6920" t="str">
        <f>VLOOKUP(Table_Query_from_Actuarial___Production3[[#This Row],[Kor1]],$AI$3:$AK$105,3,FALSE)</f>
        <v>Misc. Expense</v>
      </c>
      <c r="AF6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1" spans="18:32" x14ac:dyDescent="0.2">
      <c r="R6921" t="s">
        <v>41</v>
      </c>
      <c r="S6921" t="s">
        <v>235</v>
      </c>
      <c r="T6921" t="s">
        <v>9</v>
      </c>
      <c r="U6921" s="21">
        <v>1000.01</v>
      </c>
      <c r="V6921" s="21" t="s">
        <v>368</v>
      </c>
      <c r="W6921" t="str">
        <f>VLOOKUP(Table_Query_from_Actuarial___Production[[#This Row],[Kor1]],$AI$3:$AK$105,3,FALSE)</f>
        <v>Misc. Income</v>
      </c>
      <c r="X6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1"/>
      <c r="Z6921" t="s">
        <v>3</v>
      </c>
      <c r="AA6921" t="s">
        <v>262</v>
      </c>
      <c r="AB6921" t="s">
        <v>5</v>
      </c>
      <c r="AC6921" s="21">
        <v>19163</v>
      </c>
      <c r="AD6921" s="21" t="s">
        <v>368</v>
      </c>
      <c r="AE6921" t="str">
        <f>VLOOKUP(Table_Query_from_Actuarial___Production3[[#This Row],[Kor1]],$AI$3:$AK$105,3,FALSE)</f>
        <v>Premiums Written</v>
      </c>
      <c r="AF6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2" spans="18:32" x14ac:dyDescent="0.2">
      <c r="R6922" t="s">
        <v>17</v>
      </c>
      <c r="S6922" t="s">
        <v>235</v>
      </c>
      <c r="T6922" t="s">
        <v>445</v>
      </c>
      <c r="U6922" s="21">
        <v>11447.18</v>
      </c>
      <c r="V6922" s="21" t="s">
        <v>368</v>
      </c>
      <c r="W6922" t="str">
        <f>VLOOKUP(Table_Query_from_Actuarial___Production[[#This Row],[Kor1]],$AI$3:$AK$105,3,FALSE)</f>
        <v>IBNR</v>
      </c>
      <c r="X6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2"/>
      <c r="Z6922" t="s">
        <v>21</v>
      </c>
      <c r="AA6922" t="s">
        <v>258</v>
      </c>
      <c r="AB6922" t="s">
        <v>433</v>
      </c>
      <c r="AC6922" s="21">
        <v>7373.5</v>
      </c>
      <c r="AD6922" s="21" t="s">
        <v>368</v>
      </c>
      <c r="AE6922" t="str">
        <f>VLOOKUP(Table_Query_from_Actuarial___Production3[[#This Row],[Kor1]],$AI$3:$AK$105,3,FALSE)</f>
        <v>Misc. Expense</v>
      </c>
      <c r="AF6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3" spans="18:32" x14ac:dyDescent="0.2">
      <c r="R6923" t="s">
        <v>47</v>
      </c>
      <c r="S6923" t="s">
        <v>238</v>
      </c>
      <c r="T6923" t="s">
        <v>433</v>
      </c>
      <c r="U6923" s="21">
        <v>2712.11</v>
      </c>
      <c r="V6923" s="21" t="s">
        <v>368</v>
      </c>
      <c r="W6923" t="str">
        <f>VLOOKUP(Table_Query_from_Actuarial___Production[[#This Row],[Kor1]],$AI$3:$AK$105,3,FALSE)</f>
        <v>Investment Income</v>
      </c>
      <c r="X6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3"/>
      <c r="Z6923" t="s">
        <v>49</v>
      </c>
      <c r="AA6923" t="s">
        <v>225</v>
      </c>
      <c r="AB6923" t="s">
        <v>6</v>
      </c>
      <c r="AC6923" s="21">
        <v>669889.42000000004</v>
      </c>
      <c r="AD6923" s="21" t="s">
        <v>369</v>
      </c>
      <c r="AE6923" t="str">
        <f>VLOOKUP(Table_Query_from_Actuarial___Production3[[#This Row],[Kor1]],$AI$3:$AK$105,3,FALSE)</f>
        <v>ALAE Paid</v>
      </c>
      <c r="AF6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924" spans="18:32" x14ac:dyDescent="0.2">
      <c r="R6924" t="s">
        <v>3</v>
      </c>
      <c r="S6924" t="s">
        <v>232</v>
      </c>
      <c r="T6924" t="s">
        <v>7</v>
      </c>
      <c r="U6924" s="21">
        <v>1380250</v>
      </c>
      <c r="V6924" s="21" t="s">
        <v>368</v>
      </c>
      <c r="W6924" t="str">
        <f>VLOOKUP(Table_Query_from_Actuarial___Production[[#This Row],[Kor1]],$AI$3:$AK$105,3,FALSE)</f>
        <v>Premiums Written</v>
      </c>
      <c r="X6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4"/>
      <c r="Z6924" t="s">
        <v>44</v>
      </c>
      <c r="AA6924" t="s">
        <v>259</v>
      </c>
      <c r="AB6924" t="s">
        <v>427</v>
      </c>
      <c r="AC6924" s="21">
        <v>-7</v>
      </c>
      <c r="AD6924" s="21" t="s">
        <v>368</v>
      </c>
      <c r="AE6924" t="str">
        <f>VLOOKUP(Table_Query_from_Actuarial___Production3[[#This Row],[Kor1]],$AI$3:$AK$105,3,FALSE)</f>
        <v>Charge-offs</v>
      </c>
      <c r="AF6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5" spans="18:32" x14ac:dyDescent="0.2">
      <c r="R6925" t="s">
        <v>49</v>
      </c>
      <c r="S6925" t="s">
        <v>231</v>
      </c>
      <c r="T6925" t="s">
        <v>356</v>
      </c>
      <c r="U6925" s="21">
        <v>19746.52</v>
      </c>
      <c r="V6925" s="21" t="s">
        <v>368</v>
      </c>
      <c r="W6925" t="str">
        <f>VLOOKUP(Table_Query_from_Actuarial___Production[[#This Row],[Kor1]],$AI$3:$AK$105,3,FALSE)</f>
        <v>ALAE Paid</v>
      </c>
      <c r="X6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5"/>
      <c r="Z6925" t="s">
        <v>33</v>
      </c>
      <c r="AA6925" t="s">
        <v>247</v>
      </c>
      <c r="AB6925" t="s">
        <v>5</v>
      </c>
      <c r="AC6925" s="21">
        <v>14255.97</v>
      </c>
      <c r="AD6925" s="21" t="s">
        <v>368</v>
      </c>
      <c r="AE6925" t="str">
        <f>VLOOKUP(Table_Query_from_Actuarial___Production3[[#This Row],[Kor1]],$AI$3:$AK$105,3,FALSE)</f>
        <v>Misc. Expense</v>
      </c>
      <c r="AF6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6" spans="18:32" x14ac:dyDescent="0.2">
      <c r="R6926" t="s">
        <v>37</v>
      </c>
      <c r="S6926" t="s">
        <v>248</v>
      </c>
      <c r="T6926" t="s">
        <v>443</v>
      </c>
      <c r="U6926" s="21">
        <v>169.81</v>
      </c>
      <c r="V6926" s="21" t="s">
        <v>368</v>
      </c>
      <c r="W6926" t="str">
        <f>VLOOKUP(Table_Query_from_Actuarial___Production[[#This Row],[Kor1]],$AI$3:$AK$105,3,FALSE)</f>
        <v>Misc. Expense</v>
      </c>
      <c r="X6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6"/>
      <c r="Z6926" t="s">
        <v>47</v>
      </c>
      <c r="AA6926" t="s">
        <v>243</v>
      </c>
      <c r="AB6926" t="s">
        <v>9</v>
      </c>
      <c r="AC6926" s="21">
        <v>96.85</v>
      </c>
      <c r="AD6926" s="21" t="s">
        <v>368</v>
      </c>
      <c r="AE6926" t="str">
        <f>VLOOKUP(Table_Query_from_Actuarial___Production3[[#This Row],[Kor1]],$AI$3:$AK$105,3,FALSE)</f>
        <v>Investment Income</v>
      </c>
      <c r="AF6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7" spans="18:32" x14ac:dyDescent="0.2">
      <c r="R6927" t="s">
        <v>3</v>
      </c>
      <c r="S6927" t="s">
        <v>238</v>
      </c>
      <c r="T6927" t="s">
        <v>433</v>
      </c>
      <c r="U6927" s="21">
        <v>740450</v>
      </c>
      <c r="V6927" s="21" t="s">
        <v>368</v>
      </c>
      <c r="W6927" t="str">
        <f>VLOOKUP(Table_Query_from_Actuarial___Production[[#This Row],[Kor1]],$AI$3:$AK$105,3,FALSE)</f>
        <v>Premiums Written</v>
      </c>
      <c r="X6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7"/>
      <c r="Z6927" t="s">
        <v>14</v>
      </c>
      <c r="AA6927" t="s">
        <v>242</v>
      </c>
      <c r="AB6927" t="s">
        <v>443</v>
      </c>
      <c r="AC6927" s="21">
        <v>2161.39</v>
      </c>
      <c r="AD6927" s="21" t="s">
        <v>368</v>
      </c>
      <c r="AE6927" t="str">
        <f>VLOOKUP(Table_Query_from_Actuarial___Production3[[#This Row],[Kor1]],$AI$3:$AK$105,3,FALSE)</f>
        <v>Claims Expense</v>
      </c>
      <c r="AF6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8" spans="18:32" x14ac:dyDescent="0.2">
      <c r="R6928" t="s">
        <v>11</v>
      </c>
      <c r="S6928" t="s">
        <v>232</v>
      </c>
      <c r="T6928" t="s">
        <v>351</v>
      </c>
      <c r="U6928" s="21">
        <v>231502.42</v>
      </c>
      <c r="V6928" s="21" t="s">
        <v>368</v>
      </c>
      <c r="W6928" t="str">
        <f>VLOOKUP(Table_Query_from_Actuarial___Production[[#This Row],[Kor1]],$AI$3:$AK$105,3,FALSE)</f>
        <v>Losses Paid</v>
      </c>
      <c r="X6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8"/>
      <c r="Z6928" t="s">
        <v>41</v>
      </c>
      <c r="AA6928" t="s">
        <v>235</v>
      </c>
      <c r="AB6928" t="s">
        <v>9</v>
      </c>
      <c r="AC6928" s="21">
        <v>1000.01</v>
      </c>
      <c r="AD6928" s="21" t="s">
        <v>368</v>
      </c>
      <c r="AE6928" t="str">
        <f>VLOOKUP(Table_Query_from_Actuarial___Production3[[#This Row],[Kor1]],$AI$3:$AK$105,3,FALSE)</f>
        <v>Misc. Income</v>
      </c>
      <c r="AF6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29" spans="18:32" x14ac:dyDescent="0.2">
      <c r="R6929" t="s">
        <v>19</v>
      </c>
      <c r="S6929" t="s">
        <v>250</v>
      </c>
      <c r="T6929" t="s">
        <v>8</v>
      </c>
      <c r="U6929" s="21">
        <v>1017</v>
      </c>
      <c r="V6929" s="21" t="s">
        <v>368</v>
      </c>
      <c r="W6929" t="str">
        <f>VLOOKUP(Table_Query_from_Actuarial___Production[[#This Row],[Kor1]],$AI$3:$AK$105,3,FALSE)</f>
        <v>Misc. Expense for Insolvent Companies</v>
      </c>
      <c r="X6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29"/>
      <c r="Z6929" t="s">
        <v>47</v>
      </c>
      <c r="AA6929" t="s">
        <v>238</v>
      </c>
      <c r="AB6929" t="s">
        <v>433</v>
      </c>
      <c r="AC6929" s="21">
        <v>2712.11</v>
      </c>
      <c r="AD6929" s="21" t="s">
        <v>368</v>
      </c>
      <c r="AE6929" t="str">
        <f>VLOOKUP(Table_Query_from_Actuarial___Production3[[#This Row],[Kor1]],$AI$3:$AK$105,3,FALSE)</f>
        <v>Investment Income</v>
      </c>
      <c r="AF6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0" spans="18:32" x14ac:dyDescent="0.2">
      <c r="R6930" t="s">
        <v>13</v>
      </c>
      <c r="S6930" t="s">
        <v>228</v>
      </c>
      <c r="T6930" t="s">
        <v>442</v>
      </c>
      <c r="U6930" s="21">
        <v>33997.339999999997</v>
      </c>
      <c r="V6930" s="21" t="s">
        <v>368</v>
      </c>
      <c r="W6930" t="str">
        <f>VLOOKUP(Table_Query_from_Actuarial___Production[[#This Row],[Kor1]],$AI$3:$AK$105,3,FALSE)</f>
        <v>Operating Service Fees</v>
      </c>
      <c r="X6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0"/>
      <c r="Z6930" t="s">
        <v>3</v>
      </c>
      <c r="AA6930" t="s">
        <v>232</v>
      </c>
      <c r="AB6930" t="s">
        <v>7</v>
      </c>
      <c r="AC6930" s="21">
        <v>1380250</v>
      </c>
      <c r="AD6930" s="21" t="s">
        <v>368</v>
      </c>
      <c r="AE6930" t="str">
        <f>VLOOKUP(Table_Query_from_Actuarial___Production3[[#This Row],[Kor1]],$AI$3:$AK$105,3,FALSE)</f>
        <v>Premiums Written</v>
      </c>
      <c r="AF6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1" spans="18:32" x14ac:dyDescent="0.2">
      <c r="R6931" t="s">
        <v>21</v>
      </c>
      <c r="S6931" t="s">
        <v>241</v>
      </c>
      <c r="T6931" t="s">
        <v>6</v>
      </c>
      <c r="U6931" s="21">
        <v>2025.16</v>
      </c>
      <c r="V6931" s="21" t="s">
        <v>368</v>
      </c>
      <c r="W6931" t="str">
        <f>VLOOKUP(Table_Query_from_Actuarial___Production[[#This Row],[Kor1]],$AI$3:$AK$105,3,FALSE)</f>
        <v>Misc. Expense</v>
      </c>
      <c r="X6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1"/>
      <c r="Z6931" t="s">
        <v>49</v>
      </c>
      <c r="AA6931" t="s">
        <v>231</v>
      </c>
      <c r="AB6931" t="s">
        <v>356</v>
      </c>
      <c r="AC6931" s="21">
        <v>5356.16</v>
      </c>
      <c r="AD6931" s="21" t="s">
        <v>368</v>
      </c>
      <c r="AE6931" t="str">
        <f>VLOOKUP(Table_Query_from_Actuarial___Production3[[#This Row],[Kor1]],$AI$3:$AK$105,3,FALSE)</f>
        <v>ALAE Paid</v>
      </c>
      <c r="AF6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2" spans="18:32" x14ac:dyDescent="0.2">
      <c r="R6932" t="s">
        <v>33</v>
      </c>
      <c r="S6932" t="s">
        <v>251</v>
      </c>
      <c r="T6932" t="s">
        <v>441</v>
      </c>
      <c r="U6932" s="21">
        <v>14996.61</v>
      </c>
      <c r="V6932" s="21" t="s">
        <v>368</v>
      </c>
      <c r="W6932" t="str">
        <f>VLOOKUP(Table_Query_from_Actuarial___Production[[#This Row],[Kor1]],$AI$3:$AK$105,3,FALSE)</f>
        <v>Misc. Expense</v>
      </c>
      <c r="X6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2"/>
      <c r="Z6932" t="s">
        <v>37</v>
      </c>
      <c r="AA6932" t="s">
        <v>248</v>
      </c>
      <c r="AB6932" t="s">
        <v>443</v>
      </c>
      <c r="AC6932" s="21">
        <v>80.86</v>
      </c>
      <c r="AD6932" s="21" t="s">
        <v>368</v>
      </c>
      <c r="AE6932" t="str">
        <f>VLOOKUP(Table_Query_from_Actuarial___Production3[[#This Row],[Kor1]],$AI$3:$AK$105,3,FALSE)</f>
        <v>Misc. Expense</v>
      </c>
      <c r="AF6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3" spans="18:32" x14ac:dyDescent="0.2">
      <c r="R6933" t="s">
        <v>439</v>
      </c>
      <c r="S6933" t="s">
        <v>233</v>
      </c>
      <c r="T6933" t="s">
        <v>433</v>
      </c>
      <c r="U6933" s="21">
        <v>19305</v>
      </c>
      <c r="V6933" s="21" t="s">
        <v>368</v>
      </c>
      <c r="W6933" t="str">
        <f>VLOOKUP(Table_Query_from_Actuarial___Production[[#This Row],[Kor1]],$AI$3:$AK$105,3,FALSE)</f>
        <v>Operating Service Fees</v>
      </c>
      <c r="X6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3"/>
      <c r="Z6933" t="s">
        <v>3</v>
      </c>
      <c r="AA6933" t="s">
        <v>238</v>
      </c>
      <c r="AB6933" t="s">
        <v>433</v>
      </c>
      <c r="AC6933" s="21">
        <v>740450</v>
      </c>
      <c r="AD6933" s="21" t="s">
        <v>368</v>
      </c>
      <c r="AE6933" t="str">
        <f>VLOOKUP(Table_Query_from_Actuarial___Production3[[#This Row],[Kor1]],$AI$3:$AK$105,3,FALSE)</f>
        <v>Premiums Written</v>
      </c>
      <c r="AF6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4" spans="18:32" x14ac:dyDescent="0.2">
      <c r="R6934" t="s">
        <v>12</v>
      </c>
      <c r="S6934" t="s">
        <v>231</v>
      </c>
      <c r="T6934" t="s">
        <v>441</v>
      </c>
      <c r="U6934" s="21">
        <v>44797.74</v>
      </c>
      <c r="V6934" s="21" t="s">
        <v>368</v>
      </c>
      <c r="W6934" t="str">
        <f>VLOOKUP(Table_Query_from_Actuarial___Production[[#This Row],[Kor1]],$AI$3:$AK$105,3,FALSE)</f>
        <v>Premium Tax</v>
      </c>
      <c r="X6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4"/>
      <c r="Z6934" t="s">
        <v>11</v>
      </c>
      <c r="AA6934" t="s">
        <v>232</v>
      </c>
      <c r="AB6934" t="s">
        <v>351</v>
      </c>
      <c r="AC6934" s="21">
        <v>231502.42</v>
      </c>
      <c r="AD6934" s="21" t="s">
        <v>368</v>
      </c>
      <c r="AE6934" t="str">
        <f>VLOOKUP(Table_Query_from_Actuarial___Production3[[#This Row],[Kor1]],$AI$3:$AK$105,3,FALSE)</f>
        <v>Losses Paid</v>
      </c>
      <c r="AF6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5" spans="18:32" x14ac:dyDescent="0.2">
      <c r="R6935" t="s">
        <v>33</v>
      </c>
      <c r="S6935" t="s">
        <v>265</v>
      </c>
      <c r="T6935" t="s">
        <v>445</v>
      </c>
      <c r="U6935" s="21">
        <v>8780.48</v>
      </c>
      <c r="V6935" s="21" t="s">
        <v>368</v>
      </c>
      <c r="W6935" t="str">
        <f>VLOOKUP(Table_Query_from_Actuarial___Production[[#This Row],[Kor1]],$AI$3:$AK$105,3,FALSE)</f>
        <v>Misc. Expense</v>
      </c>
      <c r="X6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5"/>
      <c r="Z6935" t="s">
        <v>19</v>
      </c>
      <c r="AA6935" t="s">
        <v>250</v>
      </c>
      <c r="AB6935" t="s">
        <v>8</v>
      </c>
      <c r="AC6935" s="21">
        <v>1017</v>
      </c>
      <c r="AD6935" s="21" t="s">
        <v>368</v>
      </c>
      <c r="AE6935" t="str">
        <f>VLOOKUP(Table_Query_from_Actuarial___Production3[[#This Row],[Kor1]],$AI$3:$AK$105,3,FALSE)</f>
        <v>Misc. Expense for Insolvent Companies</v>
      </c>
      <c r="AF6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6" spans="18:32" x14ac:dyDescent="0.2">
      <c r="R6936" t="s">
        <v>32</v>
      </c>
      <c r="S6936" t="s">
        <v>246</v>
      </c>
      <c r="T6936" t="s">
        <v>441</v>
      </c>
      <c r="U6936" s="21">
        <v>15364.3</v>
      </c>
      <c r="V6936" s="21" t="s">
        <v>368</v>
      </c>
      <c r="W6936" t="str">
        <f>VLOOKUP(Table_Query_from_Actuarial___Production[[#This Row],[Kor1]],$AI$3:$AK$105,3,FALSE)</f>
        <v>Misc. Expense</v>
      </c>
      <c r="X6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6"/>
      <c r="Z6936" t="s">
        <v>13</v>
      </c>
      <c r="AA6936" t="s">
        <v>228</v>
      </c>
      <c r="AB6936" t="s">
        <v>442</v>
      </c>
      <c r="AC6936" s="21">
        <v>38436.68</v>
      </c>
      <c r="AD6936" s="21" t="s">
        <v>368</v>
      </c>
      <c r="AE6936" t="str">
        <f>VLOOKUP(Table_Query_from_Actuarial___Production3[[#This Row],[Kor1]],$AI$3:$AK$105,3,FALSE)</f>
        <v>Operating Service Fees</v>
      </c>
      <c r="AF6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7" spans="18:32" x14ac:dyDescent="0.2">
      <c r="R6937" t="s">
        <v>439</v>
      </c>
      <c r="S6937" t="s">
        <v>256</v>
      </c>
      <c r="T6937" t="s">
        <v>443</v>
      </c>
      <c r="U6937" s="21">
        <v>-3922.83</v>
      </c>
      <c r="V6937" s="21" t="s">
        <v>368</v>
      </c>
      <c r="W6937" t="str">
        <f>VLOOKUP(Table_Query_from_Actuarial___Production[[#This Row],[Kor1]],$AI$3:$AK$105,3,FALSE)</f>
        <v>Operating Service Fees</v>
      </c>
      <c r="X6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7"/>
      <c r="Z6937" t="s">
        <v>21</v>
      </c>
      <c r="AA6937" t="s">
        <v>241</v>
      </c>
      <c r="AB6937" t="s">
        <v>6</v>
      </c>
      <c r="AC6937" s="21">
        <v>2025.16</v>
      </c>
      <c r="AD6937" s="21" t="s">
        <v>368</v>
      </c>
      <c r="AE6937" t="str">
        <f>VLOOKUP(Table_Query_from_Actuarial___Production3[[#This Row],[Kor1]],$AI$3:$AK$105,3,FALSE)</f>
        <v>Misc. Expense</v>
      </c>
      <c r="AF6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8" spans="18:32" x14ac:dyDescent="0.2">
      <c r="R6938" t="s">
        <v>11</v>
      </c>
      <c r="S6938" t="s">
        <v>254</v>
      </c>
      <c r="T6938" t="s">
        <v>443</v>
      </c>
      <c r="U6938" s="21">
        <v>6332821.3899999997</v>
      </c>
      <c r="V6938" s="21" t="s">
        <v>368</v>
      </c>
      <c r="W6938" t="str">
        <f>VLOOKUP(Table_Query_from_Actuarial___Production[[#This Row],[Kor1]],$AI$3:$AK$105,3,FALSE)</f>
        <v>Losses Paid</v>
      </c>
      <c r="X6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8"/>
      <c r="Z6938" t="s">
        <v>33</v>
      </c>
      <c r="AA6938" t="s">
        <v>251</v>
      </c>
      <c r="AB6938" t="s">
        <v>441</v>
      </c>
      <c r="AC6938" s="21">
        <v>14996.61</v>
      </c>
      <c r="AD6938" s="21" t="s">
        <v>368</v>
      </c>
      <c r="AE6938" t="str">
        <f>VLOOKUP(Table_Query_from_Actuarial___Production3[[#This Row],[Kor1]],$AI$3:$AK$105,3,FALSE)</f>
        <v>Misc. Expense</v>
      </c>
      <c r="AF6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39" spans="18:32" x14ac:dyDescent="0.2">
      <c r="R6939" t="s">
        <v>14</v>
      </c>
      <c r="S6939" t="s">
        <v>249</v>
      </c>
      <c r="T6939" t="s">
        <v>6</v>
      </c>
      <c r="U6939" s="21">
        <v>41215.440000000002</v>
      </c>
      <c r="V6939" s="21" t="s">
        <v>368</v>
      </c>
      <c r="W6939" t="str">
        <f>VLOOKUP(Table_Query_from_Actuarial___Production[[#This Row],[Kor1]],$AI$3:$AK$105,3,FALSE)</f>
        <v>Claims Expense</v>
      </c>
      <c r="X6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39"/>
      <c r="Z6939" t="s">
        <v>439</v>
      </c>
      <c r="AA6939" t="s">
        <v>233</v>
      </c>
      <c r="AB6939" t="s">
        <v>433</v>
      </c>
      <c r="AC6939" s="21">
        <v>19305</v>
      </c>
      <c r="AD6939" s="21" t="s">
        <v>368</v>
      </c>
      <c r="AE6939" t="str">
        <f>VLOOKUP(Table_Query_from_Actuarial___Production3[[#This Row],[Kor1]],$AI$3:$AK$105,3,FALSE)</f>
        <v>Operating Service Fees</v>
      </c>
      <c r="AF6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0" spans="18:32" x14ac:dyDescent="0.2">
      <c r="R6940" t="s">
        <v>11</v>
      </c>
      <c r="S6940" t="s">
        <v>238</v>
      </c>
      <c r="T6940" t="s">
        <v>445</v>
      </c>
      <c r="U6940" s="21">
        <v>23940.32</v>
      </c>
      <c r="V6940" s="21" t="s">
        <v>368</v>
      </c>
      <c r="W6940" t="str">
        <f>VLOOKUP(Table_Query_from_Actuarial___Production[[#This Row],[Kor1]],$AI$3:$AK$105,3,FALSE)</f>
        <v>Losses Paid</v>
      </c>
      <c r="X6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0"/>
      <c r="Z6940" t="s">
        <v>12</v>
      </c>
      <c r="AA6940" t="s">
        <v>231</v>
      </c>
      <c r="AB6940" t="s">
        <v>441</v>
      </c>
      <c r="AC6940" s="21">
        <v>44797.74</v>
      </c>
      <c r="AD6940" s="21" t="s">
        <v>368</v>
      </c>
      <c r="AE6940" t="str">
        <f>VLOOKUP(Table_Query_from_Actuarial___Production3[[#This Row],[Kor1]],$AI$3:$AK$105,3,FALSE)</f>
        <v>Premium Tax</v>
      </c>
      <c r="AF6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1" spans="18:32" x14ac:dyDescent="0.2">
      <c r="R6941" t="s">
        <v>31</v>
      </c>
      <c r="S6941" t="s">
        <v>232</v>
      </c>
      <c r="T6941" t="s">
        <v>356</v>
      </c>
      <c r="U6941" s="21">
        <v>765.59</v>
      </c>
      <c r="V6941" s="21" t="s">
        <v>368</v>
      </c>
      <c r="W6941" t="str">
        <f>VLOOKUP(Table_Query_from_Actuarial___Production[[#This Row],[Kor1]],$AI$3:$AK$105,3,FALSE)</f>
        <v>Misc. Expense</v>
      </c>
      <c r="X6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1"/>
      <c r="Z6941" t="s">
        <v>19</v>
      </c>
      <c r="AA6941" t="s">
        <v>251</v>
      </c>
      <c r="AB6941" t="s">
        <v>5</v>
      </c>
      <c r="AC6941" s="21">
        <v>366</v>
      </c>
      <c r="AD6941" s="21" t="s">
        <v>368</v>
      </c>
      <c r="AE6941" t="str">
        <f>VLOOKUP(Table_Query_from_Actuarial___Production3[[#This Row],[Kor1]],$AI$3:$AK$105,3,FALSE)</f>
        <v>Misc. Expense for Insolvent Companies</v>
      </c>
      <c r="AF6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2" spans="18:32" x14ac:dyDescent="0.2">
      <c r="R6942" t="s">
        <v>19</v>
      </c>
      <c r="S6942" t="s">
        <v>233</v>
      </c>
      <c r="T6942" t="s">
        <v>433</v>
      </c>
      <c r="U6942" s="21">
        <v>1745</v>
      </c>
      <c r="V6942" s="21" t="s">
        <v>368</v>
      </c>
      <c r="W6942" t="str">
        <f>VLOOKUP(Table_Query_from_Actuarial___Production[[#This Row],[Kor1]],$AI$3:$AK$105,3,FALSE)</f>
        <v>Misc. Expense for Insolvent Companies</v>
      </c>
      <c r="X6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2"/>
      <c r="Z6942" t="s">
        <v>32</v>
      </c>
      <c r="AA6942" t="s">
        <v>246</v>
      </c>
      <c r="AB6942" t="s">
        <v>441</v>
      </c>
      <c r="AC6942" s="21">
        <v>15364.3</v>
      </c>
      <c r="AD6942" s="21" t="s">
        <v>368</v>
      </c>
      <c r="AE6942" t="str">
        <f>VLOOKUP(Table_Query_from_Actuarial___Production3[[#This Row],[Kor1]],$AI$3:$AK$105,3,FALSE)</f>
        <v>Misc. Expense</v>
      </c>
      <c r="AF6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3" spans="18:32" x14ac:dyDescent="0.2">
      <c r="R6943" t="s">
        <v>38</v>
      </c>
      <c r="S6943" t="s">
        <v>224</v>
      </c>
      <c r="T6943" t="s">
        <v>433</v>
      </c>
      <c r="U6943" s="21">
        <v>23815.26</v>
      </c>
      <c r="V6943" s="21" t="s">
        <v>369</v>
      </c>
      <c r="W6943" t="str">
        <f>VLOOKUP(Table_Query_from_Actuarial___Production[[#This Row],[Kor1]],$AI$3:$AK$105,3,FALSE)</f>
        <v>Misc. Income</v>
      </c>
      <c r="X6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943"/>
      <c r="Z6943" t="s">
        <v>439</v>
      </c>
      <c r="AA6943" t="s">
        <v>256</v>
      </c>
      <c r="AB6943" t="s">
        <v>443</v>
      </c>
      <c r="AC6943" s="21">
        <v>-3922.83</v>
      </c>
      <c r="AD6943" s="21" t="s">
        <v>368</v>
      </c>
      <c r="AE6943" t="str">
        <f>VLOOKUP(Table_Query_from_Actuarial___Production3[[#This Row],[Kor1]],$AI$3:$AK$105,3,FALSE)</f>
        <v>Operating Service Fees</v>
      </c>
      <c r="AF6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4" spans="18:32" x14ac:dyDescent="0.2">
      <c r="R6944" t="s">
        <v>10</v>
      </c>
      <c r="S6944" t="s">
        <v>232</v>
      </c>
      <c r="T6944" t="s">
        <v>443</v>
      </c>
      <c r="U6944" s="21">
        <v>165290.81</v>
      </c>
      <c r="V6944" s="21" t="s">
        <v>368</v>
      </c>
      <c r="W6944" t="str">
        <f>VLOOKUP(Table_Query_from_Actuarial___Production[[#This Row],[Kor1]],$AI$3:$AK$105,3,FALSE)</f>
        <v>Commissions</v>
      </c>
      <c r="X6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4"/>
      <c r="Z6944" t="s">
        <v>11</v>
      </c>
      <c r="AA6944" t="s">
        <v>254</v>
      </c>
      <c r="AB6944" t="s">
        <v>443</v>
      </c>
      <c r="AC6944" s="21">
        <v>37877.67</v>
      </c>
      <c r="AD6944" s="21" t="s">
        <v>368</v>
      </c>
      <c r="AE6944" t="str">
        <f>VLOOKUP(Table_Query_from_Actuarial___Production3[[#This Row],[Kor1]],$AI$3:$AK$105,3,FALSE)</f>
        <v>Losses Paid</v>
      </c>
      <c r="AF6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5" spans="18:32" x14ac:dyDescent="0.2">
      <c r="R6945" t="s">
        <v>33</v>
      </c>
      <c r="S6945" t="s">
        <v>238</v>
      </c>
      <c r="T6945" t="s">
        <v>441</v>
      </c>
      <c r="U6945" s="21">
        <v>19339.47</v>
      </c>
      <c r="V6945" s="21" t="s">
        <v>368</v>
      </c>
      <c r="W6945" t="str">
        <f>VLOOKUP(Table_Query_from_Actuarial___Production[[#This Row],[Kor1]],$AI$3:$AK$105,3,FALSE)</f>
        <v>Misc. Expense</v>
      </c>
      <c r="X6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5"/>
      <c r="Z6945" t="s">
        <v>14</v>
      </c>
      <c r="AA6945" t="s">
        <v>249</v>
      </c>
      <c r="AB6945" t="s">
        <v>6</v>
      </c>
      <c r="AC6945" s="21">
        <v>41215.440000000002</v>
      </c>
      <c r="AD6945" s="21" t="s">
        <v>368</v>
      </c>
      <c r="AE6945" t="str">
        <f>VLOOKUP(Table_Query_from_Actuarial___Production3[[#This Row],[Kor1]],$AI$3:$AK$105,3,FALSE)</f>
        <v>Claims Expense</v>
      </c>
      <c r="AF6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6" spans="18:32" x14ac:dyDescent="0.2">
      <c r="R6946" t="s">
        <v>12</v>
      </c>
      <c r="S6946" t="s">
        <v>240</v>
      </c>
      <c r="T6946" t="s">
        <v>442</v>
      </c>
      <c r="U6946" s="21">
        <v>62019.62</v>
      </c>
      <c r="V6946" s="21" t="s">
        <v>368</v>
      </c>
      <c r="W6946" t="str">
        <f>VLOOKUP(Table_Query_from_Actuarial___Production[[#This Row],[Kor1]],$AI$3:$AK$105,3,FALSE)</f>
        <v>Premium Tax</v>
      </c>
      <c r="X6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6"/>
      <c r="Z6946" t="s">
        <v>31</v>
      </c>
      <c r="AA6946" t="s">
        <v>232</v>
      </c>
      <c r="AB6946" t="s">
        <v>356</v>
      </c>
      <c r="AC6946" s="21">
        <v>765.59</v>
      </c>
      <c r="AD6946" s="21" t="s">
        <v>368</v>
      </c>
      <c r="AE6946" t="str">
        <f>VLOOKUP(Table_Query_from_Actuarial___Production3[[#This Row],[Kor1]],$AI$3:$AK$105,3,FALSE)</f>
        <v>Misc. Expense</v>
      </c>
      <c r="AF6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7" spans="18:32" x14ac:dyDescent="0.2">
      <c r="R6947" t="s">
        <v>34</v>
      </c>
      <c r="S6947" t="s">
        <v>263</v>
      </c>
      <c r="T6947" t="s">
        <v>7</v>
      </c>
      <c r="U6947" s="21">
        <v>2.4300000000000002</v>
      </c>
      <c r="V6947" s="21" t="s">
        <v>368</v>
      </c>
      <c r="W6947" t="str">
        <f>VLOOKUP(Table_Query_from_Actuarial___Production[[#This Row],[Kor1]],$AI$3:$AK$105,3,FALSE)</f>
        <v>Misc. Expense</v>
      </c>
      <c r="X6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7"/>
      <c r="Z6947" t="s">
        <v>19</v>
      </c>
      <c r="AA6947" t="s">
        <v>233</v>
      </c>
      <c r="AB6947" t="s">
        <v>433</v>
      </c>
      <c r="AC6947" s="21">
        <v>1745</v>
      </c>
      <c r="AD6947" s="21" t="s">
        <v>368</v>
      </c>
      <c r="AE6947" t="str">
        <f>VLOOKUP(Table_Query_from_Actuarial___Production3[[#This Row],[Kor1]],$AI$3:$AK$105,3,FALSE)</f>
        <v>Misc. Expense for Insolvent Companies</v>
      </c>
      <c r="AF6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48" spans="18:32" x14ac:dyDescent="0.2">
      <c r="R6948" t="s">
        <v>39</v>
      </c>
      <c r="S6948" t="s">
        <v>251</v>
      </c>
      <c r="T6948" t="s">
        <v>9</v>
      </c>
      <c r="U6948" s="21">
        <v>293</v>
      </c>
      <c r="V6948" s="21" t="s">
        <v>368</v>
      </c>
      <c r="W6948" t="str">
        <f>VLOOKUP(Table_Query_from_Actuarial___Production[[#This Row],[Kor1]],$AI$3:$AK$105,3,FALSE)</f>
        <v>Misc. Income for Insolvent Companies</v>
      </c>
      <c r="X6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48"/>
      <c r="Z6948" t="s">
        <v>38</v>
      </c>
      <c r="AA6948" t="s">
        <v>224</v>
      </c>
      <c r="AB6948" t="s">
        <v>433</v>
      </c>
      <c r="AC6948" s="21">
        <v>23815.26</v>
      </c>
      <c r="AD6948" s="21" t="s">
        <v>369</v>
      </c>
      <c r="AE6948" t="str">
        <f>VLOOKUP(Table_Query_from_Actuarial___Production3[[#This Row],[Kor1]],$AI$3:$AK$105,3,FALSE)</f>
        <v>Misc. Income</v>
      </c>
      <c r="AF6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949" spans="18:32" x14ac:dyDescent="0.2">
      <c r="R6949" t="s">
        <v>14</v>
      </c>
      <c r="S6949" t="s">
        <v>225</v>
      </c>
      <c r="T6949" t="s">
        <v>351</v>
      </c>
      <c r="U6949" s="21">
        <v>30836</v>
      </c>
      <c r="V6949" s="21" t="s">
        <v>368</v>
      </c>
      <c r="W6949" t="str">
        <f>VLOOKUP(Table_Query_from_Actuarial___Production[[#This Row],[Kor1]],$AI$3:$AK$105,3,FALSE)</f>
        <v>Claims Expense</v>
      </c>
      <c r="X6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6949"/>
      <c r="Z6949" t="s">
        <v>10</v>
      </c>
      <c r="AA6949" t="s">
        <v>232</v>
      </c>
      <c r="AB6949" t="s">
        <v>443</v>
      </c>
      <c r="AC6949" s="21">
        <v>59291.95</v>
      </c>
      <c r="AD6949" s="21" t="s">
        <v>368</v>
      </c>
      <c r="AE6949" t="str">
        <f>VLOOKUP(Table_Query_from_Actuarial___Production3[[#This Row],[Kor1]],$AI$3:$AK$105,3,FALSE)</f>
        <v>Commissions</v>
      </c>
      <c r="AF6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0" spans="18:32" x14ac:dyDescent="0.2">
      <c r="R6950" t="s">
        <v>11</v>
      </c>
      <c r="S6950" t="s">
        <v>233</v>
      </c>
      <c r="T6950" t="s">
        <v>442</v>
      </c>
      <c r="U6950" s="21">
        <v>528788.63</v>
      </c>
      <c r="V6950" s="21" t="s">
        <v>368</v>
      </c>
      <c r="W6950" t="str">
        <f>VLOOKUP(Table_Query_from_Actuarial___Production[[#This Row],[Kor1]],$AI$3:$AK$105,3,FALSE)</f>
        <v>Losses Paid</v>
      </c>
      <c r="X6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0"/>
      <c r="Z6950" t="s">
        <v>33</v>
      </c>
      <c r="AA6950" t="s">
        <v>238</v>
      </c>
      <c r="AB6950" t="s">
        <v>441</v>
      </c>
      <c r="AC6950" s="21">
        <v>19339.47</v>
      </c>
      <c r="AD6950" s="21" t="s">
        <v>368</v>
      </c>
      <c r="AE6950" t="str">
        <f>VLOOKUP(Table_Query_from_Actuarial___Production3[[#This Row],[Kor1]],$AI$3:$AK$105,3,FALSE)</f>
        <v>Misc. Expense</v>
      </c>
      <c r="AF6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1" spans="18:32" x14ac:dyDescent="0.2">
      <c r="R6951" t="s">
        <v>41</v>
      </c>
      <c r="S6951" t="s">
        <v>255</v>
      </c>
      <c r="T6951" t="s">
        <v>445</v>
      </c>
      <c r="U6951" s="21">
        <v>250</v>
      </c>
      <c r="V6951" s="21" t="s">
        <v>368</v>
      </c>
      <c r="W6951" t="str">
        <f>VLOOKUP(Table_Query_from_Actuarial___Production[[#This Row],[Kor1]],$AI$3:$AK$105,3,FALSE)</f>
        <v>Misc. Income</v>
      </c>
      <c r="X6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1"/>
      <c r="Z6951" t="s">
        <v>12</v>
      </c>
      <c r="AA6951" t="s">
        <v>240</v>
      </c>
      <c r="AB6951" t="s">
        <v>442</v>
      </c>
      <c r="AC6951" s="21">
        <v>62676.3</v>
      </c>
      <c r="AD6951" s="21" t="s">
        <v>368</v>
      </c>
      <c r="AE6951" t="str">
        <f>VLOOKUP(Table_Query_from_Actuarial___Production3[[#This Row],[Kor1]],$AI$3:$AK$105,3,FALSE)</f>
        <v>Premium Tax</v>
      </c>
      <c r="AF6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2" spans="18:32" x14ac:dyDescent="0.2">
      <c r="R6952" t="s">
        <v>50</v>
      </c>
      <c r="S6952" t="s">
        <v>225</v>
      </c>
      <c r="T6952" t="s">
        <v>443</v>
      </c>
      <c r="U6952" s="21">
        <v>7234.07</v>
      </c>
      <c r="V6952" s="21" t="s">
        <v>369</v>
      </c>
      <c r="W6952" t="str">
        <f>VLOOKUP(Table_Query_from_Actuarial___Production[[#This Row],[Kor1]],$AI$3:$AK$105,3,FALSE)</f>
        <v>ALAE Reserve</v>
      </c>
      <c r="X6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6952"/>
      <c r="Z6952" t="s">
        <v>34</v>
      </c>
      <c r="AA6952" t="s">
        <v>263</v>
      </c>
      <c r="AB6952" t="s">
        <v>7</v>
      </c>
      <c r="AC6952" s="21">
        <v>2.4300000000000002</v>
      </c>
      <c r="AD6952" s="21" t="s">
        <v>368</v>
      </c>
      <c r="AE6952" t="str">
        <f>VLOOKUP(Table_Query_from_Actuarial___Production3[[#This Row],[Kor1]],$AI$3:$AK$105,3,FALSE)</f>
        <v>Misc. Expense</v>
      </c>
      <c r="AF6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3" spans="18:32" x14ac:dyDescent="0.2">
      <c r="R6953" t="s">
        <v>10</v>
      </c>
      <c r="S6953" t="s">
        <v>246</v>
      </c>
      <c r="T6953" t="s">
        <v>356</v>
      </c>
      <c r="U6953" s="21">
        <v>102533.6</v>
      </c>
      <c r="V6953" s="21" t="s">
        <v>368</v>
      </c>
      <c r="W6953" t="str">
        <f>VLOOKUP(Table_Query_from_Actuarial___Production[[#This Row],[Kor1]],$AI$3:$AK$105,3,FALSE)</f>
        <v>Commissions</v>
      </c>
      <c r="X6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3"/>
      <c r="Z6953" t="s">
        <v>39</v>
      </c>
      <c r="AA6953" t="s">
        <v>251</v>
      </c>
      <c r="AB6953" t="s">
        <v>9</v>
      </c>
      <c r="AC6953" s="21">
        <v>293</v>
      </c>
      <c r="AD6953" s="21" t="s">
        <v>368</v>
      </c>
      <c r="AE6953" t="str">
        <f>VLOOKUP(Table_Query_from_Actuarial___Production3[[#This Row],[Kor1]],$AI$3:$AK$105,3,FALSE)</f>
        <v>Misc. Income for Insolvent Companies</v>
      </c>
      <c r="AF6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4" spans="18:32" x14ac:dyDescent="0.2">
      <c r="R6954" t="s">
        <v>47</v>
      </c>
      <c r="S6954" t="s">
        <v>255</v>
      </c>
      <c r="T6954" t="s">
        <v>6</v>
      </c>
      <c r="U6954" s="21">
        <v>0.06</v>
      </c>
      <c r="V6954" s="21" t="s">
        <v>368</v>
      </c>
      <c r="W6954" t="str">
        <f>VLOOKUP(Table_Query_from_Actuarial___Production[[#This Row],[Kor1]],$AI$3:$AK$105,3,FALSE)</f>
        <v>Investment Income</v>
      </c>
      <c r="X6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4"/>
      <c r="Z6954" t="s">
        <v>14</v>
      </c>
      <c r="AA6954" t="s">
        <v>225</v>
      </c>
      <c r="AB6954" t="s">
        <v>351</v>
      </c>
      <c r="AC6954" s="21">
        <v>30970</v>
      </c>
      <c r="AD6954" s="21" t="s">
        <v>368</v>
      </c>
      <c r="AE6954" t="str">
        <f>VLOOKUP(Table_Query_from_Actuarial___Production3[[#This Row],[Kor1]],$AI$3:$AK$105,3,FALSE)</f>
        <v>Claims Expense</v>
      </c>
      <c r="AF6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6955" spans="18:32" x14ac:dyDescent="0.2">
      <c r="R6955" t="s">
        <v>39</v>
      </c>
      <c r="S6955" t="s">
        <v>237</v>
      </c>
      <c r="T6955" t="s">
        <v>441</v>
      </c>
      <c r="U6955" s="21">
        <v>3457.07</v>
      </c>
      <c r="V6955" s="21" t="s">
        <v>368</v>
      </c>
      <c r="W6955" t="str">
        <f>VLOOKUP(Table_Query_from_Actuarial___Production[[#This Row],[Kor1]],$AI$3:$AK$105,3,FALSE)</f>
        <v>Misc. Income for Insolvent Companies</v>
      </c>
      <c r="X6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5"/>
      <c r="Z6955" t="s">
        <v>11</v>
      </c>
      <c r="AA6955" t="s">
        <v>233</v>
      </c>
      <c r="AB6955" t="s">
        <v>442</v>
      </c>
      <c r="AC6955" s="21">
        <v>367094.04</v>
      </c>
      <c r="AD6955" s="21" t="s">
        <v>368</v>
      </c>
      <c r="AE6955" t="str">
        <f>VLOOKUP(Table_Query_from_Actuarial___Production3[[#This Row],[Kor1]],$AI$3:$AK$105,3,FALSE)</f>
        <v>Losses Paid</v>
      </c>
      <c r="AF6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6" spans="18:32" x14ac:dyDescent="0.2">
      <c r="R6956" t="s">
        <v>40</v>
      </c>
      <c r="S6956" t="s">
        <v>264</v>
      </c>
      <c r="T6956" t="s">
        <v>8</v>
      </c>
      <c r="U6956" s="21">
        <v>250.04</v>
      </c>
      <c r="V6956" s="21" t="s">
        <v>368</v>
      </c>
      <c r="W6956" t="str">
        <f>VLOOKUP(Table_Query_from_Actuarial___Production[[#This Row],[Kor1]],$AI$3:$AK$105,3,FALSE)</f>
        <v>Misc. Income</v>
      </c>
      <c r="X6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6"/>
      <c r="Z6956" t="s">
        <v>50</v>
      </c>
      <c r="AA6956" t="s">
        <v>225</v>
      </c>
      <c r="AB6956" t="s">
        <v>443</v>
      </c>
      <c r="AC6956" s="21">
        <v>1191</v>
      </c>
      <c r="AD6956" s="21" t="s">
        <v>369</v>
      </c>
      <c r="AE6956" t="str">
        <f>VLOOKUP(Table_Query_from_Actuarial___Production3[[#This Row],[Kor1]],$AI$3:$AK$105,3,FALSE)</f>
        <v>ALAE Reserve</v>
      </c>
      <c r="AF6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6957" spans="18:32" x14ac:dyDescent="0.2">
      <c r="R6957" t="s">
        <v>3</v>
      </c>
      <c r="S6957" t="s">
        <v>268</v>
      </c>
      <c r="T6957" t="s">
        <v>427</v>
      </c>
      <c r="U6957" s="21">
        <v>1440</v>
      </c>
      <c r="V6957" s="21" t="s">
        <v>368</v>
      </c>
      <c r="W6957" t="str">
        <f>VLOOKUP(Table_Query_from_Actuarial___Production[[#This Row],[Kor1]],$AI$3:$AK$105,3,FALSE)</f>
        <v>Premiums Written</v>
      </c>
      <c r="X6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7"/>
      <c r="Z6957" t="s">
        <v>10</v>
      </c>
      <c r="AA6957" t="s">
        <v>246</v>
      </c>
      <c r="AB6957" t="s">
        <v>356</v>
      </c>
      <c r="AC6957" s="21">
        <v>102533.6</v>
      </c>
      <c r="AD6957" s="21" t="s">
        <v>368</v>
      </c>
      <c r="AE6957" t="str">
        <f>VLOOKUP(Table_Query_from_Actuarial___Production3[[#This Row],[Kor1]],$AI$3:$AK$105,3,FALSE)</f>
        <v>Commissions</v>
      </c>
      <c r="AF6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8" spans="18:32" x14ac:dyDescent="0.2">
      <c r="R6958" t="s">
        <v>10</v>
      </c>
      <c r="S6958" t="s">
        <v>260</v>
      </c>
      <c r="T6958" t="s">
        <v>356</v>
      </c>
      <c r="U6958" s="21">
        <v>3042.4</v>
      </c>
      <c r="V6958" s="21" t="s">
        <v>368</v>
      </c>
      <c r="W6958" t="str">
        <f>VLOOKUP(Table_Query_from_Actuarial___Production[[#This Row],[Kor1]],$AI$3:$AK$105,3,FALSE)</f>
        <v>Commissions</v>
      </c>
      <c r="X6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8"/>
      <c r="Z6958" t="s">
        <v>47</v>
      </c>
      <c r="AA6958" t="s">
        <v>255</v>
      </c>
      <c r="AB6958" t="s">
        <v>6</v>
      </c>
      <c r="AC6958" s="21">
        <v>0.06</v>
      </c>
      <c r="AD6958" s="21" t="s">
        <v>368</v>
      </c>
      <c r="AE6958" t="str">
        <f>VLOOKUP(Table_Query_from_Actuarial___Production3[[#This Row],[Kor1]],$AI$3:$AK$105,3,FALSE)</f>
        <v>Investment Income</v>
      </c>
      <c r="AF6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59" spans="18:32" x14ac:dyDescent="0.2">
      <c r="R6959" t="s">
        <v>44</v>
      </c>
      <c r="S6959" t="s">
        <v>267</v>
      </c>
      <c r="T6959" t="s">
        <v>6</v>
      </c>
      <c r="U6959" s="21">
        <v>-9</v>
      </c>
      <c r="V6959" s="21" t="s">
        <v>368</v>
      </c>
      <c r="W6959" t="str">
        <f>VLOOKUP(Table_Query_from_Actuarial___Production[[#This Row],[Kor1]],$AI$3:$AK$105,3,FALSE)</f>
        <v>Charge-offs</v>
      </c>
      <c r="X6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59"/>
      <c r="Z6959" t="s">
        <v>39</v>
      </c>
      <c r="AA6959" t="s">
        <v>237</v>
      </c>
      <c r="AB6959" t="s">
        <v>441</v>
      </c>
      <c r="AC6959" s="21">
        <v>3288.07</v>
      </c>
      <c r="AD6959" s="21" t="s">
        <v>368</v>
      </c>
      <c r="AE6959" t="str">
        <f>VLOOKUP(Table_Query_from_Actuarial___Production3[[#This Row],[Kor1]],$AI$3:$AK$105,3,FALSE)</f>
        <v>Misc. Income for Insolvent Companies</v>
      </c>
      <c r="AF6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0" spans="18:32" x14ac:dyDescent="0.2">
      <c r="R6960" t="s">
        <v>41</v>
      </c>
      <c r="S6960" t="s">
        <v>246</v>
      </c>
      <c r="T6960" t="s">
        <v>443</v>
      </c>
      <c r="U6960" s="21">
        <v>1702.47</v>
      </c>
      <c r="V6960" s="21" t="s">
        <v>368</v>
      </c>
      <c r="W6960" t="str">
        <f>VLOOKUP(Table_Query_from_Actuarial___Production[[#This Row],[Kor1]],$AI$3:$AK$105,3,FALSE)</f>
        <v>Misc. Income</v>
      </c>
      <c r="X6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0"/>
      <c r="Z6960" t="s">
        <v>40</v>
      </c>
      <c r="AA6960" t="s">
        <v>264</v>
      </c>
      <c r="AB6960" t="s">
        <v>8</v>
      </c>
      <c r="AC6960" s="21">
        <v>250.04</v>
      </c>
      <c r="AD6960" s="21" t="s">
        <v>368</v>
      </c>
      <c r="AE6960" t="str">
        <f>VLOOKUP(Table_Query_from_Actuarial___Production3[[#This Row],[Kor1]],$AI$3:$AK$105,3,FALSE)</f>
        <v>Misc. Income</v>
      </c>
      <c r="AF6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1" spans="18:32" x14ac:dyDescent="0.2">
      <c r="R6961" t="s">
        <v>13</v>
      </c>
      <c r="S6961" t="s">
        <v>259</v>
      </c>
      <c r="T6961" t="s">
        <v>443</v>
      </c>
      <c r="U6961" s="21">
        <v>12491.25</v>
      </c>
      <c r="V6961" s="21" t="s">
        <v>368</v>
      </c>
      <c r="W6961" t="str">
        <f>VLOOKUP(Table_Query_from_Actuarial___Production[[#This Row],[Kor1]],$AI$3:$AK$105,3,FALSE)</f>
        <v>Operating Service Fees</v>
      </c>
      <c r="X6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1"/>
      <c r="Z6961" t="s">
        <v>3</v>
      </c>
      <c r="AA6961" t="s">
        <v>268</v>
      </c>
      <c r="AB6961" t="s">
        <v>427</v>
      </c>
      <c r="AC6961" s="21">
        <v>1440</v>
      </c>
      <c r="AD6961" s="21" t="s">
        <v>368</v>
      </c>
      <c r="AE6961" t="str">
        <f>VLOOKUP(Table_Query_from_Actuarial___Production3[[#This Row],[Kor1]],$AI$3:$AK$105,3,FALSE)</f>
        <v>Premiums Written</v>
      </c>
      <c r="AF6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2" spans="18:32" x14ac:dyDescent="0.2">
      <c r="R6962" t="s">
        <v>40</v>
      </c>
      <c r="S6962" t="s">
        <v>239</v>
      </c>
      <c r="T6962" t="s">
        <v>441</v>
      </c>
      <c r="U6962" s="21">
        <v>0.95</v>
      </c>
      <c r="V6962" s="21" t="s">
        <v>368</v>
      </c>
      <c r="W6962" t="str">
        <f>VLOOKUP(Table_Query_from_Actuarial___Production[[#This Row],[Kor1]],$AI$3:$AK$105,3,FALSE)</f>
        <v>Misc. Income</v>
      </c>
      <c r="X6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2"/>
      <c r="Z6962" t="s">
        <v>10</v>
      </c>
      <c r="AA6962" t="s">
        <v>260</v>
      </c>
      <c r="AB6962" t="s">
        <v>356</v>
      </c>
      <c r="AC6962" s="21">
        <v>3042.4</v>
      </c>
      <c r="AD6962" s="21" t="s">
        <v>368</v>
      </c>
      <c r="AE6962" t="str">
        <f>VLOOKUP(Table_Query_from_Actuarial___Production3[[#This Row],[Kor1]],$AI$3:$AK$105,3,FALSE)</f>
        <v>Commissions</v>
      </c>
      <c r="AF6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3" spans="18:32" x14ac:dyDescent="0.2">
      <c r="R6963" t="s">
        <v>43</v>
      </c>
      <c r="S6963" t="s">
        <v>234</v>
      </c>
      <c r="T6963" t="s">
        <v>9</v>
      </c>
      <c r="U6963" s="21">
        <v>1048.05</v>
      </c>
      <c r="V6963" s="21" t="s">
        <v>368</v>
      </c>
      <c r="W6963" t="str">
        <f>VLOOKUP(Table_Query_from_Actuarial___Production[[#This Row],[Kor1]],$AI$3:$AK$105,3,FALSE)</f>
        <v>Charge-offs</v>
      </c>
      <c r="X6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3"/>
      <c r="Z6963" t="s">
        <v>44</v>
      </c>
      <c r="AA6963" t="s">
        <v>267</v>
      </c>
      <c r="AB6963" t="s">
        <v>6</v>
      </c>
      <c r="AC6963" s="21">
        <v>-9</v>
      </c>
      <c r="AD6963" s="21" t="s">
        <v>368</v>
      </c>
      <c r="AE6963" t="str">
        <f>VLOOKUP(Table_Query_from_Actuarial___Production3[[#This Row],[Kor1]],$AI$3:$AK$105,3,FALSE)</f>
        <v>Charge-offs</v>
      </c>
      <c r="AF6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4" spans="18:32" x14ac:dyDescent="0.2">
      <c r="R6964" t="s">
        <v>33</v>
      </c>
      <c r="S6964" t="s">
        <v>252</v>
      </c>
      <c r="T6964" t="s">
        <v>441</v>
      </c>
      <c r="U6964" s="21">
        <v>21516.58</v>
      </c>
      <c r="V6964" s="21" t="s">
        <v>368</v>
      </c>
      <c r="W6964" t="str">
        <f>VLOOKUP(Table_Query_from_Actuarial___Production[[#This Row],[Kor1]],$AI$3:$AK$105,3,FALSE)</f>
        <v>Misc. Expense</v>
      </c>
      <c r="X6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4"/>
      <c r="Z6964" t="s">
        <v>41</v>
      </c>
      <c r="AA6964" t="s">
        <v>246</v>
      </c>
      <c r="AB6964" t="s">
        <v>443</v>
      </c>
      <c r="AC6964" s="21">
        <v>1099.99</v>
      </c>
      <c r="AD6964" s="21" t="s">
        <v>368</v>
      </c>
      <c r="AE6964" t="str">
        <f>VLOOKUP(Table_Query_from_Actuarial___Production3[[#This Row],[Kor1]],$AI$3:$AK$105,3,FALSE)</f>
        <v>Misc. Income</v>
      </c>
      <c r="AF6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5" spans="18:32" x14ac:dyDescent="0.2">
      <c r="R6965" t="s">
        <v>37</v>
      </c>
      <c r="S6965" t="s">
        <v>264</v>
      </c>
      <c r="T6965" t="s">
        <v>6</v>
      </c>
      <c r="U6965" s="21">
        <v>2266.81</v>
      </c>
      <c r="V6965" s="21" t="s">
        <v>368</v>
      </c>
      <c r="W6965" t="str">
        <f>VLOOKUP(Table_Query_from_Actuarial___Production[[#This Row],[Kor1]],$AI$3:$AK$105,3,FALSE)</f>
        <v>Misc. Expense</v>
      </c>
      <c r="X6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5"/>
      <c r="Z6965" t="s">
        <v>50</v>
      </c>
      <c r="AA6965" t="s">
        <v>262</v>
      </c>
      <c r="AB6965" t="s">
        <v>427</v>
      </c>
      <c r="AC6965" s="21">
        <v>2424.8000000000002</v>
      </c>
      <c r="AD6965" s="21" t="s">
        <v>368</v>
      </c>
      <c r="AE6965" t="str">
        <f>VLOOKUP(Table_Query_from_Actuarial___Production3[[#This Row],[Kor1]],$AI$3:$AK$105,3,FALSE)</f>
        <v>ALAE Reserve</v>
      </c>
      <c r="AF6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6" spans="18:32" x14ac:dyDescent="0.2">
      <c r="R6966" t="s">
        <v>46</v>
      </c>
      <c r="S6966" t="s">
        <v>224</v>
      </c>
      <c r="T6966" t="s">
        <v>6</v>
      </c>
      <c r="U6966" s="21">
        <v>25.5</v>
      </c>
      <c r="V6966" s="21" t="s">
        <v>425</v>
      </c>
      <c r="W6966" t="str">
        <f>VLOOKUP(Table_Query_from_Actuarial___Production[[#This Row],[Kor1]],$AI$3:$AK$105,3,FALSE)</f>
        <v>Investment Income</v>
      </c>
      <c r="X6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6966"/>
      <c r="Z6966" t="s">
        <v>40</v>
      </c>
      <c r="AA6966" t="s">
        <v>239</v>
      </c>
      <c r="AB6966" t="s">
        <v>441</v>
      </c>
      <c r="AC6966" s="21">
        <v>0.95</v>
      </c>
      <c r="AD6966" s="21" t="s">
        <v>368</v>
      </c>
      <c r="AE6966" t="str">
        <f>VLOOKUP(Table_Query_from_Actuarial___Production3[[#This Row],[Kor1]],$AI$3:$AK$105,3,FALSE)</f>
        <v>Misc. Income</v>
      </c>
      <c r="AF6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7" spans="18:32" x14ac:dyDescent="0.2">
      <c r="R6967" t="s">
        <v>21</v>
      </c>
      <c r="S6967" t="s">
        <v>248</v>
      </c>
      <c r="T6967" t="s">
        <v>442</v>
      </c>
      <c r="U6967" s="21">
        <v>1641.75</v>
      </c>
      <c r="V6967" s="21" t="s">
        <v>368</v>
      </c>
      <c r="W6967" t="str">
        <f>VLOOKUP(Table_Query_from_Actuarial___Production[[#This Row],[Kor1]],$AI$3:$AK$105,3,FALSE)</f>
        <v>Misc. Expense</v>
      </c>
      <c r="X6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7"/>
      <c r="Z6967" t="s">
        <v>43</v>
      </c>
      <c r="AA6967" t="s">
        <v>234</v>
      </c>
      <c r="AB6967" t="s">
        <v>9</v>
      </c>
      <c r="AC6967" s="21">
        <v>1048.05</v>
      </c>
      <c r="AD6967" s="21" t="s">
        <v>368</v>
      </c>
      <c r="AE6967" t="str">
        <f>VLOOKUP(Table_Query_from_Actuarial___Production3[[#This Row],[Kor1]],$AI$3:$AK$105,3,FALSE)</f>
        <v>Charge-offs</v>
      </c>
      <c r="AF6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8" spans="18:32" x14ac:dyDescent="0.2">
      <c r="R6968" t="s">
        <v>39</v>
      </c>
      <c r="S6968" t="s">
        <v>264</v>
      </c>
      <c r="T6968" t="s">
        <v>427</v>
      </c>
      <c r="U6968" s="21">
        <v>27364.78</v>
      </c>
      <c r="V6968" s="21" t="s">
        <v>368</v>
      </c>
      <c r="W6968" t="str">
        <f>VLOOKUP(Table_Query_from_Actuarial___Production[[#This Row],[Kor1]],$AI$3:$AK$105,3,FALSE)</f>
        <v>Misc. Income for Insolvent Companies</v>
      </c>
      <c r="X6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8"/>
      <c r="Z6968" t="s">
        <v>33</v>
      </c>
      <c r="AA6968" t="s">
        <v>252</v>
      </c>
      <c r="AB6968" t="s">
        <v>441</v>
      </c>
      <c r="AC6968" s="21">
        <v>21516.58</v>
      </c>
      <c r="AD6968" s="21" t="s">
        <v>368</v>
      </c>
      <c r="AE6968" t="str">
        <f>VLOOKUP(Table_Query_from_Actuarial___Production3[[#This Row],[Kor1]],$AI$3:$AK$105,3,FALSE)</f>
        <v>Misc. Expense</v>
      </c>
      <c r="AF6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69" spans="18:32" x14ac:dyDescent="0.2">
      <c r="R6969" t="s">
        <v>41</v>
      </c>
      <c r="S6969" t="s">
        <v>237</v>
      </c>
      <c r="T6969" t="s">
        <v>433</v>
      </c>
      <c r="U6969" s="21">
        <v>400.02</v>
      </c>
      <c r="V6969" s="21" t="s">
        <v>368</v>
      </c>
      <c r="W6969" t="str">
        <f>VLOOKUP(Table_Query_from_Actuarial___Production[[#This Row],[Kor1]],$AI$3:$AK$105,3,FALSE)</f>
        <v>Misc. Income</v>
      </c>
      <c r="X6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69"/>
      <c r="Z6969" t="s">
        <v>37</v>
      </c>
      <c r="AA6969" t="s">
        <v>264</v>
      </c>
      <c r="AB6969" t="s">
        <v>6</v>
      </c>
      <c r="AC6969" s="21">
        <v>2266.81</v>
      </c>
      <c r="AD6969" s="21" t="s">
        <v>368</v>
      </c>
      <c r="AE6969" t="str">
        <f>VLOOKUP(Table_Query_from_Actuarial___Production3[[#This Row],[Kor1]],$AI$3:$AK$105,3,FALSE)</f>
        <v>Misc. Expense</v>
      </c>
      <c r="AF6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0" spans="18:32" x14ac:dyDescent="0.2">
      <c r="R6970" t="s">
        <v>13</v>
      </c>
      <c r="S6970" t="s">
        <v>260</v>
      </c>
      <c r="T6970" t="s">
        <v>351</v>
      </c>
      <c r="U6970" s="21">
        <v>833.91</v>
      </c>
      <c r="V6970" s="21" t="s">
        <v>368</v>
      </c>
      <c r="W6970" t="str">
        <f>VLOOKUP(Table_Query_from_Actuarial___Production[[#This Row],[Kor1]],$AI$3:$AK$105,3,FALSE)</f>
        <v>Operating Service Fees</v>
      </c>
      <c r="X6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0"/>
      <c r="Z6970" t="s">
        <v>46</v>
      </c>
      <c r="AA6970" t="s">
        <v>224</v>
      </c>
      <c r="AB6970" t="s">
        <v>6</v>
      </c>
      <c r="AC6970" s="21">
        <v>25.5</v>
      </c>
      <c r="AD6970" s="21" t="s">
        <v>425</v>
      </c>
      <c r="AE6970" t="str">
        <f>VLOOKUP(Table_Query_from_Actuarial___Production3[[#This Row],[Kor1]],$AI$3:$AK$105,3,FALSE)</f>
        <v>Investment Income</v>
      </c>
      <c r="AF6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6971" spans="18:32" x14ac:dyDescent="0.2">
      <c r="R6971" t="s">
        <v>37</v>
      </c>
      <c r="S6971" t="s">
        <v>240</v>
      </c>
      <c r="T6971" t="s">
        <v>433</v>
      </c>
      <c r="U6971" s="21">
        <v>6189.67</v>
      </c>
      <c r="V6971" s="21" t="s">
        <v>368</v>
      </c>
      <c r="W6971" t="str">
        <f>VLOOKUP(Table_Query_from_Actuarial___Production[[#This Row],[Kor1]],$AI$3:$AK$105,3,FALSE)</f>
        <v>Misc. Expense</v>
      </c>
      <c r="X6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1"/>
      <c r="Z6971" t="s">
        <v>21</v>
      </c>
      <c r="AA6971" t="s">
        <v>248</v>
      </c>
      <c r="AB6971" t="s">
        <v>442</v>
      </c>
      <c r="AC6971" s="21">
        <v>1641.75</v>
      </c>
      <c r="AD6971" s="21" t="s">
        <v>368</v>
      </c>
      <c r="AE6971" t="str">
        <f>VLOOKUP(Table_Query_from_Actuarial___Production3[[#This Row],[Kor1]],$AI$3:$AK$105,3,FALSE)</f>
        <v>Misc. Expense</v>
      </c>
      <c r="AF6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2" spans="18:32" x14ac:dyDescent="0.2">
      <c r="R6972" t="s">
        <v>43</v>
      </c>
      <c r="S6972" t="s">
        <v>4</v>
      </c>
      <c r="T6972" t="s">
        <v>443</v>
      </c>
      <c r="U6972" s="21">
        <v>-4978.3999999999996</v>
      </c>
      <c r="V6972" s="21" t="s">
        <v>368</v>
      </c>
      <c r="W6972" t="str">
        <f>VLOOKUP(Table_Query_from_Actuarial___Production[[#This Row],[Kor1]],$AI$3:$AK$105,3,FALSE)</f>
        <v>Charge-offs</v>
      </c>
      <c r="X6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2"/>
      <c r="Z6972" t="s">
        <v>39</v>
      </c>
      <c r="AA6972" t="s">
        <v>264</v>
      </c>
      <c r="AB6972" t="s">
        <v>427</v>
      </c>
      <c r="AC6972" s="21">
        <v>27364.78</v>
      </c>
      <c r="AD6972" s="21" t="s">
        <v>368</v>
      </c>
      <c r="AE6972" t="str">
        <f>VLOOKUP(Table_Query_from_Actuarial___Production3[[#This Row],[Kor1]],$AI$3:$AK$105,3,FALSE)</f>
        <v>Misc. Income for Insolvent Companies</v>
      </c>
      <c r="AF6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3" spans="18:32" x14ac:dyDescent="0.2">
      <c r="R6973" t="s">
        <v>49</v>
      </c>
      <c r="S6973" t="s">
        <v>266</v>
      </c>
      <c r="T6973" t="s">
        <v>442</v>
      </c>
      <c r="U6973" s="21">
        <v>37866.06</v>
      </c>
      <c r="V6973" s="21" t="s">
        <v>368</v>
      </c>
      <c r="W6973" t="str">
        <f>VLOOKUP(Table_Query_from_Actuarial___Production[[#This Row],[Kor1]],$AI$3:$AK$105,3,FALSE)</f>
        <v>ALAE Paid</v>
      </c>
      <c r="X6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3"/>
      <c r="Z6973" t="s">
        <v>41</v>
      </c>
      <c r="AA6973" t="s">
        <v>237</v>
      </c>
      <c r="AB6973" t="s">
        <v>433</v>
      </c>
      <c r="AC6973" s="21">
        <v>400.02</v>
      </c>
      <c r="AD6973" s="21" t="s">
        <v>368</v>
      </c>
      <c r="AE6973" t="str">
        <f>VLOOKUP(Table_Query_from_Actuarial___Production3[[#This Row],[Kor1]],$AI$3:$AK$105,3,FALSE)</f>
        <v>Misc. Income</v>
      </c>
      <c r="AF6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4" spans="18:32" x14ac:dyDescent="0.2">
      <c r="R6974" t="s">
        <v>11</v>
      </c>
      <c r="S6974" t="s">
        <v>232</v>
      </c>
      <c r="T6974" t="s">
        <v>441</v>
      </c>
      <c r="U6974" s="21">
        <v>210604.03</v>
      </c>
      <c r="V6974" s="21" t="s">
        <v>368</v>
      </c>
      <c r="W6974" t="str">
        <f>VLOOKUP(Table_Query_from_Actuarial___Production[[#This Row],[Kor1]],$AI$3:$AK$105,3,FALSE)</f>
        <v>Losses Paid</v>
      </c>
      <c r="X6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4"/>
      <c r="Z6974" t="s">
        <v>13</v>
      </c>
      <c r="AA6974" t="s">
        <v>260</v>
      </c>
      <c r="AB6974" t="s">
        <v>351</v>
      </c>
      <c r="AC6974" s="21">
        <v>833.91</v>
      </c>
      <c r="AD6974" s="21" t="s">
        <v>368</v>
      </c>
      <c r="AE6974" t="str">
        <f>VLOOKUP(Table_Query_from_Actuarial___Production3[[#This Row],[Kor1]],$AI$3:$AK$105,3,FALSE)</f>
        <v>Operating Service Fees</v>
      </c>
      <c r="AF6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5" spans="18:32" x14ac:dyDescent="0.2">
      <c r="R6975" t="s">
        <v>20</v>
      </c>
      <c r="S6975" t="s">
        <v>258</v>
      </c>
      <c r="T6975" t="s">
        <v>7</v>
      </c>
      <c r="U6975" s="21">
        <v>2149.13</v>
      </c>
      <c r="V6975" s="21" t="s">
        <v>368</v>
      </c>
      <c r="W6975" t="str">
        <f>VLOOKUP(Table_Query_from_Actuarial___Production[[#This Row],[Kor1]],$AI$3:$AK$105,3,FALSE)</f>
        <v>Misc. Expense</v>
      </c>
      <c r="X6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5"/>
      <c r="Z6975" t="s">
        <v>13</v>
      </c>
      <c r="AA6975" t="s">
        <v>253</v>
      </c>
      <c r="AB6975" t="s">
        <v>5</v>
      </c>
      <c r="AC6975" s="21">
        <v>6949.14</v>
      </c>
      <c r="AD6975" s="21" t="s">
        <v>368</v>
      </c>
      <c r="AE6975" t="str">
        <f>VLOOKUP(Table_Query_from_Actuarial___Production3[[#This Row],[Kor1]],$AI$3:$AK$105,3,FALSE)</f>
        <v>Operating Service Fees</v>
      </c>
      <c r="AF6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6" spans="18:32" x14ac:dyDescent="0.2">
      <c r="R6976" t="s">
        <v>19</v>
      </c>
      <c r="S6976" t="s">
        <v>262</v>
      </c>
      <c r="T6976" t="s">
        <v>9</v>
      </c>
      <c r="U6976" s="21">
        <v>118</v>
      </c>
      <c r="V6976" s="21" t="s">
        <v>368</v>
      </c>
      <c r="W6976" t="str">
        <f>VLOOKUP(Table_Query_from_Actuarial___Production[[#This Row],[Kor1]],$AI$3:$AK$105,3,FALSE)</f>
        <v>Misc. Expense for Insolvent Companies</v>
      </c>
      <c r="X6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6"/>
      <c r="Z6976" t="s">
        <v>37</v>
      </c>
      <c r="AA6976" t="s">
        <v>240</v>
      </c>
      <c r="AB6976" t="s">
        <v>433</v>
      </c>
      <c r="AC6976" s="21">
        <v>6189.67</v>
      </c>
      <c r="AD6976" s="21" t="s">
        <v>368</v>
      </c>
      <c r="AE6976" t="str">
        <f>VLOOKUP(Table_Query_from_Actuarial___Production3[[#This Row],[Kor1]],$AI$3:$AK$105,3,FALSE)</f>
        <v>Misc. Expense</v>
      </c>
      <c r="AF6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7" spans="18:32" x14ac:dyDescent="0.2">
      <c r="R6977" t="s">
        <v>47</v>
      </c>
      <c r="S6977" t="s">
        <v>252</v>
      </c>
      <c r="T6977" t="s">
        <v>433</v>
      </c>
      <c r="U6977" s="21">
        <v>29624.14</v>
      </c>
      <c r="V6977" s="21" t="s">
        <v>368</v>
      </c>
      <c r="W6977" t="str">
        <f>VLOOKUP(Table_Query_from_Actuarial___Production[[#This Row],[Kor1]],$AI$3:$AK$105,3,FALSE)</f>
        <v>Investment Income</v>
      </c>
      <c r="X6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7"/>
      <c r="Z6977" t="s">
        <v>43</v>
      </c>
      <c r="AA6977" t="s">
        <v>4</v>
      </c>
      <c r="AB6977" t="s">
        <v>443</v>
      </c>
      <c r="AC6977" s="21">
        <v>3084.82</v>
      </c>
      <c r="AD6977" s="21" t="s">
        <v>368</v>
      </c>
      <c r="AE6977" t="str">
        <f>VLOOKUP(Table_Query_from_Actuarial___Production3[[#This Row],[Kor1]],$AI$3:$AK$105,3,FALSE)</f>
        <v>Charge-offs</v>
      </c>
      <c r="AF6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8" spans="18:32" x14ac:dyDescent="0.2">
      <c r="R6978" t="s">
        <v>12</v>
      </c>
      <c r="S6978" t="s">
        <v>247</v>
      </c>
      <c r="T6978" t="s">
        <v>8</v>
      </c>
      <c r="U6978" s="21">
        <v>119.56</v>
      </c>
      <c r="V6978" s="21" t="s">
        <v>368</v>
      </c>
      <c r="W6978" t="str">
        <f>VLOOKUP(Table_Query_from_Actuarial___Production[[#This Row],[Kor1]],$AI$3:$AK$105,3,FALSE)</f>
        <v>Premium Tax</v>
      </c>
      <c r="X6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8"/>
      <c r="Z6978" t="s">
        <v>11</v>
      </c>
      <c r="AA6978" t="s">
        <v>232</v>
      </c>
      <c r="AB6978" t="s">
        <v>441</v>
      </c>
      <c r="AC6978" s="21">
        <v>208402.39</v>
      </c>
      <c r="AD6978" s="21" t="s">
        <v>368</v>
      </c>
      <c r="AE6978" t="str">
        <f>VLOOKUP(Table_Query_from_Actuarial___Production3[[#This Row],[Kor1]],$AI$3:$AK$105,3,FALSE)</f>
        <v>Losses Paid</v>
      </c>
      <c r="AF6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79" spans="18:32" x14ac:dyDescent="0.2">
      <c r="R6979" t="s">
        <v>34</v>
      </c>
      <c r="S6979" t="s">
        <v>230</v>
      </c>
      <c r="T6979" t="s">
        <v>443</v>
      </c>
      <c r="U6979" s="21">
        <v>184021.61</v>
      </c>
      <c r="V6979" s="21" t="s">
        <v>368</v>
      </c>
      <c r="W6979" t="str">
        <f>VLOOKUP(Table_Query_from_Actuarial___Production[[#This Row],[Kor1]],$AI$3:$AK$105,3,FALSE)</f>
        <v>Misc. Expense</v>
      </c>
      <c r="X6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79"/>
      <c r="Z6979" t="s">
        <v>20</v>
      </c>
      <c r="AA6979" t="s">
        <v>258</v>
      </c>
      <c r="AB6979" t="s">
        <v>7</v>
      </c>
      <c r="AC6979" s="21">
        <v>2149.13</v>
      </c>
      <c r="AD6979" s="21" t="s">
        <v>368</v>
      </c>
      <c r="AE6979" t="str">
        <f>VLOOKUP(Table_Query_from_Actuarial___Production3[[#This Row],[Kor1]],$AI$3:$AK$105,3,FALSE)</f>
        <v>Misc. Expense</v>
      </c>
      <c r="AF6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0" spans="18:32" x14ac:dyDescent="0.2">
      <c r="R6980" t="s">
        <v>49</v>
      </c>
      <c r="S6980" t="s">
        <v>4</v>
      </c>
      <c r="T6980" t="s">
        <v>427</v>
      </c>
      <c r="U6980" s="21">
        <v>3401554.15</v>
      </c>
      <c r="V6980" s="21" t="s">
        <v>368</v>
      </c>
      <c r="W6980" t="str">
        <f>VLOOKUP(Table_Query_from_Actuarial___Production[[#This Row],[Kor1]],$AI$3:$AK$105,3,FALSE)</f>
        <v>ALAE Paid</v>
      </c>
      <c r="X6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0"/>
      <c r="Z6980" t="s">
        <v>19</v>
      </c>
      <c r="AA6980" t="s">
        <v>262</v>
      </c>
      <c r="AB6980" t="s">
        <v>9</v>
      </c>
      <c r="AC6980" s="21">
        <v>118</v>
      </c>
      <c r="AD6980" s="21" t="s">
        <v>368</v>
      </c>
      <c r="AE6980" t="str">
        <f>VLOOKUP(Table_Query_from_Actuarial___Production3[[#This Row],[Kor1]],$AI$3:$AK$105,3,FALSE)</f>
        <v>Misc. Expense for Insolvent Companies</v>
      </c>
      <c r="AF6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1" spans="18:32" x14ac:dyDescent="0.2">
      <c r="R6981" t="s">
        <v>19</v>
      </c>
      <c r="S6981" t="s">
        <v>234</v>
      </c>
      <c r="T6981" t="s">
        <v>356</v>
      </c>
      <c r="U6981" s="21">
        <v>2235</v>
      </c>
      <c r="V6981" s="21" t="s">
        <v>368</v>
      </c>
      <c r="W6981" t="str">
        <f>VLOOKUP(Table_Query_from_Actuarial___Production[[#This Row],[Kor1]],$AI$3:$AK$105,3,FALSE)</f>
        <v>Misc. Expense for Insolvent Companies</v>
      </c>
      <c r="X6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1"/>
      <c r="Z6981" t="s">
        <v>47</v>
      </c>
      <c r="AA6981" t="s">
        <v>252</v>
      </c>
      <c r="AB6981" t="s">
        <v>433</v>
      </c>
      <c r="AC6981" s="21">
        <v>29624.14</v>
      </c>
      <c r="AD6981" s="21" t="s">
        <v>368</v>
      </c>
      <c r="AE6981" t="str">
        <f>VLOOKUP(Table_Query_from_Actuarial___Production3[[#This Row],[Kor1]],$AI$3:$AK$105,3,FALSE)</f>
        <v>Investment Income</v>
      </c>
      <c r="AF6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2" spans="18:32" x14ac:dyDescent="0.2">
      <c r="R6982" t="s">
        <v>43</v>
      </c>
      <c r="S6982" t="s">
        <v>233</v>
      </c>
      <c r="T6982" t="s">
        <v>433</v>
      </c>
      <c r="U6982" s="21">
        <v>6107.6</v>
      </c>
      <c r="V6982" s="21" t="s">
        <v>368</v>
      </c>
      <c r="W6982" t="str">
        <f>VLOOKUP(Table_Query_from_Actuarial___Production[[#This Row],[Kor1]],$AI$3:$AK$105,3,FALSE)</f>
        <v>Charge-offs</v>
      </c>
      <c r="X6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2"/>
      <c r="Z6982" t="s">
        <v>12</v>
      </c>
      <c r="AA6982" t="s">
        <v>247</v>
      </c>
      <c r="AB6982" t="s">
        <v>8</v>
      </c>
      <c r="AC6982" s="21">
        <v>119.56</v>
      </c>
      <c r="AD6982" s="21" t="s">
        <v>368</v>
      </c>
      <c r="AE6982" t="str">
        <f>VLOOKUP(Table_Query_from_Actuarial___Production3[[#This Row],[Kor1]],$AI$3:$AK$105,3,FALSE)</f>
        <v>Premium Tax</v>
      </c>
      <c r="AF6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3" spans="18:32" x14ac:dyDescent="0.2">
      <c r="R6983" t="s">
        <v>49</v>
      </c>
      <c r="S6983" t="s">
        <v>226</v>
      </c>
      <c r="T6983" t="s">
        <v>6</v>
      </c>
      <c r="U6983" s="21">
        <v>756609.86</v>
      </c>
      <c r="V6983" s="21" t="s">
        <v>368</v>
      </c>
      <c r="W6983" t="str">
        <f>VLOOKUP(Table_Query_from_Actuarial___Production[[#This Row],[Kor1]],$AI$3:$AK$105,3,FALSE)</f>
        <v>ALAE Paid</v>
      </c>
      <c r="X6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6983"/>
      <c r="Z6983" t="s">
        <v>34</v>
      </c>
      <c r="AA6983" t="s">
        <v>230</v>
      </c>
      <c r="AB6983" t="s">
        <v>443</v>
      </c>
      <c r="AC6983" s="21">
        <v>72320.09</v>
      </c>
      <c r="AD6983" s="21" t="s">
        <v>368</v>
      </c>
      <c r="AE6983" t="str">
        <f>VLOOKUP(Table_Query_from_Actuarial___Production3[[#This Row],[Kor1]],$AI$3:$AK$105,3,FALSE)</f>
        <v>Misc. Expense</v>
      </c>
      <c r="AF6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4" spans="18:32" x14ac:dyDescent="0.2">
      <c r="R6984" t="s">
        <v>31</v>
      </c>
      <c r="S6984" t="s">
        <v>249</v>
      </c>
      <c r="T6984" t="s">
        <v>356</v>
      </c>
      <c r="U6984" s="21">
        <v>467.94</v>
      </c>
      <c r="V6984" s="21" t="s">
        <v>368</v>
      </c>
      <c r="W6984" t="str">
        <f>VLOOKUP(Table_Query_from_Actuarial___Production[[#This Row],[Kor1]],$AI$3:$AK$105,3,FALSE)</f>
        <v>Misc. Expense</v>
      </c>
      <c r="X6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4"/>
      <c r="Z6984" t="s">
        <v>49</v>
      </c>
      <c r="AA6984" t="s">
        <v>4</v>
      </c>
      <c r="AB6984" t="s">
        <v>427</v>
      </c>
      <c r="AC6984" s="21">
        <v>2581103.5</v>
      </c>
      <c r="AD6984" s="21" t="s">
        <v>368</v>
      </c>
      <c r="AE6984" t="str">
        <f>VLOOKUP(Table_Query_from_Actuarial___Production3[[#This Row],[Kor1]],$AI$3:$AK$105,3,FALSE)</f>
        <v>ALAE Paid</v>
      </c>
      <c r="AF6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5" spans="18:32" x14ac:dyDescent="0.2">
      <c r="R6985" t="s">
        <v>41</v>
      </c>
      <c r="S6985" t="s">
        <v>230</v>
      </c>
      <c r="T6985" t="s">
        <v>6</v>
      </c>
      <c r="U6985" s="21">
        <v>2241.21</v>
      </c>
      <c r="V6985" s="21" t="s">
        <v>368</v>
      </c>
      <c r="W6985" t="str">
        <f>VLOOKUP(Table_Query_from_Actuarial___Production[[#This Row],[Kor1]],$AI$3:$AK$105,3,FALSE)</f>
        <v>Misc. Income</v>
      </c>
      <c r="X6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5"/>
      <c r="Z6985" t="s">
        <v>19</v>
      </c>
      <c r="AA6985" t="s">
        <v>234</v>
      </c>
      <c r="AB6985" t="s">
        <v>356</v>
      </c>
      <c r="AC6985" s="21">
        <v>2235</v>
      </c>
      <c r="AD6985" s="21" t="s">
        <v>368</v>
      </c>
      <c r="AE6985" t="str">
        <f>VLOOKUP(Table_Query_from_Actuarial___Production3[[#This Row],[Kor1]],$AI$3:$AK$105,3,FALSE)</f>
        <v>Misc. Expense for Insolvent Companies</v>
      </c>
      <c r="AF6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6" spans="18:32" x14ac:dyDescent="0.2">
      <c r="R6986" t="s">
        <v>20</v>
      </c>
      <c r="S6986" t="s">
        <v>254</v>
      </c>
      <c r="T6986" t="s">
        <v>427</v>
      </c>
      <c r="U6986" s="21">
        <v>599.44000000000005</v>
      </c>
      <c r="V6986" s="21" t="s">
        <v>368</v>
      </c>
      <c r="W6986" t="str">
        <f>VLOOKUP(Table_Query_from_Actuarial___Production[[#This Row],[Kor1]],$AI$3:$AK$105,3,FALSE)</f>
        <v>Misc. Expense</v>
      </c>
      <c r="X6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6"/>
      <c r="Z6986" t="s">
        <v>43</v>
      </c>
      <c r="AA6986" t="s">
        <v>233</v>
      </c>
      <c r="AB6986" t="s">
        <v>433</v>
      </c>
      <c r="AC6986" s="21">
        <v>6107.6</v>
      </c>
      <c r="AD6986" s="21" t="s">
        <v>368</v>
      </c>
      <c r="AE6986" t="str">
        <f>VLOOKUP(Table_Query_from_Actuarial___Production3[[#This Row],[Kor1]],$AI$3:$AK$105,3,FALSE)</f>
        <v>Charge-offs</v>
      </c>
      <c r="AF6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7" spans="18:32" x14ac:dyDescent="0.2">
      <c r="R6987" t="s">
        <v>11</v>
      </c>
      <c r="S6987" t="s">
        <v>258</v>
      </c>
      <c r="T6987" t="s">
        <v>351</v>
      </c>
      <c r="U6987" s="21">
        <v>1772019.1</v>
      </c>
      <c r="V6987" s="21" t="s">
        <v>368</v>
      </c>
      <c r="W6987" t="str">
        <f>VLOOKUP(Table_Query_from_Actuarial___Production[[#This Row],[Kor1]],$AI$3:$AK$105,3,FALSE)</f>
        <v>Losses Paid</v>
      </c>
      <c r="X6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7"/>
      <c r="Z6987" t="s">
        <v>49</v>
      </c>
      <c r="AA6987" t="s">
        <v>226</v>
      </c>
      <c r="AB6987" t="s">
        <v>6</v>
      </c>
      <c r="AC6987" s="21">
        <v>679603.86</v>
      </c>
      <c r="AD6987" s="21" t="s">
        <v>368</v>
      </c>
      <c r="AE6987" t="str">
        <f>VLOOKUP(Table_Query_from_Actuarial___Production3[[#This Row],[Kor1]],$AI$3:$AK$105,3,FALSE)</f>
        <v>ALAE Paid</v>
      </c>
      <c r="AF6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6988" spans="18:32" x14ac:dyDescent="0.2">
      <c r="R6988" t="s">
        <v>14</v>
      </c>
      <c r="S6988" t="s">
        <v>268</v>
      </c>
      <c r="T6988" t="s">
        <v>433</v>
      </c>
      <c r="U6988" s="21">
        <v>9569.49</v>
      </c>
      <c r="V6988" s="21" t="s">
        <v>368</v>
      </c>
      <c r="W6988" t="str">
        <f>VLOOKUP(Table_Query_from_Actuarial___Production[[#This Row],[Kor1]],$AI$3:$AK$105,3,FALSE)</f>
        <v>Claims Expense</v>
      </c>
      <c r="X6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8"/>
      <c r="Z6988" t="s">
        <v>31</v>
      </c>
      <c r="AA6988" t="s">
        <v>249</v>
      </c>
      <c r="AB6988" t="s">
        <v>356</v>
      </c>
      <c r="AC6988" s="21">
        <v>467.94</v>
      </c>
      <c r="AD6988" s="21" t="s">
        <v>368</v>
      </c>
      <c r="AE6988" t="str">
        <f>VLOOKUP(Table_Query_from_Actuarial___Production3[[#This Row],[Kor1]],$AI$3:$AK$105,3,FALSE)</f>
        <v>Misc. Expense</v>
      </c>
      <c r="AF6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89" spans="18:32" x14ac:dyDescent="0.2">
      <c r="R6989" t="s">
        <v>13</v>
      </c>
      <c r="S6989" t="s">
        <v>229</v>
      </c>
      <c r="T6989" t="s">
        <v>6</v>
      </c>
      <c r="U6989" s="21">
        <v>5184.9799999999996</v>
      </c>
      <c r="V6989" s="21" t="s">
        <v>368</v>
      </c>
      <c r="W6989" t="str">
        <f>VLOOKUP(Table_Query_from_Actuarial___Production[[#This Row],[Kor1]],$AI$3:$AK$105,3,FALSE)</f>
        <v>Operating Service Fees</v>
      </c>
      <c r="X6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89"/>
      <c r="Z6989" t="s">
        <v>41</v>
      </c>
      <c r="AA6989" t="s">
        <v>230</v>
      </c>
      <c r="AB6989" t="s">
        <v>6</v>
      </c>
      <c r="AC6989" s="21">
        <v>2241.21</v>
      </c>
      <c r="AD6989" s="21" t="s">
        <v>368</v>
      </c>
      <c r="AE6989" t="str">
        <f>VLOOKUP(Table_Query_from_Actuarial___Production3[[#This Row],[Kor1]],$AI$3:$AK$105,3,FALSE)</f>
        <v>Misc. Income</v>
      </c>
      <c r="AF6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0" spans="18:32" x14ac:dyDescent="0.2">
      <c r="R6990" t="s">
        <v>19</v>
      </c>
      <c r="S6990" t="s">
        <v>254</v>
      </c>
      <c r="T6990" t="s">
        <v>427</v>
      </c>
      <c r="U6990" s="21">
        <v>29605</v>
      </c>
      <c r="V6990" s="21" t="s">
        <v>368</v>
      </c>
      <c r="W6990" t="str">
        <f>VLOOKUP(Table_Query_from_Actuarial___Production[[#This Row],[Kor1]],$AI$3:$AK$105,3,FALSE)</f>
        <v>Misc. Expense for Insolvent Companies</v>
      </c>
      <c r="X6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0"/>
      <c r="Z6990" t="s">
        <v>20</v>
      </c>
      <c r="AA6990" t="s">
        <v>254</v>
      </c>
      <c r="AB6990" t="s">
        <v>427</v>
      </c>
      <c r="AC6990" s="21">
        <v>599.44000000000005</v>
      </c>
      <c r="AD6990" s="21" t="s">
        <v>368</v>
      </c>
      <c r="AE6990" t="str">
        <f>VLOOKUP(Table_Query_from_Actuarial___Production3[[#This Row],[Kor1]],$AI$3:$AK$105,3,FALSE)</f>
        <v>Misc. Expense</v>
      </c>
      <c r="AF6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1" spans="18:32" x14ac:dyDescent="0.2">
      <c r="R6991" t="s">
        <v>10</v>
      </c>
      <c r="S6991" t="s">
        <v>258</v>
      </c>
      <c r="T6991" t="s">
        <v>443</v>
      </c>
      <c r="U6991" s="21">
        <v>212879.59</v>
      </c>
      <c r="V6991" s="21" t="s">
        <v>368</v>
      </c>
      <c r="W6991" t="str">
        <f>VLOOKUP(Table_Query_from_Actuarial___Production[[#This Row],[Kor1]],$AI$3:$AK$105,3,FALSE)</f>
        <v>Commissions</v>
      </c>
      <c r="X6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1"/>
      <c r="Z6991" t="s">
        <v>11</v>
      </c>
      <c r="AA6991" t="s">
        <v>258</v>
      </c>
      <c r="AB6991" t="s">
        <v>351</v>
      </c>
      <c r="AC6991" s="21">
        <v>1622019.1</v>
      </c>
      <c r="AD6991" s="21" t="s">
        <v>368</v>
      </c>
      <c r="AE6991" t="str">
        <f>VLOOKUP(Table_Query_from_Actuarial___Production3[[#This Row],[Kor1]],$AI$3:$AK$105,3,FALSE)</f>
        <v>Losses Paid</v>
      </c>
      <c r="AF6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2" spans="18:32" x14ac:dyDescent="0.2">
      <c r="R6992" t="s">
        <v>31</v>
      </c>
      <c r="S6992" t="s">
        <v>258</v>
      </c>
      <c r="T6992" t="s">
        <v>356</v>
      </c>
      <c r="U6992" s="21">
        <v>284.16000000000003</v>
      </c>
      <c r="V6992" s="21" t="s">
        <v>368</v>
      </c>
      <c r="W6992" t="str">
        <f>VLOOKUP(Table_Query_from_Actuarial___Production[[#This Row],[Kor1]],$AI$3:$AK$105,3,FALSE)</f>
        <v>Misc. Expense</v>
      </c>
      <c r="X6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2"/>
      <c r="Z6992" t="s">
        <v>14</v>
      </c>
      <c r="AA6992" t="s">
        <v>268</v>
      </c>
      <c r="AB6992" t="s">
        <v>433</v>
      </c>
      <c r="AC6992" s="21">
        <v>9569.49</v>
      </c>
      <c r="AD6992" s="21" t="s">
        <v>368</v>
      </c>
      <c r="AE6992" t="str">
        <f>VLOOKUP(Table_Query_from_Actuarial___Production3[[#This Row],[Kor1]],$AI$3:$AK$105,3,FALSE)</f>
        <v>Claims Expense</v>
      </c>
      <c r="AF6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3" spans="18:32" x14ac:dyDescent="0.2">
      <c r="R6993" t="s">
        <v>33</v>
      </c>
      <c r="S6993" t="s">
        <v>231</v>
      </c>
      <c r="T6993" t="s">
        <v>433</v>
      </c>
      <c r="U6993" s="21">
        <v>14985.98</v>
      </c>
      <c r="V6993" s="21" t="s">
        <v>368</v>
      </c>
      <c r="W6993" t="str">
        <f>VLOOKUP(Table_Query_from_Actuarial___Production[[#This Row],[Kor1]],$AI$3:$AK$105,3,FALSE)</f>
        <v>Misc. Expense</v>
      </c>
      <c r="X6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3"/>
      <c r="Z6993" t="s">
        <v>13</v>
      </c>
      <c r="AA6993" t="s">
        <v>229</v>
      </c>
      <c r="AB6993" t="s">
        <v>6</v>
      </c>
      <c r="AC6993" s="21">
        <v>5184.9799999999996</v>
      </c>
      <c r="AD6993" s="21" t="s">
        <v>368</v>
      </c>
      <c r="AE6993" t="str">
        <f>VLOOKUP(Table_Query_from_Actuarial___Production3[[#This Row],[Kor1]],$AI$3:$AK$105,3,FALSE)</f>
        <v>Operating Service Fees</v>
      </c>
      <c r="AF6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4" spans="18:32" x14ac:dyDescent="0.2">
      <c r="R6994" t="s">
        <v>13</v>
      </c>
      <c r="S6994" t="s">
        <v>260</v>
      </c>
      <c r="T6994" t="s">
        <v>441</v>
      </c>
      <c r="U6994" s="21">
        <v>7980.47</v>
      </c>
      <c r="V6994" s="21" t="s">
        <v>368</v>
      </c>
      <c r="W6994" t="str">
        <f>VLOOKUP(Table_Query_from_Actuarial___Production[[#This Row],[Kor1]],$AI$3:$AK$105,3,FALSE)</f>
        <v>Operating Service Fees</v>
      </c>
      <c r="X6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4"/>
      <c r="Z6994" t="s">
        <v>39</v>
      </c>
      <c r="AA6994" t="s">
        <v>262</v>
      </c>
      <c r="AB6994" t="s">
        <v>5</v>
      </c>
      <c r="AC6994" s="21">
        <v>24415.96</v>
      </c>
      <c r="AD6994" s="21" t="s">
        <v>368</v>
      </c>
      <c r="AE6994" t="str">
        <f>VLOOKUP(Table_Query_from_Actuarial___Production3[[#This Row],[Kor1]],$AI$3:$AK$105,3,FALSE)</f>
        <v>Misc. Income for Insolvent Companies</v>
      </c>
      <c r="AF6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5" spans="18:32" x14ac:dyDescent="0.2">
      <c r="R6995" t="s">
        <v>39</v>
      </c>
      <c r="S6995" t="s">
        <v>252</v>
      </c>
      <c r="T6995" t="s">
        <v>442</v>
      </c>
      <c r="U6995" s="21">
        <v>149392.28</v>
      </c>
      <c r="V6995" s="21" t="s">
        <v>368</v>
      </c>
      <c r="W6995" t="str">
        <f>VLOOKUP(Table_Query_from_Actuarial___Production[[#This Row],[Kor1]],$AI$3:$AK$105,3,FALSE)</f>
        <v>Misc. Income for Insolvent Companies</v>
      </c>
      <c r="X6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5"/>
      <c r="Z6995" t="s">
        <v>19</v>
      </c>
      <c r="AA6995" t="s">
        <v>254</v>
      </c>
      <c r="AB6995" t="s">
        <v>427</v>
      </c>
      <c r="AC6995" s="21">
        <v>29605</v>
      </c>
      <c r="AD6995" s="21" t="s">
        <v>368</v>
      </c>
      <c r="AE6995" t="str">
        <f>VLOOKUP(Table_Query_from_Actuarial___Production3[[#This Row],[Kor1]],$AI$3:$AK$105,3,FALSE)</f>
        <v>Misc. Expense for Insolvent Companies</v>
      </c>
      <c r="AF6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6" spans="18:32" x14ac:dyDescent="0.2">
      <c r="R6996" t="s">
        <v>16</v>
      </c>
      <c r="S6996" t="s">
        <v>243</v>
      </c>
      <c r="T6996" t="s">
        <v>443</v>
      </c>
      <c r="U6996" s="21">
        <v>119239.91</v>
      </c>
      <c r="V6996" s="21" t="s">
        <v>368</v>
      </c>
      <c r="W6996" t="str">
        <f>VLOOKUP(Table_Query_from_Actuarial___Production[[#This Row],[Kor1]],$AI$3:$AK$105,3,FALSE)</f>
        <v>Losses Outstanding</v>
      </c>
      <c r="X6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6"/>
      <c r="Z6996" t="s">
        <v>50</v>
      </c>
      <c r="AA6996" t="s">
        <v>261</v>
      </c>
      <c r="AB6996" t="s">
        <v>427</v>
      </c>
      <c r="AC6996" s="21">
        <v>2659.23</v>
      </c>
      <c r="AD6996" s="21" t="s">
        <v>368</v>
      </c>
      <c r="AE6996" t="str">
        <f>VLOOKUP(Table_Query_from_Actuarial___Production3[[#This Row],[Kor1]],$AI$3:$AK$105,3,FALSE)</f>
        <v>ALAE Reserve</v>
      </c>
      <c r="AF6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7" spans="18:32" x14ac:dyDescent="0.2">
      <c r="R6997" t="s">
        <v>16</v>
      </c>
      <c r="S6997" t="s">
        <v>252</v>
      </c>
      <c r="T6997" t="s">
        <v>441</v>
      </c>
      <c r="U6997" s="21">
        <v>16706741.369999999</v>
      </c>
      <c r="V6997" s="21" t="s">
        <v>368</v>
      </c>
      <c r="W6997" t="str">
        <f>VLOOKUP(Table_Query_from_Actuarial___Production[[#This Row],[Kor1]],$AI$3:$AK$105,3,FALSE)</f>
        <v>Losses Outstanding</v>
      </c>
      <c r="X6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7"/>
      <c r="Z6997" t="s">
        <v>10</v>
      </c>
      <c r="AA6997" t="s">
        <v>258</v>
      </c>
      <c r="AB6997" t="s">
        <v>443</v>
      </c>
      <c r="AC6997" s="21">
        <v>76388.600000000006</v>
      </c>
      <c r="AD6997" s="21" t="s">
        <v>368</v>
      </c>
      <c r="AE6997" t="str">
        <f>VLOOKUP(Table_Query_from_Actuarial___Production3[[#This Row],[Kor1]],$AI$3:$AK$105,3,FALSE)</f>
        <v>Commissions</v>
      </c>
      <c r="AF6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8" spans="18:32" x14ac:dyDescent="0.2">
      <c r="R6998" t="s">
        <v>10</v>
      </c>
      <c r="S6998" t="s">
        <v>232</v>
      </c>
      <c r="T6998" t="s">
        <v>7</v>
      </c>
      <c r="U6998" s="21">
        <v>92588.2</v>
      </c>
      <c r="V6998" s="21" t="s">
        <v>368</v>
      </c>
      <c r="W6998" t="str">
        <f>VLOOKUP(Table_Query_from_Actuarial___Production[[#This Row],[Kor1]],$AI$3:$AK$105,3,FALSE)</f>
        <v>Commissions</v>
      </c>
      <c r="X6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8"/>
      <c r="Z6998" t="s">
        <v>31</v>
      </c>
      <c r="AA6998" t="s">
        <v>258</v>
      </c>
      <c r="AB6998" t="s">
        <v>356</v>
      </c>
      <c r="AC6998" s="21">
        <v>284.16000000000003</v>
      </c>
      <c r="AD6998" s="21" t="s">
        <v>368</v>
      </c>
      <c r="AE6998" t="str">
        <f>VLOOKUP(Table_Query_from_Actuarial___Production3[[#This Row],[Kor1]],$AI$3:$AK$105,3,FALSE)</f>
        <v>Misc. Expense</v>
      </c>
      <c r="AF6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6999" spans="18:32" x14ac:dyDescent="0.2">
      <c r="R6999" t="s">
        <v>14</v>
      </c>
      <c r="S6999" t="s">
        <v>242</v>
      </c>
      <c r="T6999" t="s">
        <v>7</v>
      </c>
      <c r="U6999" s="21">
        <v>34838.01</v>
      </c>
      <c r="V6999" s="21" t="s">
        <v>368</v>
      </c>
      <c r="W6999" t="str">
        <f>VLOOKUP(Table_Query_from_Actuarial___Production[[#This Row],[Kor1]],$AI$3:$AK$105,3,FALSE)</f>
        <v>Claims Expense</v>
      </c>
      <c r="X6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6999"/>
      <c r="Z6999" t="s">
        <v>33</v>
      </c>
      <c r="AA6999" t="s">
        <v>231</v>
      </c>
      <c r="AB6999" t="s">
        <v>433</v>
      </c>
      <c r="AC6999" s="21">
        <v>14985.98</v>
      </c>
      <c r="AD6999" s="21" t="s">
        <v>368</v>
      </c>
      <c r="AE6999" t="str">
        <f>VLOOKUP(Table_Query_from_Actuarial___Production3[[#This Row],[Kor1]],$AI$3:$AK$105,3,FALSE)</f>
        <v>Misc. Expense</v>
      </c>
      <c r="AF6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0" spans="18:32" x14ac:dyDescent="0.2">
      <c r="R7000" t="s">
        <v>17</v>
      </c>
      <c r="S7000" t="s">
        <v>226</v>
      </c>
      <c r="T7000" t="s">
        <v>442</v>
      </c>
      <c r="U7000" s="21">
        <v>3750062.15</v>
      </c>
      <c r="V7000" s="21" t="s">
        <v>368</v>
      </c>
      <c r="W7000" t="str">
        <f>VLOOKUP(Table_Query_from_Actuarial___Production[[#This Row],[Kor1]],$AI$3:$AK$105,3,FALSE)</f>
        <v>IBNR</v>
      </c>
      <c r="X7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000"/>
      <c r="Z7000" t="s">
        <v>10</v>
      </c>
      <c r="AA7000" t="s">
        <v>244</v>
      </c>
      <c r="AB7000" t="s">
        <v>5</v>
      </c>
      <c r="AC7000" s="21">
        <v>31017.25</v>
      </c>
      <c r="AD7000" s="21" t="s">
        <v>368</v>
      </c>
      <c r="AE7000" t="str">
        <f>VLOOKUP(Table_Query_from_Actuarial___Production3[[#This Row],[Kor1]],$AI$3:$AK$105,3,FALSE)</f>
        <v>Commissions</v>
      </c>
      <c r="AF7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1" spans="18:32" x14ac:dyDescent="0.2">
      <c r="R7001" t="s">
        <v>12</v>
      </c>
      <c r="S7001" t="s">
        <v>267</v>
      </c>
      <c r="T7001" t="s">
        <v>445</v>
      </c>
      <c r="U7001" s="21">
        <v>8364.2999999999993</v>
      </c>
      <c r="V7001" s="21" t="s">
        <v>368</v>
      </c>
      <c r="W7001" t="str">
        <f>VLOOKUP(Table_Query_from_Actuarial___Production[[#This Row],[Kor1]],$AI$3:$AK$105,3,FALSE)</f>
        <v>Premium Tax</v>
      </c>
      <c r="X7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1"/>
      <c r="Z7001" t="s">
        <v>13</v>
      </c>
      <c r="AA7001" t="s">
        <v>260</v>
      </c>
      <c r="AB7001" t="s">
        <v>441</v>
      </c>
      <c r="AC7001" s="21">
        <v>7980.47</v>
      </c>
      <c r="AD7001" s="21" t="s">
        <v>368</v>
      </c>
      <c r="AE7001" t="str">
        <f>VLOOKUP(Table_Query_from_Actuarial___Production3[[#This Row],[Kor1]],$AI$3:$AK$105,3,FALSE)</f>
        <v>Operating Service Fees</v>
      </c>
      <c r="AF7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2" spans="18:32" x14ac:dyDescent="0.2">
      <c r="R7002" t="s">
        <v>47</v>
      </c>
      <c r="S7002" t="s">
        <v>256</v>
      </c>
      <c r="T7002" t="s">
        <v>442</v>
      </c>
      <c r="U7002" s="21">
        <v>77.89</v>
      </c>
      <c r="V7002" s="21" t="s">
        <v>368</v>
      </c>
      <c r="W7002" t="str">
        <f>VLOOKUP(Table_Query_from_Actuarial___Production[[#This Row],[Kor1]],$AI$3:$AK$105,3,FALSE)</f>
        <v>Investment Income</v>
      </c>
      <c r="X7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2"/>
      <c r="Z7002" t="s">
        <v>39</v>
      </c>
      <c r="AA7002" t="s">
        <v>252</v>
      </c>
      <c r="AB7002" t="s">
        <v>442</v>
      </c>
      <c r="AC7002" s="21">
        <v>149392.28</v>
      </c>
      <c r="AD7002" s="21" t="s">
        <v>368</v>
      </c>
      <c r="AE7002" t="str">
        <f>VLOOKUP(Table_Query_from_Actuarial___Production3[[#This Row],[Kor1]],$AI$3:$AK$105,3,FALSE)</f>
        <v>Misc. Income for Insolvent Companies</v>
      </c>
      <c r="AF7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3" spans="18:32" x14ac:dyDescent="0.2">
      <c r="R7003" t="s">
        <v>50</v>
      </c>
      <c r="S7003" t="s">
        <v>258</v>
      </c>
      <c r="T7003" t="s">
        <v>433</v>
      </c>
      <c r="U7003" s="21">
        <v>41253.089999999997</v>
      </c>
      <c r="V7003" s="21" t="s">
        <v>368</v>
      </c>
      <c r="W7003" t="str">
        <f>VLOOKUP(Table_Query_from_Actuarial___Production[[#This Row],[Kor1]],$AI$3:$AK$105,3,FALSE)</f>
        <v>ALAE Reserve</v>
      </c>
      <c r="X7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3"/>
      <c r="Z7003" t="s">
        <v>16</v>
      </c>
      <c r="AA7003" t="s">
        <v>252</v>
      </c>
      <c r="AB7003" t="s">
        <v>441</v>
      </c>
      <c r="AC7003" s="21">
        <v>16196953.869999999</v>
      </c>
      <c r="AD7003" s="21" t="s">
        <v>368</v>
      </c>
      <c r="AE7003" t="str">
        <f>VLOOKUP(Table_Query_from_Actuarial___Production3[[#This Row],[Kor1]],$AI$3:$AK$105,3,FALSE)</f>
        <v>Losses Outstanding</v>
      </c>
      <c r="AF7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4" spans="18:32" x14ac:dyDescent="0.2">
      <c r="R7004" t="s">
        <v>48</v>
      </c>
      <c r="S7004" t="s">
        <v>258</v>
      </c>
      <c r="T7004" t="s">
        <v>427</v>
      </c>
      <c r="U7004" s="21">
        <v>2866.3</v>
      </c>
      <c r="V7004" s="21" t="s">
        <v>368</v>
      </c>
      <c r="W7004" t="str">
        <f>VLOOKUP(Table_Query_from_Actuarial___Production[[#This Row],[Kor1]],$AI$3:$AK$105,3,FALSE)</f>
        <v>Anticipated Salvage</v>
      </c>
      <c r="X7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4"/>
      <c r="Z7004" t="s">
        <v>10</v>
      </c>
      <c r="AA7004" t="s">
        <v>232</v>
      </c>
      <c r="AB7004" t="s">
        <v>7</v>
      </c>
      <c r="AC7004" s="21">
        <v>92588.2</v>
      </c>
      <c r="AD7004" s="21" t="s">
        <v>368</v>
      </c>
      <c r="AE7004" t="str">
        <f>VLOOKUP(Table_Query_from_Actuarial___Production3[[#This Row],[Kor1]],$AI$3:$AK$105,3,FALSE)</f>
        <v>Commissions</v>
      </c>
      <c r="AF7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5" spans="18:32" x14ac:dyDescent="0.2">
      <c r="R7005" t="s">
        <v>16</v>
      </c>
      <c r="S7005" t="s">
        <v>265</v>
      </c>
      <c r="T7005" t="s">
        <v>445</v>
      </c>
      <c r="U7005" s="21">
        <v>2949.63</v>
      </c>
      <c r="V7005" s="21" t="s">
        <v>368</v>
      </c>
      <c r="W7005" t="str">
        <f>VLOOKUP(Table_Query_from_Actuarial___Production[[#This Row],[Kor1]],$AI$3:$AK$105,3,FALSE)</f>
        <v>Losses Outstanding</v>
      </c>
      <c r="X7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5"/>
      <c r="Z7005" t="s">
        <v>14</v>
      </c>
      <c r="AA7005" t="s">
        <v>242</v>
      </c>
      <c r="AB7005" t="s">
        <v>7</v>
      </c>
      <c r="AC7005" s="21">
        <v>34838.01</v>
      </c>
      <c r="AD7005" s="21" t="s">
        <v>368</v>
      </c>
      <c r="AE7005" t="str">
        <f>VLOOKUP(Table_Query_from_Actuarial___Production3[[#This Row],[Kor1]],$AI$3:$AK$105,3,FALSE)</f>
        <v>Claims Expense</v>
      </c>
      <c r="AF7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6" spans="18:32" x14ac:dyDescent="0.2">
      <c r="R7006" t="s">
        <v>37</v>
      </c>
      <c r="S7006" t="s">
        <v>237</v>
      </c>
      <c r="T7006" t="s">
        <v>9</v>
      </c>
      <c r="U7006" s="21">
        <v>4644.22</v>
      </c>
      <c r="V7006" s="21" t="s">
        <v>368</v>
      </c>
      <c r="W7006" t="str">
        <f>VLOOKUP(Table_Query_from_Actuarial___Production[[#This Row],[Kor1]],$AI$3:$AK$105,3,FALSE)</f>
        <v>Misc. Expense</v>
      </c>
      <c r="X7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6"/>
      <c r="Z7006" t="s">
        <v>17</v>
      </c>
      <c r="AA7006" t="s">
        <v>226</v>
      </c>
      <c r="AB7006" t="s">
        <v>442</v>
      </c>
      <c r="AC7006" s="21">
        <v>2503613.8199999998</v>
      </c>
      <c r="AD7006" s="21" t="s">
        <v>368</v>
      </c>
      <c r="AE7006" t="str">
        <f>VLOOKUP(Table_Query_from_Actuarial___Production3[[#This Row],[Kor1]],$AI$3:$AK$105,3,FALSE)</f>
        <v>IBNR</v>
      </c>
      <c r="AF7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007" spans="18:32" x14ac:dyDescent="0.2">
      <c r="R7007" t="s">
        <v>11</v>
      </c>
      <c r="S7007" t="s">
        <v>244</v>
      </c>
      <c r="T7007" t="s">
        <v>433</v>
      </c>
      <c r="U7007" s="21">
        <v>494852.49</v>
      </c>
      <c r="V7007" s="21" t="s">
        <v>368</v>
      </c>
      <c r="W7007" t="str">
        <f>VLOOKUP(Table_Query_from_Actuarial___Production[[#This Row],[Kor1]],$AI$3:$AK$105,3,FALSE)</f>
        <v>Losses Paid</v>
      </c>
      <c r="X7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7"/>
      <c r="Z7007" t="s">
        <v>47</v>
      </c>
      <c r="AA7007" t="s">
        <v>256</v>
      </c>
      <c r="AB7007" t="s">
        <v>442</v>
      </c>
      <c r="AC7007" s="21">
        <v>77.89</v>
      </c>
      <c r="AD7007" s="21" t="s">
        <v>368</v>
      </c>
      <c r="AE7007" t="str">
        <f>VLOOKUP(Table_Query_from_Actuarial___Production3[[#This Row],[Kor1]],$AI$3:$AK$105,3,FALSE)</f>
        <v>Investment Income</v>
      </c>
      <c r="AF7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8" spans="18:32" x14ac:dyDescent="0.2">
      <c r="R7008" t="s">
        <v>13</v>
      </c>
      <c r="S7008" t="s">
        <v>259</v>
      </c>
      <c r="T7008" t="s">
        <v>427</v>
      </c>
      <c r="U7008" s="21">
        <v>96273.32</v>
      </c>
      <c r="V7008" s="21" t="s">
        <v>368</v>
      </c>
      <c r="W7008" t="str">
        <f>VLOOKUP(Table_Query_from_Actuarial___Production[[#This Row],[Kor1]],$AI$3:$AK$105,3,FALSE)</f>
        <v>Operating Service Fees</v>
      </c>
      <c r="X7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8"/>
      <c r="Z7008" t="s">
        <v>50</v>
      </c>
      <c r="AA7008" t="s">
        <v>258</v>
      </c>
      <c r="AB7008" t="s">
        <v>433</v>
      </c>
      <c r="AC7008" s="21">
        <v>142182.94</v>
      </c>
      <c r="AD7008" s="21" t="s">
        <v>368</v>
      </c>
      <c r="AE7008" t="str">
        <f>VLOOKUP(Table_Query_from_Actuarial___Production3[[#This Row],[Kor1]],$AI$3:$AK$105,3,FALSE)</f>
        <v>ALAE Reserve</v>
      </c>
      <c r="AF7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09" spans="18:32" x14ac:dyDescent="0.2">
      <c r="R7009" t="s">
        <v>36</v>
      </c>
      <c r="S7009" t="s">
        <v>257</v>
      </c>
      <c r="T7009" t="s">
        <v>442</v>
      </c>
      <c r="U7009" s="21">
        <v>780.49</v>
      </c>
      <c r="V7009" s="21" t="s">
        <v>368</v>
      </c>
      <c r="W7009" t="str">
        <f>VLOOKUP(Table_Query_from_Actuarial___Production[[#This Row],[Kor1]],$AI$3:$AK$105,3,FALSE)</f>
        <v>Misc. Expense</v>
      </c>
      <c r="X7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09"/>
      <c r="Z7009" t="s">
        <v>48</v>
      </c>
      <c r="AA7009" t="s">
        <v>258</v>
      </c>
      <c r="AB7009" t="s">
        <v>427</v>
      </c>
      <c r="AC7009" s="21">
        <v>6861.16</v>
      </c>
      <c r="AD7009" s="21" t="s">
        <v>368</v>
      </c>
      <c r="AE7009" t="str">
        <f>VLOOKUP(Table_Query_from_Actuarial___Production3[[#This Row],[Kor1]],$AI$3:$AK$105,3,FALSE)</f>
        <v>Anticipated Salvage</v>
      </c>
      <c r="AF7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0" spans="18:32" x14ac:dyDescent="0.2">
      <c r="R7010" t="s">
        <v>3</v>
      </c>
      <c r="S7010" t="s">
        <v>258</v>
      </c>
      <c r="T7010" t="s">
        <v>427</v>
      </c>
      <c r="U7010" s="21">
        <v>3622832</v>
      </c>
      <c r="V7010" s="21" t="s">
        <v>368</v>
      </c>
      <c r="W7010" t="str">
        <f>VLOOKUP(Table_Query_from_Actuarial___Production[[#This Row],[Kor1]],$AI$3:$AK$105,3,FALSE)</f>
        <v>Premiums Written</v>
      </c>
      <c r="X7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0"/>
      <c r="Z7010" t="s">
        <v>50</v>
      </c>
      <c r="AA7010" t="s">
        <v>232</v>
      </c>
      <c r="AB7010" t="s">
        <v>427</v>
      </c>
      <c r="AC7010" s="21">
        <v>16346.26</v>
      </c>
      <c r="AD7010" s="21" t="s">
        <v>368</v>
      </c>
      <c r="AE7010" t="str">
        <f>VLOOKUP(Table_Query_from_Actuarial___Production3[[#This Row],[Kor1]],$AI$3:$AK$105,3,FALSE)</f>
        <v>ALAE Reserve</v>
      </c>
      <c r="AF7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1" spans="18:32" x14ac:dyDescent="0.2">
      <c r="R7011" t="s">
        <v>43</v>
      </c>
      <c r="S7011" t="s">
        <v>266</v>
      </c>
      <c r="T7011" t="s">
        <v>442</v>
      </c>
      <c r="U7011" s="21">
        <v>7909.09</v>
      </c>
      <c r="V7011" s="21" t="s">
        <v>368</v>
      </c>
      <c r="W7011" t="str">
        <f>VLOOKUP(Table_Query_from_Actuarial___Production[[#This Row],[Kor1]],$AI$3:$AK$105,3,FALSE)</f>
        <v>Charge-offs</v>
      </c>
      <c r="X7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1"/>
      <c r="Z7011" t="s">
        <v>37</v>
      </c>
      <c r="AA7011" t="s">
        <v>237</v>
      </c>
      <c r="AB7011" t="s">
        <v>9</v>
      </c>
      <c r="AC7011" s="21">
        <v>4644.22</v>
      </c>
      <c r="AD7011" s="21" t="s">
        <v>368</v>
      </c>
      <c r="AE7011" t="str">
        <f>VLOOKUP(Table_Query_from_Actuarial___Production3[[#This Row],[Kor1]],$AI$3:$AK$105,3,FALSE)</f>
        <v>Misc. Expense</v>
      </c>
      <c r="AF7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2" spans="18:32" x14ac:dyDescent="0.2">
      <c r="R7012" t="s">
        <v>49</v>
      </c>
      <c r="S7012" t="s">
        <v>4</v>
      </c>
      <c r="T7012" t="s">
        <v>443</v>
      </c>
      <c r="U7012" s="21">
        <v>30507.1</v>
      </c>
      <c r="V7012" s="21" t="s">
        <v>368</v>
      </c>
      <c r="W7012" t="str">
        <f>VLOOKUP(Table_Query_from_Actuarial___Production[[#This Row],[Kor1]],$AI$3:$AK$105,3,FALSE)</f>
        <v>ALAE Paid</v>
      </c>
      <c r="X7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2"/>
      <c r="Z7012" t="s">
        <v>11</v>
      </c>
      <c r="AA7012" t="s">
        <v>244</v>
      </c>
      <c r="AB7012" t="s">
        <v>433</v>
      </c>
      <c r="AC7012" s="21">
        <v>274852.49</v>
      </c>
      <c r="AD7012" s="21" t="s">
        <v>368</v>
      </c>
      <c r="AE7012" t="str">
        <f>VLOOKUP(Table_Query_from_Actuarial___Production3[[#This Row],[Kor1]],$AI$3:$AK$105,3,FALSE)</f>
        <v>Losses Paid</v>
      </c>
      <c r="AF7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3" spans="18:32" x14ac:dyDescent="0.2">
      <c r="R7013" t="s">
        <v>41</v>
      </c>
      <c r="S7013" t="s">
        <v>235</v>
      </c>
      <c r="T7013" t="s">
        <v>445</v>
      </c>
      <c r="U7013" s="21">
        <v>150</v>
      </c>
      <c r="V7013" s="21" t="s">
        <v>368</v>
      </c>
      <c r="W7013" t="str">
        <f>VLOOKUP(Table_Query_from_Actuarial___Production[[#This Row],[Kor1]],$AI$3:$AK$105,3,FALSE)</f>
        <v>Misc. Income</v>
      </c>
      <c r="X7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3"/>
      <c r="Z7013" t="s">
        <v>13</v>
      </c>
      <c r="AA7013" t="s">
        <v>259</v>
      </c>
      <c r="AB7013" t="s">
        <v>427</v>
      </c>
      <c r="AC7013" s="21">
        <v>96273.32</v>
      </c>
      <c r="AD7013" s="21" t="s">
        <v>368</v>
      </c>
      <c r="AE7013" t="str">
        <f>VLOOKUP(Table_Query_from_Actuarial___Production3[[#This Row],[Kor1]],$AI$3:$AK$105,3,FALSE)</f>
        <v>Operating Service Fees</v>
      </c>
      <c r="AF7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4" spans="18:32" x14ac:dyDescent="0.2">
      <c r="R7014" t="s">
        <v>11</v>
      </c>
      <c r="S7014" t="s">
        <v>254</v>
      </c>
      <c r="T7014" t="s">
        <v>7</v>
      </c>
      <c r="U7014" s="21">
        <v>46227.03</v>
      </c>
      <c r="V7014" s="21" t="s">
        <v>368</v>
      </c>
      <c r="W7014" t="str">
        <f>VLOOKUP(Table_Query_from_Actuarial___Production[[#This Row],[Kor1]],$AI$3:$AK$105,3,FALSE)</f>
        <v>Losses Paid</v>
      </c>
      <c r="X7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4"/>
      <c r="Z7014" t="s">
        <v>36</v>
      </c>
      <c r="AA7014" t="s">
        <v>257</v>
      </c>
      <c r="AB7014" t="s">
        <v>442</v>
      </c>
      <c r="AC7014" s="21">
        <v>780.49</v>
      </c>
      <c r="AD7014" s="21" t="s">
        <v>368</v>
      </c>
      <c r="AE7014" t="str">
        <f>VLOOKUP(Table_Query_from_Actuarial___Production3[[#This Row],[Kor1]],$AI$3:$AK$105,3,FALSE)</f>
        <v>Misc. Expense</v>
      </c>
      <c r="AF7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5" spans="18:32" x14ac:dyDescent="0.2">
      <c r="R7015" t="s">
        <v>33</v>
      </c>
      <c r="S7015" t="s">
        <v>265</v>
      </c>
      <c r="T7015" t="s">
        <v>6</v>
      </c>
      <c r="U7015" s="21">
        <v>15111.29</v>
      </c>
      <c r="V7015" s="21" t="s">
        <v>368</v>
      </c>
      <c r="W7015" t="str">
        <f>VLOOKUP(Table_Query_from_Actuarial___Production[[#This Row],[Kor1]],$AI$3:$AK$105,3,FALSE)</f>
        <v>Misc. Expense</v>
      </c>
      <c r="X7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5"/>
      <c r="Z7015" t="s">
        <v>3</v>
      </c>
      <c r="AA7015" t="s">
        <v>258</v>
      </c>
      <c r="AB7015" t="s">
        <v>427</v>
      </c>
      <c r="AC7015" s="21">
        <v>3622832</v>
      </c>
      <c r="AD7015" s="21" t="s">
        <v>368</v>
      </c>
      <c r="AE7015" t="str">
        <f>VLOOKUP(Table_Query_from_Actuarial___Production3[[#This Row],[Kor1]],$AI$3:$AK$105,3,FALSE)</f>
        <v>Premiums Written</v>
      </c>
      <c r="AF7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6" spans="18:32" x14ac:dyDescent="0.2">
      <c r="R7016" t="s">
        <v>39</v>
      </c>
      <c r="S7016" t="s">
        <v>266</v>
      </c>
      <c r="T7016" t="s">
        <v>445</v>
      </c>
      <c r="U7016" s="21">
        <v>153.1</v>
      </c>
      <c r="V7016" s="21" t="s">
        <v>368</v>
      </c>
      <c r="W7016" t="str">
        <f>VLOOKUP(Table_Query_from_Actuarial___Production[[#This Row],[Kor1]],$AI$3:$AK$105,3,FALSE)</f>
        <v>Misc. Income for Insolvent Companies</v>
      </c>
      <c r="X7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6"/>
      <c r="Z7016" t="s">
        <v>43</v>
      </c>
      <c r="AA7016" t="s">
        <v>266</v>
      </c>
      <c r="AB7016" t="s">
        <v>442</v>
      </c>
      <c r="AC7016" s="21">
        <v>8313.43</v>
      </c>
      <c r="AD7016" s="21" t="s">
        <v>368</v>
      </c>
      <c r="AE7016" t="str">
        <f>VLOOKUP(Table_Query_from_Actuarial___Production3[[#This Row],[Kor1]],$AI$3:$AK$105,3,FALSE)</f>
        <v>Charge-offs</v>
      </c>
      <c r="AF7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7" spans="18:32" x14ac:dyDescent="0.2">
      <c r="R7017" t="s">
        <v>31</v>
      </c>
      <c r="S7017" t="s">
        <v>250</v>
      </c>
      <c r="T7017" t="s">
        <v>351</v>
      </c>
      <c r="U7017" s="21">
        <v>617.96</v>
      </c>
      <c r="V7017" s="21" t="s">
        <v>368</v>
      </c>
      <c r="W7017" t="str">
        <f>VLOOKUP(Table_Query_from_Actuarial___Production[[#This Row],[Kor1]],$AI$3:$AK$105,3,FALSE)</f>
        <v>Misc. Expense</v>
      </c>
      <c r="X7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7"/>
      <c r="Z7017" t="s">
        <v>11</v>
      </c>
      <c r="AA7017" t="s">
        <v>254</v>
      </c>
      <c r="AB7017" t="s">
        <v>7</v>
      </c>
      <c r="AC7017" s="21">
        <v>46227.03</v>
      </c>
      <c r="AD7017" s="21" t="s">
        <v>368</v>
      </c>
      <c r="AE7017" t="str">
        <f>VLOOKUP(Table_Query_from_Actuarial___Production3[[#This Row],[Kor1]],$AI$3:$AK$105,3,FALSE)</f>
        <v>Losses Paid</v>
      </c>
      <c r="AF7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8" spans="18:32" x14ac:dyDescent="0.2">
      <c r="R7018" t="s">
        <v>33</v>
      </c>
      <c r="S7018" t="s">
        <v>229</v>
      </c>
      <c r="T7018" t="s">
        <v>6</v>
      </c>
      <c r="U7018" s="21">
        <v>14635.65</v>
      </c>
      <c r="V7018" s="21" t="s">
        <v>368</v>
      </c>
      <c r="W7018" t="str">
        <f>VLOOKUP(Table_Query_from_Actuarial___Production[[#This Row],[Kor1]],$AI$3:$AK$105,3,FALSE)</f>
        <v>Misc. Expense</v>
      </c>
      <c r="X7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8"/>
      <c r="Z7018" t="s">
        <v>33</v>
      </c>
      <c r="AA7018" t="s">
        <v>265</v>
      </c>
      <c r="AB7018" t="s">
        <v>6</v>
      </c>
      <c r="AC7018" s="21">
        <v>15111.29</v>
      </c>
      <c r="AD7018" s="21" t="s">
        <v>368</v>
      </c>
      <c r="AE7018" t="str">
        <f>VLOOKUP(Table_Query_from_Actuarial___Production3[[#This Row],[Kor1]],$AI$3:$AK$105,3,FALSE)</f>
        <v>Misc. Expense</v>
      </c>
      <c r="AF7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19" spans="18:32" x14ac:dyDescent="0.2">
      <c r="R7019" t="s">
        <v>13</v>
      </c>
      <c r="S7019" t="s">
        <v>231</v>
      </c>
      <c r="T7019" t="s">
        <v>433</v>
      </c>
      <c r="U7019" s="21">
        <v>281727.76</v>
      </c>
      <c r="V7019" s="21" t="s">
        <v>368</v>
      </c>
      <c r="W7019" t="str">
        <f>VLOOKUP(Table_Query_from_Actuarial___Production[[#This Row],[Kor1]],$AI$3:$AK$105,3,FALSE)</f>
        <v>Operating Service Fees</v>
      </c>
      <c r="X7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19"/>
      <c r="Z7019" t="s">
        <v>31</v>
      </c>
      <c r="AA7019" t="s">
        <v>250</v>
      </c>
      <c r="AB7019" t="s">
        <v>351</v>
      </c>
      <c r="AC7019" s="21">
        <v>617.96</v>
      </c>
      <c r="AD7019" s="21" t="s">
        <v>368</v>
      </c>
      <c r="AE7019" t="str">
        <f>VLOOKUP(Table_Query_from_Actuarial___Production3[[#This Row],[Kor1]],$AI$3:$AK$105,3,FALSE)</f>
        <v>Misc. Expense</v>
      </c>
      <c r="AF7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0" spans="18:32" x14ac:dyDescent="0.2">
      <c r="R7020" t="s">
        <v>31</v>
      </c>
      <c r="S7020" t="s">
        <v>244</v>
      </c>
      <c r="T7020" t="s">
        <v>433</v>
      </c>
      <c r="U7020" s="21">
        <v>880.28</v>
      </c>
      <c r="V7020" s="21" t="s">
        <v>368</v>
      </c>
      <c r="W7020" t="str">
        <f>VLOOKUP(Table_Query_from_Actuarial___Production[[#This Row],[Kor1]],$AI$3:$AK$105,3,FALSE)</f>
        <v>Misc. Expense</v>
      </c>
      <c r="X7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0"/>
      <c r="Z7020" t="s">
        <v>33</v>
      </c>
      <c r="AA7020" t="s">
        <v>229</v>
      </c>
      <c r="AB7020" t="s">
        <v>6</v>
      </c>
      <c r="AC7020" s="21">
        <v>14635.65</v>
      </c>
      <c r="AD7020" s="21" t="s">
        <v>368</v>
      </c>
      <c r="AE7020" t="str">
        <f>VLOOKUP(Table_Query_from_Actuarial___Production3[[#This Row],[Kor1]],$AI$3:$AK$105,3,FALSE)</f>
        <v>Misc. Expense</v>
      </c>
      <c r="AF7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1" spans="18:32" x14ac:dyDescent="0.2">
      <c r="R7021" t="s">
        <v>31</v>
      </c>
      <c r="S7021" t="s">
        <v>262</v>
      </c>
      <c r="T7021" t="s">
        <v>445</v>
      </c>
      <c r="U7021" s="21">
        <v>248.62</v>
      </c>
      <c r="V7021" s="21" t="s">
        <v>368</v>
      </c>
      <c r="W7021" t="str">
        <f>VLOOKUP(Table_Query_from_Actuarial___Production[[#This Row],[Kor1]],$AI$3:$AK$105,3,FALSE)</f>
        <v>Misc. Expense</v>
      </c>
      <c r="X7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1"/>
      <c r="Z7021" t="s">
        <v>13</v>
      </c>
      <c r="AA7021" t="s">
        <v>231</v>
      </c>
      <c r="AB7021" t="s">
        <v>433</v>
      </c>
      <c r="AC7021" s="21">
        <v>281727.76</v>
      </c>
      <c r="AD7021" s="21" t="s">
        <v>368</v>
      </c>
      <c r="AE7021" t="str">
        <f>VLOOKUP(Table_Query_from_Actuarial___Production3[[#This Row],[Kor1]],$AI$3:$AK$105,3,FALSE)</f>
        <v>Operating Service Fees</v>
      </c>
      <c r="AF7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2" spans="18:32" x14ac:dyDescent="0.2">
      <c r="R7022" t="s">
        <v>47</v>
      </c>
      <c r="S7022" t="s">
        <v>266</v>
      </c>
      <c r="T7022" t="s">
        <v>443</v>
      </c>
      <c r="U7022" s="21">
        <v>8622.85</v>
      </c>
      <c r="V7022" s="21" t="s">
        <v>368</v>
      </c>
      <c r="W7022" t="str">
        <f>VLOOKUP(Table_Query_from_Actuarial___Production[[#This Row],[Kor1]],$AI$3:$AK$105,3,FALSE)</f>
        <v>Investment Income</v>
      </c>
      <c r="X7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2"/>
      <c r="Z7022" t="s">
        <v>31</v>
      </c>
      <c r="AA7022" t="s">
        <v>244</v>
      </c>
      <c r="AB7022" t="s">
        <v>433</v>
      </c>
      <c r="AC7022" s="21">
        <v>880.28</v>
      </c>
      <c r="AD7022" s="21" t="s">
        <v>368</v>
      </c>
      <c r="AE7022" t="str">
        <f>VLOOKUP(Table_Query_from_Actuarial___Production3[[#This Row],[Kor1]],$AI$3:$AK$105,3,FALSE)</f>
        <v>Misc. Expense</v>
      </c>
      <c r="AF7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3" spans="18:32" x14ac:dyDescent="0.2">
      <c r="R7023" t="s">
        <v>3</v>
      </c>
      <c r="S7023" t="s">
        <v>232</v>
      </c>
      <c r="T7023" t="s">
        <v>443</v>
      </c>
      <c r="U7023" s="21">
        <v>2320410</v>
      </c>
      <c r="V7023" s="21" t="s">
        <v>368</v>
      </c>
      <c r="W7023" t="str">
        <f>VLOOKUP(Table_Query_from_Actuarial___Production[[#This Row],[Kor1]],$AI$3:$AK$105,3,FALSE)</f>
        <v>Premiums Written</v>
      </c>
      <c r="X7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3"/>
      <c r="Z7023" t="s">
        <v>47</v>
      </c>
      <c r="AA7023" t="s">
        <v>266</v>
      </c>
      <c r="AB7023" t="s">
        <v>443</v>
      </c>
      <c r="AC7023" s="21">
        <v>2514.9899999999998</v>
      </c>
      <c r="AD7023" s="21" t="s">
        <v>368</v>
      </c>
      <c r="AE7023" t="str">
        <f>VLOOKUP(Table_Query_from_Actuarial___Production3[[#This Row],[Kor1]],$AI$3:$AK$105,3,FALSE)</f>
        <v>Investment Income</v>
      </c>
      <c r="AF7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4" spans="18:32" x14ac:dyDescent="0.2">
      <c r="R7024" t="s">
        <v>13</v>
      </c>
      <c r="S7024" t="s">
        <v>262</v>
      </c>
      <c r="T7024" t="s">
        <v>8</v>
      </c>
      <c r="U7024" s="21">
        <v>27727.759999999998</v>
      </c>
      <c r="V7024" s="21" t="s">
        <v>368</v>
      </c>
      <c r="W7024" t="str">
        <f>VLOOKUP(Table_Query_from_Actuarial___Production[[#This Row],[Kor1]],$AI$3:$AK$105,3,FALSE)</f>
        <v>Operating Service Fees</v>
      </c>
      <c r="X7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4"/>
      <c r="Z7024" t="s">
        <v>3</v>
      </c>
      <c r="AA7024" t="s">
        <v>232</v>
      </c>
      <c r="AB7024" t="s">
        <v>443</v>
      </c>
      <c r="AC7024" s="21">
        <v>799838</v>
      </c>
      <c r="AD7024" s="21" t="s">
        <v>368</v>
      </c>
      <c r="AE7024" t="str">
        <f>VLOOKUP(Table_Query_from_Actuarial___Production3[[#This Row],[Kor1]],$AI$3:$AK$105,3,FALSE)</f>
        <v>Premiums Written</v>
      </c>
      <c r="AF7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5" spans="18:32" x14ac:dyDescent="0.2">
      <c r="R7025" t="s">
        <v>3</v>
      </c>
      <c r="S7025" t="s">
        <v>261</v>
      </c>
      <c r="T7025" t="s">
        <v>9</v>
      </c>
      <c r="U7025" s="21">
        <v>681973</v>
      </c>
      <c r="V7025" s="21" t="s">
        <v>368</v>
      </c>
      <c r="W7025" t="str">
        <f>VLOOKUP(Table_Query_from_Actuarial___Production[[#This Row],[Kor1]],$AI$3:$AK$105,3,FALSE)</f>
        <v>Premiums Written</v>
      </c>
      <c r="X7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5"/>
      <c r="Z7025" t="s">
        <v>13</v>
      </c>
      <c r="AA7025" t="s">
        <v>262</v>
      </c>
      <c r="AB7025" t="s">
        <v>8</v>
      </c>
      <c r="AC7025" s="21">
        <v>27727.759999999998</v>
      </c>
      <c r="AD7025" s="21" t="s">
        <v>368</v>
      </c>
      <c r="AE7025" t="str">
        <f>VLOOKUP(Table_Query_from_Actuarial___Production3[[#This Row],[Kor1]],$AI$3:$AK$105,3,FALSE)</f>
        <v>Operating Service Fees</v>
      </c>
      <c r="AF7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6" spans="18:32" x14ac:dyDescent="0.2">
      <c r="R7026" t="s">
        <v>19</v>
      </c>
      <c r="S7026" t="s">
        <v>227</v>
      </c>
      <c r="T7026" t="s">
        <v>7</v>
      </c>
      <c r="U7026" s="21">
        <v>374</v>
      </c>
      <c r="V7026" s="21" t="s">
        <v>368</v>
      </c>
      <c r="W7026" t="str">
        <f>VLOOKUP(Table_Query_from_Actuarial___Production[[#This Row],[Kor1]],$AI$3:$AK$105,3,FALSE)</f>
        <v>Misc. Expense for Insolvent Companies</v>
      </c>
      <c r="X7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6"/>
      <c r="Z7026" t="s">
        <v>3</v>
      </c>
      <c r="AA7026" t="s">
        <v>261</v>
      </c>
      <c r="AB7026" t="s">
        <v>9</v>
      </c>
      <c r="AC7026" s="21">
        <v>681973</v>
      </c>
      <c r="AD7026" s="21" t="s">
        <v>368</v>
      </c>
      <c r="AE7026" t="str">
        <f>VLOOKUP(Table_Query_from_Actuarial___Production3[[#This Row],[Kor1]],$AI$3:$AK$105,3,FALSE)</f>
        <v>Premiums Written</v>
      </c>
      <c r="AF7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7" spans="18:32" x14ac:dyDescent="0.2">
      <c r="R7027" t="s">
        <v>33</v>
      </c>
      <c r="S7027" t="s">
        <v>243</v>
      </c>
      <c r="T7027" t="s">
        <v>9</v>
      </c>
      <c r="U7027" s="21">
        <v>15987.9</v>
      </c>
      <c r="V7027" s="21" t="s">
        <v>368</v>
      </c>
      <c r="W7027" t="str">
        <f>VLOOKUP(Table_Query_from_Actuarial___Production[[#This Row],[Kor1]],$AI$3:$AK$105,3,FALSE)</f>
        <v>Misc. Expense</v>
      </c>
      <c r="X7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7"/>
      <c r="Z7027" t="s">
        <v>19</v>
      </c>
      <c r="AA7027" t="s">
        <v>227</v>
      </c>
      <c r="AB7027" t="s">
        <v>7</v>
      </c>
      <c r="AC7027" s="21">
        <v>374</v>
      </c>
      <c r="AD7027" s="21" t="s">
        <v>368</v>
      </c>
      <c r="AE7027" t="str">
        <f>VLOOKUP(Table_Query_from_Actuarial___Production3[[#This Row],[Kor1]],$AI$3:$AK$105,3,FALSE)</f>
        <v>Misc. Expense for Insolvent Companies</v>
      </c>
      <c r="AF7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8" spans="18:32" x14ac:dyDescent="0.2">
      <c r="R7028" t="s">
        <v>47</v>
      </c>
      <c r="S7028" t="s">
        <v>234</v>
      </c>
      <c r="T7028" t="s">
        <v>433</v>
      </c>
      <c r="U7028" s="21">
        <v>1614.35</v>
      </c>
      <c r="V7028" s="21" t="s">
        <v>368</v>
      </c>
      <c r="W7028" t="str">
        <f>VLOOKUP(Table_Query_from_Actuarial___Production[[#This Row],[Kor1]],$AI$3:$AK$105,3,FALSE)</f>
        <v>Investment Income</v>
      </c>
      <c r="X7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8"/>
      <c r="Z7028" t="s">
        <v>33</v>
      </c>
      <c r="AA7028" t="s">
        <v>243</v>
      </c>
      <c r="AB7028" t="s">
        <v>9</v>
      </c>
      <c r="AC7028" s="21">
        <v>15987.9</v>
      </c>
      <c r="AD7028" s="21" t="s">
        <v>368</v>
      </c>
      <c r="AE7028" t="str">
        <f>VLOOKUP(Table_Query_from_Actuarial___Production3[[#This Row],[Kor1]],$AI$3:$AK$105,3,FALSE)</f>
        <v>Misc. Expense</v>
      </c>
      <c r="AF7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29" spans="18:32" x14ac:dyDescent="0.2">
      <c r="R7029" t="s">
        <v>3</v>
      </c>
      <c r="S7029" t="s">
        <v>250</v>
      </c>
      <c r="T7029" t="s">
        <v>8</v>
      </c>
      <c r="U7029" s="21">
        <v>1108639</v>
      </c>
      <c r="V7029" s="21" t="s">
        <v>368</v>
      </c>
      <c r="W7029" t="str">
        <f>VLOOKUP(Table_Query_from_Actuarial___Production[[#This Row],[Kor1]],$AI$3:$AK$105,3,FALSE)</f>
        <v>Premiums Written</v>
      </c>
      <c r="X7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29"/>
      <c r="Z7029" t="s">
        <v>47</v>
      </c>
      <c r="AA7029" t="s">
        <v>234</v>
      </c>
      <c r="AB7029" t="s">
        <v>433</v>
      </c>
      <c r="AC7029" s="21">
        <v>1614.35</v>
      </c>
      <c r="AD7029" s="21" t="s">
        <v>368</v>
      </c>
      <c r="AE7029" t="str">
        <f>VLOOKUP(Table_Query_from_Actuarial___Production3[[#This Row],[Kor1]],$AI$3:$AK$105,3,FALSE)</f>
        <v>Investment Income</v>
      </c>
      <c r="AF7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0" spans="18:32" x14ac:dyDescent="0.2">
      <c r="R7030" t="s">
        <v>31</v>
      </c>
      <c r="S7030" t="s">
        <v>230</v>
      </c>
      <c r="T7030" t="s">
        <v>433</v>
      </c>
      <c r="U7030" s="21">
        <v>206.09</v>
      </c>
      <c r="V7030" s="21" t="s">
        <v>368</v>
      </c>
      <c r="W7030" t="str">
        <f>VLOOKUP(Table_Query_from_Actuarial___Production[[#This Row],[Kor1]],$AI$3:$AK$105,3,FALSE)</f>
        <v>Misc. Expense</v>
      </c>
      <c r="X7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0"/>
      <c r="Z7030" t="s">
        <v>3</v>
      </c>
      <c r="AA7030" t="s">
        <v>226</v>
      </c>
      <c r="AB7030" t="s">
        <v>5</v>
      </c>
      <c r="AC7030" s="21">
        <v>4889673</v>
      </c>
      <c r="AD7030" s="21" t="s">
        <v>368</v>
      </c>
      <c r="AE7030" t="str">
        <f>VLOOKUP(Table_Query_from_Actuarial___Production3[[#This Row],[Kor1]],$AI$3:$AK$105,3,FALSE)</f>
        <v>Premiums Written</v>
      </c>
      <c r="AF7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031" spans="18:32" x14ac:dyDescent="0.2">
      <c r="R7031" t="s">
        <v>37</v>
      </c>
      <c r="S7031" t="s">
        <v>264</v>
      </c>
      <c r="T7031" t="s">
        <v>433</v>
      </c>
      <c r="U7031" s="21">
        <v>556.29</v>
      </c>
      <c r="V7031" s="21" t="s">
        <v>368</v>
      </c>
      <c r="W7031" t="str">
        <f>VLOOKUP(Table_Query_from_Actuarial___Production[[#This Row],[Kor1]],$AI$3:$AK$105,3,FALSE)</f>
        <v>Misc. Expense</v>
      </c>
      <c r="X7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1"/>
      <c r="Z7031" t="s">
        <v>10</v>
      </c>
      <c r="AA7031" t="s">
        <v>230</v>
      </c>
      <c r="AB7031" t="s">
        <v>5</v>
      </c>
      <c r="AC7031" s="21">
        <v>520237.67</v>
      </c>
      <c r="AD7031" s="21" t="s">
        <v>368</v>
      </c>
      <c r="AE7031" t="str">
        <f>VLOOKUP(Table_Query_from_Actuarial___Production3[[#This Row],[Kor1]],$AI$3:$AK$105,3,FALSE)</f>
        <v>Commissions</v>
      </c>
      <c r="AF7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2" spans="18:32" x14ac:dyDescent="0.2">
      <c r="R7032" t="s">
        <v>3</v>
      </c>
      <c r="S7032" t="s">
        <v>243</v>
      </c>
      <c r="T7032" t="s">
        <v>9</v>
      </c>
      <c r="U7032" s="21">
        <v>265805</v>
      </c>
      <c r="V7032" s="21" t="s">
        <v>368</v>
      </c>
      <c r="W7032" t="str">
        <f>VLOOKUP(Table_Query_from_Actuarial___Production[[#This Row],[Kor1]],$AI$3:$AK$105,3,FALSE)</f>
        <v>Premiums Written</v>
      </c>
      <c r="X7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2"/>
      <c r="Z7032" t="s">
        <v>3</v>
      </c>
      <c r="AA7032" t="s">
        <v>250</v>
      </c>
      <c r="AB7032" t="s">
        <v>8</v>
      </c>
      <c r="AC7032" s="21">
        <v>1108639</v>
      </c>
      <c r="AD7032" s="21" t="s">
        <v>368</v>
      </c>
      <c r="AE7032" t="str">
        <f>VLOOKUP(Table_Query_from_Actuarial___Production3[[#This Row],[Kor1]],$AI$3:$AK$105,3,FALSE)</f>
        <v>Premiums Written</v>
      </c>
      <c r="AF7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3" spans="18:32" x14ac:dyDescent="0.2">
      <c r="R7033" t="s">
        <v>47</v>
      </c>
      <c r="S7033" t="s">
        <v>267</v>
      </c>
      <c r="T7033" t="s">
        <v>442</v>
      </c>
      <c r="U7033" s="21">
        <v>4464.91</v>
      </c>
      <c r="V7033" s="21" t="s">
        <v>368</v>
      </c>
      <c r="W7033" t="str">
        <f>VLOOKUP(Table_Query_from_Actuarial___Production[[#This Row],[Kor1]],$AI$3:$AK$105,3,FALSE)</f>
        <v>Investment Income</v>
      </c>
      <c r="X7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3"/>
      <c r="Z7033" t="s">
        <v>31</v>
      </c>
      <c r="AA7033" t="s">
        <v>230</v>
      </c>
      <c r="AB7033" t="s">
        <v>433</v>
      </c>
      <c r="AC7033" s="21">
        <v>206.09</v>
      </c>
      <c r="AD7033" s="21" t="s">
        <v>368</v>
      </c>
      <c r="AE7033" t="str">
        <f>VLOOKUP(Table_Query_from_Actuarial___Production3[[#This Row],[Kor1]],$AI$3:$AK$105,3,FALSE)</f>
        <v>Misc. Expense</v>
      </c>
      <c r="AF7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4" spans="18:32" x14ac:dyDescent="0.2">
      <c r="R7034" t="s">
        <v>50</v>
      </c>
      <c r="S7034" t="s">
        <v>268</v>
      </c>
      <c r="T7034" t="s">
        <v>433</v>
      </c>
      <c r="U7034" s="21">
        <v>1174.8699999999999</v>
      </c>
      <c r="V7034" s="21" t="s">
        <v>368</v>
      </c>
      <c r="W7034" t="str">
        <f>VLOOKUP(Table_Query_from_Actuarial___Production[[#This Row],[Kor1]],$AI$3:$AK$105,3,FALSE)</f>
        <v>ALAE Reserve</v>
      </c>
      <c r="X7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4"/>
      <c r="Z7034" t="s">
        <v>37</v>
      </c>
      <c r="AA7034" t="s">
        <v>264</v>
      </c>
      <c r="AB7034" t="s">
        <v>433</v>
      </c>
      <c r="AC7034" s="21">
        <v>556.29</v>
      </c>
      <c r="AD7034" s="21" t="s">
        <v>368</v>
      </c>
      <c r="AE7034" t="str">
        <f>VLOOKUP(Table_Query_from_Actuarial___Production3[[#This Row],[Kor1]],$AI$3:$AK$105,3,FALSE)</f>
        <v>Misc. Expense</v>
      </c>
      <c r="AF7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5" spans="18:32" x14ac:dyDescent="0.2">
      <c r="R7035" t="s">
        <v>14</v>
      </c>
      <c r="S7035" t="s">
        <v>258</v>
      </c>
      <c r="T7035" t="s">
        <v>6</v>
      </c>
      <c r="U7035" s="21">
        <v>157556.39000000001</v>
      </c>
      <c r="V7035" s="21" t="s">
        <v>368</v>
      </c>
      <c r="W7035" t="str">
        <f>VLOOKUP(Table_Query_from_Actuarial___Production[[#This Row],[Kor1]],$AI$3:$AK$105,3,FALSE)</f>
        <v>Claims Expense</v>
      </c>
      <c r="X7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5"/>
      <c r="Z7035" t="s">
        <v>3</v>
      </c>
      <c r="AA7035" t="s">
        <v>243</v>
      </c>
      <c r="AB7035" t="s">
        <v>9</v>
      </c>
      <c r="AC7035" s="21">
        <v>265805</v>
      </c>
      <c r="AD7035" s="21" t="s">
        <v>368</v>
      </c>
      <c r="AE7035" t="str">
        <f>VLOOKUP(Table_Query_from_Actuarial___Production3[[#This Row],[Kor1]],$AI$3:$AK$105,3,FALSE)</f>
        <v>Premiums Written</v>
      </c>
      <c r="AF7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6" spans="18:32" x14ac:dyDescent="0.2">
      <c r="R7036" t="s">
        <v>44</v>
      </c>
      <c r="S7036" t="s">
        <v>249</v>
      </c>
      <c r="T7036" t="s">
        <v>9</v>
      </c>
      <c r="U7036" s="21">
        <v>1415</v>
      </c>
      <c r="V7036" s="21" t="s">
        <v>368</v>
      </c>
      <c r="W7036" t="str">
        <f>VLOOKUP(Table_Query_from_Actuarial___Production[[#This Row],[Kor1]],$AI$3:$AK$105,3,FALSE)</f>
        <v>Charge-offs</v>
      </c>
      <c r="X7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6"/>
      <c r="Z7036" t="s">
        <v>47</v>
      </c>
      <c r="AA7036" t="s">
        <v>267</v>
      </c>
      <c r="AB7036" t="s">
        <v>442</v>
      </c>
      <c r="AC7036" s="21">
        <v>4464.91</v>
      </c>
      <c r="AD7036" s="21" t="s">
        <v>368</v>
      </c>
      <c r="AE7036" t="str">
        <f>VLOOKUP(Table_Query_from_Actuarial___Production3[[#This Row],[Kor1]],$AI$3:$AK$105,3,FALSE)</f>
        <v>Investment Income</v>
      </c>
      <c r="AF7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7" spans="18:32" x14ac:dyDescent="0.2">
      <c r="R7037" t="s">
        <v>41</v>
      </c>
      <c r="S7037" t="s">
        <v>264</v>
      </c>
      <c r="T7037" t="s">
        <v>441</v>
      </c>
      <c r="U7037" s="21">
        <v>49.94</v>
      </c>
      <c r="V7037" s="21" t="s">
        <v>368</v>
      </c>
      <c r="W7037" t="str">
        <f>VLOOKUP(Table_Query_from_Actuarial___Production[[#This Row],[Kor1]],$AI$3:$AK$105,3,FALSE)</f>
        <v>Misc. Income</v>
      </c>
      <c r="X7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7"/>
      <c r="Z7037" t="s">
        <v>50</v>
      </c>
      <c r="AA7037" t="s">
        <v>268</v>
      </c>
      <c r="AB7037" t="s">
        <v>433</v>
      </c>
      <c r="AC7037" s="21">
        <v>785.5</v>
      </c>
      <c r="AD7037" s="21" t="s">
        <v>368</v>
      </c>
      <c r="AE7037" t="str">
        <f>VLOOKUP(Table_Query_from_Actuarial___Production3[[#This Row],[Kor1]],$AI$3:$AK$105,3,FALSE)</f>
        <v>ALAE Reserve</v>
      </c>
      <c r="AF7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8" spans="18:32" x14ac:dyDescent="0.2">
      <c r="R7038" t="s">
        <v>12</v>
      </c>
      <c r="S7038" t="s">
        <v>228</v>
      </c>
      <c r="T7038" t="s">
        <v>442</v>
      </c>
      <c r="U7038" s="21">
        <v>247538.86</v>
      </c>
      <c r="V7038" s="21" t="s">
        <v>368</v>
      </c>
      <c r="W7038" t="str">
        <f>VLOOKUP(Table_Query_from_Actuarial___Production[[#This Row],[Kor1]],$AI$3:$AK$105,3,FALSE)</f>
        <v>Premium Tax</v>
      </c>
      <c r="X7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8"/>
      <c r="Z7038" t="s">
        <v>14</v>
      </c>
      <c r="AA7038" t="s">
        <v>258</v>
      </c>
      <c r="AB7038" t="s">
        <v>6</v>
      </c>
      <c r="AC7038" s="21">
        <v>157556.39000000001</v>
      </c>
      <c r="AD7038" s="21" t="s">
        <v>368</v>
      </c>
      <c r="AE7038" t="str">
        <f>VLOOKUP(Table_Query_from_Actuarial___Production3[[#This Row],[Kor1]],$AI$3:$AK$105,3,FALSE)</f>
        <v>Claims Expense</v>
      </c>
      <c r="AF7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39" spans="18:32" x14ac:dyDescent="0.2">
      <c r="R7039" t="s">
        <v>31</v>
      </c>
      <c r="S7039" t="s">
        <v>266</v>
      </c>
      <c r="T7039" t="s">
        <v>445</v>
      </c>
      <c r="U7039" s="21">
        <v>419.56</v>
      </c>
      <c r="V7039" s="21" t="s">
        <v>368</v>
      </c>
      <c r="W7039" t="str">
        <f>VLOOKUP(Table_Query_from_Actuarial___Production[[#This Row],[Kor1]],$AI$3:$AK$105,3,FALSE)</f>
        <v>Misc. Expense</v>
      </c>
      <c r="X7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39"/>
      <c r="Z7039" t="s">
        <v>44</v>
      </c>
      <c r="AA7039" t="s">
        <v>249</v>
      </c>
      <c r="AB7039" t="s">
        <v>9</v>
      </c>
      <c r="AC7039" s="21">
        <v>1415</v>
      </c>
      <c r="AD7039" s="21" t="s">
        <v>368</v>
      </c>
      <c r="AE7039" t="str">
        <f>VLOOKUP(Table_Query_from_Actuarial___Production3[[#This Row],[Kor1]],$AI$3:$AK$105,3,FALSE)</f>
        <v>Charge-offs</v>
      </c>
      <c r="AF7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0" spans="18:32" x14ac:dyDescent="0.2">
      <c r="R7040" t="s">
        <v>10</v>
      </c>
      <c r="S7040" t="s">
        <v>238</v>
      </c>
      <c r="T7040" t="s">
        <v>433</v>
      </c>
      <c r="U7040" s="21">
        <v>35687.54</v>
      </c>
      <c r="V7040" s="21" t="s">
        <v>368</v>
      </c>
      <c r="W7040" t="str">
        <f>VLOOKUP(Table_Query_from_Actuarial___Production[[#This Row],[Kor1]],$AI$3:$AK$105,3,FALSE)</f>
        <v>Commissions</v>
      </c>
      <c r="X7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0"/>
      <c r="Z7040" t="s">
        <v>41</v>
      </c>
      <c r="AA7040" t="s">
        <v>264</v>
      </c>
      <c r="AB7040" t="s">
        <v>441</v>
      </c>
      <c r="AC7040" s="21">
        <v>49.94</v>
      </c>
      <c r="AD7040" s="21" t="s">
        <v>368</v>
      </c>
      <c r="AE7040" t="str">
        <f>VLOOKUP(Table_Query_from_Actuarial___Production3[[#This Row],[Kor1]],$AI$3:$AK$105,3,FALSE)</f>
        <v>Misc. Income</v>
      </c>
      <c r="AF7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1" spans="18:32" x14ac:dyDescent="0.2">
      <c r="R7041" t="s">
        <v>33</v>
      </c>
      <c r="S7041" t="s">
        <v>233</v>
      </c>
      <c r="T7041" t="s">
        <v>351</v>
      </c>
      <c r="U7041" s="21">
        <v>15755.36</v>
      </c>
      <c r="V7041" s="21" t="s">
        <v>368</v>
      </c>
      <c r="W7041" t="str">
        <f>VLOOKUP(Table_Query_from_Actuarial___Production[[#This Row],[Kor1]],$AI$3:$AK$105,3,FALSE)</f>
        <v>Misc. Expense</v>
      </c>
      <c r="X7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1"/>
      <c r="Z7041" t="s">
        <v>12</v>
      </c>
      <c r="AA7041" t="s">
        <v>228</v>
      </c>
      <c r="AB7041" t="s">
        <v>442</v>
      </c>
      <c r="AC7041" s="21">
        <v>248064.18</v>
      </c>
      <c r="AD7041" s="21" t="s">
        <v>368</v>
      </c>
      <c r="AE7041" t="str">
        <f>VLOOKUP(Table_Query_from_Actuarial___Production3[[#This Row],[Kor1]],$AI$3:$AK$105,3,FALSE)</f>
        <v>Premium Tax</v>
      </c>
      <c r="AF7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2" spans="18:32" x14ac:dyDescent="0.2">
      <c r="R7042" t="s">
        <v>32</v>
      </c>
      <c r="S7042" t="s">
        <v>252</v>
      </c>
      <c r="T7042" t="s">
        <v>6</v>
      </c>
      <c r="U7042" s="21">
        <v>3396.59</v>
      </c>
      <c r="V7042" s="21" t="s">
        <v>368</v>
      </c>
      <c r="W7042" t="str">
        <f>VLOOKUP(Table_Query_from_Actuarial___Production[[#This Row],[Kor1]],$AI$3:$AK$105,3,FALSE)</f>
        <v>Misc. Expense</v>
      </c>
      <c r="X7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2"/>
      <c r="Z7042" t="s">
        <v>10</v>
      </c>
      <c r="AA7042" t="s">
        <v>238</v>
      </c>
      <c r="AB7042" t="s">
        <v>433</v>
      </c>
      <c r="AC7042" s="21">
        <v>35687.54</v>
      </c>
      <c r="AD7042" s="21" t="s">
        <v>368</v>
      </c>
      <c r="AE7042" t="str">
        <f>VLOOKUP(Table_Query_from_Actuarial___Production3[[#This Row],[Kor1]],$AI$3:$AK$105,3,FALSE)</f>
        <v>Commissions</v>
      </c>
      <c r="AF7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3" spans="18:32" x14ac:dyDescent="0.2">
      <c r="R7043" t="s">
        <v>13</v>
      </c>
      <c r="S7043" t="s">
        <v>352</v>
      </c>
      <c r="T7043" t="s">
        <v>8</v>
      </c>
      <c r="U7043" s="21">
        <v>38889.760000000002</v>
      </c>
      <c r="V7043" s="21" t="s">
        <v>369</v>
      </c>
      <c r="W7043" t="str">
        <f>VLOOKUP(Table_Query_from_Actuarial___Production[[#This Row],[Kor1]],$AI$3:$AK$105,3,FALSE)</f>
        <v>Operating Service Fees</v>
      </c>
      <c r="X7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043"/>
      <c r="Z7043" t="s">
        <v>33</v>
      </c>
      <c r="AA7043" t="s">
        <v>233</v>
      </c>
      <c r="AB7043" t="s">
        <v>351</v>
      </c>
      <c r="AC7043" s="21">
        <v>15755.36</v>
      </c>
      <c r="AD7043" s="21" t="s">
        <v>368</v>
      </c>
      <c r="AE7043" t="str">
        <f>VLOOKUP(Table_Query_from_Actuarial___Production3[[#This Row],[Kor1]],$AI$3:$AK$105,3,FALSE)</f>
        <v>Misc. Expense</v>
      </c>
      <c r="AF7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4" spans="18:32" x14ac:dyDescent="0.2">
      <c r="R7044" t="s">
        <v>11</v>
      </c>
      <c r="S7044" t="s">
        <v>241</v>
      </c>
      <c r="T7044" t="s">
        <v>442</v>
      </c>
      <c r="U7044" s="21">
        <v>8517.2099999999991</v>
      </c>
      <c r="V7044" s="21" t="s">
        <v>368</v>
      </c>
      <c r="W7044" t="str">
        <f>VLOOKUP(Table_Query_from_Actuarial___Production[[#This Row],[Kor1]],$AI$3:$AK$105,3,FALSE)</f>
        <v>Losses Paid</v>
      </c>
      <c r="X7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4"/>
      <c r="Z7044" t="s">
        <v>32</v>
      </c>
      <c r="AA7044" t="s">
        <v>252</v>
      </c>
      <c r="AB7044" t="s">
        <v>6</v>
      </c>
      <c r="AC7044" s="21">
        <v>3396.59</v>
      </c>
      <c r="AD7044" s="21" t="s">
        <v>368</v>
      </c>
      <c r="AE7044" t="str">
        <f>VLOOKUP(Table_Query_from_Actuarial___Production3[[#This Row],[Kor1]],$AI$3:$AK$105,3,FALSE)</f>
        <v>Misc. Expense</v>
      </c>
      <c r="AF7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5" spans="18:32" x14ac:dyDescent="0.2">
      <c r="R7045" t="s">
        <v>12</v>
      </c>
      <c r="S7045" t="s">
        <v>250</v>
      </c>
      <c r="T7045" t="s">
        <v>441</v>
      </c>
      <c r="U7045" s="21">
        <v>24698.1</v>
      </c>
      <c r="V7045" s="21" t="s">
        <v>368</v>
      </c>
      <c r="W7045" t="str">
        <f>VLOOKUP(Table_Query_from_Actuarial___Production[[#This Row],[Kor1]],$AI$3:$AK$105,3,FALSE)</f>
        <v>Premium Tax</v>
      </c>
      <c r="X7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5"/>
      <c r="Z7045" t="s">
        <v>13</v>
      </c>
      <c r="AA7045" t="s">
        <v>352</v>
      </c>
      <c r="AB7045" t="s">
        <v>8</v>
      </c>
      <c r="AC7045" s="21">
        <v>39222.76</v>
      </c>
      <c r="AD7045" s="21" t="s">
        <v>369</v>
      </c>
      <c r="AE7045" t="str">
        <f>VLOOKUP(Table_Query_from_Actuarial___Production3[[#This Row],[Kor1]],$AI$3:$AK$105,3,FALSE)</f>
        <v>Operating Service Fees</v>
      </c>
      <c r="AF7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046" spans="18:32" x14ac:dyDescent="0.2">
      <c r="R7046" t="s">
        <v>44</v>
      </c>
      <c r="S7046" t="s">
        <v>265</v>
      </c>
      <c r="T7046" t="s">
        <v>443</v>
      </c>
      <c r="U7046" s="21">
        <v>3500</v>
      </c>
      <c r="V7046" s="21" t="s">
        <v>368</v>
      </c>
      <c r="W7046" t="str">
        <f>VLOOKUP(Table_Query_from_Actuarial___Production[[#This Row],[Kor1]],$AI$3:$AK$105,3,FALSE)</f>
        <v>Charge-offs</v>
      </c>
      <c r="X7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6"/>
      <c r="Z7046" t="s">
        <v>11</v>
      </c>
      <c r="AA7046" t="s">
        <v>241</v>
      </c>
      <c r="AB7046" t="s">
        <v>442</v>
      </c>
      <c r="AC7046" s="21">
        <v>13079.71</v>
      </c>
      <c r="AD7046" s="21" t="s">
        <v>368</v>
      </c>
      <c r="AE7046" t="str">
        <f>VLOOKUP(Table_Query_from_Actuarial___Production3[[#This Row],[Kor1]],$AI$3:$AK$105,3,FALSE)</f>
        <v>Losses Paid</v>
      </c>
      <c r="AF7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7" spans="18:32" x14ac:dyDescent="0.2">
      <c r="R7047" t="s">
        <v>44</v>
      </c>
      <c r="S7047" t="s">
        <v>241</v>
      </c>
      <c r="T7047" t="s">
        <v>8</v>
      </c>
      <c r="U7047" s="21">
        <v>0.93</v>
      </c>
      <c r="V7047" s="21" t="s">
        <v>368</v>
      </c>
      <c r="W7047" t="str">
        <f>VLOOKUP(Table_Query_from_Actuarial___Production[[#This Row],[Kor1]],$AI$3:$AK$105,3,FALSE)</f>
        <v>Charge-offs</v>
      </c>
      <c r="X7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7"/>
      <c r="Z7047" t="s">
        <v>12</v>
      </c>
      <c r="AA7047" t="s">
        <v>250</v>
      </c>
      <c r="AB7047" t="s">
        <v>441</v>
      </c>
      <c r="AC7047" s="21">
        <v>24698.1</v>
      </c>
      <c r="AD7047" s="21" t="s">
        <v>368</v>
      </c>
      <c r="AE7047" t="str">
        <f>VLOOKUP(Table_Query_from_Actuarial___Production3[[#This Row],[Kor1]],$AI$3:$AK$105,3,FALSE)</f>
        <v>Premium Tax</v>
      </c>
      <c r="AF7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8" spans="18:32" x14ac:dyDescent="0.2">
      <c r="R7048" t="s">
        <v>13</v>
      </c>
      <c r="S7048" t="s">
        <v>241</v>
      </c>
      <c r="T7048" t="s">
        <v>9</v>
      </c>
      <c r="U7048" s="21">
        <v>171111.37</v>
      </c>
      <c r="V7048" s="21" t="s">
        <v>368</v>
      </c>
      <c r="W7048" t="str">
        <f>VLOOKUP(Table_Query_from_Actuarial___Production[[#This Row],[Kor1]],$AI$3:$AK$105,3,FALSE)</f>
        <v>Operating Service Fees</v>
      </c>
      <c r="X7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8"/>
      <c r="Z7048" t="s">
        <v>44</v>
      </c>
      <c r="AA7048" t="s">
        <v>241</v>
      </c>
      <c r="AB7048" t="s">
        <v>8</v>
      </c>
      <c r="AC7048" s="21">
        <v>0.93</v>
      </c>
      <c r="AD7048" s="21" t="s">
        <v>368</v>
      </c>
      <c r="AE7048" t="str">
        <f>VLOOKUP(Table_Query_from_Actuarial___Production3[[#This Row],[Kor1]],$AI$3:$AK$105,3,FALSE)</f>
        <v>Charge-offs</v>
      </c>
      <c r="AF7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49" spans="18:32" x14ac:dyDescent="0.2">
      <c r="R7049" t="s">
        <v>20</v>
      </c>
      <c r="S7049" t="s">
        <v>239</v>
      </c>
      <c r="T7049" t="s">
        <v>427</v>
      </c>
      <c r="U7049" s="21">
        <v>255.31</v>
      </c>
      <c r="V7049" s="21" t="s">
        <v>368</v>
      </c>
      <c r="W7049" t="str">
        <f>VLOOKUP(Table_Query_from_Actuarial___Production[[#This Row],[Kor1]],$AI$3:$AK$105,3,FALSE)</f>
        <v>Misc. Expense</v>
      </c>
      <c r="X7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49"/>
      <c r="Z7049" t="s">
        <v>13</v>
      </c>
      <c r="AA7049" t="s">
        <v>241</v>
      </c>
      <c r="AB7049" t="s">
        <v>9</v>
      </c>
      <c r="AC7049" s="21">
        <v>171111.37</v>
      </c>
      <c r="AD7049" s="21" t="s">
        <v>368</v>
      </c>
      <c r="AE7049" t="str">
        <f>VLOOKUP(Table_Query_from_Actuarial___Production3[[#This Row],[Kor1]],$AI$3:$AK$105,3,FALSE)</f>
        <v>Operating Service Fees</v>
      </c>
      <c r="AF7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0" spans="18:32" x14ac:dyDescent="0.2">
      <c r="R7050" t="s">
        <v>33</v>
      </c>
      <c r="S7050" t="s">
        <v>263</v>
      </c>
      <c r="T7050" t="s">
        <v>356</v>
      </c>
      <c r="U7050" s="21">
        <v>15171.12</v>
      </c>
      <c r="V7050" s="21" t="s">
        <v>368</v>
      </c>
      <c r="W7050" t="str">
        <f>VLOOKUP(Table_Query_from_Actuarial___Production[[#This Row],[Kor1]],$AI$3:$AK$105,3,FALSE)</f>
        <v>Misc. Expense</v>
      </c>
      <c r="X7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0"/>
      <c r="Z7050" t="s">
        <v>20</v>
      </c>
      <c r="AA7050" t="s">
        <v>239</v>
      </c>
      <c r="AB7050" t="s">
        <v>427</v>
      </c>
      <c r="AC7050" s="21">
        <v>255.31</v>
      </c>
      <c r="AD7050" s="21" t="s">
        <v>368</v>
      </c>
      <c r="AE7050" t="str">
        <f>VLOOKUP(Table_Query_from_Actuarial___Production3[[#This Row],[Kor1]],$AI$3:$AK$105,3,FALSE)</f>
        <v>Misc. Expense</v>
      </c>
      <c r="AF7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1" spans="18:32" x14ac:dyDescent="0.2">
      <c r="R7051" t="s">
        <v>12</v>
      </c>
      <c r="S7051" t="s">
        <v>262</v>
      </c>
      <c r="T7051" t="s">
        <v>433</v>
      </c>
      <c r="U7051" s="21">
        <v>5828.94</v>
      </c>
      <c r="V7051" s="21" t="s">
        <v>368</v>
      </c>
      <c r="W7051" t="str">
        <f>VLOOKUP(Table_Query_from_Actuarial___Production[[#This Row],[Kor1]],$AI$3:$AK$105,3,FALSE)</f>
        <v>Premium Tax</v>
      </c>
      <c r="X7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1"/>
      <c r="Z7051" t="s">
        <v>33</v>
      </c>
      <c r="AA7051" t="s">
        <v>263</v>
      </c>
      <c r="AB7051" t="s">
        <v>356</v>
      </c>
      <c r="AC7051" s="21">
        <v>15171.12</v>
      </c>
      <c r="AD7051" s="21" t="s">
        <v>368</v>
      </c>
      <c r="AE7051" t="str">
        <f>VLOOKUP(Table_Query_from_Actuarial___Production3[[#This Row],[Kor1]],$AI$3:$AK$105,3,FALSE)</f>
        <v>Misc. Expense</v>
      </c>
      <c r="AF7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2" spans="18:32" x14ac:dyDescent="0.2">
      <c r="R7052" t="s">
        <v>16</v>
      </c>
      <c r="S7052" t="s">
        <v>239</v>
      </c>
      <c r="T7052" t="s">
        <v>441</v>
      </c>
      <c r="U7052" s="21">
        <v>2317884.9300000002</v>
      </c>
      <c r="V7052" s="21" t="s">
        <v>368</v>
      </c>
      <c r="W7052" t="str">
        <f>VLOOKUP(Table_Query_from_Actuarial___Production[[#This Row],[Kor1]],$AI$3:$AK$105,3,FALSE)</f>
        <v>Losses Outstanding</v>
      </c>
      <c r="X7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2"/>
      <c r="Z7052" t="s">
        <v>12</v>
      </c>
      <c r="AA7052" t="s">
        <v>262</v>
      </c>
      <c r="AB7052" t="s">
        <v>433</v>
      </c>
      <c r="AC7052" s="21">
        <v>5828.94</v>
      </c>
      <c r="AD7052" s="21" t="s">
        <v>368</v>
      </c>
      <c r="AE7052" t="str">
        <f>VLOOKUP(Table_Query_from_Actuarial___Production3[[#This Row],[Kor1]],$AI$3:$AK$105,3,FALSE)</f>
        <v>Premium Tax</v>
      </c>
      <c r="AF7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3" spans="18:32" x14ac:dyDescent="0.2">
      <c r="R7053" t="s">
        <v>39</v>
      </c>
      <c r="S7053" t="s">
        <v>262</v>
      </c>
      <c r="T7053" t="s">
        <v>433</v>
      </c>
      <c r="U7053" s="21">
        <v>384</v>
      </c>
      <c r="V7053" s="21" t="s">
        <v>368</v>
      </c>
      <c r="W7053" t="str">
        <f>VLOOKUP(Table_Query_from_Actuarial___Production[[#This Row],[Kor1]],$AI$3:$AK$105,3,FALSE)</f>
        <v>Misc. Income for Insolvent Companies</v>
      </c>
      <c r="X7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3"/>
      <c r="Z7053" t="s">
        <v>16</v>
      </c>
      <c r="AA7053" t="s">
        <v>239</v>
      </c>
      <c r="AB7053" t="s">
        <v>441</v>
      </c>
      <c r="AC7053" s="21">
        <v>4695260.6100000003</v>
      </c>
      <c r="AD7053" s="21" t="s">
        <v>368</v>
      </c>
      <c r="AE7053" t="str">
        <f>VLOOKUP(Table_Query_from_Actuarial___Production3[[#This Row],[Kor1]],$AI$3:$AK$105,3,FALSE)</f>
        <v>Losses Outstanding</v>
      </c>
      <c r="AF7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4" spans="18:32" x14ac:dyDescent="0.2">
      <c r="R7054" t="s">
        <v>40</v>
      </c>
      <c r="S7054" t="s">
        <v>260</v>
      </c>
      <c r="T7054" t="s">
        <v>8</v>
      </c>
      <c r="U7054" s="21">
        <v>4</v>
      </c>
      <c r="V7054" s="21" t="s">
        <v>368</v>
      </c>
      <c r="W7054" t="str">
        <f>VLOOKUP(Table_Query_from_Actuarial___Production[[#This Row],[Kor1]],$AI$3:$AK$105,3,FALSE)</f>
        <v>Misc. Income</v>
      </c>
      <c r="X7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4"/>
      <c r="Z7054" t="s">
        <v>39</v>
      </c>
      <c r="AA7054" t="s">
        <v>262</v>
      </c>
      <c r="AB7054" t="s">
        <v>433</v>
      </c>
      <c r="AC7054" s="21">
        <v>384</v>
      </c>
      <c r="AD7054" s="21" t="s">
        <v>368</v>
      </c>
      <c r="AE7054" t="str">
        <f>VLOOKUP(Table_Query_from_Actuarial___Production3[[#This Row],[Kor1]],$AI$3:$AK$105,3,FALSE)</f>
        <v>Misc. Income for Insolvent Companies</v>
      </c>
      <c r="AF7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5" spans="18:32" x14ac:dyDescent="0.2">
      <c r="R7055" t="s">
        <v>11</v>
      </c>
      <c r="S7055" t="s">
        <v>263</v>
      </c>
      <c r="T7055" t="s">
        <v>6</v>
      </c>
      <c r="U7055" s="21">
        <v>74245.56</v>
      </c>
      <c r="V7055" s="21" t="s">
        <v>368</v>
      </c>
      <c r="W7055" t="str">
        <f>VLOOKUP(Table_Query_from_Actuarial___Production[[#This Row],[Kor1]],$AI$3:$AK$105,3,FALSE)</f>
        <v>Losses Paid</v>
      </c>
      <c r="X7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5"/>
      <c r="Z7055" t="s">
        <v>39</v>
      </c>
      <c r="AA7055" t="s">
        <v>268</v>
      </c>
      <c r="AB7055" t="s">
        <v>5</v>
      </c>
      <c r="AC7055" s="21">
        <v>437.91</v>
      </c>
      <c r="AD7055" s="21" t="s">
        <v>368</v>
      </c>
      <c r="AE7055" t="str">
        <f>VLOOKUP(Table_Query_from_Actuarial___Production3[[#This Row],[Kor1]],$AI$3:$AK$105,3,FALSE)</f>
        <v>Misc. Income for Insolvent Companies</v>
      </c>
      <c r="AF7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6" spans="18:32" x14ac:dyDescent="0.2">
      <c r="R7056" t="s">
        <v>16</v>
      </c>
      <c r="S7056" t="s">
        <v>250</v>
      </c>
      <c r="T7056" t="s">
        <v>442</v>
      </c>
      <c r="U7056" s="21">
        <v>59762.34</v>
      </c>
      <c r="V7056" s="21" t="s">
        <v>368</v>
      </c>
      <c r="W7056" t="str">
        <f>VLOOKUP(Table_Query_from_Actuarial___Production[[#This Row],[Kor1]],$AI$3:$AK$105,3,FALSE)</f>
        <v>Losses Outstanding</v>
      </c>
      <c r="X7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6"/>
      <c r="Z7056" t="s">
        <v>40</v>
      </c>
      <c r="AA7056" t="s">
        <v>260</v>
      </c>
      <c r="AB7056" t="s">
        <v>8</v>
      </c>
      <c r="AC7056" s="21">
        <v>4</v>
      </c>
      <c r="AD7056" s="21" t="s">
        <v>368</v>
      </c>
      <c r="AE7056" t="str">
        <f>VLOOKUP(Table_Query_from_Actuarial___Production3[[#This Row],[Kor1]],$AI$3:$AK$105,3,FALSE)</f>
        <v>Misc. Income</v>
      </c>
      <c r="AF7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7" spans="18:32" x14ac:dyDescent="0.2">
      <c r="R7057" t="s">
        <v>43</v>
      </c>
      <c r="S7057" t="s">
        <v>238</v>
      </c>
      <c r="T7057" t="s">
        <v>6</v>
      </c>
      <c r="U7057" s="21">
        <v>-7.0000000000000007E-2</v>
      </c>
      <c r="V7057" s="21" t="s">
        <v>368</v>
      </c>
      <c r="W7057" t="str">
        <f>VLOOKUP(Table_Query_from_Actuarial___Production[[#This Row],[Kor1]],$AI$3:$AK$105,3,FALSE)</f>
        <v>Charge-offs</v>
      </c>
      <c r="X7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7"/>
      <c r="Z7057" t="s">
        <v>11</v>
      </c>
      <c r="AA7057" t="s">
        <v>263</v>
      </c>
      <c r="AB7057" t="s">
        <v>6</v>
      </c>
      <c r="AC7057" s="21">
        <v>61585.84</v>
      </c>
      <c r="AD7057" s="21" t="s">
        <v>368</v>
      </c>
      <c r="AE7057" t="str">
        <f>VLOOKUP(Table_Query_from_Actuarial___Production3[[#This Row],[Kor1]],$AI$3:$AK$105,3,FALSE)</f>
        <v>Losses Paid</v>
      </c>
      <c r="AF7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8" spans="18:32" x14ac:dyDescent="0.2">
      <c r="R7058" t="s">
        <v>47</v>
      </c>
      <c r="S7058" t="s">
        <v>251</v>
      </c>
      <c r="T7058" t="s">
        <v>351</v>
      </c>
      <c r="U7058" s="21">
        <v>273.88</v>
      </c>
      <c r="V7058" s="21" t="s">
        <v>368</v>
      </c>
      <c r="W7058" t="str">
        <f>VLOOKUP(Table_Query_from_Actuarial___Production[[#This Row],[Kor1]],$AI$3:$AK$105,3,FALSE)</f>
        <v>Investment Income</v>
      </c>
      <c r="X7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8"/>
      <c r="Z7058" t="s">
        <v>16</v>
      </c>
      <c r="AA7058" t="s">
        <v>250</v>
      </c>
      <c r="AB7058" t="s">
        <v>442</v>
      </c>
      <c r="AC7058" s="21">
        <v>60609.440000000002</v>
      </c>
      <c r="AD7058" s="21" t="s">
        <v>368</v>
      </c>
      <c r="AE7058" t="str">
        <f>VLOOKUP(Table_Query_from_Actuarial___Production3[[#This Row],[Kor1]],$AI$3:$AK$105,3,FALSE)</f>
        <v>Losses Outstanding</v>
      </c>
      <c r="AF7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59" spans="18:32" x14ac:dyDescent="0.2">
      <c r="R7059" t="s">
        <v>44</v>
      </c>
      <c r="S7059" t="s">
        <v>233</v>
      </c>
      <c r="T7059" t="s">
        <v>351</v>
      </c>
      <c r="U7059" s="21">
        <v>13030.85</v>
      </c>
      <c r="V7059" s="21" t="s">
        <v>368</v>
      </c>
      <c r="W7059" t="str">
        <f>VLOOKUP(Table_Query_from_Actuarial___Production[[#This Row],[Kor1]],$AI$3:$AK$105,3,FALSE)</f>
        <v>Charge-offs</v>
      </c>
      <c r="X7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59"/>
      <c r="Z7059" t="s">
        <v>43</v>
      </c>
      <c r="AA7059" t="s">
        <v>238</v>
      </c>
      <c r="AB7059" t="s">
        <v>6</v>
      </c>
      <c r="AC7059" s="21">
        <v>-7.0000000000000007E-2</v>
      </c>
      <c r="AD7059" s="21" t="s">
        <v>368</v>
      </c>
      <c r="AE7059" t="str">
        <f>VLOOKUP(Table_Query_from_Actuarial___Production3[[#This Row],[Kor1]],$AI$3:$AK$105,3,FALSE)</f>
        <v>Charge-offs</v>
      </c>
      <c r="AF7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0" spans="18:32" x14ac:dyDescent="0.2">
      <c r="R7060" t="s">
        <v>44</v>
      </c>
      <c r="S7060" t="s">
        <v>254</v>
      </c>
      <c r="T7060" t="s">
        <v>442</v>
      </c>
      <c r="U7060" s="21">
        <v>301809</v>
      </c>
      <c r="V7060" s="21" t="s">
        <v>368</v>
      </c>
      <c r="W7060" t="str">
        <f>VLOOKUP(Table_Query_from_Actuarial___Production[[#This Row],[Kor1]],$AI$3:$AK$105,3,FALSE)</f>
        <v>Charge-offs</v>
      </c>
      <c r="X7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0"/>
      <c r="Z7060" t="s">
        <v>47</v>
      </c>
      <c r="AA7060" t="s">
        <v>251</v>
      </c>
      <c r="AB7060" t="s">
        <v>351</v>
      </c>
      <c r="AC7060" s="21">
        <v>273.88</v>
      </c>
      <c r="AD7060" s="21" t="s">
        <v>368</v>
      </c>
      <c r="AE7060" t="str">
        <f>VLOOKUP(Table_Query_from_Actuarial___Production3[[#This Row],[Kor1]],$AI$3:$AK$105,3,FALSE)</f>
        <v>Investment Income</v>
      </c>
      <c r="AF7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1" spans="18:32" x14ac:dyDescent="0.2">
      <c r="R7061" t="s">
        <v>50</v>
      </c>
      <c r="S7061" t="s">
        <v>264</v>
      </c>
      <c r="T7061" t="s">
        <v>443</v>
      </c>
      <c r="U7061" s="21">
        <v>25000</v>
      </c>
      <c r="V7061" s="21" t="s">
        <v>368</v>
      </c>
      <c r="W7061" t="str">
        <f>VLOOKUP(Table_Query_from_Actuarial___Production[[#This Row],[Kor1]],$AI$3:$AK$105,3,FALSE)</f>
        <v>ALAE Reserve</v>
      </c>
      <c r="X7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1"/>
      <c r="Z7061" t="s">
        <v>44</v>
      </c>
      <c r="AA7061" t="s">
        <v>233</v>
      </c>
      <c r="AB7061" t="s">
        <v>351</v>
      </c>
      <c r="AC7061" s="21">
        <v>13030.85</v>
      </c>
      <c r="AD7061" s="21" t="s">
        <v>368</v>
      </c>
      <c r="AE7061" t="str">
        <f>VLOOKUP(Table_Query_from_Actuarial___Production3[[#This Row],[Kor1]],$AI$3:$AK$105,3,FALSE)</f>
        <v>Charge-offs</v>
      </c>
      <c r="AF7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2" spans="18:32" x14ac:dyDescent="0.2">
      <c r="R7062" t="s">
        <v>167</v>
      </c>
      <c r="S7062" t="s">
        <v>354</v>
      </c>
      <c r="T7062" t="s">
        <v>7</v>
      </c>
      <c r="U7062" s="21">
        <v>26653997</v>
      </c>
      <c r="V7062" s="21" t="s">
        <v>368</v>
      </c>
      <c r="W7062" t="str">
        <f>VLOOKUP(Table_Query_from_Actuarial___Production[[#This Row],[Kor1]],$AI$3:$AK$105,3,FALSE)</f>
        <v>Recoupment</v>
      </c>
      <c r="X7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062"/>
      <c r="Z7062" t="s">
        <v>44</v>
      </c>
      <c r="AA7062" t="s">
        <v>254</v>
      </c>
      <c r="AB7062" t="s">
        <v>442</v>
      </c>
      <c r="AC7062" s="21">
        <v>85544</v>
      </c>
      <c r="AD7062" s="21" t="s">
        <v>368</v>
      </c>
      <c r="AE7062" t="str">
        <f>VLOOKUP(Table_Query_from_Actuarial___Production3[[#This Row],[Kor1]],$AI$3:$AK$105,3,FALSE)</f>
        <v>Charge-offs</v>
      </c>
      <c r="AF7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3" spans="18:32" x14ac:dyDescent="0.2">
      <c r="R7063" t="s">
        <v>46</v>
      </c>
      <c r="S7063" t="s">
        <v>352</v>
      </c>
      <c r="T7063" t="s">
        <v>443</v>
      </c>
      <c r="U7063" s="21">
        <v>13097.32</v>
      </c>
      <c r="V7063" s="21" t="s">
        <v>369</v>
      </c>
      <c r="W7063" t="str">
        <f>VLOOKUP(Table_Query_from_Actuarial___Production[[#This Row],[Kor1]],$AI$3:$AK$105,3,FALSE)</f>
        <v>Investment Income</v>
      </c>
      <c r="X7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063"/>
      <c r="Z7063" t="s">
        <v>167</v>
      </c>
      <c r="AA7063" t="s">
        <v>354</v>
      </c>
      <c r="AB7063" t="s">
        <v>7</v>
      </c>
      <c r="AC7063" s="21">
        <v>26651572</v>
      </c>
      <c r="AD7063" s="21" t="s">
        <v>368</v>
      </c>
      <c r="AE7063" t="str">
        <f>VLOOKUP(Table_Query_from_Actuarial___Production3[[#This Row],[Kor1]],$AI$3:$AK$105,3,FALSE)</f>
        <v>Recoupment</v>
      </c>
      <c r="AF7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064" spans="18:32" x14ac:dyDescent="0.2">
      <c r="R7064" t="s">
        <v>31</v>
      </c>
      <c r="S7064" t="s">
        <v>233</v>
      </c>
      <c r="T7064" t="s">
        <v>7</v>
      </c>
      <c r="U7064" s="21">
        <v>1349.27</v>
      </c>
      <c r="V7064" s="21" t="s">
        <v>368</v>
      </c>
      <c r="W7064" t="str">
        <f>VLOOKUP(Table_Query_from_Actuarial___Production[[#This Row],[Kor1]],$AI$3:$AK$105,3,FALSE)</f>
        <v>Misc. Expense</v>
      </c>
      <c r="X7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4"/>
      <c r="Z7064" t="s">
        <v>46</v>
      </c>
      <c r="AA7064" t="s">
        <v>352</v>
      </c>
      <c r="AB7064" t="s">
        <v>443</v>
      </c>
      <c r="AC7064" s="21">
        <v>6332.54</v>
      </c>
      <c r="AD7064" s="21" t="s">
        <v>369</v>
      </c>
      <c r="AE7064" t="str">
        <f>VLOOKUP(Table_Query_from_Actuarial___Production3[[#This Row],[Kor1]],$AI$3:$AK$105,3,FALSE)</f>
        <v>Investment Income</v>
      </c>
      <c r="AF7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065" spans="18:32" x14ac:dyDescent="0.2">
      <c r="R7065" t="s">
        <v>50</v>
      </c>
      <c r="S7065" t="s">
        <v>226</v>
      </c>
      <c r="T7065" t="s">
        <v>351</v>
      </c>
      <c r="U7065" s="21">
        <v>43699.91</v>
      </c>
      <c r="V7065" s="21" t="s">
        <v>368</v>
      </c>
      <c r="W7065" t="str">
        <f>VLOOKUP(Table_Query_from_Actuarial___Production[[#This Row],[Kor1]],$AI$3:$AK$105,3,FALSE)</f>
        <v>ALAE Reserve</v>
      </c>
      <c r="X7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065"/>
      <c r="Z7065" t="s">
        <v>31</v>
      </c>
      <c r="AA7065" t="s">
        <v>233</v>
      </c>
      <c r="AB7065" t="s">
        <v>7</v>
      </c>
      <c r="AC7065" s="21">
        <v>1349.27</v>
      </c>
      <c r="AD7065" s="21" t="s">
        <v>368</v>
      </c>
      <c r="AE7065" t="str">
        <f>VLOOKUP(Table_Query_from_Actuarial___Production3[[#This Row],[Kor1]],$AI$3:$AK$105,3,FALSE)</f>
        <v>Misc. Expense</v>
      </c>
      <c r="AF7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6" spans="18:32" x14ac:dyDescent="0.2">
      <c r="R7066" t="s">
        <v>29</v>
      </c>
      <c r="S7066" t="s">
        <v>259</v>
      </c>
      <c r="T7066" t="s">
        <v>427</v>
      </c>
      <c r="U7066" s="21">
        <v>399.98</v>
      </c>
      <c r="V7066" s="21" t="s">
        <v>368</v>
      </c>
      <c r="W7066" t="str">
        <f>VLOOKUP(Table_Query_from_Actuarial___Production[[#This Row],[Kor1]],$AI$3:$AK$105,3,FALSE)</f>
        <v>Misc. Expense</v>
      </c>
      <c r="X7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6"/>
      <c r="Z7066" t="s">
        <v>50</v>
      </c>
      <c r="AA7066" t="s">
        <v>226</v>
      </c>
      <c r="AB7066" t="s">
        <v>351</v>
      </c>
      <c r="AC7066" s="21">
        <v>52714.91</v>
      </c>
      <c r="AD7066" s="21" t="s">
        <v>368</v>
      </c>
      <c r="AE7066" t="str">
        <f>VLOOKUP(Table_Query_from_Actuarial___Production3[[#This Row],[Kor1]],$AI$3:$AK$105,3,FALSE)</f>
        <v>ALAE Reserve</v>
      </c>
      <c r="AF7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067" spans="18:32" x14ac:dyDescent="0.2">
      <c r="R7067" t="s">
        <v>47</v>
      </c>
      <c r="S7067" t="s">
        <v>246</v>
      </c>
      <c r="T7067" t="s">
        <v>351</v>
      </c>
      <c r="U7067" s="21">
        <v>818.81</v>
      </c>
      <c r="V7067" s="21" t="s">
        <v>368</v>
      </c>
      <c r="W7067" t="str">
        <f>VLOOKUP(Table_Query_from_Actuarial___Production[[#This Row],[Kor1]],$AI$3:$AK$105,3,FALSE)</f>
        <v>Investment Income</v>
      </c>
      <c r="X7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7"/>
      <c r="Z7067" t="s">
        <v>29</v>
      </c>
      <c r="AA7067" t="s">
        <v>259</v>
      </c>
      <c r="AB7067" t="s">
        <v>427</v>
      </c>
      <c r="AC7067" s="21">
        <v>399.98</v>
      </c>
      <c r="AD7067" s="21" t="s">
        <v>368</v>
      </c>
      <c r="AE7067" t="str">
        <f>VLOOKUP(Table_Query_from_Actuarial___Production3[[#This Row],[Kor1]],$AI$3:$AK$105,3,FALSE)</f>
        <v>Misc. Expense</v>
      </c>
      <c r="AF7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8" spans="18:32" x14ac:dyDescent="0.2">
      <c r="R7068" t="s">
        <v>43</v>
      </c>
      <c r="S7068" t="s">
        <v>252</v>
      </c>
      <c r="T7068" t="s">
        <v>433</v>
      </c>
      <c r="U7068" s="21">
        <v>2208.92</v>
      </c>
      <c r="V7068" s="21" t="s">
        <v>368</v>
      </c>
      <c r="W7068" t="str">
        <f>VLOOKUP(Table_Query_from_Actuarial___Production[[#This Row],[Kor1]],$AI$3:$AK$105,3,FALSE)</f>
        <v>Charge-offs</v>
      </c>
      <c r="X7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68"/>
      <c r="Z7068" t="s">
        <v>47</v>
      </c>
      <c r="AA7068" t="s">
        <v>246</v>
      </c>
      <c r="AB7068" t="s">
        <v>351</v>
      </c>
      <c r="AC7068" s="21">
        <v>818.81</v>
      </c>
      <c r="AD7068" s="21" t="s">
        <v>368</v>
      </c>
      <c r="AE7068" t="str">
        <f>VLOOKUP(Table_Query_from_Actuarial___Production3[[#This Row],[Kor1]],$AI$3:$AK$105,3,FALSE)</f>
        <v>Investment Income</v>
      </c>
      <c r="AF7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69" spans="18:32" x14ac:dyDescent="0.2">
      <c r="R7069" t="s">
        <v>3</v>
      </c>
      <c r="S7069" t="s">
        <v>224</v>
      </c>
      <c r="T7069" t="s">
        <v>6</v>
      </c>
      <c r="U7069" s="21">
        <v>1870238.73</v>
      </c>
      <c r="V7069" s="21" t="s">
        <v>368</v>
      </c>
      <c r="W7069" t="str">
        <f>VLOOKUP(Table_Query_from_Actuarial___Production[[#This Row],[Kor1]],$AI$3:$AK$105,3,FALSE)</f>
        <v>Premiums Written</v>
      </c>
      <c r="X7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069"/>
      <c r="Z7069" t="s">
        <v>43</v>
      </c>
      <c r="AA7069" t="s">
        <v>252</v>
      </c>
      <c r="AB7069" t="s">
        <v>433</v>
      </c>
      <c r="AC7069" s="21">
        <v>2208.92</v>
      </c>
      <c r="AD7069" s="21" t="s">
        <v>368</v>
      </c>
      <c r="AE7069" t="str">
        <f>VLOOKUP(Table_Query_from_Actuarial___Production3[[#This Row],[Kor1]],$AI$3:$AK$105,3,FALSE)</f>
        <v>Charge-offs</v>
      </c>
      <c r="AF7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0" spans="18:32" x14ac:dyDescent="0.2">
      <c r="R7070" t="s">
        <v>31</v>
      </c>
      <c r="S7070" t="s">
        <v>245</v>
      </c>
      <c r="T7070" t="s">
        <v>356</v>
      </c>
      <c r="U7070" s="21">
        <v>1025.49</v>
      </c>
      <c r="V7070" s="21" t="s">
        <v>368</v>
      </c>
      <c r="W7070" t="str">
        <f>VLOOKUP(Table_Query_from_Actuarial___Production[[#This Row],[Kor1]],$AI$3:$AK$105,3,FALSE)</f>
        <v>Misc. Expense</v>
      </c>
      <c r="X7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0"/>
      <c r="Z7070" t="s">
        <v>3</v>
      </c>
      <c r="AA7070" t="s">
        <v>224</v>
      </c>
      <c r="AB7070" t="s">
        <v>6</v>
      </c>
      <c r="AC7070" s="21">
        <v>1870238.73</v>
      </c>
      <c r="AD7070" s="21" t="s">
        <v>368</v>
      </c>
      <c r="AE7070" t="str">
        <f>VLOOKUP(Table_Query_from_Actuarial___Production3[[#This Row],[Kor1]],$AI$3:$AK$105,3,FALSE)</f>
        <v>Premiums Written</v>
      </c>
      <c r="AF7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071" spans="18:32" x14ac:dyDescent="0.2">
      <c r="R7071" t="s">
        <v>33</v>
      </c>
      <c r="S7071" t="s">
        <v>229</v>
      </c>
      <c r="T7071" t="s">
        <v>441</v>
      </c>
      <c r="U7071" s="21">
        <v>14236.13</v>
      </c>
      <c r="V7071" s="21" t="s">
        <v>368</v>
      </c>
      <c r="W7071" t="str">
        <f>VLOOKUP(Table_Query_from_Actuarial___Production[[#This Row],[Kor1]],$AI$3:$AK$105,3,FALSE)</f>
        <v>Misc. Expense</v>
      </c>
      <c r="X7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1"/>
      <c r="Z7071" t="s">
        <v>33</v>
      </c>
      <c r="AA7071" t="s">
        <v>257</v>
      </c>
      <c r="AB7071" t="s">
        <v>5</v>
      </c>
      <c r="AC7071" s="21">
        <v>17293.009999999998</v>
      </c>
      <c r="AD7071" s="21" t="s">
        <v>368</v>
      </c>
      <c r="AE7071" t="str">
        <f>VLOOKUP(Table_Query_from_Actuarial___Production3[[#This Row],[Kor1]],$AI$3:$AK$105,3,FALSE)</f>
        <v>Misc. Expense</v>
      </c>
      <c r="AF7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2" spans="18:32" x14ac:dyDescent="0.2">
      <c r="R7072" t="s">
        <v>14</v>
      </c>
      <c r="S7072" t="s">
        <v>232</v>
      </c>
      <c r="T7072" t="s">
        <v>6</v>
      </c>
      <c r="U7072" s="21">
        <v>116440.68</v>
      </c>
      <c r="V7072" s="21" t="s">
        <v>368</v>
      </c>
      <c r="W7072" t="str">
        <f>VLOOKUP(Table_Query_from_Actuarial___Production[[#This Row],[Kor1]],$AI$3:$AK$105,3,FALSE)</f>
        <v>Claims Expense</v>
      </c>
      <c r="X7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2"/>
      <c r="Z7072" t="s">
        <v>31</v>
      </c>
      <c r="AA7072" t="s">
        <v>245</v>
      </c>
      <c r="AB7072" t="s">
        <v>356</v>
      </c>
      <c r="AC7072" s="21">
        <v>1025.49</v>
      </c>
      <c r="AD7072" s="21" t="s">
        <v>368</v>
      </c>
      <c r="AE7072" t="str">
        <f>VLOOKUP(Table_Query_from_Actuarial___Production3[[#This Row],[Kor1]],$AI$3:$AK$105,3,FALSE)</f>
        <v>Misc. Expense</v>
      </c>
      <c r="AF7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3" spans="18:32" x14ac:dyDescent="0.2">
      <c r="R7073" t="s">
        <v>21</v>
      </c>
      <c r="S7073" t="s">
        <v>258</v>
      </c>
      <c r="T7073" t="s">
        <v>441</v>
      </c>
      <c r="U7073" s="21">
        <v>7895.55</v>
      </c>
      <c r="V7073" s="21" t="s">
        <v>368</v>
      </c>
      <c r="W7073" t="str">
        <f>VLOOKUP(Table_Query_from_Actuarial___Production[[#This Row],[Kor1]],$AI$3:$AK$105,3,FALSE)</f>
        <v>Misc. Expense</v>
      </c>
      <c r="X7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3"/>
      <c r="Z7073" t="s">
        <v>33</v>
      </c>
      <c r="AA7073" t="s">
        <v>229</v>
      </c>
      <c r="AB7073" t="s">
        <v>441</v>
      </c>
      <c r="AC7073" s="21">
        <v>14236.13</v>
      </c>
      <c r="AD7073" s="21" t="s">
        <v>368</v>
      </c>
      <c r="AE7073" t="str">
        <f>VLOOKUP(Table_Query_from_Actuarial___Production3[[#This Row],[Kor1]],$AI$3:$AK$105,3,FALSE)</f>
        <v>Misc. Expense</v>
      </c>
      <c r="AF7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4" spans="18:32" x14ac:dyDescent="0.2">
      <c r="R7074" t="s">
        <v>13</v>
      </c>
      <c r="S7074" t="s">
        <v>252</v>
      </c>
      <c r="T7074" t="s">
        <v>442</v>
      </c>
      <c r="U7074" s="21">
        <v>5883884.1799999997</v>
      </c>
      <c r="V7074" s="21" t="s">
        <v>368</v>
      </c>
      <c r="W7074" t="str">
        <f>VLOOKUP(Table_Query_from_Actuarial___Production[[#This Row],[Kor1]],$AI$3:$AK$105,3,FALSE)</f>
        <v>Operating Service Fees</v>
      </c>
      <c r="X7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4"/>
      <c r="Z7074" t="s">
        <v>14</v>
      </c>
      <c r="AA7074" t="s">
        <v>232</v>
      </c>
      <c r="AB7074" t="s">
        <v>6</v>
      </c>
      <c r="AC7074" s="21">
        <v>116440.68</v>
      </c>
      <c r="AD7074" s="21" t="s">
        <v>368</v>
      </c>
      <c r="AE7074" t="str">
        <f>VLOOKUP(Table_Query_from_Actuarial___Production3[[#This Row],[Kor1]],$AI$3:$AK$105,3,FALSE)</f>
        <v>Claims Expense</v>
      </c>
      <c r="AF7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5" spans="18:32" x14ac:dyDescent="0.2">
      <c r="R7075" t="s">
        <v>20</v>
      </c>
      <c r="S7075" t="s">
        <v>235</v>
      </c>
      <c r="T7075" t="s">
        <v>356</v>
      </c>
      <c r="U7075" s="21">
        <v>283.86</v>
      </c>
      <c r="V7075" s="21" t="s">
        <v>368</v>
      </c>
      <c r="W7075" t="str">
        <f>VLOOKUP(Table_Query_from_Actuarial___Production[[#This Row],[Kor1]],$AI$3:$AK$105,3,FALSE)</f>
        <v>Misc. Expense</v>
      </c>
      <c r="X7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5"/>
      <c r="Z7075" t="s">
        <v>21</v>
      </c>
      <c r="AA7075" t="s">
        <v>258</v>
      </c>
      <c r="AB7075" t="s">
        <v>441</v>
      </c>
      <c r="AC7075" s="21">
        <v>7895.55</v>
      </c>
      <c r="AD7075" s="21" t="s">
        <v>368</v>
      </c>
      <c r="AE7075" t="str">
        <f>VLOOKUP(Table_Query_from_Actuarial___Production3[[#This Row],[Kor1]],$AI$3:$AK$105,3,FALSE)</f>
        <v>Misc. Expense</v>
      </c>
      <c r="AF7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6" spans="18:32" x14ac:dyDescent="0.2">
      <c r="R7076" t="s">
        <v>44</v>
      </c>
      <c r="S7076" t="s">
        <v>243</v>
      </c>
      <c r="T7076" t="s">
        <v>6</v>
      </c>
      <c r="U7076" s="21">
        <v>-3.05</v>
      </c>
      <c r="V7076" s="21" t="s">
        <v>368</v>
      </c>
      <c r="W7076" t="str">
        <f>VLOOKUP(Table_Query_from_Actuarial___Production[[#This Row],[Kor1]],$AI$3:$AK$105,3,FALSE)</f>
        <v>Charge-offs</v>
      </c>
      <c r="X7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6"/>
      <c r="Z7076" t="s">
        <v>13</v>
      </c>
      <c r="AA7076" t="s">
        <v>252</v>
      </c>
      <c r="AB7076" t="s">
        <v>442</v>
      </c>
      <c r="AC7076" s="21">
        <v>5947866.9900000002</v>
      </c>
      <c r="AD7076" s="21" t="s">
        <v>368</v>
      </c>
      <c r="AE7076" t="str">
        <f>VLOOKUP(Table_Query_from_Actuarial___Production3[[#This Row],[Kor1]],$AI$3:$AK$105,3,FALSE)</f>
        <v>Operating Service Fees</v>
      </c>
      <c r="AF7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7" spans="18:32" x14ac:dyDescent="0.2">
      <c r="R7077" t="s">
        <v>10</v>
      </c>
      <c r="S7077" t="s">
        <v>352</v>
      </c>
      <c r="T7077" t="s">
        <v>9</v>
      </c>
      <c r="U7077" s="21">
        <v>17357.560000000001</v>
      </c>
      <c r="V7077" s="21" t="s">
        <v>369</v>
      </c>
      <c r="W7077" t="str">
        <f>VLOOKUP(Table_Query_from_Actuarial___Production[[#This Row],[Kor1]],$AI$3:$AK$105,3,FALSE)</f>
        <v>Commissions</v>
      </c>
      <c r="X7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077"/>
      <c r="Z7077" t="s">
        <v>20</v>
      </c>
      <c r="AA7077" t="s">
        <v>235</v>
      </c>
      <c r="AB7077" t="s">
        <v>356</v>
      </c>
      <c r="AC7077" s="21">
        <v>283.86</v>
      </c>
      <c r="AD7077" s="21" t="s">
        <v>368</v>
      </c>
      <c r="AE7077" t="str">
        <f>VLOOKUP(Table_Query_from_Actuarial___Production3[[#This Row],[Kor1]],$AI$3:$AK$105,3,FALSE)</f>
        <v>Misc. Expense</v>
      </c>
      <c r="AF7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8" spans="18:32" x14ac:dyDescent="0.2">
      <c r="R7078" t="s">
        <v>18</v>
      </c>
      <c r="S7078" t="s">
        <v>224</v>
      </c>
      <c r="T7078" t="s">
        <v>443</v>
      </c>
      <c r="U7078" s="21">
        <v>6832.9</v>
      </c>
      <c r="V7078" s="21" t="s">
        <v>425</v>
      </c>
      <c r="W7078" t="str">
        <f>VLOOKUP(Table_Query_from_Actuarial___Production[[#This Row],[Kor1]],$AI$3:$AK$105,3,FALSE)</f>
        <v>Misc. Expense</v>
      </c>
      <c r="X7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078"/>
      <c r="Z7078" t="s">
        <v>44</v>
      </c>
      <c r="AA7078" t="s">
        <v>243</v>
      </c>
      <c r="AB7078" t="s">
        <v>6</v>
      </c>
      <c r="AC7078" s="21">
        <v>-3.05</v>
      </c>
      <c r="AD7078" s="21" t="s">
        <v>368</v>
      </c>
      <c r="AE7078" t="str">
        <f>VLOOKUP(Table_Query_from_Actuarial___Production3[[#This Row],[Kor1]],$AI$3:$AK$105,3,FALSE)</f>
        <v>Charge-offs</v>
      </c>
      <c r="AF7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79" spans="18:32" x14ac:dyDescent="0.2">
      <c r="R7079" t="s">
        <v>3</v>
      </c>
      <c r="S7079" t="s">
        <v>245</v>
      </c>
      <c r="T7079" t="s">
        <v>441</v>
      </c>
      <c r="U7079" s="21">
        <v>2702</v>
      </c>
      <c r="V7079" s="21" t="s">
        <v>368</v>
      </c>
      <c r="W7079" t="str">
        <f>VLOOKUP(Table_Query_from_Actuarial___Production[[#This Row],[Kor1]],$AI$3:$AK$105,3,FALSE)</f>
        <v>Premiums Written</v>
      </c>
      <c r="X7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79"/>
      <c r="Z7079" t="s">
        <v>10</v>
      </c>
      <c r="AA7079" t="s">
        <v>352</v>
      </c>
      <c r="AB7079" t="s">
        <v>9</v>
      </c>
      <c r="AC7079" s="21">
        <v>17357.560000000001</v>
      </c>
      <c r="AD7079" s="21" t="s">
        <v>369</v>
      </c>
      <c r="AE7079" t="str">
        <f>VLOOKUP(Table_Query_from_Actuarial___Production3[[#This Row],[Kor1]],$AI$3:$AK$105,3,FALSE)</f>
        <v>Commissions</v>
      </c>
      <c r="AF7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080" spans="18:32" x14ac:dyDescent="0.2">
      <c r="R7080" t="s">
        <v>19</v>
      </c>
      <c r="S7080" t="s">
        <v>237</v>
      </c>
      <c r="T7080" t="s">
        <v>442</v>
      </c>
      <c r="U7080" s="21">
        <v>184</v>
      </c>
      <c r="V7080" s="21" t="s">
        <v>368</v>
      </c>
      <c r="W7080" t="str">
        <f>VLOOKUP(Table_Query_from_Actuarial___Production[[#This Row],[Kor1]],$AI$3:$AK$105,3,FALSE)</f>
        <v>Misc. Expense for Insolvent Companies</v>
      </c>
      <c r="X7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0"/>
      <c r="Z7080" t="s">
        <v>18</v>
      </c>
      <c r="AA7080" t="s">
        <v>224</v>
      </c>
      <c r="AB7080" t="s">
        <v>443</v>
      </c>
      <c r="AC7080" s="21">
        <v>1077.6199999999999</v>
      </c>
      <c r="AD7080" s="21" t="s">
        <v>425</v>
      </c>
      <c r="AE7080" t="str">
        <f>VLOOKUP(Table_Query_from_Actuarial___Production3[[#This Row],[Kor1]],$AI$3:$AK$105,3,FALSE)</f>
        <v>Misc. Expense</v>
      </c>
      <c r="AF7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081" spans="18:32" x14ac:dyDescent="0.2">
      <c r="R7081" t="s">
        <v>44</v>
      </c>
      <c r="S7081" t="s">
        <v>265</v>
      </c>
      <c r="T7081" t="s">
        <v>427</v>
      </c>
      <c r="U7081" s="21">
        <v>28891.41</v>
      </c>
      <c r="V7081" s="21" t="s">
        <v>368</v>
      </c>
      <c r="W7081" t="str">
        <f>VLOOKUP(Table_Query_from_Actuarial___Production[[#This Row],[Kor1]],$AI$3:$AK$105,3,FALSE)</f>
        <v>Charge-offs</v>
      </c>
      <c r="X7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1"/>
      <c r="Z7081" t="s">
        <v>3</v>
      </c>
      <c r="AA7081" t="s">
        <v>245</v>
      </c>
      <c r="AB7081" t="s">
        <v>441</v>
      </c>
      <c r="AC7081" s="21">
        <v>2702</v>
      </c>
      <c r="AD7081" s="21" t="s">
        <v>368</v>
      </c>
      <c r="AE7081" t="str">
        <f>VLOOKUP(Table_Query_from_Actuarial___Production3[[#This Row],[Kor1]],$AI$3:$AK$105,3,FALSE)</f>
        <v>Premiums Written</v>
      </c>
      <c r="AF7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2" spans="18:32" x14ac:dyDescent="0.2">
      <c r="R7082" t="s">
        <v>439</v>
      </c>
      <c r="S7082" t="s">
        <v>250</v>
      </c>
      <c r="T7082" t="s">
        <v>443</v>
      </c>
      <c r="U7082" s="21">
        <v>-21763.66</v>
      </c>
      <c r="V7082" s="21" t="s">
        <v>368</v>
      </c>
      <c r="W7082" t="str">
        <f>VLOOKUP(Table_Query_from_Actuarial___Production[[#This Row],[Kor1]],$AI$3:$AK$105,3,FALSE)</f>
        <v>Operating Service Fees</v>
      </c>
      <c r="X7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2"/>
      <c r="Z7082" t="s">
        <v>44</v>
      </c>
      <c r="AA7082" t="s">
        <v>265</v>
      </c>
      <c r="AB7082" t="s">
        <v>427</v>
      </c>
      <c r="AC7082" s="21">
        <v>45500.04</v>
      </c>
      <c r="AD7082" s="21" t="s">
        <v>368</v>
      </c>
      <c r="AE7082" t="str">
        <f>VLOOKUP(Table_Query_from_Actuarial___Production3[[#This Row],[Kor1]],$AI$3:$AK$105,3,FALSE)</f>
        <v>Charge-offs</v>
      </c>
      <c r="AF7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3" spans="18:32" x14ac:dyDescent="0.2">
      <c r="R7083" t="s">
        <v>3</v>
      </c>
      <c r="S7083" t="s">
        <v>239</v>
      </c>
      <c r="T7083" t="s">
        <v>9</v>
      </c>
      <c r="U7083" s="21">
        <v>159968</v>
      </c>
      <c r="V7083" s="21" t="s">
        <v>368</v>
      </c>
      <c r="W7083" t="str">
        <f>VLOOKUP(Table_Query_from_Actuarial___Production[[#This Row],[Kor1]],$AI$3:$AK$105,3,FALSE)</f>
        <v>Premiums Written</v>
      </c>
      <c r="X7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3"/>
      <c r="Z7083" t="s">
        <v>439</v>
      </c>
      <c r="AA7083" t="s">
        <v>250</v>
      </c>
      <c r="AB7083" t="s">
        <v>443</v>
      </c>
      <c r="AC7083" s="21">
        <v>-21763.66</v>
      </c>
      <c r="AD7083" s="21" t="s">
        <v>368</v>
      </c>
      <c r="AE7083" t="str">
        <f>VLOOKUP(Table_Query_from_Actuarial___Production3[[#This Row],[Kor1]],$AI$3:$AK$105,3,FALSE)</f>
        <v>Operating Service Fees</v>
      </c>
      <c r="AF7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4" spans="18:32" x14ac:dyDescent="0.2">
      <c r="R7084" t="s">
        <v>12</v>
      </c>
      <c r="S7084" t="s">
        <v>236</v>
      </c>
      <c r="T7084" t="s">
        <v>356</v>
      </c>
      <c r="U7084" s="21">
        <v>728</v>
      </c>
      <c r="V7084" s="21" t="s">
        <v>368</v>
      </c>
      <c r="W7084" t="str">
        <f>VLOOKUP(Table_Query_from_Actuarial___Production[[#This Row],[Kor1]],$AI$3:$AK$105,3,FALSE)</f>
        <v>Premium Tax</v>
      </c>
      <c r="X7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4"/>
      <c r="Z7084" t="s">
        <v>3</v>
      </c>
      <c r="AA7084" t="s">
        <v>239</v>
      </c>
      <c r="AB7084" t="s">
        <v>9</v>
      </c>
      <c r="AC7084" s="21">
        <v>159968</v>
      </c>
      <c r="AD7084" s="21" t="s">
        <v>368</v>
      </c>
      <c r="AE7084" t="str">
        <f>VLOOKUP(Table_Query_from_Actuarial___Production3[[#This Row],[Kor1]],$AI$3:$AK$105,3,FALSE)</f>
        <v>Premiums Written</v>
      </c>
      <c r="AF7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5" spans="18:32" x14ac:dyDescent="0.2">
      <c r="R7085" t="s">
        <v>41</v>
      </c>
      <c r="S7085" t="s">
        <v>264</v>
      </c>
      <c r="T7085" t="s">
        <v>351</v>
      </c>
      <c r="U7085" s="21">
        <v>400.05</v>
      </c>
      <c r="V7085" s="21" t="s">
        <v>368</v>
      </c>
      <c r="W7085" t="str">
        <f>VLOOKUP(Table_Query_from_Actuarial___Production[[#This Row],[Kor1]],$AI$3:$AK$105,3,FALSE)</f>
        <v>Misc. Income</v>
      </c>
      <c r="X7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5"/>
      <c r="Z7085" t="s">
        <v>12</v>
      </c>
      <c r="AA7085" t="s">
        <v>236</v>
      </c>
      <c r="AB7085" t="s">
        <v>356</v>
      </c>
      <c r="AC7085" s="21">
        <v>728</v>
      </c>
      <c r="AD7085" s="21" t="s">
        <v>368</v>
      </c>
      <c r="AE7085" t="str">
        <f>VLOOKUP(Table_Query_from_Actuarial___Production3[[#This Row],[Kor1]],$AI$3:$AK$105,3,FALSE)</f>
        <v>Premium Tax</v>
      </c>
      <c r="AF7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6" spans="18:32" x14ac:dyDescent="0.2">
      <c r="R7086" t="s">
        <v>20</v>
      </c>
      <c r="S7086" t="s">
        <v>261</v>
      </c>
      <c r="T7086" t="s">
        <v>445</v>
      </c>
      <c r="U7086" s="21">
        <v>56.97</v>
      </c>
      <c r="V7086" s="21" t="s">
        <v>368</v>
      </c>
      <c r="W7086" t="str">
        <f>VLOOKUP(Table_Query_from_Actuarial___Production[[#This Row],[Kor1]],$AI$3:$AK$105,3,FALSE)</f>
        <v>Misc. Expense</v>
      </c>
      <c r="X7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6"/>
      <c r="Z7086" t="s">
        <v>41</v>
      </c>
      <c r="AA7086" t="s">
        <v>264</v>
      </c>
      <c r="AB7086" t="s">
        <v>351</v>
      </c>
      <c r="AC7086" s="21">
        <v>400.05</v>
      </c>
      <c r="AD7086" s="21" t="s">
        <v>368</v>
      </c>
      <c r="AE7086" t="str">
        <f>VLOOKUP(Table_Query_from_Actuarial___Production3[[#This Row],[Kor1]],$AI$3:$AK$105,3,FALSE)</f>
        <v>Misc. Income</v>
      </c>
      <c r="AF7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7" spans="18:32" x14ac:dyDescent="0.2">
      <c r="R7087" t="s">
        <v>47</v>
      </c>
      <c r="S7087" t="s">
        <v>251</v>
      </c>
      <c r="T7087" t="s">
        <v>441</v>
      </c>
      <c r="U7087" s="21">
        <v>14.02</v>
      </c>
      <c r="V7087" s="21" t="s">
        <v>368</v>
      </c>
      <c r="W7087" t="str">
        <f>VLOOKUP(Table_Query_from_Actuarial___Production[[#This Row],[Kor1]],$AI$3:$AK$105,3,FALSE)</f>
        <v>Investment Income</v>
      </c>
      <c r="X7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87"/>
      <c r="Z7087" t="s">
        <v>47</v>
      </c>
      <c r="AA7087" t="s">
        <v>251</v>
      </c>
      <c r="AB7087" t="s">
        <v>441</v>
      </c>
      <c r="AC7087" s="21">
        <v>14.02</v>
      </c>
      <c r="AD7087" s="21" t="s">
        <v>368</v>
      </c>
      <c r="AE7087" t="str">
        <f>VLOOKUP(Table_Query_from_Actuarial___Production3[[#This Row],[Kor1]],$AI$3:$AK$105,3,FALSE)</f>
        <v>Investment Income</v>
      </c>
      <c r="AF7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88" spans="18:32" x14ac:dyDescent="0.2">
      <c r="R7088" t="s">
        <v>167</v>
      </c>
      <c r="S7088" t="s">
        <v>354</v>
      </c>
      <c r="T7088" t="s">
        <v>443</v>
      </c>
      <c r="U7088" s="21">
        <v>17133246</v>
      </c>
      <c r="V7088" s="21" t="s">
        <v>368</v>
      </c>
      <c r="W7088" t="str">
        <f>VLOOKUP(Table_Query_from_Actuarial___Production[[#This Row],[Kor1]],$AI$3:$AK$105,3,FALSE)</f>
        <v>Recoupment</v>
      </c>
      <c r="X7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088"/>
      <c r="Z7088" t="s">
        <v>167</v>
      </c>
      <c r="AA7088" t="s">
        <v>354</v>
      </c>
      <c r="AB7088" t="s">
        <v>443</v>
      </c>
      <c r="AC7088" s="21">
        <v>-21109391</v>
      </c>
      <c r="AD7088" s="21" t="s">
        <v>368</v>
      </c>
      <c r="AE7088" t="str">
        <f>VLOOKUP(Table_Query_from_Actuarial___Production3[[#This Row],[Kor1]],$AI$3:$AK$105,3,FALSE)</f>
        <v>Recoupment</v>
      </c>
      <c r="AF7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089" spans="18:32" x14ac:dyDescent="0.2">
      <c r="R7089" t="s">
        <v>46</v>
      </c>
      <c r="S7089" t="s">
        <v>224</v>
      </c>
      <c r="T7089" t="s">
        <v>445</v>
      </c>
      <c r="U7089" s="21">
        <v>701.32</v>
      </c>
      <c r="V7089" s="21" t="s">
        <v>425</v>
      </c>
      <c r="W7089" t="str">
        <f>VLOOKUP(Table_Query_from_Actuarial___Production[[#This Row],[Kor1]],$AI$3:$AK$105,3,FALSE)</f>
        <v>Investment Income</v>
      </c>
      <c r="X7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089"/>
      <c r="Z7089" t="s">
        <v>19</v>
      </c>
      <c r="AA7089" t="s">
        <v>266</v>
      </c>
      <c r="AB7089" t="s">
        <v>356</v>
      </c>
      <c r="AC7089" s="21">
        <v>586</v>
      </c>
      <c r="AD7089" s="21" t="s">
        <v>368</v>
      </c>
      <c r="AE7089" t="str">
        <f>VLOOKUP(Table_Query_from_Actuarial___Production3[[#This Row],[Kor1]],$AI$3:$AK$105,3,FALSE)</f>
        <v>Misc. Expense for Insolvent Companies</v>
      </c>
      <c r="AF7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0" spans="18:32" x14ac:dyDescent="0.2">
      <c r="R7090" t="s">
        <v>19</v>
      </c>
      <c r="S7090" t="s">
        <v>266</v>
      </c>
      <c r="T7090" t="s">
        <v>356</v>
      </c>
      <c r="U7090" s="21">
        <v>586</v>
      </c>
      <c r="V7090" s="21" t="s">
        <v>368</v>
      </c>
      <c r="W7090" t="str">
        <f>VLOOKUP(Table_Query_from_Actuarial___Production[[#This Row],[Kor1]],$AI$3:$AK$105,3,FALSE)</f>
        <v>Misc. Expense for Insolvent Companies</v>
      </c>
      <c r="X7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0"/>
      <c r="Z7090" t="s">
        <v>44</v>
      </c>
      <c r="AA7090" t="s">
        <v>263</v>
      </c>
      <c r="AB7090" t="s">
        <v>5</v>
      </c>
      <c r="AC7090" s="21">
        <v>1413.72</v>
      </c>
      <c r="AD7090" s="21" t="s">
        <v>368</v>
      </c>
      <c r="AE7090" t="str">
        <f>VLOOKUP(Table_Query_from_Actuarial___Production3[[#This Row],[Kor1]],$AI$3:$AK$105,3,FALSE)</f>
        <v>Charge-offs</v>
      </c>
      <c r="AF7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1" spans="18:32" x14ac:dyDescent="0.2">
      <c r="R7091" t="s">
        <v>11</v>
      </c>
      <c r="S7091" t="s">
        <v>255</v>
      </c>
      <c r="T7091" t="s">
        <v>443</v>
      </c>
      <c r="U7091" s="21">
        <v>6766.05</v>
      </c>
      <c r="V7091" s="21" t="s">
        <v>368</v>
      </c>
      <c r="W7091" t="str">
        <f>VLOOKUP(Table_Query_from_Actuarial___Production[[#This Row],[Kor1]],$AI$3:$AK$105,3,FALSE)</f>
        <v>Losses Paid</v>
      </c>
      <c r="X7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1"/>
      <c r="Z7091" t="s">
        <v>11</v>
      </c>
      <c r="AA7091" t="s">
        <v>354</v>
      </c>
      <c r="AB7091" t="s">
        <v>441</v>
      </c>
      <c r="AC7091" s="21">
        <v>868947542.63</v>
      </c>
      <c r="AD7091" s="21" t="s">
        <v>369</v>
      </c>
      <c r="AE7091" t="str">
        <f>VLOOKUP(Table_Query_from_Actuarial___Production3[[#This Row],[Kor1]],$AI$3:$AK$105,3,FALSE)</f>
        <v>Losses Paid</v>
      </c>
      <c r="AF7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092" spans="18:32" x14ac:dyDescent="0.2">
      <c r="R7092" t="s">
        <v>11</v>
      </c>
      <c r="S7092" t="s">
        <v>354</v>
      </c>
      <c r="T7092" t="s">
        <v>441</v>
      </c>
      <c r="U7092" s="21">
        <v>954310680.84000003</v>
      </c>
      <c r="V7092" s="21" t="s">
        <v>369</v>
      </c>
      <c r="W7092" t="str">
        <f>VLOOKUP(Table_Query_from_Actuarial___Production[[#This Row],[Kor1]],$AI$3:$AK$105,3,FALSE)</f>
        <v>Losses Paid</v>
      </c>
      <c r="X7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092"/>
      <c r="Z7092" t="s">
        <v>31</v>
      </c>
      <c r="AA7092" t="s">
        <v>257</v>
      </c>
      <c r="AB7092" t="s">
        <v>442</v>
      </c>
      <c r="AC7092" s="21">
        <v>1007.67</v>
      </c>
      <c r="AD7092" s="21" t="s">
        <v>368</v>
      </c>
      <c r="AE7092" t="str">
        <f>VLOOKUP(Table_Query_from_Actuarial___Production3[[#This Row],[Kor1]],$AI$3:$AK$105,3,FALSE)</f>
        <v>Misc. Expense</v>
      </c>
      <c r="AF7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3" spans="18:32" x14ac:dyDescent="0.2">
      <c r="R7093" t="s">
        <v>31</v>
      </c>
      <c r="S7093" t="s">
        <v>257</v>
      </c>
      <c r="T7093" t="s">
        <v>442</v>
      </c>
      <c r="U7093" s="21">
        <v>1007.67</v>
      </c>
      <c r="V7093" s="21" t="s">
        <v>368</v>
      </c>
      <c r="W7093" t="str">
        <f>VLOOKUP(Table_Query_from_Actuarial___Production[[#This Row],[Kor1]],$AI$3:$AK$105,3,FALSE)</f>
        <v>Misc. Expense</v>
      </c>
      <c r="X7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3"/>
      <c r="Z7093" t="s">
        <v>40</v>
      </c>
      <c r="AA7093" t="s">
        <v>228</v>
      </c>
      <c r="AB7093" t="s">
        <v>427</v>
      </c>
      <c r="AC7093" s="21">
        <v>69</v>
      </c>
      <c r="AD7093" s="21" t="s">
        <v>368</v>
      </c>
      <c r="AE7093" t="str">
        <f>VLOOKUP(Table_Query_from_Actuarial___Production3[[#This Row],[Kor1]],$AI$3:$AK$105,3,FALSE)</f>
        <v>Misc. Income</v>
      </c>
      <c r="AF7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4" spans="18:32" x14ac:dyDescent="0.2">
      <c r="R7094" t="s">
        <v>40</v>
      </c>
      <c r="S7094" t="s">
        <v>228</v>
      </c>
      <c r="T7094" t="s">
        <v>427</v>
      </c>
      <c r="U7094" s="21">
        <v>69</v>
      </c>
      <c r="V7094" s="21" t="s">
        <v>368</v>
      </c>
      <c r="W7094" t="str">
        <f>VLOOKUP(Table_Query_from_Actuarial___Production[[#This Row],[Kor1]],$AI$3:$AK$105,3,FALSE)</f>
        <v>Misc. Income</v>
      </c>
      <c r="X7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4"/>
      <c r="Z7094" t="s">
        <v>40</v>
      </c>
      <c r="AA7094" t="s">
        <v>239</v>
      </c>
      <c r="AB7094" t="s">
        <v>433</v>
      </c>
      <c r="AC7094" s="21">
        <v>0.99</v>
      </c>
      <c r="AD7094" s="21" t="s">
        <v>368</v>
      </c>
      <c r="AE7094" t="str">
        <f>VLOOKUP(Table_Query_from_Actuarial___Production3[[#This Row],[Kor1]],$AI$3:$AK$105,3,FALSE)</f>
        <v>Misc. Income</v>
      </c>
      <c r="AF7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5" spans="18:32" x14ac:dyDescent="0.2">
      <c r="R7095" t="s">
        <v>40</v>
      </c>
      <c r="S7095" t="s">
        <v>239</v>
      </c>
      <c r="T7095" t="s">
        <v>433</v>
      </c>
      <c r="U7095" s="21">
        <v>0.99</v>
      </c>
      <c r="V7095" s="21" t="s">
        <v>368</v>
      </c>
      <c r="W7095" t="str">
        <f>VLOOKUP(Table_Query_from_Actuarial___Production[[#This Row],[Kor1]],$AI$3:$AK$105,3,FALSE)</f>
        <v>Misc. Income</v>
      </c>
      <c r="X7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5"/>
      <c r="Z7095" t="s">
        <v>46</v>
      </c>
      <c r="AA7095" t="s">
        <v>224</v>
      </c>
      <c r="AB7095" t="s">
        <v>427</v>
      </c>
      <c r="AC7095" s="21">
        <v>57571.93</v>
      </c>
      <c r="AD7095" s="21" t="s">
        <v>370</v>
      </c>
      <c r="AE7095" t="str">
        <f>VLOOKUP(Table_Query_from_Actuarial___Production3[[#This Row],[Kor1]],$AI$3:$AK$105,3,FALSE)</f>
        <v>Investment Income</v>
      </c>
      <c r="AF7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096" spans="18:32" x14ac:dyDescent="0.2">
      <c r="R7096" t="s">
        <v>46</v>
      </c>
      <c r="S7096" t="s">
        <v>224</v>
      </c>
      <c r="T7096" t="s">
        <v>427</v>
      </c>
      <c r="U7096" s="21">
        <v>57571.93</v>
      </c>
      <c r="V7096" s="21" t="s">
        <v>370</v>
      </c>
      <c r="W7096" t="str">
        <f>VLOOKUP(Table_Query_from_Actuarial___Production[[#This Row],[Kor1]],$AI$3:$AK$105,3,FALSE)</f>
        <v>Investment Income</v>
      </c>
      <c r="X7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096"/>
      <c r="Z7096" t="s">
        <v>43</v>
      </c>
      <c r="AA7096" t="s">
        <v>4</v>
      </c>
      <c r="AB7096" t="s">
        <v>427</v>
      </c>
      <c r="AC7096" s="21">
        <v>-4025.43</v>
      </c>
      <c r="AD7096" s="21" t="s">
        <v>368</v>
      </c>
      <c r="AE7096" t="str">
        <f>VLOOKUP(Table_Query_from_Actuarial___Production3[[#This Row],[Kor1]],$AI$3:$AK$105,3,FALSE)</f>
        <v>Charge-offs</v>
      </c>
      <c r="AF7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7" spans="18:32" x14ac:dyDescent="0.2">
      <c r="R7097" t="s">
        <v>43</v>
      </c>
      <c r="S7097" t="s">
        <v>4</v>
      </c>
      <c r="T7097" t="s">
        <v>427</v>
      </c>
      <c r="U7097" s="21">
        <v>-4025.43</v>
      </c>
      <c r="V7097" s="21" t="s">
        <v>368</v>
      </c>
      <c r="W7097" t="str">
        <f>VLOOKUP(Table_Query_from_Actuarial___Production[[#This Row],[Kor1]],$AI$3:$AK$105,3,FALSE)</f>
        <v>Charge-offs</v>
      </c>
      <c r="X7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7"/>
      <c r="Z7097" t="s">
        <v>43</v>
      </c>
      <c r="AA7097" t="s">
        <v>224</v>
      </c>
      <c r="AB7097" t="s">
        <v>441</v>
      </c>
      <c r="AC7097" s="21">
        <v>194.69</v>
      </c>
      <c r="AD7097" s="21" t="s">
        <v>368</v>
      </c>
      <c r="AE7097" t="str">
        <f>VLOOKUP(Table_Query_from_Actuarial___Production3[[#This Row],[Kor1]],$AI$3:$AK$105,3,FALSE)</f>
        <v>Charge-offs</v>
      </c>
      <c r="AF7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098" spans="18:32" x14ac:dyDescent="0.2">
      <c r="R7098" t="s">
        <v>43</v>
      </c>
      <c r="S7098" t="s">
        <v>224</v>
      </c>
      <c r="T7098" t="s">
        <v>441</v>
      </c>
      <c r="U7098" s="21">
        <v>194.69</v>
      </c>
      <c r="V7098" s="21" t="s">
        <v>368</v>
      </c>
      <c r="W7098" t="str">
        <f>VLOOKUP(Table_Query_from_Actuarial___Production[[#This Row],[Kor1]],$AI$3:$AK$105,3,FALSE)</f>
        <v>Charge-offs</v>
      </c>
      <c r="X7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098"/>
      <c r="Z7098" t="s">
        <v>39</v>
      </c>
      <c r="AA7098" t="s">
        <v>264</v>
      </c>
      <c r="AB7098" t="s">
        <v>443</v>
      </c>
      <c r="AC7098" s="21">
        <v>304.22000000000003</v>
      </c>
      <c r="AD7098" s="21" t="s">
        <v>368</v>
      </c>
      <c r="AE7098" t="str">
        <f>VLOOKUP(Table_Query_from_Actuarial___Production3[[#This Row],[Kor1]],$AI$3:$AK$105,3,FALSE)</f>
        <v>Misc. Income for Insolvent Companies</v>
      </c>
      <c r="AF7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099" spans="18:32" x14ac:dyDescent="0.2">
      <c r="R7099" t="s">
        <v>39</v>
      </c>
      <c r="S7099" t="s">
        <v>264</v>
      </c>
      <c r="T7099" t="s">
        <v>443</v>
      </c>
      <c r="U7099" s="21">
        <v>304.22000000000003</v>
      </c>
      <c r="V7099" s="21" t="s">
        <v>368</v>
      </c>
      <c r="W7099" t="str">
        <f>VLOOKUP(Table_Query_from_Actuarial___Production[[#This Row],[Kor1]],$AI$3:$AK$105,3,FALSE)</f>
        <v>Misc. Income for Insolvent Companies</v>
      </c>
      <c r="X7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099"/>
      <c r="Z7099" t="s">
        <v>16</v>
      </c>
      <c r="AA7099" t="s">
        <v>230</v>
      </c>
      <c r="AB7099" t="s">
        <v>9</v>
      </c>
      <c r="AC7099" s="21">
        <v>1137948.48</v>
      </c>
      <c r="AD7099" s="21" t="s">
        <v>368</v>
      </c>
      <c r="AE7099" t="str">
        <f>VLOOKUP(Table_Query_from_Actuarial___Production3[[#This Row],[Kor1]],$AI$3:$AK$105,3,FALSE)</f>
        <v>Losses Outstanding</v>
      </c>
      <c r="AF7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0" spans="18:32" x14ac:dyDescent="0.2">
      <c r="R7100" t="s">
        <v>10</v>
      </c>
      <c r="S7100" t="s">
        <v>224</v>
      </c>
      <c r="T7100" t="s">
        <v>9</v>
      </c>
      <c r="U7100" s="21">
        <v>3210.94</v>
      </c>
      <c r="V7100" s="21" t="s">
        <v>369</v>
      </c>
      <c r="W7100" t="str">
        <f>VLOOKUP(Table_Query_from_Actuarial___Production[[#This Row],[Kor1]],$AI$3:$AK$105,3,FALSE)</f>
        <v>Commissions</v>
      </c>
      <c r="X7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100"/>
      <c r="Z7100" t="s">
        <v>10</v>
      </c>
      <c r="AA7100" t="s">
        <v>224</v>
      </c>
      <c r="AB7100" t="s">
        <v>9</v>
      </c>
      <c r="AC7100" s="21">
        <v>3210.94</v>
      </c>
      <c r="AD7100" s="21" t="s">
        <v>369</v>
      </c>
      <c r="AE7100" t="str">
        <f>VLOOKUP(Table_Query_from_Actuarial___Production3[[#This Row],[Kor1]],$AI$3:$AK$105,3,FALSE)</f>
        <v>Commissions</v>
      </c>
      <c r="AF7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101" spans="18:32" x14ac:dyDescent="0.2">
      <c r="R7101" t="s">
        <v>47</v>
      </c>
      <c r="S7101" t="s">
        <v>240</v>
      </c>
      <c r="T7101" t="s">
        <v>7</v>
      </c>
      <c r="U7101" s="21">
        <v>7.0000000000000007E-2</v>
      </c>
      <c r="V7101" s="21" t="s">
        <v>368</v>
      </c>
      <c r="W7101" t="str">
        <f>VLOOKUP(Table_Query_from_Actuarial___Production[[#This Row],[Kor1]],$AI$3:$AK$105,3,FALSE)</f>
        <v>Investment Income</v>
      </c>
      <c r="X7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1"/>
      <c r="Z7101" t="s">
        <v>47</v>
      </c>
      <c r="AA7101" t="s">
        <v>240</v>
      </c>
      <c r="AB7101" t="s">
        <v>7</v>
      </c>
      <c r="AC7101" s="21">
        <v>7.0000000000000007E-2</v>
      </c>
      <c r="AD7101" s="21" t="s">
        <v>368</v>
      </c>
      <c r="AE7101" t="str">
        <f>VLOOKUP(Table_Query_from_Actuarial___Production3[[#This Row],[Kor1]],$AI$3:$AK$105,3,FALSE)</f>
        <v>Investment Income</v>
      </c>
      <c r="AF7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2" spans="18:32" x14ac:dyDescent="0.2">
      <c r="R7102" t="s">
        <v>17</v>
      </c>
      <c r="S7102" t="s">
        <v>352</v>
      </c>
      <c r="T7102" t="s">
        <v>443</v>
      </c>
      <c r="U7102" s="21">
        <v>6501.07</v>
      </c>
      <c r="V7102" s="21" t="s">
        <v>369</v>
      </c>
      <c r="W7102" t="str">
        <f>VLOOKUP(Table_Query_from_Actuarial___Production[[#This Row],[Kor1]],$AI$3:$AK$105,3,FALSE)</f>
        <v>IBNR</v>
      </c>
      <c r="X7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102"/>
      <c r="Z7102" t="s">
        <v>17</v>
      </c>
      <c r="AA7102" t="s">
        <v>352</v>
      </c>
      <c r="AB7102" t="s">
        <v>443</v>
      </c>
      <c r="AC7102" s="21">
        <v>9902.19</v>
      </c>
      <c r="AD7102" s="21" t="s">
        <v>369</v>
      </c>
      <c r="AE7102" t="str">
        <f>VLOOKUP(Table_Query_from_Actuarial___Production3[[#This Row],[Kor1]],$AI$3:$AK$105,3,FALSE)</f>
        <v>IBNR</v>
      </c>
      <c r="AF7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103" spans="18:32" x14ac:dyDescent="0.2">
      <c r="R7103" t="s">
        <v>10</v>
      </c>
      <c r="S7103" t="s">
        <v>250</v>
      </c>
      <c r="T7103" t="s">
        <v>442</v>
      </c>
      <c r="U7103" s="21">
        <v>75139.5</v>
      </c>
      <c r="V7103" s="21" t="s">
        <v>368</v>
      </c>
      <c r="W7103" t="str">
        <f>VLOOKUP(Table_Query_from_Actuarial___Production[[#This Row],[Kor1]],$AI$3:$AK$105,3,FALSE)</f>
        <v>Commissions</v>
      </c>
      <c r="X7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3"/>
      <c r="Z7103" t="s">
        <v>10</v>
      </c>
      <c r="AA7103" t="s">
        <v>250</v>
      </c>
      <c r="AB7103" t="s">
        <v>442</v>
      </c>
      <c r="AC7103" s="21">
        <v>74769.649999999994</v>
      </c>
      <c r="AD7103" s="21" t="s">
        <v>368</v>
      </c>
      <c r="AE7103" t="str">
        <f>VLOOKUP(Table_Query_from_Actuarial___Production3[[#This Row],[Kor1]],$AI$3:$AK$105,3,FALSE)</f>
        <v>Commissions</v>
      </c>
      <c r="AF7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4" spans="18:32" x14ac:dyDescent="0.2">
      <c r="R7104" t="s">
        <v>12</v>
      </c>
      <c r="S7104" t="s">
        <v>229</v>
      </c>
      <c r="T7104" t="s">
        <v>8</v>
      </c>
      <c r="U7104" s="21">
        <v>462.18</v>
      </c>
      <c r="V7104" s="21" t="s">
        <v>368</v>
      </c>
      <c r="W7104" t="str">
        <f>VLOOKUP(Table_Query_from_Actuarial___Production[[#This Row],[Kor1]],$AI$3:$AK$105,3,FALSE)</f>
        <v>Premium Tax</v>
      </c>
      <c r="X7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4"/>
      <c r="Z7104" t="s">
        <v>12</v>
      </c>
      <c r="AA7104" t="s">
        <v>229</v>
      </c>
      <c r="AB7104" t="s">
        <v>8</v>
      </c>
      <c r="AC7104" s="21">
        <v>462.18</v>
      </c>
      <c r="AD7104" s="21" t="s">
        <v>368</v>
      </c>
      <c r="AE7104" t="str">
        <f>VLOOKUP(Table_Query_from_Actuarial___Production3[[#This Row],[Kor1]],$AI$3:$AK$105,3,FALSE)</f>
        <v>Premium Tax</v>
      </c>
      <c r="AF7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5" spans="18:32" x14ac:dyDescent="0.2">
      <c r="R7105" t="s">
        <v>11</v>
      </c>
      <c r="S7105" t="s">
        <v>235</v>
      </c>
      <c r="T7105" t="s">
        <v>433</v>
      </c>
      <c r="U7105" s="21">
        <v>98667.69</v>
      </c>
      <c r="V7105" s="21" t="s">
        <v>368</v>
      </c>
      <c r="W7105" t="str">
        <f>VLOOKUP(Table_Query_from_Actuarial___Production[[#This Row],[Kor1]],$AI$3:$AK$105,3,FALSE)</f>
        <v>Losses Paid</v>
      </c>
      <c r="X7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5"/>
      <c r="Z7105" t="s">
        <v>18</v>
      </c>
      <c r="AA7105" t="s">
        <v>225</v>
      </c>
      <c r="AB7105" t="s">
        <v>5</v>
      </c>
      <c r="AC7105" s="21">
        <v>270019.40999999997</v>
      </c>
      <c r="AD7105" s="21" t="s">
        <v>368</v>
      </c>
      <c r="AE7105" t="str">
        <f>VLOOKUP(Table_Query_from_Actuarial___Production3[[#This Row],[Kor1]],$AI$3:$AK$105,3,FALSE)</f>
        <v>Misc. Expense</v>
      </c>
      <c r="AF7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106" spans="18:32" x14ac:dyDescent="0.2">
      <c r="R7106" t="s">
        <v>14</v>
      </c>
      <c r="S7106" t="s">
        <v>229</v>
      </c>
      <c r="T7106" t="s">
        <v>445</v>
      </c>
      <c r="U7106" s="21">
        <v>1135.5899999999999</v>
      </c>
      <c r="V7106" s="21" t="s">
        <v>368</v>
      </c>
      <c r="W7106" t="str">
        <f>VLOOKUP(Table_Query_from_Actuarial___Production[[#This Row],[Kor1]],$AI$3:$AK$105,3,FALSE)</f>
        <v>Claims Expense</v>
      </c>
      <c r="X7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6"/>
      <c r="Z7106" t="s">
        <v>11</v>
      </c>
      <c r="AA7106" t="s">
        <v>235</v>
      </c>
      <c r="AB7106" t="s">
        <v>433</v>
      </c>
      <c r="AC7106" s="21">
        <v>38667.69</v>
      </c>
      <c r="AD7106" s="21" t="s">
        <v>368</v>
      </c>
      <c r="AE7106" t="str">
        <f>VLOOKUP(Table_Query_from_Actuarial___Production3[[#This Row],[Kor1]],$AI$3:$AK$105,3,FALSE)</f>
        <v>Losses Paid</v>
      </c>
      <c r="AF7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7" spans="18:32" x14ac:dyDescent="0.2">
      <c r="R7107" t="s">
        <v>33</v>
      </c>
      <c r="S7107" t="s">
        <v>264</v>
      </c>
      <c r="T7107" t="s">
        <v>9</v>
      </c>
      <c r="U7107" s="21">
        <v>16018.33</v>
      </c>
      <c r="V7107" s="21" t="s">
        <v>368</v>
      </c>
      <c r="W7107" t="str">
        <f>VLOOKUP(Table_Query_from_Actuarial___Production[[#This Row],[Kor1]],$AI$3:$AK$105,3,FALSE)</f>
        <v>Misc. Expense</v>
      </c>
      <c r="X7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7"/>
      <c r="Z7107" t="s">
        <v>33</v>
      </c>
      <c r="AA7107" t="s">
        <v>264</v>
      </c>
      <c r="AB7107" t="s">
        <v>9</v>
      </c>
      <c r="AC7107" s="21">
        <v>16018.33</v>
      </c>
      <c r="AD7107" s="21" t="s">
        <v>368</v>
      </c>
      <c r="AE7107" t="str">
        <f>VLOOKUP(Table_Query_from_Actuarial___Production3[[#This Row],[Kor1]],$AI$3:$AK$105,3,FALSE)</f>
        <v>Misc. Expense</v>
      </c>
      <c r="AF7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8" spans="18:32" x14ac:dyDescent="0.2">
      <c r="R7108" t="s">
        <v>41</v>
      </c>
      <c r="S7108" t="s">
        <v>234</v>
      </c>
      <c r="T7108" t="s">
        <v>9</v>
      </c>
      <c r="U7108" s="21">
        <v>450</v>
      </c>
      <c r="V7108" s="21" t="s">
        <v>368</v>
      </c>
      <c r="W7108" t="str">
        <f>VLOOKUP(Table_Query_from_Actuarial___Production[[#This Row],[Kor1]],$AI$3:$AK$105,3,FALSE)</f>
        <v>Misc. Income</v>
      </c>
      <c r="X7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8"/>
      <c r="Z7108" t="s">
        <v>41</v>
      </c>
      <c r="AA7108" t="s">
        <v>234</v>
      </c>
      <c r="AB7108" t="s">
        <v>9</v>
      </c>
      <c r="AC7108" s="21">
        <v>450</v>
      </c>
      <c r="AD7108" s="21" t="s">
        <v>368</v>
      </c>
      <c r="AE7108" t="str">
        <f>VLOOKUP(Table_Query_from_Actuarial___Production3[[#This Row],[Kor1]],$AI$3:$AK$105,3,FALSE)</f>
        <v>Misc. Income</v>
      </c>
      <c r="AF7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09" spans="18:32" x14ac:dyDescent="0.2">
      <c r="R7109" t="s">
        <v>10</v>
      </c>
      <c r="S7109" t="s">
        <v>234</v>
      </c>
      <c r="T7109" t="s">
        <v>356</v>
      </c>
      <c r="U7109" s="21">
        <v>40962.33</v>
      </c>
      <c r="V7109" s="21" t="s">
        <v>368</v>
      </c>
      <c r="W7109" t="str">
        <f>VLOOKUP(Table_Query_from_Actuarial___Production[[#This Row],[Kor1]],$AI$3:$AK$105,3,FALSE)</f>
        <v>Commissions</v>
      </c>
      <c r="X7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09"/>
      <c r="Z7109" t="s">
        <v>10</v>
      </c>
      <c r="AA7109" t="s">
        <v>234</v>
      </c>
      <c r="AB7109" t="s">
        <v>356</v>
      </c>
      <c r="AC7109" s="21">
        <v>40962.33</v>
      </c>
      <c r="AD7109" s="21" t="s">
        <v>368</v>
      </c>
      <c r="AE7109" t="str">
        <f>VLOOKUP(Table_Query_from_Actuarial___Production3[[#This Row],[Kor1]],$AI$3:$AK$105,3,FALSE)</f>
        <v>Commissions</v>
      </c>
      <c r="AF7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0" spans="18:32" x14ac:dyDescent="0.2">
      <c r="R7110" t="s">
        <v>40</v>
      </c>
      <c r="S7110" t="s">
        <v>245</v>
      </c>
      <c r="T7110" t="s">
        <v>427</v>
      </c>
      <c r="U7110" s="21">
        <v>2</v>
      </c>
      <c r="V7110" s="21" t="s">
        <v>368</v>
      </c>
      <c r="W7110" t="str">
        <f>VLOOKUP(Table_Query_from_Actuarial___Production[[#This Row],[Kor1]],$AI$3:$AK$105,3,FALSE)</f>
        <v>Misc. Income</v>
      </c>
      <c r="X7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0"/>
      <c r="Z7110" t="s">
        <v>40</v>
      </c>
      <c r="AA7110" t="s">
        <v>245</v>
      </c>
      <c r="AB7110" t="s">
        <v>427</v>
      </c>
      <c r="AC7110" s="21">
        <v>2</v>
      </c>
      <c r="AD7110" s="21" t="s">
        <v>368</v>
      </c>
      <c r="AE7110" t="str">
        <f>VLOOKUP(Table_Query_from_Actuarial___Production3[[#This Row],[Kor1]],$AI$3:$AK$105,3,FALSE)</f>
        <v>Misc. Income</v>
      </c>
      <c r="AF7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1" spans="18:32" x14ac:dyDescent="0.2">
      <c r="R7111" t="s">
        <v>11</v>
      </c>
      <c r="S7111" t="s">
        <v>224</v>
      </c>
      <c r="T7111" t="s">
        <v>6</v>
      </c>
      <c r="U7111" s="21">
        <v>95053.85</v>
      </c>
      <c r="V7111" s="21" t="s">
        <v>425</v>
      </c>
      <c r="W7111" t="str">
        <f>VLOOKUP(Table_Query_from_Actuarial___Production[[#This Row],[Kor1]],$AI$3:$AK$105,3,FALSE)</f>
        <v>Losses Paid</v>
      </c>
      <c r="X7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111"/>
      <c r="Z7111" t="s">
        <v>11</v>
      </c>
      <c r="AA7111" t="s">
        <v>224</v>
      </c>
      <c r="AB7111" t="s">
        <v>6</v>
      </c>
      <c r="AC7111" s="21">
        <v>95053.85</v>
      </c>
      <c r="AD7111" s="21" t="s">
        <v>425</v>
      </c>
      <c r="AE7111" t="str">
        <f>VLOOKUP(Table_Query_from_Actuarial___Production3[[#This Row],[Kor1]],$AI$3:$AK$105,3,FALSE)</f>
        <v>Losses Paid</v>
      </c>
      <c r="AF7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112" spans="18:32" x14ac:dyDescent="0.2">
      <c r="R7112" t="s">
        <v>47</v>
      </c>
      <c r="S7112" t="s">
        <v>227</v>
      </c>
      <c r="T7112" t="s">
        <v>356</v>
      </c>
      <c r="U7112" s="21">
        <v>3697.9</v>
      </c>
      <c r="V7112" s="21" t="s">
        <v>368</v>
      </c>
      <c r="W7112" t="str">
        <f>VLOOKUP(Table_Query_from_Actuarial___Production[[#This Row],[Kor1]],$AI$3:$AK$105,3,FALSE)</f>
        <v>Investment Income</v>
      </c>
      <c r="X7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2"/>
      <c r="Z7112" t="s">
        <v>47</v>
      </c>
      <c r="AA7112" t="s">
        <v>227</v>
      </c>
      <c r="AB7112" t="s">
        <v>356</v>
      </c>
      <c r="AC7112" s="21">
        <v>3697.9</v>
      </c>
      <c r="AD7112" s="21" t="s">
        <v>368</v>
      </c>
      <c r="AE7112" t="str">
        <f>VLOOKUP(Table_Query_from_Actuarial___Production3[[#This Row],[Kor1]],$AI$3:$AK$105,3,FALSE)</f>
        <v>Investment Income</v>
      </c>
      <c r="AF7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3" spans="18:32" x14ac:dyDescent="0.2">
      <c r="R7113" t="s">
        <v>49</v>
      </c>
      <c r="S7113" t="s">
        <v>232</v>
      </c>
      <c r="T7113" t="s">
        <v>8</v>
      </c>
      <c r="U7113" s="21">
        <v>67540.289999999994</v>
      </c>
      <c r="V7113" s="21" t="s">
        <v>368</v>
      </c>
      <c r="W7113" t="str">
        <f>VLOOKUP(Table_Query_from_Actuarial___Production[[#This Row],[Kor1]],$AI$3:$AK$105,3,FALSE)</f>
        <v>ALAE Paid</v>
      </c>
      <c r="X7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3"/>
      <c r="Z7113" t="s">
        <v>49</v>
      </c>
      <c r="AA7113" t="s">
        <v>232</v>
      </c>
      <c r="AB7113" t="s">
        <v>8</v>
      </c>
      <c r="AC7113" s="21">
        <v>67540.289999999994</v>
      </c>
      <c r="AD7113" s="21" t="s">
        <v>368</v>
      </c>
      <c r="AE7113" t="str">
        <f>VLOOKUP(Table_Query_from_Actuarial___Production3[[#This Row],[Kor1]],$AI$3:$AK$105,3,FALSE)</f>
        <v>ALAE Paid</v>
      </c>
      <c r="AF7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4" spans="18:32" x14ac:dyDescent="0.2">
      <c r="R7114" t="s">
        <v>12</v>
      </c>
      <c r="S7114" t="s">
        <v>253</v>
      </c>
      <c r="T7114" t="s">
        <v>351</v>
      </c>
      <c r="U7114" s="21">
        <v>58.64</v>
      </c>
      <c r="V7114" s="21" t="s">
        <v>368</v>
      </c>
      <c r="W7114" t="str">
        <f>VLOOKUP(Table_Query_from_Actuarial___Production[[#This Row],[Kor1]],$AI$3:$AK$105,3,FALSE)</f>
        <v>Premium Tax</v>
      </c>
      <c r="X7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4"/>
      <c r="Z7114" t="s">
        <v>12</v>
      </c>
      <c r="AA7114" t="s">
        <v>253</v>
      </c>
      <c r="AB7114" t="s">
        <v>351</v>
      </c>
      <c r="AC7114" s="21">
        <v>58.64</v>
      </c>
      <c r="AD7114" s="21" t="s">
        <v>368</v>
      </c>
      <c r="AE7114" t="str">
        <f>VLOOKUP(Table_Query_from_Actuarial___Production3[[#This Row],[Kor1]],$AI$3:$AK$105,3,FALSE)</f>
        <v>Premium Tax</v>
      </c>
      <c r="AF7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5" spans="18:32" x14ac:dyDescent="0.2">
      <c r="R7115" t="s">
        <v>21</v>
      </c>
      <c r="S7115" t="s">
        <v>231</v>
      </c>
      <c r="T7115" t="s">
        <v>9</v>
      </c>
      <c r="U7115" s="21">
        <v>474.16</v>
      </c>
      <c r="V7115" s="21" t="s">
        <v>368</v>
      </c>
      <c r="W7115" t="str">
        <f>VLOOKUP(Table_Query_from_Actuarial___Production[[#This Row],[Kor1]],$AI$3:$AK$105,3,FALSE)</f>
        <v>Misc. Expense</v>
      </c>
      <c r="X7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5"/>
      <c r="Z7115" t="s">
        <v>21</v>
      </c>
      <c r="AA7115" t="s">
        <v>231</v>
      </c>
      <c r="AB7115" t="s">
        <v>9</v>
      </c>
      <c r="AC7115" s="21">
        <v>474.16</v>
      </c>
      <c r="AD7115" s="21" t="s">
        <v>368</v>
      </c>
      <c r="AE7115" t="str">
        <f>VLOOKUP(Table_Query_from_Actuarial___Production3[[#This Row],[Kor1]],$AI$3:$AK$105,3,FALSE)</f>
        <v>Misc. Expense</v>
      </c>
      <c r="AF7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6" spans="18:32" x14ac:dyDescent="0.2">
      <c r="R7116" t="s">
        <v>31</v>
      </c>
      <c r="S7116" t="s">
        <v>255</v>
      </c>
      <c r="T7116" t="s">
        <v>7</v>
      </c>
      <c r="U7116" s="21">
        <v>413.05</v>
      </c>
      <c r="V7116" s="21" t="s">
        <v>368</v>
      </c>
      <c r="W7116" t="str">
        <f>VLOOKUP(Table_Query_from_Actuarial___Production[[#This Row],[Kor1]],$AI$3:$AK$105,3,FALSE)</f>
        <v>Misc. Expense</v>
      </c>
      <c r="X7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6"/>
      <c r="Z7116" t="s">
        <v>31</v>
      </c>
      <c r="AA7116" t="s">
        <v>255</v>
      </c>
      <c r="AB7116" t="s">
        <v>7</v>
      </c>
      <c r="AC7116" s="21">
        <v>413.05</v>
      </c>
      <c r="AD7116" s="21" t="s">
        <v>368</v>
      </c>
      <c r="AE7116" t="str">
        <f>VLOOKUP(Table_Query_from_Actuarial___Production3[[#This Row],[Kor1]],$AI$3:$AK$105,3,FALSE)</f>
        <v>Misc. Expense</v>
      </c>
      <c r="AF7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7" spans="18:32" x14ac:dyDescent="0.2">
      <c r="R7117" t="s">
        <v>20</v>
      </c>
      <c r="S7117" t="s">
        <v>245</v>
      </c>
      <c r="T7117" t="s">
        <v>356</v>
      </c>
      <c r="U7117" s="21">
        <v>65.62</v>
      </c>
      <c r="V7117" s="21" t="s">
        <v>368</v>
      </c>
      <c r="W7117" t="str">
        <f>VLOOKUP(Table_Query_from_Actuarial___Production[[#This Row],[Kor1]],$AI$3:$AK$105,3,FALSE)</f>
        <v>Misc. Expense</v>
      </c>
      <c r="X7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7"/>
      <c r="Z7117" t="s">
        <v>20</v>
      </c>
      <c r="AA7117" t="s">
        <v>245</v>
      </c>
      <c r="AB7117" t="s">
        <v>356</v>
      </c>
      <c r="AC7117" s="21">
        <v>65.62</v>
      </c>
      <c r="AD7117" s="21" t="s">
        <v>368</v>
      </c>
      <c r="AE7117" t="str">
        <f>VLOOKUP(Table_Query_from_Actuarial___Production3[[#This Row],[Kor1]],$AI$3:$AK$105,3,FALSE)</f>
        <v>Misc. Expense</v>
      </c>
      <c r="AF7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8" spans="18:32" x14ac:dyDescent="0.2">
      <c r="R7118" t="s">
        <v>11</v>
      </c>
      <c r="S7118" t="s">
        <v>227</v>
      </c>
      <c r="T7118" t="s">
        <v>7</v>
      </c>
      <c r="U7118" s="21">
        <v>127434.79</v>
      </c>
      <c r="V7118" s="21" t="s">
        <v>368</v>
      </c>
      <c r="W7118" t="str">
        <f>VLOOKUP(Table_Query_from_Actuarial___Production[[#This Row],[Kor1]],$AI$3:$AK$105,3,FALSE)</f>
        <v>Losses Paid</v>
      </c>
      <c r="X7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8"/>
      <c r="Z7118" t="s">
        <v>11</v>
      </c>
      <c r="AA7118" t="s">
        <v>227</v>
      </c>
      <c r="AB7118" t="s">
        <v>7</v>
      </c>
      <c r="AC7118" s="21">
        <v>127434.79</v>
      </c>
      <c r="AD7118" s="21" t="s">
        <v>368</v>
      </c>
      <c r="AE7118" t="str">
        <f>VLOOKUP(Table_Query_from_Actuarial___Production3[[#This Row],[Kor1]],$AI$3:$AK$105,3,FALSE)</f>
        <v>Losses Paid</v>
      </c>
      <c r="AF7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19" spans="18:32" x14ac:dyDescent="0.2">
      <c r="R7119" t="s">
        <v>33</v>
      </c>
      <c r="S7119" t="s">
        <v>253</v>
      </c>
      <c r="T7119" t="s">
        <v>445</v>
      </c>
      <c r="U7119" s="21">
        <v>8631.2800000000007</v>
      </c>
      <c r="V7119" s="21" t="s">
        <v>368</v>
      </c>
      <c r="W7119" t="str">
        <f>VLOOKUP(Table_Query_from_Actuarial___Production[[#This Row],[Kor1]],$AI$3:$AK$105,3,FALSE)</f>
        <v>Misc. Expense</v>
      </c>
      <c r="X7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19"/>
      <c r="Z7119" t="s">
        <v>39</v>
      </c>
      <c r="AA7119" t="s">
        <v>248</v>
      </c>
      <c r="AB7119" t="s">
        <v>9</v>
      </c>
      <c r="AC7119" s="21">
        <v>249</v>
      </c>
      <c r="AD7119" s="21" t="s">
        <v>368</v>
      </c>
      <c r="AE7119" t="str">
        <f>VLOOKUP(Table_Query_from_Actuarial___Production3[[#This Row],[Kor1]],$AI$3:$AK$105,3,FALSE)</f>
        <v>Misc. Income for Insolvent Companies</v>
      </c>
      <c r="AF7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0" spans="18:32" x14ac:dyDescent="0.2">
      <c r="R7120" t="s">
        <v>39</v>
      </c>
      <c r="S7120" t="s">
        <v>248</v>
      </c>
      <c r="T7120" t="s">
        <v>9</v>
      </c>
      <c r="U7120" s="21">
        <v>249</v>
      </c>
      <c r="V7120" s="21" t="s">
        <v>368</v>
      </c>
      <c r="W7120" t="str">
        <f>VLOOKUP(Table_Query_from_Actuarial___Production[[#This Row],[Kor1]],$AI$3:$AK$105,3,FALSE)</f>
        <v>Misc. Income for Insolvent Companies</v>
      </c>
      <c r="X7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0"/>
      <c r="Z7120" t="s">
        <v>13</v>
      </c>
      <c r="AA7120" t="s">
        <v>225</v>
      </c>
      <c r="AB7120" t="s">
        <v>442</v>
      </c>
      <c r="AC7120" s="21">
        <v>84915.14</v>
      </c>
      <c r="AD7120" s="21" t="s">
        <v>369</v>
      </c>
      <c r="AE7120" t="str">
        <f>VLOOKUP(Table_Query_from_Actuarial___Production3[[#This Row],[Kor1]],$AI$3:$AK$105,3,FALSE)</f>
        <v>Operating Service Fees</v>
      </c>
      <c r="AF7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121" spans="18:32" x14ac:dyDescent="0.2">
      <c r="R7121" t="s">
        <v>13</v>
      </c>
      <c r="S7121" t="s">
        <v>225</v>
      </c>
      <c r="T7121" t="s">
        <v>442</v>
      </c>
      <c r="U7121" s="21">
        <v>82974.73</v>
      </c>
      <c r="V7121" s="21" t="s">
        <v>369</v>
      </c>
      <c r="W7121" t="str">
        <f>VLOOKUP(Table_Query_from_Actuarial___Production[[#This Row],[Kor1]],$AI$3:$AK$105,3,FALSE)</f>
        <v>Operating Service Fees</v>
      </c>
      <c r="X7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121"/>
      <c r="Z7121" t="s">
        <v>13</v>
      </c>
      <c r="AA7121" t="s">
        <v>254</v>
      </c>
      <c r="AB7121" t="s">
        <v>6</v>
      </c>
      <c r="AC7121" s="21">
        <v>145735.92000000001</v>
      </c>
      <c r="AD7121" s="21" t="s">
        <v>368</v>
      </c>
      <c r="AE7121" t="str">
        <f>VLOOKUP(Table_Query_from_Actuarial___Production3[[#This Row],[Kor1]],$AI$3:$AK$105,3,FALSE)</f>
        <v>Operating Service Fees</v>
      </c>
      <c r="AF7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2" spans="18:32" x14ac:dyDescent="0.2">
      <c r="R7122" t="s">
        <v>13</v>
      </c>
      <c r="S7122" t="s">
        <v>254</v>
      </c>
      <c r="T7122" t="s">
        <v>6</v>
      </c>
      <c r="U7122" s="21">
        <v>145735.92000000001</v>
      </c>
      <c r="V7122" s="21" t="s">
        <v>368</v>
      </c>
      <c r="W7122" t="str">
        <f>VLOOKUP(Table_Query_from_Actuarial___Production[[#This Row],[Kor1]],$AI$3:$AK$105,3,FALSE)</f>
        <v>Operating Service Fees</v>
      </c>
      <c r="X7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2"/>
      <c r="Z7122" t="s">
        <v>14</v>
      </c>
      <c r="AA7122" t="s">
        <v>4</v>
      </c>
      <c r="AB7122" t="s">
        <v>5</v>
      </c>
      <c r="AC7122" s="21">
        <v>234987.05</v>
      </c>
      <c r="AD7122" s="21" t="s">
        <v>368</v>
      </c>
      <c r="AE7122" t="str">
        <f>VLOOKUP(Table_Query_from_Actuarial___Production3[[#This Row],[Kor1]],$AI$3:$AK$105,3,FALSE)</f>
        <v>Claims Expense</v>
      </c>
      <c r="AF7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3" spans="18:32" x14ac:dyDescent="0.2">
      <c r="R7123" t="s">
        <v>13</v>
      </c>
      <c r="S7123" t="s">
        <v>264</v>
      </c>
      <c r="T7123" t="s">
        <v>8</v>
      </c>
      <c r="U7123" s="21">
        <v>477423.14</v>
      </c>
      <c r="V7123" s="21" t="s">
        <v>368</v>
      </c>
      <c r="W7123" t="str">
        <f>VLOOKUP(Table_Query_from_Actuarial___Production[[#This Row],[Kor1]],$AI$3:$AK$105,3,FALSE)</f>
        <v>Operating Service Fees</v>
      </c>
      <c r="X7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3"/>
      <c r="Z7123" t="s">
        <v>13</v>
      </c>
      <c r="AA7123" t="s">
        <v>264</v>
      </c>
      <c r="AB7123" t="s">
        <v>8</v>
      </c>
      <c r="AC7123" s="21">
        <v>477423.14</v>
      </c>
      <c r="AD7123" s="21" t="s">
        <v>368</v>
      </c>
      <c r="AE7123" t="str">
        <f>VLOOKUP(Table_Query_from_Actuarial___Production3[[#This Row],[Kor1]],$AI$3:$AK$105,3,FALSE)</f>
        <v>Operating Service Fees</v>
      </c>
      <c r="AF7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4" spans="18:32" x14ac:dyDescent="0.2">
      <c r="R7124" t="s">
        <v>47</v>
      </c>
      <c r="S7124" t="s">
        <v>245</v>
      </c>
      <c r="T7124" t="s">
        <v>427</v>
      </c>
      <c r="U7124" s="21">
        <v>513.37</v>
      </c>
      <c r="V7124" s="21" t="s">
        <v>368</v>
      </c>
      <c r="W7124" t="str">
        <f>VLOOKUP(Table_Query_from_Actuarial___Production[[#This Row],[Kor1]],$AI$3:$AK$105,3,FALSE)</f>
        <v>Investment Income</v>
      </c>
      <c r="X7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4"/>
      <c r="Z7124" t="s">
        <v>47</v>
      </c>
      <c r="AA7124" t="s">
        <v>245</v>
      </c>
      <c r="AB7124" t="s">
        <v>427</v>
      </c>
      <c r="AC7124" s="21">
        <v>513.37</v>
      </c>
      <c r="AD7124" s="21" t="s">
        <v>368</v>
      </c>
      <c r="AE7124" t="str">
        <f>VLOOKUP(Table_Query_from_Actuarial___Production3[[#This Row],[Kor1]],$AI$3:$AK$105,3,FALSE)</f>
        <v>Investment Income</v>
      </c>
      <c r="AF7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5" spans="18:32" x14ac:dyDescent="0.2">
      <c r="R7125" t="s">
        <v>31</v>
      </c>
      <c r="S7125" t="s">
        <v>266</v>
      </c>
      <c r="T7125" t="s">
        <v>6</v>
      </c>
      <c r="U7125" s="21">
        <v>21</v>
      </c>
      <c r="V7125" s="21" t="s">
        <v>368</v>
      </c>
      <c r="W7125" t="str">
        <f>VLOOKUP(Table_Query_from_Actuarial___Production[[#This Row],[Kor1]],$AI$3:$AK$105,3,FALSE)</f>
        <v>Misc. Expense</v>
      </c>
      <c r="X7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5"/>
      <c r="Z7125" t="s">
        <v>31</v>
      </c>
      <c r="AA7125" t="s">
        <v>266</v>
      </c>
      <c r="AB7125" t="s">
        <v>6</v>
      </c>
      <c r="AC7125" s="21">
        <v>21</v>
      </c>
      <c r="AD7125" s="21" t="s">
        <v>368</v>
      </c>
      <c r="AE7125" t="str">
        <f>VLOOKUP(Table_Query_from_Actuarial___Production3[[#This Row],[Kor1]],$AI$3:$AK$105,3,FALSE)</f>
        <v>Misc. Expense</v>
      </c>
      <c r="AF7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6" spans="18:32" x14ac:dyDescent="0.2">
      <c r="R7126" t="s">
        <v>39</v>
      </c>
      <c r="S7126" t="s">
        <v>242</v>
      </c>
      <c r="T7126" t="s">
        <v>445</v>
      </c>
      <c r="U7126" s="21">
        <v>155.16</v>
      </c>
      <c r="V7126" s="21" t="s">
        <v>368</v>
      </c>
      <c r="W7126" t="str">
        <f>VLOOKUP(Table_Query_from_Actuarial___Production[[#This Row],[Kor1]],$AI$3:$AK$105,3,FALSE)</f>
        <v>Misc. Income for Insolvent Companies</v>
      </c>
      <c r="X7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6"/>
      <c r="Z7126" t="s">
        <v>44</v>
      </c>
      <c r="AA7126" t="s">
        <v>258</v>
      </c>
      <c r="AB7126" t="s">
        <v>442</v>
      </c>
      <c r="AC7126" s="21">
        <v>73833.69</v>
      </c>
      <c r="AD7126" s="21" t="s">
        <v>368</v>
      </c>
      <c r="AE7126" t="str">
        <f>VLOOKUP(Table_Query_from_Actuarial___Production3[[#This Row],[Kor1]],$AI$3:$AK$105,3,FALSE)</f>
        <v>Charge-offs</v>
      </c>
      <c r="AF7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7" spans="18:32" x14ac:dyDescent="0.2">
      <c r="R7127" t="s">
        <v>44</v>
      </c>
      <c r="S7127" t="s">
        <v>258</v>
      </c>
      <c r="T7127" t="s">
        <v>442</v>
      </c>
      <c r="U7127" s="21">
        <v>69883.789999999994</v>
      </c>
      <c r="V7127" s="21" t="s">
        <v>368</v>
      </c>
      <c r="W7127" t="str">
        <f>VLOOKUP(Table_Query_from_Actuarial___Production[[#This Row],[Kor1]],$AI$3:$AK$105,3,FALSE)</f>
        <v>Charge-offs</v>
      </c>
      <c r="X7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7"/>
      <c r="Z7127" t="s">
        <v>17</v>
      </c>
      <c r="AA7127" t="s">
        <v>264</v>
      </c>
      <c r="AB7127" t="s">
        <v>443</v>
      </c>
      <c r="AC7127" s="21">
        <v>381582.78</v>
      </c>
      <c r="AD7127" s="21" t="s">
        <v>368</v>
      </c>
      <c r="AE7127" t="str">
        <f>VLOOKUP(Table_Query_from_Actuarial___Production3[[#This Row],[Kor1]],$AI$3:$AK$105,3,FALSE)</f>
        <v>IBNR</v>
      </c>
      <c r="AF7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8" spans="18:32" x14ac:dyDescent="0.2">
      <c r="R7128" t="s">
        <v>17</v>
      </c>
      <c r="S7128" t="s">
        <v>264</v>
      </c>
      <c r="T7128" t="s">
        <v>443</v>
      </c>
      <c r="U7128" s="21">
        <v>2698519.43</v>
      </c>
      <c r="V7128" s="21" t="s">
        <v>368</v>
      </c>
      <c r="W7128" t="str">
        <f>VLOOKUP(Table_Query_from_Actuarial___Production[[#This Row],[Kor1]],$AI$3:$AK$105,3,FALSE)</f>
        <v>IBNR</v>
      </c>
      <c r="X7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8"/>
      <c r="Z7128" t="s">
        <v>21</v>
      </c>
      <c r="AA7128" t="s">
        <v>232</v>
      </c>
      <c r="AB7128" t="s">
        <v>8</v>
      </c>
      <c r="AC7128" s="21">
        <v>1950.03</v>
      </c>
      <c r="AD7128" s="21" t="s">
        <v>368</v>
      </c>
      <c r="AE7128" t="str">
        <f>VLOOKUP(Table_Query_from_Actuarial___Production3[[#This Row],[Kor1]],$AI$3:$AK$105,3,FALSE)</f>
        <v>Misc. Expense</v>
      </c>
      <c r="AF7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29" spans="18:32" x14ac:dyDescent="0.2">
      <c r="R7129" t="s">
        <v>21</v>
      </c>
      <c r="S7129" t="s">
        <v>232</v>
      </c>
      <c r="T7129" t="s">
        <v>8</v>
      </c>
      <c r="U7129" s="21">
        <v>1950.03</v>
      </c>
      <c r="V7129" s="21" t="s">
        <v>368</v>
      </c>
      <c r="W7129" t="str">
        <f>VLOOKUP(Table_Query_from_Actuarial___Production[[#This Row],[Kor1]],$AI$3:$AK$105,3,FALSE)</f>
        <v>Misc. Expense</v>
      </c>
      <c r="X7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29"/>
      <c r="Z7129" t="s">
        <v>20</v>
      </c>
      <c r="AA7129" t="s">
        <v>241</v>
      </c>
      <c r="AB7129" t="s">
        <v>442</v>
      </c>
      <c r="AC7129" s="21">
        <v>142.6</v>
      </c>
      <c r="AD7129" s="21" t="s">
        <v>368</v>
      </c>
      <c r="AE7129" t="str">
        <f>VLOOKUP(Table_Query_from_Actuarial___Production3[[#This Row],[Kor1]],$AI$3:$AK$105,3,FALSE)</f>
        <v>Misc. Expense</v>
      </c>
      <c r="AF7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0" spans="18:32" x14ac:dyDescent="0.2">
      <c r="R7130" t="s">
        <v>20</v>
      </c>
      <c r="S7130" t="s">
        <v>241</v>
      </c>
      <c r="T7130" t="s">
        <v>442</v>
      </c>
      <c r="U7130" s="21">
        <v>142.6</v>
      </c>
      <c r="V7130" s="21" t="s">
        <v>368</v>
      </c>
      <c r="W7130" t="str">
        <f>VLOOKUP(Table_Query_from_Actuarial___Production[[#This Row],[Kor1]],$AI$3:$AK$105,3,FALSE)</f>
        <v>Misc. Expense</v>
      </c>
      <c r="X7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0"/>
      <c r="Z7130" t="s">
        <v>10</v>
      </c>
      <c r="AA7130" t="s">
        <v>249</v>
      </c>
      <c r="AB7130" t="s">
        <v>427</v>
      </c>
      <c r="AC7130" s="21">
        <v>19515.77</v>
      </c>
      <c r="AD7130" s="21" t="s">
        <v>368</v>
      </c>
      <c r="AE7130" t="str">
        <f>VLOOKUP(Table_Query_from_Actuarial___Production3[[#This Row],[Kor1]],$AI$3:$AK$105,3,FALSE)</f>
        <v>Commissions</v>
      </c>
      <c r="AF7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1" spans="18:32" x14ac:dyDescent="0.2">
      <c r="R7131" t="s">
        <v>10</v>
      </c>
      <c r="S7131" t="s">
        <v>249</v>
      </c>
      <c r="T7131" t="s">
        <v>427</v>
      </c>
      <c r="U7131" s="21">
        <v>19515.77</v>
      </c>
      <c r="V7131" s="21" t="s">
        <v>368</v>
      </c>
      <c r="W7131" t="str">
        <f>VLOOKUP(Table_Query_from_Actuarial___Production[[#This Row],[Kor1]],$AI$3:$AK$105,3,FALSE)</f>
        <v>Commissions</v>
      </c>
      <c r="X7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1"/>
      <c r="Z7131" t="s">
        <v>13</v>
      </c>
      <c r="AA7131" t="s">
        <v>244</v>
      </c>
      <c r="AB7131" t="s">
        <v>7</v>
      </c>
      <c r="AC7131" s="21">
        <v>220312.55</v>
      </c>
      <c r="AD7131" s="21" t="s">
        <v>368</v>
      </c>
      <c r="AE7131" t="str">
        <f>VLOOKUP(Table_Query_from_Actuarial___Production3[[#This Row],[Kor1]],$AI$3:$AK$105,3,FALSE)</f>
        <v>Operating Service Fees</v>
      </c>
      <c r="AF7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2" spans="18:32" x14ac:dyDescent="0.2">
      <c r="R7132" t="s">
        <v>13</v>
      </c>
      <c r="S7132" t="s">
        <v>244</v>
      </c>
      <c r="T7132" t="s">
        <v>7</v>
      </c>
      <c r="U7132" s="21">
        <v>220312.55</v>
      </c>
      <c r="V7132" s="21" t="s">
        <v>368</v>
      </c>
      <c r="W7132" t="str">
        <f>VLOOKUP(Table_Query_from_Actuarial___Production[[#This Row],[Kor1]],$AI$3:$AK$105,3,FALSE)</f>
        <v>Operating Service Fees</v>
      </c>
      <c r="X7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2"/>
      <c r="Z7132" t="s">
        <v>44</v>
      </c>
      <c r="AA7132" t="s">
        <v>233</v>
      </c>
      <c r="AB7132" t="s">
        <v>441</v>
      </c>
      <c r="AC7132" s="21">
        <v>9996.6200000000008</v>
      </c>
      <c r="AD7132" s="21" t="s">
        <v>368</v>
      </c>
      <c r="AE7132" t="str">
        <f>VLOOKUP(Table_Query_from_Actuarial___Production3[[#This Row],[Kor1]],$AI$3:$AK$105,3,FALSE)</f>
        <v>Charge-offs</v>
      </c>
      <c r="AF7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3" spans="18:32" x14ac:dyDescent="0.2">
      <c r="R7133" t="s">
        <v>44</v>
      </c>
      <c r="S7133" t="s">
        <v>233</v>
      </c>
      <c r="T7133" t="s">
        <v>441</v>
      </c>
      <c r="U7133" s="21">
        <v>9996.6200000000008</v>
      </c>
      <c r="V7133" s="21" t="s">
        <v>368</v>
      </c>
      <c r="W7133" t="str">
        <f>VLOOKUP(Table_Query_from_Actuarial___Production[[#This Row],[Kor1]],$AI$3:$AK$105,3,FALSE)</f>
        <v>Charge-offs</v>
      </c>
      <c r="X7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3"/>
      <c r="Z7133" t="s">
        <v>50</v>
      </c>
      <c r="AA7133" t="s">
        <v>264</v>
      </c>
      <c r="AB7133" t="s">
        <v>427</v>
      </c>
      <c r="AC7133" s="21">
        <v>99731.27</v>
      </c>
      <c r="AD7133" s="21" t="s">
        <v>368</v>
      </c>
      <c r="AE7133" t="str">
        <f>VLOOKUP(Table_Query_from_Actuarial___Production3[[#This Row],[Kor1]],$AI$3:$AK$105,3,FALSE)</f>
        <v>ALAE Reserve</v>
      </c>
      <c r="AF7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4" spans="18:32" x14ac:dyDescent="0.2">
      <c r="R7134" t="s">
        <v>50</v>
      </c>
      <c r="S7134" t="s">
        <v>264</v>
      </c>
      <c r="T7134" t="s">
        <v>427</v>
      </c>
      <c r="U7134" s="21">
        <v>22888.91</v>
      </c>
      <c r="V7134" s="21" t="s">
        <v>368</v>
      </c>
      <c r="W7134" t="str">
        <f>VLOOKUP(Table_Query_from_Actuarial___Production[[#This Row],[Kor1]],$AI$3:$AK$105,3,FALSE)</f>
        <v>ALAE Reserve</v>
      </c>
      <c r="X7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4"/>
      <c r="Z7134" t="s">
        <v>41</v>
      </c>
      <c r="AA7134" t="s">
        <v>264</v>
      </c>
      <c r="AB7134" t="s">
        <v>5</v>
      </c>
      <c r="AC7134" s="21">
        <v>213.41</v>
      </c>
      <c r="AD7134" s="21" t="s">
        <v>368</v>
      </c>
      <c r="AE7134" t="str">
        <f>VLOOKUP(Table_Query_from_Actuarial___Production3[[#This Row],[Kor1]],$AI$3:$AK$105,3,FALSE)</f>
        <v>Misc. Income</v>
      </c>
      <c r="AF7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5" spans="18:32" x14ac:dyDescent="0.2">
      <c r="R7135" t="s">
        <v>46</v>
      </c>
      <c r="S7135" t="s">
        <v>224</v>
      </c>
      <c r="T7135" t="s">
        <v>7</v>
      </c>
      <c r="U7135" s="21">
        <v>833.18</v>
      </c>
      <c r="V7135" s="21" t="s">
        <v>370</v>
      </c>
      <c r="W7135" t="str">
        <f>VLOOKUP(Table_Query_from_Actuarial___Production[[#This Row],[Kor1]],$AI$3:$AK$105,3,FALSE)</f>
        <v>Investment Income</v>
      </c>
      <c r="X7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135"/>
      <c r="Z7135" t="s">
        <v>46</v>
      </c>
      <c r="AA7135" t="s">
        <v>224</v>
      </c>
      <c r="AB7135" t="s">
        <v>7</v>
      </c>
      <c r="AC7135" s="21">
        <v>833.18</v>
      </c>
      <c r="AD7135" s="21" t="s">
        <v>370</v>
      </c>
      <c r="AE7135" t="str">
        <f>VLOOKUP(Table_Query_from_Actuarial___Production3[[#This Row],[Kor1]],$AI$3:$AK$105,3,FALSE)</f>
        <v>Investment Income</v>
      </c>
      <c r="AF7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136" spans="18:32" x14ac:dyDescent="0.2">
      <c r="R7136" t="s">
        <v>10</v>
      </c>
      <c r="S7136" t="s">
        <v>238</v>
      </c>
      <c r="T7136" t="s">
        <v>351</v>
      </c>
      <c r="U7136" s="21">
        <v>30800.89</v>
      </c>
      <c r="V7136" s="21" t="s">
        <v>368</v>
      </c>
      <c r="W7136" t="str">
        <f>VLOOKUP(Table_Query_from_Actuarial___Production[[#This Row],[Kor1]],$AI$3:$AK$105,3,FALSE)</f>
        <v>Commissions</v>
      </c>
      <c r="X7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6"/>
      <c r="Z7136" t="s">
        <v>10</v>
      </c>
      <c r="AA7136" t="s">
        <v>238</v>
      </c>
      <c r="AB7136" t="s">
        <v>351</v>
      </c>
      <c r="AC7136" s="21">
        <v>30800.89</v>
      </c>
      <c r="AD7136" s="21" t="s">
        <v>368</v>
      </c>
      <c r="AE7136" t="str">
        <f>VLOOKUP(Table_Query_from_Actuarial___Production3[[#This Row],[Kor1]],$AI$3:$AK$105,3,FALSE)</f>
        <v>Commissions</v>
      </c>
      <c r="AF7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7" spans="18:32" x14ac:dyDescent="0.2">
      <c r="R7137" t="s">
        <v>37</v>
      </c>
      <c r="S7137" t="s">
        <v>242</v>
      </c>
      <c r="T7137" t="s">
        <v>445</v>
      </c>
      <c r="U7137" s="21">
        <v>0.51</v>
      </c>
      <c r="V7137" s="21" t="s">
        <v>368</v>
      </c>
      <c r="W7137" t="str">
        <f>VLOOKUP(Table_Query_from_Actuarial___Production[[#This Row],[Kor1]],$AI$3:$AK$105,3,FALSE)</f>
        <v>Misc. Expense</v>
      </c>
      <c r="X7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37"/>
      <c r="Z7137" t="s">
        <v>38</v>
      </c>
      <c r="AA7137" t="s">
        <v>225</v>
      </c>
      <c r="AB7137" t="s">
        <v>351</v>
      </c>
      <c r="AC7137" s="21">
        <v>1077753.5900000001</v>
      </c>
      <c r="AD7137" s="21" t="s">
        <v>369</v>
      </c>
      <c r="AE7137" t="str">
        <f>VLOOKUP(Table_Query_from_Actuarial___Production3[[#This Row],[Kor1]],$AI$3:$AK$105,3,FALSE)</f>
        <v>Misc. Income</v>
      </c>
      <c r="AF7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138" spans="18:32" x14ac:dyDescent="0.2">
      <c r="R7138" t="s">
        <v>3</v>
      </c>
      <c r="S7138" t="s">
        <v>224</v>
      </c>
      <c r="T7138" t="s">
        <v>445</v>
      </c>
      <c r="U7138" s="21">
        <v>541056.03</v>
      </c>
      <c r="V7138" s="21" t="s">
        <v>368</v>
      </c>
      <c r="W7138" t="str">
        <f>VLOOKUP(Table_Query_from_Actuarial___Production[[#This Row],[Kor1]],$AI$3:$AK$105,3,FALSE)</f>
        <v>Premiums Written</v>
      </c>
      <c r="X7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138"/>
      <c r="Z7138" t="s">
        <v>14</v>
      </c>
      <c r="AA7138" t="s">
        <v>228</v>
      </c>
      <c r="AB7138" t="s">
        <v>442</v>
      </c>
      <c r="AC7138" s="21">
        <v>8875.77</v>
      </c>
      <c r="AD7138" s="21" t="s">
        <v>368</v>
      </c>
      <c r="AE7138" t="str">
        <f>VLOOKUP(Table_Query_from_Actuarial___Production3[[#This Row],[Kor1]],$AI$3:$AK$105,3,FALSE)</f>
        <v>Claims Expense</v>
      </c>
      <c r="AF7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39" spans="18:32" x14ac:dyDescent="0.2">
      <c r="R7139" t="s">
        <v>38</v>
      </c>
      <c r="S7139" t="s">
        <v>225</v>
      </c>
      <c r="T7139" t="s">
        <v>351</v>
      </c>
      <c r="U7139" s="21">
        <v>1077753.5900000001</v>
      </c>
      <c r="V7139" s="21" t="s">
        <v>369</v>
      </c>
      <c r="W7139" t="str">
        <f>VLOOKUP(Table_Query_from_Actuarial___Production[[#This Row],[Kor1]],$AI$3:$AK$105,3,FALSE)</f>
        <v>Misc. Income</v>
      </c>
      <c r="X7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139"/>
      <c r="Z7139" t="s">
        <v>43</v>
      </c>
      <c r="AA7139" t="s">
        <v>258</v>
      </c>
      <c r="AB7139" t="s">
        <v>442</v>
      </c>
      <c r="AC7139" s="21">
        <v>-9109.33</v>
      </c>
      <c r="AD7139" s="21" t="s">
        <v>368</v>
      </c>
      <c r="AE7139" t="str">
        <f>VLOOKUP(Table_Query_from_Actuarial___Production3[[#This Row],[Kor1]],$AI$3:$AK$105,3,FALSE)</f>
        <v>Charge-offs</v>
      </c>
      <c r="AF7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0" spans="18:32" x14ac:dyDescent="0.2">
      <c r="R7140" t="s">
        <v>14</v>
      </c>
      <c r="S7140" t="s">
        <v>228</v>
      </c>
      <c r="T7140" t="s">
        <v>442</v>
      </c>
      <c r="U7140" s="21">
        <v>8092.32</v>
      </c>
      <c r="V7140" s="21" t="s">
        <v>368</v>
      </c>
      <c r="W7140" t="str">
        <f>VLOOKUP(Table_Query_from_Actuarial___Production[[#This Row],[Kor1]],$AI$3:$AK$105,3,FALSE)</f>
        <v>Claims Expense</v>
      </c>
      <c r="X7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0"/>
      <c r="Z7140" t="s">
        <v>19</v>
      </c>
      <c r="AA7140" t="s">
        <v>265</v>
      </c>
      <c r="AB7140" t="s">
        <v>5</v>
      </c>
      <c r="AC7140" s="21">
        <v>4180.99</v>
      </c>
      <c r="AD7140" s="21" t="s">
        <v>368</v>
      </c>
      <c r="AE7140" t="str">
        <f>VLOOKUP(Table_Query_from_Actuarial___Production3[[#This Row],[Kor1]],$AI$3:$AK$105,3,FALSE)</f>
        <v>Misc. Expense for Insolvent Companies</v>
      </c>
      <c r="AF7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1" spans="18:32" x14ac:dyDescent="0.2">
      <c r="R7141" t="s">
        <v>43</v>
      </c>
      <c r="S7141" t="s">
        <v>258</v>
      </c>
      <c r="T7141" t="s">
        <v>442</v>
      </c>
      <c r="U7141" s="21">
        <v>-7407.59</v>
      </c>
      <c r="V7141" s="21" t="s">
        <v>368</v>
      </c>
      <c r="W7141" t="str">
        <f>VLOOKUP(Table_Query_from_Actuarial___Production[[#This Row],[Kor1]],$AI$3:$AK$105,3,FALSE)</f>
        <v>Charge-offs</v>
      </c>
      <c r="X7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1"/>
      <c r="Z7141" t="s">
        <v>32</v>
      </c>
      <c r="AA7141" t="s">
        <v>244</v>
      </c>
      <c r="AB7141" t="s">
        <v>5</v>
      </c>
      <c r="AC7141" s="21">
        <v>-16221.01</v>
      </c>
      <c r="AD7141" s="21" t="s">
        <v>368</v>
      </c>
      <c r="AE7141" t="str">
        <f>VLOOKUP(Table_Query_from_Actuarial___Production3[[#This Row],[Kor1]],$AI$3:$AK$105,3,FALSE)</f>
        <v>Misc. Expense</v>
      </c>
      <c r="AF7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2" spans="18:32" x14ac:dyDescent="0.2">
      <c r="R7142" t="s">
        <v>33</v>
      </c>
      <c r="S7142" t="s">
        <v>231</v>
      </c>
      <c r="T7142" t="s">
        <v>441</v>
      </c>
      <c r="U7142" s="21">
        <v>14966.88</v>
      </c>
      <c r="V7142" s="21" t="s">
        <v>368</v>
      </c>
      <c r="W7142" t="str">
        <f>VLOOKUP(Table_Query_from_Actuarial___Production[[#This Row],[Kor1]],$AI$3:$AK$105,3,FALSE)</f>
        <v>Misc. Expense</v>
      </c>
      <c r="X7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2"/>
      <c r="Z7142" t="s">
        <v>33</v>
      </c>
      <c r="AA7142" t="s">
        <v>231</v>
      </c>
      <c r="AB7142" t="s">
        <v>441</v>
      </c>
      <c r="AC7142" s="21">
        <v>14966.88</v>
      </c>
      <c r="AD7142" s="21" t="s">
        <v>368</v>
      </c>
      <c r="AE7142" t="str">
        <f>VLOOKUP(Table_Query_from_Actuarial___Production3[[#This Row],[Kor1]],$AI$3:$AK$105,3,FALSE)</f>
        <v>Misc. Expense</v>
      </c>
      <c r="AF7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3" spans="18:32" x14ac:dyDescent="0.2">
      <c r="R7143" t="s">
        <v>41</v>
      </c>
      <c r="S7143" t="s">
        <v>248</v>
      </c>
      <c r="T7143" t="s">
        <v>7</v>
      </c>
      <c r="U7143" s="21">
        <v>346.99</v>
      </c>
      <c r="V7143" s="21" t="s">
        <v>368</v>
      </c>
      <c r="W7143" t="str">
        <f>VLOOKUP(Table_Query_from_Actuarial___Production[[#This Row],[Kor1]],$AI$3:$AK$105,3,FALSE)</f>
        <v>Misc. Income</v>
      </c>
      <c r="X7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3"/>
      <c r="Z7143" t="s">
        <v>41</v>
      </c>
      <c r="AA7143" t="s">
        <v>248</v>
      </c>
      <c r="AB7143" t="s">
        <v>7</v>
      </c>
      <c r="AC7143" s="21">
        <v>346.99</v>
      </c>
      <c r="AD7143" s="21" t="s">
        <v>368</v>
      </c>
      <c r="AE7143" t="str">
        <f>VLOOKUP(Table_Query_from_Actuarial___Production3[[#This Row],[Kor1]],$AI$3:$AK$105,3,FALSE)</f>
        <v>Misc. Income</v>
      </c>
      <c r="AF7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4" spans="18:32" x14ac:dyDescent="0.2">
      <c r="R7144" t="s">
        <v>47</v>
      </c>
      <c r="S7144" t="s">
        <v>241</v>
      </c>
      <c r="T7144" t="s">
        <v>9</v>
      </c>
      <c r="U7144" s="21">
        <v>364.26</v>
      </c>
      <c r="V7144" s="21" t="s">
        <v>368</v>
      </c>
      <c r="W7144" t="str">
        <f>VLOOKUP(Table_Query_from_Actuarial___Production[[#This Row],[Kor1]],$AI$3:$AK$105,3,FALSE)</f>
        <v>Investment Income</v>
      </c>
      <c r="X7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4"/>
      <c r="Z7144" t="s">
        <v>47</v>
      </c>
      <c r="AA7144" t="s">
        <v>241</v>
      </c>
      <c r="AB7144" t="s">
        <v>9</v>
      </c>
      <c r="AC7144" s="21">
        <v>364.26</v>
      </c>
      <c r="AD7144" s="21" t="s">
        <v>368</v>
      </c>
      <c r="AE7144" t="str">
        <f>VLOOKUP(Table_Query_from_Actuarial___Production3[[#This Row],[Kor1]],$AI$3:$AK$105,3,FALSE)</f>
        <v>Investment Income</v>
      </c>
      <c r="AF7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5" spans="18:32" x14ac:dyDescent="0.2">
      <c r="R7145" t="s">
        <v>18</v>
      </c>
      <c r="S7145" t="s">
        <v>225</v>
      </c>
      <c r="T7145" t="s">
        <v>351</v>
      </c>
      <c r="U7145" s="21">
        <v>531439.02</v>
      </c>
      <c r="V7145" s="21" t="s">
        <v>368</v>
      </c>
      <c r="W7145" t="str">
        <f>VLOOKUP(Table_Query_from_Actuarial___Production[[#This Row],[Kor1]],$AI$3:$AK$105,3,FALSE)</f>
        <v>Misc. Expense</v>
      </c>
      <c r="X7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145"/>
      <c r="Z7145" t="s">
        <v>18</v>
      </c>
      <c r="AA7145" t="s">
        <v>225</v>
      </c>
      <c r="AB7145" t="s">
        <v>351</v>
      </c>
      <c r="AC7145" s="21">
        <v>531439.02</v>
      </c>
      <c r="AD7145" s="21" t="s">
        <v>368</v>
      </c>
      <c r="AE7145" t="str">
        <f>VLOOKUP(Table_Query_from_Actuarial___Production3[[#This Row],[Kor1]],$AI$3:$AK$105,3,FALSE)</f>
        <v>Misc. Expense</v>
      </c>
      <c r="AF7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146" spans="18:32" x14ac:dyDescent="0.2">
      <c r="R7146" t="s">
        <v>40</v>
      </c>
      <c r="S7146" t="s">
        <v>238</v>
      </c>
      <c r="T7146" t="s">
        <v>6</v>
      </c>
      <c r="U7146" s="21">
        <v>103</v>
      </c>
      <c r="V7146" s="21" t="s">
        <v>368</v>
      </c>
      <c r="W7146" t="str">
        <f>VLOOKUP(Table_Query_from_Actuarial___Production[[#This Row],[Kor1]],$AI$3:$AK$105,3,FALSE)</f>
        <v>Misc. Income</v>
      </c>
      <c r="X7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6"/>
      <c r="Z7146" t="s">
        <v>40</v>
      </c>
      <c r="AA7146" t="s">
        <v>238</v>
      </c>
      <c r="AB7146" t="s">
        <v>6</v>
      </c>
      <c r="AC7146" s="21">
        <v>103</v>
      </c>
      <c r="AD7146" s="21" t="s">
        <v>368</v>
      </c>
      <c r="AE7146" t="str">
        <f>VLOOKUP(Table_Query_from_Actuarial___Production3[[#This Row],[Kor1]],$AI$3:$AK$105,3,FALSE)</f>
        <v>Misc. Income</v>
      </c>
      <c r="AF7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7" spans="18:32" x14ac:dyDescent="0.2">
      <c r="R7147" t="s">
        <v>11</v>
      </c>
      <c r="S7147" t="s">
        <v>237</v>
      </c>
      <c r="T7147" t="s">
        <v>442</v>
      </c>
      <c r="U7147" s="21">
        <v>48324470.719999999</v>
      </c>
      <c r="V7147" s="21" t="s">
        <v>368</v>
      </c>
      <c r="W7147" t="str">
        <f>VLOOKUP(Table_Query_from_Actuarial___Production[[#This Row],[Kor1]],$AI$3:$AK$105,3,FALSE)</f>
        <v>Losses Paid</v>
      </c>
      <c r="X7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7"/>
      <c r="Z7147" t="s">
        <v>11</v>
      </c>
      <c r="AA7147" t="s">
        <v>237</v>
      </c>
      <c r="AB7147" t="s">
        <v>442</v>
      </c>
      <c r="AC7147" s="21">
        <v>24420410.420000002</v>
      </c>
      <c r="AD7147" s="21" t="s">
        <v>368</v>
      </c>
      <c r="AE7147" t="str">
        <f>VLOOKUP(Table_Query_from_Actuarial___Production3[[#This Row],[Kor1]],$AI$3:$AK$105,3,FALSE)</f>
        <v>Losses Paid</v>
      </c>
      <c r="AF7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8" spans="18:32" x14ac:dyDescent="0.2">
      <c r="R7148" t="s">
        <v>43</v>
      </c>
      <c r="S7148" t="s">
        <v>231</v>
      </c>
      <c r="T7148" t="s">
        <v>433</v>
      </c>
      <c r="U7148" s="21">
        <v>224.82</v>
      </c>
      <c r="V7148" s="21" t="s">
        <v>368</v>
      </c>
      <c r="W7148" t="str">
        <f>VLOOKUP(Table_Query_from_Actuarial___Production[[#This Row],[Kor1]],$AI$3:$AK$105,3,FALSE)</f>
        <v>Charge-offs</v>
      </c>
      <c r="X7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8"/>
      <c r="Z7148" t="s">
        <v>43</v>
      </c>
      <c r="AA7148" t="s">
        <v>231</v>
      </c>
      <c r="AB7148" t="s">
        <v>433</v>
      </c>
      <c r="AC7148" s="21">
        <v>224.82</v>
      </c>
      <c r="AD7148" s="21" t="s">
        <v>368</v>
      </c>
      <c r="AE7148" t="str">
        <f>VLOOKUP(Table_Query_from_Actuarial___Production3[[#This Row],[Kor1]],$AI$3:$AK$105,3,FALSE)</f>
        <v>Charge-offs</v>
      </c>
      <c r="AF7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49" spans="18:32" x14ac:dyDescent="0.2">
      <c r="R7149" t="s">
        <v>21</v>
      </c>
      <c r="S7149" t="s">
        <v>257</v>
      </c>
      <c r="T7149" t="s">
        <v>8</v>
      </c>
      <c r="U7149" s="21">
        <v>5309.25</v>
      </c>
      <c r="V7149" s="21" t="s">
        <v>368</v>
      </c>
      <c r="W7149" t="str">
        <f>VLOOKUP(Table_Query_from_Actuarial___Production[[#This Row],[Kor1]],$AI$3:$AK$105,3,FALSE)</f>
        <v>Misc. Expense</v>
      </c>
      <c r="X7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49"/>
      <c r="Z7149" t="s">
        <v>21</v>
      </c>
      <c r="AA7149" t="s">
        <v>257</v>
      </c>
      <c r="AB7149" t="s">
        <v>8</v>
      </c>
      <c r="AC7149" s="21">
        <v>5309.25</v>
      </c>
      <c r="AD7149" s="21" t="s">
        <v>368</v>
      </c>
      <c r="AE7149" t="str">
        <f>VLOOKUP(Table_Query_from_Actuarial___Production3[[#This Row],[Kor1]],$AI$3:$AK$105,3,FALSE)</f>
        <v>Misc. Expense</v>
      </c>
      <c r="AF7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0" spans="18:32" x14ac:dyDescent="0.2">
      <c r="R7150" t="s">
        <v>50</v>
      </c>
      <c r="S7150" t="s">
        <v>266</v>
      </c>
      <c r="T7150" t="s">
        <v>433</v>
      </c>
      <c r="U7150" s="21">
        <v>6334.65</v>
      </c>
      <c r="V7150" s="21" t="s">
        <v>368</v>
      </c>
      <c r="W7150" t="str">
        <f>VLOOKUP(Table_Query_from_Actuarial___Production[[#This Row],[Kor1]],$AI$3:$AK$105,3,FALSE)</f>
        <v>ALAE Reserve</v>
      </c>
      <c r="X7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0"/>
      <c r="Z7150" t="s">
        <v>33</v>
      </c>
      <c r="AA7150" t="s">
        <v>241</v>
      </c>
      <c r="AB7150" t="s">
        <v>5</v>
      </c>
      <c r="AC7150" s="21">
        <v>15134.18</v>
      </c>
      <c r="AD7150" s="21" t="s">
        <v>368</v>
      </c>
      <c r="AE7150" t="str">
        <f>VLOOKUP(Table_Query_from_Actuarial___Production3[[#This Row],[Kor1]],$AI$3:$AK$105,3,FALSE)</f>
        <v>Misc. Expense</v>
      </c>
      <c r="AF7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1" spans="18:32" x14ac:dyDescent="0.2">
      <c r="R7151" t="s">
        <v>48</v>
      </c>
      <c r="S7151" t="s">
        <v>224</v>
      </c>
      <c r="T7151" t="s">
        <v>441</v>
      </c>
      <c r="U7151" s="21">
        <v>25.3</v>
      </c>
      <c r="V7151" s="21" t="s">
        <v>425</v>
      </c>
      <c r="W7151" t="str">
        <f>VLOOKUP(Table_Query_from_Actuarial___Production[[#This Row],[Kor1]],$AI$3:$AK$105,3,FALSE)</f>
        <v>Anticipated Salvage</v>
      </c>
      <c r="X7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151"/>
      <c r="Z7151" t="s">
        <v>50</v>
      </c>
      <c r="AA7151" t="s">
        <v>266</v>
      </c>
      <c r="AB7151" t="s">
        <v>433</v>
      </c>
      <c r="AC7151" s="21">
        <v>49487.32</v>
      </c>
      <c r="AD7151" s="21" t="s">
        <v>368</v>
      </c>
      <c r="AE7151" t="str">
        <f>VLOOKUP(Table_Query_from_Actuarial___Production3[[#This Row],[Kor1]],$AI$3:$AK$105,3,FALSE)</f>
        <v>ALAE Reserve</v>
      </c>
      <c r="AF7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2" spans="18:32" x14ac:dyDescent="0.2">
      <c r="R7152" t="s">
        <v>19</v>
      </c>
      <c r="S7152" t="s">
        <v>258</v>
      </c>
      <c r="T7152" t="s">
        <v>351</v>
      </c>
      <c r="U7152" s="21">
        <v>7991.02</v>
      </c>
      <c r="V7152" s="21" t="s">
        <v>368</v>
      </c>
      <c r="W7152" t="str">
        <f>VLOOKUP(Table_Query_from_Actuarial___Production[[#This Row],[Kor1]],$AI$3:$AK$105,3,FALSE)</f>
        <v>Misc. Expense for Insolvent Companies</v>
      </c>
      <c r="X7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2"/>
      <c r="Z7152" t="s">
        <v>48</v>
      </c>
      <c r="AA7152" t="s">
        <v>224</v>
      </c>
      <c r="AB7152" t="s">
        <v>441</v>
      </c>
      <c r="AC7152" s="21">
        <v>28.28</v>
      </c>
      <c r="AD7152" s="21" t="s">
        <v>425</v>
      </c>
      <c r="AE7152" t="str">
        <f>VLOOKUP(Table_Query_from_Actuarial___Production3[[#This Row],[Kor1]],$AI$3:$AK$105,3,FALSE)</f>
        <v>Anticipated Salvage</v>
      </c>
      <c r="AF7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153" spans="18:32" x14ac:dyDescent="0.2">
      <c r="R7153" t="s">
        <v>49</v>
      </c>
      <c r="S7153" t="s">
        <v>236</v>
      </c>
      <c r="T7153" t="s">
        <v>351</v>
      </c>
      <c r="U7153" s="21">
        <v>9598.7800000000007</v>
      </c>
      <c r="V7153" s="21" t="s">
        <v>368</v>
      </c>
      <c r="W7153" t="str">
        <f>VLOOKUP(Table_Query_from_Actuarial___Production[[#This Row],[Kor1]],$AI$3:$AK$105,3,FALSE)</f>
        <v>ALAE Paid</v>
      </c>
      <c r="X7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3"/>
      <c r="Z7153" t="s">
        <v>19</v>
      </c>
      <c r="AA7153" t="s">
        <v>258</v>
      </c>
      <c r="AB7153" t="s">
        <v>351</v>
      </c>
      <c r="AC7153" s="21">
        <v>7991.02</v>
      </c>
      <c r="AD7153" s="21" t="s">
        <v>368</v>
      </c>
      <c r="AE7153" t="str">
        <f>VLOOKUP(Table_Query_from_Actuarial___Production3[[#This Row],[Kor1]],$AI$3:$AK$105,3,FALSE)</f>
        <v>Misc. Expense for Insolvent Companies</v>
      </c>
      <c r="AF7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4" spans="18:32" x14ac:dyDescent="0.2">
      <c r="R7154" t="s">
        <v>10</v>
      </c>
      <c r="S7154" t="s">
        <v>251</v>
      </c>
      <c r="T7154" t="s">
        <v>6</v>
      </c>
      <c r="U7154" s="21">
        <v>3324.45</v>
      </c>
      <c r="V7154" s="21" t="s">
        <v>368</v>
      </c>
      <c r="W7154" t="str">
        <f>VLOOKUP(Table_Query_from_Actuarial___Production[[#This Row],[Kor1]],$AI$3:$AK$105,3,FALSE)</f>
        <v>Commissions</v>
      </c>
      <c r="X7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4"/>
      <c r="Z7154" t="s">
        <v>49</v>
      </c>
      <c r="AA7154" t="s">
        <v>236</v>
      </c>
      <c r="AB7154" t="s">
        <v>351</v>
      </c>
      <c r="AC7154" s="21">
        <v>9598.7800000000007</v>
      </c>
      <c r="AD7154" s="21" t="s">
        <v>368</v>
      </c>
      <c r="AE7154" t="str">
        <f>VLOOKUP(Table_Query_from_Actuarial___Production3[[#This Row],[Kor1]],$AI$3:$AK$105,3,FALSE)</f>
        <v>ALAE Paid</v>
      </c>
      <c r="AF7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5" spans="18:32" x14ac:dyDescent="0.2">
      <c r="R7155" t="s">
        <v>11</v>
      </c>
      <c r="S7155" t="s">
        <v>354</v>
      </c>
      <c r="T7155" t="s">
        <v>351</v>
      </c>
      <c r="U7155" s="21">
        <v>895546441.72000003</v>
      </c>
      <c r="V7155" s="21" t="s">
        <v>369</v>
      </c>
      <c r="W7155" t="str">
        <f>VLOOKUP(Table_Query_from_Actuarial___Production[[#This Row],[Kor1]],$AI$3:$AK$105,3,FALSE)</f>
        <v>Losses Paid</v>
      </c>
      <c r="X7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155"/>
      <c r="Z7155" t="s">
        <v>10</v>
      </c>
      <c r="AA7155" t="s">
        <v>251</v>
      </c>
      <c r="AB7155" t="s">
        <v>6</v>
      </c>
      <c r="AC7155" s="21">
        <v>3324.45</v>
      </c>
      <c r="AD7155" s="21" t="s">
        <v>368</v>
      </c>
      <c r="AE7155" t="str">
        <f>VLOOKUP(Table_Query_from_Actuarial___Production3[[#This Row],[Kor1]],$AI$3:$AK$105,3,FALSE)</f>
        <v>Commissions</v>
      </c>
      <c r="AF7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6" spans="18:32" x14ac:dyDescent="0.2">
      <c r="R7156" t="s">
        <v>3</v>
      </c>
      <c r="S7156" t="s">
        <v>352</v>
      </c>
      <c r="T7156" t="s">
        <v>7</v>
      </c>
      <c r="U7156" s="21">
        <v>14755.34</v>
      </c>
      <c r="V7156" s="21" t="s">
        <v>368</v>
      </c>
      <c r="W7156" t="str">
        <f>VLOOKUP(Table_Query_from_Actuarial___Production[[#This Row],[Kor1]],$AI$3:$AK$105,3,FALSE)</f>
        <v>Premiums Written</v>
      </c>
      <c r="X7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7156"/>
      <c r="Z7156" t="s">
        <v>11</v>
      </c>
      <c r="AA7156" t="s">
        <v>354</v>
      </c>
      <c r="AB7156" t="s">
        <v>351</v>
      </c>
      <c r="AC7156" s="21">
        <v>894563347.32000005</v>
      </c>
      <c r="AD7156" s="21" t="s">
        <v>369</v>
      </c>
      <c r="AE7156" t="str">
        <f>VLOOKUP(Table_Query_from_Actuarial___Production3[[#This Row],[Kor1]],$AI$3:$AK$105,3,FALSE)</f>
        <v>Losses Paid</v>
      </c>
      <c r="AF7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157" spans="18:32" x14ac:dyDescent="0.2">
      <c r="R7157" t="s">
        <v>10</v>
      </c>
      <c r="S7157" t="s">
        <v>244</v>
      </c>
      <c r="T7157" t="s">
        <v>351</v>
      </c>
      <c r="U7157" s="21">
        <v>85301.84</v>
      </c>
      <c r="V7157" s="21" t="s">
        <v>368</v>
      </c>
      <c r="W7157" t="str">
        <f>VLOOKUP(Table_Query_from_Actuarial___Production[[#This Row],[Kor1]],$AI$3:$AK$105,3,FALSE)</f>
        <v>Commissions</v>
      </c>
      <c r="X7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7"/>
      <c r="Z7157" t="s">
        <v>3</v>
      </c>
      <c r="AA7157" t="s">
        <v>352</v>
      </c>
      <c r="AB7157" t="s">
        <v>7</v>
      </c>
      <c r="AC7157" s="21">
        <v>14755.34</v>
      </c>
      <c r="AD7157" s="21" t="s">
        <v>368</v>
      </c>
      <c r="AE7157" t="str">
        <f>VLOOKUP(Table_Query_from_Actuarial___Production3[[#This Row],[Kor1]],$AI$3:$AK$105,3,FALSE)</f>
        <v>Premiums Written</v>
      </c>
      <c r="AF7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7158" spans="18:32" x14ac:dyDescent="0.2">
      <c r="R7158" t="s">
        <v>13</v>
      </c>
      <c r="S7158" t="s">
        <v>249</v>
      </c>
      <c r="T7158" t="s">
        <v>9</v>
      </c>
      <c r="U7158" s="21">
        <v>117008.18</v>
      </c>
      <c r="V7158" s="21" t="s">
        <v>368</v>
      </c>
      <c r="W7158" t="str">
        <f>VLOOKUP(Table_Query_from_Actuarial___Production[[#This Row],[Kor1]],$AI$3:$AK$105,3,FALSE)</f>
        <v>Operating Service Fees</v>
      </c>
      <c r="X7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8"/>
      <c r="Z7158" t="s">
        <v>10</v>
      </c>
      <c r="AA7158" t="s">
        <v>244</v>
      </c>
      <c r="AB7158" t="s">
        <v>351</v>
      </c>
      <c r="AC7158" s="21">
        <v>85301.84</v>
      </c>
      <c r="AD7158" s="21" t="s">
        <v>368</v>
      </c>
      <c r="AE7158" t="str">
        <f>VLOOKUP(Table_Query_from_Actuarial___Production3[[#This Row],[Kor1]],$AI$3:$AK$105,3,FALSE)</f>
        <v>Commissions</v>
      </c>
      <c r="AF7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59" spans="18:32" x14ac:dyDescent="0.2">
      <c r="R7159" t="s">
        <v>43</v>
      </c>
      <c r="S7159" t="s">
        <v>268</v>
      </c>
      <c r="T7159" t="s">
        <v>442</v>
      </c>
      <c r="U7159" s="21">
        <v>29.65</v>
      </c>
      <c r="V7159" s="21" t="s">
        <v>368</v>
      </c>
      <c r="W7159" t="str">
        <f>VLOOKUP(Table_Query_from_Actuarial___Production[[#This Row],[Kor1]],$AI$3:$AK$105,3,FALSE)</f>
        <v>Charge-offs</v>
      </c>
      <c r="X7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59"/>
      <c r="Z7159" t="s">
        <v>13</v>
      </c>
      <c r="AA7159" t="s">
        <v>249</v>
      </c>
      <c r="AB7159" t="s">
        <v>9</v>
      </c>
      <c r="AC7159" s="21">
        <v>117008.18</v>
      </c>
      <c r="AD7159" s="21" t="s">
        <v>368</v>
      </c>
      <c r="AE7159" t="str">
        <f>VLOOKUP(Table_Query_from_Actuarial___Production3[[#This Row],[Kor1]],$AI$3:$AK$105,3,FALSE)</f>
        <v>Operating Service Fees</v>
      </c>
      <c r="AF7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0" spans="18:32" x14ac:dyDescent="0.2">
      <c r="R7160" t="s">
        <v>44</v>
      </c>
      <c r="S7160" t="s">
        <v>268</v>
      </c>
      <c r="T7160" t="s">
        <v>442</v>
      </c>
      <c r="U7160" s="21">
        <v>870</v>
      </c>
      <c r="V7160" s="21" t="s">
        <v>368</v>
      </c>
      <c r="W7160" t="str">
        <f>VLOOKUP(Table_Query_from_Actuarial___Production[[#This Row],[Kor1]],$AI$3:$AK$105,3,FALSE)</f>
        <v>Charge-offs</v>
      </c>
      <c r="X7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0"/>
      <c r="Z7160" t="s">
        <v>43</v>
      </c>
      <c r="AA7160" t="s">
        <v>268</v>
      </c>
      <c r="AB7160" t="s">
        <v>442</v>
      </c>
      <c r="AC7160" s="21">
        <v>3.24</v>
      </c>
      <c r="AD7160" s="21" t="s">
        <v>368</v>
      </c>
      <c r="AE7160" t="str">
        <f>VLOOKUP(Table_Query_from_Actuarial___Production3[[#This Row],[Kor1]],$AI$3:$AK$105,3,FALSE)</f>
        <v>Charge-offs</v>
      </c>
      <c r="AF7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1" spans="18:32" x14ac:dyDescent="0.2">
      <c r="R7161" t="s">
        <v>30</v>
      </c>
      <c r="S7161" t="s">
        <v>259</v>
      </c>
      <c r="T7161" t="s">
        <v>9</v>
      </c>
      <c r="U7161" s="21">
        <v>1360.11</v>
      </c>
      <c r="V7161" s="21" t="s">
        <v>368</v>
      </c>
      <c r="W7161" t="str">
        <f>VLOOKUP(Table_Query_from_Actuarial___Production[[#This Row],[Kor1]],$AI$3:$AK$105,3,FALSE)</f>
        <v>Misc. Expense</v>
      </c>
      <c r="X7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1"/>
      <c r="Z7161" t="s">
        <v>30</v>
      </c>
      <c r="AA7161" t="s">
        <v>259</v>
      </c>
      <c r="AB7161" t="s">
        <v>9</v>
      </c>
      <c r="AC7161" s="21">
        <v>1360.11</v>
      </c>
      <c r="AD7161" s="21" t="s">
        <v>368</v>
      </c>
      <c r="AE7161" t="str">
        <f>VLOOKUP(Table_Query_from_Actuarial___Production3[[#This Row],[Kor1]],$AI$3:$AK$105,3,FALSE)</f>
        <v>Misc. Expense</v>
      </c>
      <c r="AF7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2" spans="18:32" x14ac:dyDescent="0.2">
      <c r="R7162" t="s">
        <v>39</v>
      </c>
      <c r="S7162" t="s">
        <v>262</v>
      </c>
      <c r="T7162" t="s">
        <v>351</v>
      </c>
      <c r="U7162" s="21">
        <v>1500.02</v>
      </c>
      <c r="V7162" s="21" t="s">
        <v>368</v>
      </c>
      <c r="W7162" t="str">
        <f>VLOOKUP(Table_Query_from_Actuarial___Production[[#This Row],[Kor1]],$AI$3:$AK$105,3,FALSE)</f>
        <v>Misc. Income for Insolvent Companies</v>
      </c>
      <c r="X7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2"/>
      <c r="Z7162" t="s">
        <v>33</v>
      </c>
      <c r="AA7162" t="s">
        <v>233</v>
      </c>
      <c r="AB7162" t="s">
        <v>5</v>
      </c>
      <c r="AC7162" s="21">
        <v>14654.56</v>
      </c>
      <c r="AD7162" s="21" t="s">
        <v>368</v>
      </c>
      <c r="AE7162" t="str">
        <f>VLOOKUP(Table_Query_from_Actuarial___Production3[[#This Row],[Kor1]],$AI$3:$AK$105,3,FALSE)</f>
        <v>Misc. Expense</v>
      </c>
      <c r="AF7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3" spans="18:32" x14ac:dyDescent="0.2">
      <c r="R7163" t="s">
        <v>44</v>
      </c>
      <c r="S7163" t="s">
        <v>257</v>
      </c>
      <c r="T7163" t="s">
        <v>356</v>
      </c>
      <c r="U7163" s="21">
        <v>3574</v>
      </c>
      <c r="V7163" s="21" t="s">
        <v>368</v>
      </c>
      <c r="W7163" t="str">
        <f>VLOOKUP(Table_Query_from_Actuarial___Production[[#This Row],[Kor1]],$AI$3:$AK$105,3,FALSE)</f>
        <v>Charge-offs</v>
      </c>
      <c r="X7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3"/>
      <c r="Z7163" t="s">
        <v>39</v>
      </c>
      <c r="AA7163" t="s">
        <v>262</v>
      </c>
      <c r="AB7163" t="s">
        <v>351</v>
      </c>
      <c r="AC7163" s="21">
        <v>1500.02</v>
      </c>
      <c r="AD7163" s="21" t="s">
        <v>368</v>
      </c>
      <c r="AE7163" t="str">
        <f>VLOOKUP(Table_Query_from_Actuarial___Production3[[#This Row],[Kor1]],$AI$3:$AK$105,3,FALSE)</f>
        <v>Misc. Income for Insolvent Companies</v>
      </c>
      <c r="AF7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4" spans="18:32" x14ac:dyDescent="0.2">
      <c r="R7164" t="s">
        <v>50</v>
      </c>
      <c r="S7164" t="s">
        <v>253</v>
      </c>
      <c r="T7164" t="s">
        <v>442</v>
      </c>
      <c r="U7164" s="21">
        <v>60.85</v>
      </c>
      <c r="V7164" s="21" t="s">
        <v>368</v>
      </c>
      <c r="W7164" t="str">
        <f>VLOOKUP(Table_Query_from_Actuarial___Production[[#This Row],[Kor1]],$AI$3:$AK$105,3,FALSE)</f>
        <v>ALAE Reserve</v>
      </c>
      <c r="X7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4"/>
      <c r="Z7164" t="s">
        <v>44</v>
      </c>
      <c r="AA7164" t="s">
        <v>257</v>
      </c>
      <c r="AB7164" t="s">
        <v>356</v>
      </c>
      <c r="AC7164" s="21">
        <v>3574</v>
      </c>
      <c r="AD7164" s="21" t="s">
        <v>368</v>
      </c>
      <c r="AE7164" t="str">
        <f>VLOOKUP(Table_Query_from_Actuarial___Production3[[#This Row],[Kor1]],$AI$3:$AK$105,3,FALSE)</f>
        <v>Charge-offs</v>
      </c>
      <c r="AF7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5" spans="18:32" x14ac:dyDescent="0.2">
      <c r="R7165" t="s">
        <v>39</v>
      </c>
      <c r="S7165" t="s">
        <v>229</v>
      </c>
      <c r="T7165" t="s">
        <v>356</v>
      </c>
      <c r="U7165" s="21">
        <v>8</v>
      </c>
      <c r="V7165" s="21" t="s">
        <v>368</v>
      </c>
      <c r="W7165" t="str">
        <f>VLOOKUP(Table_Query_from_Actuarial___Production[[#This Row],[Kor1]],$AI$3:$AK$105,3,FALSE)</f>
        <v>Misc. Income for Insolvent Companies</v>
      </c>
      <c r="X7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5"/>
      <c r="Z7165" t="s">
        <v>50</v>
      </c>
      <c r="AA7165" t="s">
        <v>253</v>
      </c>
      <c r="AB7165" t="s">
        <v>442</v>
      </c>
      <c r="AC7165" s="21">
        <v>35.020000000000003</v>
      </c>
      <c r="AD7165" s="21" t="s">
        <v>368</v>
      </c>
      <c r="AE7165" t="str">
        <f>VLOOKUP(Table_Query_from_Actuarial___Production3[[#This Row],[Kor1]],$AI$3:$AK$105,3,FALSE)</f>
        <v>ALAE Reserve</v>
      </c>
      <c r="AF7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6" spans="18:32" x14ac:dyDescent="0.2">
      <c r="R7166" t="s">
        <v>31</v>
      </c>
      <c r="S7166" t="s">
        <v>258</v>
      </c>
      <c r="T7166" t="s">
        <v>445</v>
      </c>
      <c r="U7166" s="21">
        <v>1075.4000000000001</v>
      </c>
      <c r="V7166" s="21" t="s">
        <v>368</v>
      </c>
      <c r="W7166" t="str">
        <f>VLOOKUP(Table_Query_from_Actuarial___Production[[#This Row],[Kor1]],$AI$3:$AK$105,3,FALSE)</f>
        <v>Misc. Expense</v>
      </c>
      <c r="X7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6"/>
      <c r="Z7166" t="s">
        <v>41</v>
      </c>
      <c r="AA7166" t="s">
        <v>231</v>
      </c>
      <c r="AB7166" t="s">
        <v>427</v>
      </c>
      <c r="AC7166" s="21">
        <v>100</v>
      </c>
      <c r="AD7166" s="21" t="s">
        <v>368</v>
      </c>
      <c r="AE7166" t="str">
        <f>VLOOKUP(Table_Query_from_Actuarial___Production3[[#This Row],[Kor1]],$AI$3:$AK$105,3,FALSE)</f>
        <v>Misc. Income</v>
      </c>
      <c r="AF7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7" spans="18:32" x14ac:dyDescent="0.2">
      <c r="R7167" t="s">
        <v>41</v>
      </c>
      <c r="S7167" t="s">
        <v>231</v>
      </c>
      <c r="T7167" t="s">
        <v>427</v>
      </c>
      <c r="U7167" s="21">
        <v>100</v>
      </c>
      <c r="V7167" s="21" t="s">
        <v>368</v>
      </c>
      <c r="W7167" t="str">
        <f>VLOOKUP(Table_Query_from_Actuarial___Production[[#This Row],[Kor1]],$AI$3:$AK$105,3,FALSE)</f>
        <v>Misc. Income</v>
      </c>
      <c r="X7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7"/>
      <c r="Z7167" t="s">
        <v>46</v>
      </c>
      <c r="AA7167" t="s">
        <v>224</v>
      </c>
      <c r="AB7167" t="s">
        <v>443</v>
      </c>
      <c r="AC7167" s="21">
        <v>17692.349999999999</v>
      </c>
      <c r="AD7167" s="21" t="s">
        <v>370</v>
      </c>
      <c r="AE7167" t="str">
        <f>VLOOKUP(Table_Query_from_Actuarial___Production3[[#This Row],[Kor1]],$AI$3:$AK$105,3,FALSE)</f>
        <v>Investment Income</v>
      </c>
      <c r="AF7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168" spans="18:32" x14ac:dyDescent="0.2">
      <c r="R7168" t="s">
        <v>46</v>
      </c>
      <c r="S7168" t="s">
        <v>224</v>
      </c>
      <c r="T7168" t="s">
        <v>443</v>
      </c>
      <c r="U7168" s="21">
        <v>37551.5</v>
      </c>
      <c r="V7168" s="21" t="s">
        <v>370</v>
      </c>
      <c r="W7168" t="str">
        <f>VLOOKUP(Table_Query_from_Actuarial___Production[[#This Row],[Kor1]],$AI$3:$AK$105,3,FALSE)</f>
        <v>Investment Income</v>
      </c>
      <c r="X7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168"/>
      <c r="Z7168" t="s">
        <v>44</v>
      </c>
      <c r="AA7168" t="s">
        <v>229</v>
      </c>
      <c r="AB7168" t="s">
        <v>433</v>
      </c>
      <c r="AC7168" s="21">
        <v>8559</v>
      </c>
      <c r="AD7168" s="21" t="s">
        <v>368</v>
      </c>
      <c r="AE7168" t="str">
        <f>VLOOKUP(Table_Query_from_Actuarial___Production3[[#This Row],[Kor1]],$AI$3:$AK$105,3,FALSE)</f>
        <v>Charge-offs</v>
      </c>
      <c r="AF7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69" spans="18:32" x14ac:dyDescent="0.2">
      <c r="R7169" t="s">
        <v>44</v>
      </c>
      <c r="S7169" t="s">
        <v>229</v>
      </c>
      <c r="T7169" t="s">
        <v>433</v>
      </c>
      <c r="U7169" s="21">
        <v>8559</v>
      </c>
      <c r="V7169" s="21" t="s">
        <v>368</v>
      </c>
      <c r="W7169" t="str">
        <f>VLOOKUP(Table_Query_from_Actuarial___Production[[#This Row],[Kor1]],$AI$3:$AK$105,3,FALSE)</f>
        <v>Charge-offs</v>
      </c>
      <c r="X7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69"/>
      <c r="Z7169" t="s">
        <v>10</v>
      </c>
      <c r="AA7169" t="s">
        <v>249</v>
      </c>
      <c r="AB7169" t="s">
        <v>443</v>
      </c>
      <c r="AC7169" s="21">
        <v>12435.45</v>
      </c>
      <c r="AD7169" s="21" t="s">
        <v>368</v>
      </c>
      <c r="AE7169" t="str">
        <f>VLOOKUP(Table_Query_from_Actuarial___Production3[[#This Row],[Kor1]],$AI$3:$AK$105,3,FALSE)</f>
        <v>Commissions</v>
      </c>
      <c r="AF7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0" spans="18:32" x14ac:dyDescent="0.2">
      <c r="R7170" t="s">
        <v>10</v>
      </c>
      <c r="S7170" t="s">
        <v>249</v>
      </c>
      <c r="T7170" t="s">
        <v>443</v>
      </c>
      <c r="U7170" s="21">
        <v>51940.74</v>
      </c>
      <c r="V7170" s="21" t="s">
        <v>368</v>
      </c>
      <c r="W7170" t="str">
        <f>VLOOKUP(Table_Query_from_Actuarial___Production[[#This Row],[Kor1]],$AI$3:$AK$105,3,FALSE)</f>
        <v>Commissions</v>
      </c>
      <c r="X7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0"/>
      <c r="Z7170" t="s">
        <v>77</v>
      </c>
      <c r="AA7170" t="s">
        <v>267</v>
      </c>
      <c r="AB7170" t="s">
        <v>443</v>
      </c>
      <c r="AC7170" s="21">
        <v>191638</v>
      </c>
      <c r="AD7170" s="21" t="s">
        <v>368</v>
      </c>
      <c r="AE7170" t="str">
        <f>VLOOKUP(Table_Query_from_Actuarial___Production3[[#This Row],[Kor1]],$AI$3:$AK$105,3,FALSE)</f>
        <v>PDR</v>
      </c>
      <c r="AF7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1" spans="18:32" x14ac:dyDescent="0.2">
      <c r="R7171" t="s">
        <v>77</v>
      </c>
      <c r="S7171" t="s">
        <v>267</v>
      </c>
      <c r="T7171" t="s">
        <v>443</v>
      </c>
      <c r="U7171" s="21">
        <v>71036</v>
      </c>
      <c r="V7171" s="21" t="s">
        <v>368</v>
      </c>
      <c r="W7171" t="str">
        <f>VLOOKUP(Table_Query_from_Actuarial___Production[[#This Row],[Kor1]],$AI$3:$AK$105,3,FALSE)</f>
        <v>PDR</v>
      </c>
      <c r="X7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1"/>
      <c r="Z7171" t="s">
        <v>38</v>
      </c>
      <c r="AA7171" t="s">
        <v>352</v>
      </c>
      <c r="AB7171" t="s">
        <v>7</v>
      </c>
      <c r="AC7171" s="21">
        <v>16672.11</v>
      </c>
      <c r="AD7171" s="21" t="s">
        <v>369</v>
      </c>
      <c r="AE7171" t="str">
        <f>VLOOKUP(Table_Query_from_Actuarial___Production3[[#This Row],[Kor1]],$AI$3:$AK$105,3,FALSE)</f>
        <v>Misc. Income</v>
      </c>
      <c r="AF7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172" spans="18:32" x14ac:dyDescent="0.2">
      <c r="R7172" t="s">
        <v>38</v>
      </c>
      <c r="S7172" t="s">
        <v>352</v>
      </c>
      <c r="T7172" t="s">
        <v>7</v>
      </c>
      <c r="U7172" s="21">
        <v>16672.11</v>
      </c>
      <c r="V7172" s="21" t="s">
        <v>369</v>
      </c>
      <c r="W7172" t="str">
        <f>VLOOKUP(Table_Query_from_Actuarial___Production[[#This Row],[Kor1]],$AI$3:$AK$105,3,FALSE)</f>
        <v>Misc. Income</v>
      </c>
      <c r="X7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172"/>
      <c r="Z7172" t="s">
        <v>43</v>
      </c>
      <c r="AA7172" t="s">
        <v>242</v>
      </c>
      <c r="AB7172" t="s">
        <v>443</v>
      </c>
      <c r="AC7172" s="21">
        <v>-12.04</v>
      </c>
      <c r="AD7172" s="21" t="s">
        <v>368</v>
      </c>
      <c r="AE7172" t="str">
        <f>VLOOKUP(Table_Query_from_Actuarial___Production3[[#This Row],[Kor1]],$AI$3:$AK$105,3,FALSE)</f>
        <v>Charge-offs</v>
      </c>
      <c r="AF7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3" spans="18:32" x14ac:dyDescent="0.2">
      <c r="R7173" t="s">
        <v>43</v>
      </c>
      <c r="S7173" t="s">
        <v>242</v>
      </c>
      <c r="T7173" t="s">
        <v>443</v>
      </c>
      <c r="U7173" s="21">
        <v>-150.46</v>
      </c>
      <c r="V7173" s="21" t="s">
        <v>368</v>
      </c>
      <c r="W7173" t="str">
        <f>VLOOKUP(Table_Query_from_Actuarial___Production[[#This Row],[Kor1]],$AI$3:$AK$105,3,FALSE)</f>
        <v>Charge-offs</v>
      </c>
      <c r="X7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3"/>
      <c r="Z7173" t="s">
        <v>12</v>
      </c>
      <c r="AA7173" t="s">
        <v>253</v>
      </c>
      <c r="AB7173" t="s">
        <v>441</v>
      </c>
      <c r="AC7173" s="21">
        <v>886.4</v>
      </c>
      <c r="AD7173" s="21" t="s">
        <v>368</v>
      </c>
      <c r="AE7173" t="str">
        <f>VLOOKUP(Table_Query_from_Actuarial___Production3[[#This Row],[Kor1]],$AI$3:$AK$105,3,FALSE)</f>
        <v>Premium Tax</v>
      </c>
      <c r="AF7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4" spans="18:32" x14ac:dyDescent="0.2">
      <c r="R7174" t="s">
        <v>12</v>
      </c>
      <c r="S7174" t="s">
        <v>253</v>
      </c>
      <c r="T7174" t="s">
        <v>441</v>
      </c>
      <c r="U7174" s="21">
        <v>886.4</v>
      </c>
      <c r="V7174" s="21" t="s">
        <v>368</v>
      </c>
      <c r="W7174" t="str">
        <f>VLOOKUP(Table_Query_from_Actuarial___Production[[#This Row],[Kor1]],$AI$3:$AK$105,3,FALSE)</f>
        <v>Premium Tax</v>
      </c>
      <c r="X7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4"/>
      <c r="Z7174" t="s">
        <v>39</v>
      </c>
      <c r="AA7174" t="s">
        <v>264</v>
      </c>
      <c r="AB7174" t="s">
        <v>7</v>
      </c>
      <c r="AC7174" s="21">
        <v>1059.99</v>
      </c>
      <c r="AD7174" s="21" t="s">
        <v>368</v>
      </c>
      <c r="AE7174" t="str">
        <f>VLOOKUP(Table_Query_from_Actuarial___Production3[[#This Row],[Kor1]],$AI$3:$AK$105,3,FALSE)</f>
        <v>Misc. Income for Insolvent Companies</v>
      </c>
      <c r="AF7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5" spans="18:32" x14ac:dyDescent="0.2">
      <c r="R7175" t="s">
        <v>39</v>
      </c>
      <c r="S7175" t="s">
        <v>264</v>
      </c>
      <c r="T7175" t="s">
        <v>7</v>
      </c>
      <c r="U7175" s="21">
        <v>1059.99</v>
      </c>
      <c r="V7175" s="21" t="s">
        <v>368</v>
      </c>
      <c r="W7175" t="str">
        <f>VLOOKUP(Table_Query_from_Actuarial___Production[[#This Row],[Kor1]],$AI$3:$AK$105,3,FALSE)</f>
        <v>Misc. Income for Insolvent Companies</v>
      </c>
      <c r="X7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5"/>
      <c r="Z7175" t="s">
        <v>18</v>
      </c>
      <c r="AA7175" t="s">
        <v>224</v>
      </c>
      <c r="AB7175" t="s">
        <v>7</v>
      </c>
      <c r="AC7175" s="21">
        <v>7853.68</v>
      </c>
      <c r="AD7175" s="21" t="s">
        <v>425</v>
      </c>
      <c r="AE7175" t="str">
        <f>VLOOKUP(Table_Query_from_Actuarial___Production3[[#This Row],[Kor1]],$AI$3:$AK$105,3,FALSE)</f>
        <v>Misc. Expense</v>
      </c>
      <c r="AF7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176" spans="18:32" x14ac:dyDescent="0.2">
      <c r="R7176" t="s">
        <v>18</v>
      </c>
      <c r="S7176" t="s">
        <v>224</v>
      </c>
      <c r="T7176" t="s">
        <v>7</v>
      </c>
      <c r="U7176" s="21">
        <v>7853.68</v>
      </c>
      <c r="V7176" s="21" t="s">
        <v>425</v>
      </c>
      <c r="W7176" t="str">
        <f>VLOOKUP(Table_Query_from_Actuarial___Production[[#This Row],[Kor1]],$AI$3:$AK$105,3,FALSE)</f>
        <v>Misc. Expense</v>
      </c>
      <c r="X7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176"/>
      <c r="Z7176" t="s">
        <v>10</v>
      </c>
      <c r="AA7176" t="s">
        <v>247</v>
      </c>
      <c r="AB7176" t="s">
        <v>351</v>
      </c>
      <c r="AC7176" s="21">
        <v>1092.9000000000001</v>
      </c>
      <c r="AD7176" s="21" t="s">
        <v>368</v>
      </c>
      <c r="AE7176" t="str">
        <f>VLOOKUP(Table_Query_from_Actuarial___Production3[[#This Row],[Kor1]],$AI$3:$AK$105,3,FALSE)</f>
        <v>Commissions</v>
      </c>
      <c r="AF7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7" spans="18:32" x14ac:dyDescent="0.2">
      <c r="R7177" t="s">
        <v>10</v>
      </c>
      <c r="S7177" t="s">
        <v>247</v>
      </c>
      <c r="T7177" t="s">
        <v>351</v>
      </c>
      <c r="U7177" s="21">
        <v>1092.9000000000001</v>
      </c>
      <c r="V7177" s="21" t="s">
        <v>368</v>
      </c>
      <c r="W7177" t="str">
        <f>VLOOKUP(Table_Query_from_Actuarial___Production[[#This Row],[Kor1]],$AI$3:$AK$105,3,FALSE)</f>
        <v>Commissions</v>
      </c>
      <c r="X7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7"/>
      <c r="Z7177" t="s">
        <v>33</v>
      </c>
      <c r="AA7177" t="s">
        <v>231</v>
      </c>
      <c r="AB7177" t="s">
        <v>351</v>
      </c>
      <c r="AC7177" s="21">
        <v>16518.3</v>
      </c>
      <c r="AD7177" s="21" t="s">
        <v>368</v>
      </c>
      <c r="AE7177" t="str">
        <f>VLOOKUP(Table_Query_from_Actuarial___Production3[[#This Row],[Kor1]],$AI$3:$AK$105,3,FALSE)</f>
        <v>Misc. Expense</v>
      </c>
      <c r="AF7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8" spans="18:32" x14ac:dyDescent="0.2">
      <c r="R7178" t="s">
        <v>33</v>
      </c>
      <c r="S7178" t="s">
        <v>231</v>
      </c>
      <c r="T7178" t="s">
        <v>351</v>
      </c>
      <c r="U7178" s="21">
        <v>16518.3</v>
      </c>
      <c r="V7178" s="21" t="s">
        <v>368</v>
      </c>
      <c r="W7178" t="str">
        <f>VLOOKUP(Table_Query_from_Actuarial___Production[[#This Row],[Kor1]],$AI$3:$AK$105,3,FALSE)</f>
        <v>Misc. Expense</v>
      </c>
      <c r="X7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8"/>
      <c r="Z7178" t="s">
        <v>16</v>
      </c>
      <c r="AA7178" t="s">
        <v>238</v>
      </c>
      <c r="AB7178" t="s">
        <v>441</v>
      </c>
      <c r="AC7178" s="21">
        <v>2726905.21</v>
      </c>
      <c r="AD7178" s="21" t="s">
        <v>368</v>
      </c>
      <c r="AE7178" t="str">
        <f>VLOOKUP(Table_Query_from_Actuarial___Production3[[#This Row],[Kor1]],$AI$3:$AK$105,3,FALSE)</f>
        <v>Losses Outstanding</v>
      </c>
      <c r="AF7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79" spans="18:32" x14ac:dyDescent="0.2">
      <c r="R7179" t="s">
        <v>16</v>
      </c>
      <c r="S7179" t="s">
        <v>238</v>
      </c>
      <c r="T7179" t="s">
        <v>441</v>
      </c>
      <c r="U7179" s="21">
        <v>2532320.71</v>
      </c>
      <c r="V7179" s="21" t="s">
        <v>368</v>
      </c>
      <c r="W7179" t="str">
        <f>VLOOKUP(Table_Query_from_Actuarial___Production[[#This Row],[Kor1]],$AI$3:$AK$105,3,FALSE)</f>
        <v>Losses Outstanding</v>
      </c>
      <c r="X7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79"/>
      <c r="Z7179" t="s">
        <v>11</v>
      </c>
      <c r="AA7179" t="s">
        <v>226</v>
      </c>
      <c r="AB7179" t="s">
        <v>8</v>
      </c>
      <c r="AC7179" s="21">
        <v>5497187.2800000003</v>
      </c>
      <c r="AD7179" s="21" t="s">
        <v>368</v>
      </c>
      <c r="AE7179" t="str">
        <f>VLOOKUP(Table_Query_from_Actuarial___Production3[[#This Row],[Kor1]],$AI$3:$AK$105,3,FALSE)</f>
        <v>Losses Paid</v>
      </c>
      <c r="AF7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180" spans="18:32" x14ac:dyDescent="0.2">
      <c r="R7180" t="s">
        <v>11</v>
      </c>
      <c r="S7180" t="s">
        <v>226</v>
      </c>
      <c r="T7180" t="s">
        <v>8</v>
      </c>
      <c r="U7180" s="21">
        <v>5549384.1299999999</v>
      </c>
      <c r="V7180" s="21" t="s">
        <v>368</v>
      </c>
      <c r="W7180" t="str">
        <f>VLOOKUP(Table_Query_from_Actuarial___Production[[#This Row],[Kor1]],$AI$3:$AK$105,3,FALSE)</f>
        <v>Losses Paid</v>
      </c>
      <c r="X7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180"/>
      <c r="Z7180" t="s">
        <v>18</v>
      </c>
      <c r="AA7180" t="s">
        <v>225</v>
      </c>
      <c r="AB7180" t="s">
        <v>441</v>
      </c>
      <c r="AC7180" s="21">
        <v>790505.35</v>
      </c>
      <c r="AD7180" s="21" t="s">
        <v>368</v>
      </c>
      <c r="AE7180" t="str">
        <f>VLOOKUP(Table_Query_from_Actuarial___Production3[[#This Row],[Kor1]],$AI$3:$AK$105,3,FALSE)</f>
        <v>Misc. Expense</v>
      </c>
      <c r="AF7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181" spans="18:32" x14ac:dyDescent="0.2">
      <c r="R7181" t="s">
        <v>18</v>
      </c>
      <c r="S7181" t="s">
        <v>225</v>
      </c>
      <c r="T7181" t="s">
        <v>441</v>
      </c>
      <c r="U7181" s="21">
        <v>790505.35</v>
      </c>
      <c r="V7181" s="21" t="s">
        <v>368</v>
      </c>
      <c r="W7181" t="str">
        <f>VLOOKUP(Table_Query_from_Actuarial___Production[[#This Row],[Kor1]],$AI$3:$AK$105,3,FALSE)</f>
        <v>Misc. Expense</v>
      </c>
      <c r="X7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181"/>
      <c r="Z7181" t="s">
        <v>3</v>
      </c>
      <c r="AA7181" t="s">
        <v>230</v>
      </c>
      <c r="AB7181" t="s">
        <v>9</v>
      </c>
      <c r="AC7181" s="21">
        <v>25486562</v>
      </c>
      <c r="AD7181" s="21" t="s">
        <v>368</v>
      </c>
      <c r="AE7181" t="str">
        <f>VLOOKUP(Table_Query_from_Actuarial___Production3[[#This Row],[Kor1]],$AI$3:$AK$105,3,FALSE)</f>
        <v>Premiums Written</v>
      </c>
      <c r="AF7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2" spans="18:32" x14ac:dyDescent="0.2">
      <c r="R7182" t="s">
        <v>3</v>
      </c>
      <c r="S7182" t="s">
        <v>230</v>
      </c>
      <c r="T7182" t="s">
        <v>9</v>
      </c>
      <c r="U7182" s="21">
        <v>25486562</v>
      </c>
      <c r="V7182" s="21" t="s">
        <v>368</v>
      </c>
      <c r="W7182" t="str">
        <f>VLOOKUP(Table_Query_from_Actuarial___Production[[#This Row],[Kor1]],$AI$3:$AK$105,3,FALSE)</f>
        <v>Premiums Written</v>
      </c>
      <c r="X7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2"/>
      <c r="Z7182" t="s">
        <v>41</v>
      </c>
      <c r="AA7182" t="s">
        <v>253</v>
      </c>
      <c r="AB7182" t="s">
        <v>356</v>
      </c>
      <c r="AC7182" s="21">
        <v>150</v>
      </c>
      <c r="AD7182" s="21" t="s">
        <v>368</v>
      </c>
      <c r="AE7182" t="str">
        <f>VLOOKUP(Table_Query_from_Actuarial___Production3[[#This Row],[Kor1]],$AI$3:$AK$105,3,FALSE)</f>
        <v>Misc. Income</v>
      </c>
      <c r="AF7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3" spans="18:32" x14ac:dyDescent="0.2">
      <c r="R7183" t="s">
        <v>41</v>
      </c>
      <c r="S7183" t="s">
        <v>253</v>
      </c>
      <c r="T7183" t="s">
        <v>356</v>
      </c>
      <c r="U7183" s="21">
        <v>150</v>
      </c>
      <c r="V7183" s="21" t="s">
        <v>368</v>
      </c>
      <c r="W7183" t="str">
        <f>VLOOKUP(Table_Query_from_Actuarial___Production[[#This Row],[Kor1]],$AI$3:$AK$105,3,FALSE)</f>
        <v>Misc. Income</v>
      </c>
      <c r="X7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3"/>
      <c r="Z7183" t="s">
        <v>48</v>
      </c>
      <c r="AA7183" t="s">
        <v>246</v>
      </c>
      <c r="AB7183" t="s">
        <v>442</v>
      </c>
      <c r="AC7183" s="21">
        <v>11060.36</v>
      </c>
      <c r="AD7183" s="21" t="s">
        <v>368</v>
      </c>
      <c r="AE7183" t="str">
        <f>VLOOKUP(Table_Query_from_Actuarial___Production3[[#This Row],[Kor1]],$AI$3:$AK$105,3,FALSE)</f>
        <v>Anticipated Salvage</v>
      </c>
      <c r="AF7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4" spans="18:32" x14ac:dyDescent="0.2">
      <c r="R7184" t="s">
        <v>19</v>
      </c>
      <c r="S7184" t="s">
        <v>229</v>
      </c>
      <c r="T7184" t="s">
        <v>443</v>
      </c>
      <c r="U7184" s="21">
        <v>156</v>
      </c>
      <c r="V7184" s="21" t="s">
        <v>368</v>
      </c>
      <c r="W7184" t="str">
        <f>VLOOKUP(Table_Query_from_Actuarial___Production[[#This Row],[Kor1]],$AI$3:$AK$105,3,FALSE)</f>
        <v>Misc. Expense for Insolvent Companies</v>
      </c>
      <c r="X7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4"/>
      <c r="Z7184" t="s">
        <v>33</v>
      </c>
      <c r="AA7184" t="s">
        <v>230</v>
      </c>
      <c r="AB7184" t="s">
        <v>8</v>
      </c>
      <c r="AC7184" s="21">
        <v>28467.48</v>
      </c>
      <c r="AD7184" s="21" t="s">
        <v>368</v>
      </c>
      <c r="AE7184" t="str">
        <f>VLOOKUP(Table_Query_from_Actuarial___Production3[[#This Row],[Kor1]],$AI$3:$AK$105,3,FALSE)</f>
        <v>Misc. Expense</v>
      </c>
      <c r="AF7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5" spans="18:32" x14ac:dyDescent="0.2">
      <c r="R7185" t="s">
        <v>48</v>
      </c>
      <c r="S7185" t="s">
        <v>246</v>
      </c>
      <c r="T7185" t="s">
        <v>442</v>
      </c>
      <c r="U7185" s="21">
        <v>11774.03</v>
      </c>
      <c r="V7185" s="21" t="s">
        <v>368</v>
      </c>
      <c r="W7185" t="str">
        <f>VLOOKUP(Table_Query_from_Actuarial___Production[[#This Row],[Kor1]],$AI$3:$AK$105,3,FALSE)</f>
        <v>Anticipated Salvage</v>
      </c>
      <c r="X7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5"/>
      <c r="Z7185" t="s">
        <v>38</v>
      </c>
      <c r="AA7185" t="s">
        <v>225</v>
      </c>
      <c r="AB7185" t="s">
        <v>441</v>
      </c>
      <c r="AC7185" s="21">
        <v>339810.94</v>
      </c>
      <c r="AD7185" s="21" t="s">
        <v>369</v>
      </c>
      <c r="AE7185" t="str">
        <f>VLOOKUP(Table_Query_from_Actuarial___Production3[[#This Row],[Kor1]],$AI$3:$AK$105,3,FALSE)</f>
        <v>Misc. Income</v>
      </c>
      <c r="AF7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186" spans="18:32" x14ac:dyDescent="0.2">
      <c r="R7186" t="s">
        <v>33</v>
      </c>
      <c r="S7186" t="s">
        <v>230</v>
      </c>
      <c r="T7186" t="s">
        <v>8</v>
      </c>
      <c r="U7186" s="21">
        <v>28467.48</v>
      </c>
      <c r="V7186" s="21" t="s">
        <v>368</v>
      </c>
      <c r="W7186" t="str">
        <f>VLOOKUP(Table_Query_from_Actuarial___Production[[#This Row],[Kor1]],$AI$3:$AK$105,3,FALSE)</f>
        <v>Misc. Expense</v>
      </c>
      <c r="X7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6"/>
      <c r="Z7186" t="s">
        <v>44</v>
      </c>
      <c r="AA7186" t="s">
        <v>233</v>
      </c>
      <c r="AB7186" t="s">
        <v>5</v>
      </c>
      <c r="AC7186" s="21">
        <v>35598.5</v>
      </c>
      <c r="AD7186" s="21" t="s">
        <v>368</v>
      </c>
      <c r="AE7186" t="str">
        <f>VLOOKUP(Table_Query_from_Actuarial___Production3[[#This Row],[Kor1]],$AI$3:$AK$105,3,FALSE)</f>
        <v>Charge-offs</v>
      </c>
      <c r="AF7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7" spans="18:32" x14ac:dyDescent="0.2">
      <c r="R7187" t="s">
        <v>38</v>
      </c>
      <c r="S7187" t="s">
        <v>225</v>
      </c>
      <c r="T7187" t="s">
        <v>441</v>
      </c>
      <c r="U7187" s="21">
        <v>339810.94</v>
      </c>
      <c r="V7187" s="21" t="s">
        <v>369</v>
      </c>
      <c r="W7187" t="str">
        <f>VLOOKUP(Table_Query_from_Actuarial___Production[[#This Row],[Kor1]],$AI$3:$AK$105,3,FALSE)</f>
        <v>Misc. Income</v>
      </c>
      <c r="X7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187"/>
      <c r="Z7187" t="s">
        <v>21</v>
      </c>
      <c r="AA7187" t="s">
        <v>258</v>
      </c>
      <c r="AB7187" t="s">
        <v>5</v>
      </c>
      <c r="AC7187" s="21">
        <v>2688.08</v>
      </c>
      <c r="AD7187" s="21" t="s">
        <v>368</v>
      </c>
      <c r="AE7187" t="str">
        <f>VLOOKUP(Table_Query_from_Actuarial___Production3[[#This Row],[Kor1]],$AI$3:$AK$105,3,FALSE)</f>
        <v>Misc. Expense</v>
      </c>
      <c r="AF7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8" spans="18:32" x14ac:dyDescent="0.2">
      <c r="R7188" t="s">
        <v>40</v>
      </c>
      <c r="S7188" t="s">
        <v>249</v>
      </c>
      <c r="T7188" t="s">
        <v>427</v>
      </c>
      <c r="U7188" s="21">
        <v>9</v>
      </c>
      <c r="V7188" s="21" t="s">
        <v>368</v>
      </c>
      <c r="W7188" t="str">
        <f>VLOOKUP(Table_Query_from_Actuarial___Production[[#This Row],[Kor1]],$AI$3:$AK$105,3,FALSE)</f>
        <v>Misc. Income</v>
      </c>
      <c r="X7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88"/>
      <c r="Z7188" t="s">
        <v>40</v>
      </c>
      <c r="AA7188" t="s">
        <v>249</v>
      </c>
      <c r="AB7188" t="s">
        <v>427</v>
      </c>
      <c r="AC7188" s="21">
        <v>9</v>
      </c>
      <c r="AD7188" s="21" t="s">
        <v>368</v>
      </c>
      <c r="AE7188" t="str">
        <f>VLOOKUP(Table_Query_from_Actuarial___Production3[[#This Row],[Kor1]],$AI$3:$AK$105,3,FALSE)</f>
        <v>Misc. Income</v>
      </c>
      <c r="AF7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89" spans="18:32" x14ac:dyDescent="0.2">
      <c r="R7189" t="s">
        <v>16</v>
      </c>
      <c r="S7189" t="s">
        <v>224</v>
      </c>
      <c r="T7189" t="s">
        <v>445</v>
      </c>
      <c r="U7189" s="21">
        <v>59241.98</v>
      </c>
      <c r="V7189" s="21" t="s">
        <v>370</v>
      </c>
      <c r="W7189" t="str">
        <f>VLOOKUP(Table_Query_from_Actuarial___Production[[#This Row],[Kor1]],$AI$3:$AK$105,3,FALSE)</f>
        <v>Losses Outstanding</v>
      </c>
      <c r="X7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189"/>
      <c r="Z7189" t="s">
        <v>47</v>
      </c>
      <c r="AA7189" t="s">
        <v>265</v>
      </c>
      <c r="AB7189" t="s">
        <v>5</v>
      </c>
      <c r="AC7189" s="21">
        <v>1.88</v>
      </c>
      <c r="AD7189" s="21" t="s">
        <v>368</v>
      </c>
      <c r="AE7189" t="str">
        <f>VLOOKUP(Table_Query_from_Actuarial___Production3[[#This Row],[Kor1]],$AI$3:$AK$105,3,FALSE)</f>
        <v>Investment Income</v>
      </c>
      <c r="AF7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0" spans="18:32" x14ac:dyDescent="0.2">
      <c r="R7190" t="s">
        <v>49</v>
      </c>
      <c r="S7190" t="s">
        <v>252</v>
      </c>
      <c r="T7190" t="s">
        <v>8</v>
      </c>
      <c r="U7190" s="21">
        <v>1767509.33</v>
      </c>
      <c r="V7190" s="21" t="s">
        <v>368</v>
      </c>
      <c r="W7190" t="str">
        <f>VLOOKUP(Table_Query_from_Actuarial___Production[[#This Row],[Kor1]],$AI$3:$AK$105,3,FALSE)</f>
        <v>ALAE Paid</v>
      </c>
      <c r="X7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0"/>
      <c r="Z7190" t="s">
        <v>49</v>
      </c>
      <c r="AA7190" t="s">
        <v>252</v>
      </c>
      <c r="AB7190" t="s">
        <v>8</v>
      </c>
      <c r="AC7190" s="21">
        <v>1765814.33</v>
      </c>
      <c r="AD7190" s="21" t="s">
        <v>368</v>
      </c>
      <c r="AE7190" t="str">
        <f>VLOOKUP(Table_Query_from_Actuarial___Production3[[#This Row],[Kor1]],$AI$3:$AK$105,3,FALSE)</f>
        <v>ALAE Paid</v>
      </c>
      <c r="AF7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1" spans="18:32" x14ac:dyDescent="0.2">
      <c r="R7191" t="s">
        <v>41</v>
      </c>
      <c r="S7191" t="s">
        <v>244</v>
      </c>
      <c r="T7191" t="s">
        <v>9</v>
      </c>
      <c r="U7191" s="21">
        <v>899.99</v>
      </c>
      <c r="V7191" s="21" t="s">
        <v>368</v>
      </c>
      <c r="W7191" t="str">
        <f>VLOOKUP(Table_Query_from_Actuarial___Production[[#This Row],[Kor1]],$AI$3:$AK$105,3,FALSE)</f>
        <v>Misc. Income</v>
      </c>
      <c r="X7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1"/>
      <c r="Z7191" t="s">
        <v>41</v>
      </c>
      <c r="AA7191" t="s">
        <v>244</v>
      </c>
      <c r="AB7191" t="s">
        <v>9</v>
      </c>
      <c r="AC7191" s="21">
        <v>899.99</v>
      </c>
      <c r="AD7191" s="21" t="s">
        <v>368</v>
      </c>
      <c r="AE7191" t="str">
        <f>VLOOKUP(Table_Query_from_Actuarial___Production3[[#This Row],[Kor1]],$AI$3:$AK$105,3,FALSE)</f>
        <v>Misc. Income</v>
      </c>
      <c r="AF7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2" spans="18:32" x14ac:dyDescent="0.2">
      <c r="R7192" t="s">
        <v>43</v>
      </c>
      <c r="S7192" t="s">
        <v>257</v>
      </c>
      <c r="T7192" t="s">
        <v>356</v>
      </c>
      <c r="U7192" s="21">
        <v>2279.14</v>
      </c>
      <c r="V7192" s="21" t="s">
        <v>368</v>
      </c>
      <c r="W7192" t="str">
        <f>VLOOKUP(Table_Query_from_Actuarial___Production[[#This Row],[Kor1]],$AI$3:$AK$105,3,FALSE)</f>
        <v>Charge-offs</v>
      </c>
      <c r="X7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2"/>
      <c r="Z7192" t="s">
        <v>43</v>
      </c>
      <c r="AA7192" t="s">
        <v>257</v>
      </c>
      <c r="AB7192" t="s">
        <v>356</v>
      </c>
      <c r="AC7192" s="21">
        <v>2279.14</v>
      </c>
      <c r="AD7192" s="21" t="s">
        <v>368</v>
      </c>
      <c r="AE7192" t="str">
        <f>VLOOKUP(Table_Query_from_Actuarial___Production3[[#This Row],[Kor1]],$AI$3:$AK$105,3,FALSE)</f>
        <v>Charge-offs</v>
      </c>
      <c r="AF7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3" spans="18:32" x14ac:dyDescent="0.2">
      <c r="R7193" t="s">
        <v>10</v>
      </c>
      <c r="S7193" t="s">
        <v>252</v>
      </c>
      <c r="T7193" t="s">
        <v>7</v>
      </c>
      <c r="U7193" s="21">
        <v>697970.94</v>
      </c>
      <c r="V7193" s="21" t="s">
        <v>368</v>
      </c>
      <c r="W7193" t="str">
        <f>VLOOKUP(Table_Query_from_Actuarial___Production[[#This Row],[Kor1]],$AI$3:$AK$105,3,FALSE)</f>
        <v>Commissions</v>
      </c>
      <c r="X7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3"/>
      <c r="Z7193" t="s">
        <v>10</v>
      </c>
      <c r="AA7193" t="s">
        <v>252</v>
      </c>
      <c r="AB7193" t="s">
        <v>7</v>
      </c>
      <c r="AC7193" s="21">
        <v>697970.94</v>
      </c>
      <c r="AD7193" s="21" t="s">
        <v>368</v>
      </c>
      <c r="AE7193" t="str">
        <f>VLOOKUP(Table_Query_from_Actuarial___Production3[[#This Row],[Kor1]],$AI$3:$AK$105,3,FALSE)</f>
        <v>Commissions</v>
      </c>
      <c r="AF7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4" spans="18:32" x14ac:dyDescent="0.2">
      <c r="R7194" t="s">
        <v>16</v>
      </c>
      <c r="S7194" t="s">
        <v>233</v>
      </c>
      <c r="T7194" t="s">
        <v>441</v>
      </c>
      <c r="U7194" s="21">
        <v>225361.47</v>
      </c>
      <c r="V7194" s="21" t="s">
        <v>368</v>
      </c>
      <c r="W7194" t="str">
        <f>VLOOKUP(Table_Query_from_Actuarial___Production[[#This Row],[Kor1]],$AI$3:$AK$105,3,FALSE)</f>
        <v>Losses Outstanding</v>
      </c>
      <c r="X7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4"/>
      <c r="Z7194" t="s">
        <v>16</v>
      </c>
      <c r="AA7194" t="s">
        <v>233</v>
      </c>
      <c r="AB7194" t="s">
        <v>441</v>
      </c>
      <c r="AC7194" s="21">
        <v>190059.51</v>
      </c>
      <c r="AD7194" s="21" t="s">
        <v>368</v>
      </c>
      <c r="AE7194" t="str">
        <f>VLOOKUP(Table_Query_from_Actuarial___Production3[[#This Row],[Kor1]],$AI$3:$AK$105,3,FALSE)</f>
        <v>Losses Outstanding</v>
      </c>
      <c r="AF7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5" spans="18:32" x14ac:dyDescent="0.2">
      <c r="R7195" t="s">
        <v>10</v>
      </c>
      <c r="S7195" t="s">
        <v>238</v>
      </c>
      <c r="T7195" t="s">
        <v>441</v>
      </c>
      <c r="U7195" s="21">
        <v>85679.85</v>
      </c>
      <c r="V7195" s="21" t="s">
        <v>368</v>
      </c>
      <c r="W7195" t="str">
        <f>VLOOKUP(Table_Query_from_Actuarial___Production[[#This Row],[Kor1]],$AI$3:$AK$105,3,FALSE)</f>
        <v>Commissions</v>
      </c>
      <c r="X7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5"/>
      <c r="Z7195" t="s">
        <v>10</v>
      </c>
      <c r="AA7195" t="s">
        <v>238</v>
      </c>
      <c r="AB7195" t="s">
        <v>441</v>
      </c>
      <c r="AC7195" s="21">
        <v>85679.85</v>
      </c>
      <c r="AD7195" s="21" t="s">
        <v>368</v>
      </c>
      <c r="AE7195" t="str">
        <f>VLOOKUP(Table_Query_from_Actuarial___Production3[[#This Row],[Kor1]],$AI$3:$AK$105,3,FALSE)</f>
        <v>Commissions</v>
      </c>
      <c r="AF7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6" spans="18:32" x14ac:dyDescent="0.2">
      <c r="R7196" t="s">
        <v>13</v>
      </c>
      <c r="S7196" t="s">
        <v>238</v>
      </c>
      <c r="T7196" t="s">
        <v>9</v>
      </c>
      <c r="U7196" s="21">
        <v>29672.54</v>
      </c>
      <c r="V7196" s="21" t="s">
        <v>368</v>
      </c>
      <c r="W7196" t="str">
        <f>VLOOKUP(Table_Query_from_Actuarial___Production[[#This Row],[Kor1]],$AI$3:$AK$105,3,FALSE)</f>
        <v>Operating Service Fees</v>
      </c>
      <c r="X7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6"/>
      <c r="Z7196" t="s">
        <v>13</v>
      </c>
      <c r="AA7196" t="s">
        <v>238</v>
      </c>
      <c r="AB7196" t="s">
        <v>9</v>
      </c>
      <c r="AC7196" s="21">
        <v>29672.54</v>
      </c>
      <c r="AD7196" s="21" t="s">
        <v>368</v>
      </c>
      <c r="AE7196" t="str">
        <f>VLOOKUP(Table_Query_from_Actuarial___Production3[[#This Row],[Kor1]],$AI$3:$AK$105,3,FALSE)</f>
        <v>Operating Service Fees</v>
      </c>
      <c r="AF7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7" spans="18:32" x14ac:dyDescent="0.2">
      <c r="R7197" t="s">
        <v>21</v>
      </c>
      <c r="S7197" t="s">
        <v>243</v>
      </c>
      <c r="T7197" t="s">
        <v>8</v>
      </c>
      <c r="U7197" s="21">
        <v>742</v>
      </c>
      <c r="V7197" s="21" t="s">
        <v>368</v>
      </c>
      <c r="W7197" t="str">
        <f>VLOOKUP(Table_Query_from_Actuarial___Production[[#This Row],[Kor1]],$AI$3:$AK$105,3,FALSE)</f>
        <v>Misc. Expense</v>
      </c>
      <c r="X7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7"/>
      <c r="Z7197" t="s">
        <v>21</v>
      </c>
      <c r="AA7197" t="s">
        <v>243</v>
      </c>
      <c r="AB7197" t="s">
        <v>8</v>
      </c>
      <c r="AC7197" s="21">
        <v>742</v>
      </c>
      <c r="AD7197" s="21" t="s">
        <v>368</v>
      </c>
      <c r="AE7197" t="str">
        <f>VLOOKUP(Table_Query_from_Actuarial___Production3[[#This Row],[Kor1]],$AI$3:$AK$105,3,FALSE)</f>
        <v>Misc. Expense</v>
      </c>
      <c r="AF7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8" spans="18:32" x14ac:dyDescent="0.2">
      <c r="R7198" t="s">
        <v>29</v>
      </c>
      <c r="S7198" t="s">
        <v>259</v>
      </c>
      <c r="T7198" t="s">
        <v>7</v>
      </c>
      <c r="U7198" s="21">
        <v>480</v>
      </c>
      <c r="V7198" s="21" t="s">
        <v>368</v>
      </c>
      <c r="W7198" t="str">
        <f>VLOOKUP(Table_Query_from_Actuarial___Production[[#This Row],[Kor1]],$AI$3:$AK$105,3,FALSE)</f>
        <v>Misc. Expense</v>
      </c>
      <c r="X7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8"/>
      <c r="Z7198" t="s">
        <v>29</v>
      </c>
      <c r="AA7198" t="s">
        <v>259</v>
      </c>
      <c r="AB7198" t="s">
        <v>7</v>
      </c>
      <c r="AC7198" s="21">
        <v>480</v>
      </c>
      <c r="AD7198" s="21" t="s">
        <v>368</v>
      </c>
      <c r="AE7198" t="str">
        <f>VLOOKUP(Table_Query_from_Actuarial___Production3[[#This Row],[Kor1]],$AI$3:$AK$105,3,FALSE)</f>
        <v>Misc. Expense</v>
      </c>
      <c r="AF7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199" spans="18:32" x14ac:dyDescent="0.2">
      <c r="R7199" t="s">
        <v>37</v>
      </c>
      <c r="S7199" t="s">
        <v>229</v>
      </c>
      <c r="T7199" t="s">
        <v>9</v>
      </c>
      <c r="U7199" s="21">
        <v>64.2</v>
      </c>
      <c r="V7199" s="21" t="s">
        <v>368</v>
      </c>
      <c r="W7199" t="str">
        <f>VLOOKUP(Table_Query_from_Actuarial___Production[[#This Row],[Kor1]],$AI$3:$AK$105,3,FALSE)</f>
        <v>Misc. Expense</v>
      </c>
      <c r="X7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199"/>
      <c r="Z7199" t="s">
        <v>37</v>
      </c>
      <c r="AA7199" t="s">
        <v>229</v>
      </c>
      <c r="AB7199" t="s">
        <v>9</v>
      </c>
      <c r="AC7199" s="21">
        <v>64.2</v>
      </c>
      <c r="AD7199" s="21" t="s">
        <v>368</v>
      </c>
      <c r="AE7199" t="str">
        <f>VLOOKUP(Table_Query_from_Actuarial___Production3[[#This Row],[Kor1]],$AI$3:$AK$105,3,FALSE)</f>
        <v>Misc. Expense</v>
      </c>
      <c r="AF7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0" spans="18:32" x14ac:dyDescent="0.2">
      <c r="R7200" t="s">
        <v>38</v>
      </c>
      <c r="S7200" t="s">
        <v>226</v>
      </c>
      <c r="T7200" t="s">
        <v>443</v>
      </c>
      <c r="U7200" s="21">
        <v>149.94999999999999</v>
      </c>
      <c r="V7200" s="21" t="s">
        <v>368</v>
      </c>
      <c r="W7200" t="str">
        <f>VLOOKUP(Table_Query_from_Actuarial___Production[[#This Row],[Kor1]],$AI$3:$AK$105,3,FALSE)</f>
        <v>Misc. Income</v>
      </c>
      <c r="X7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200"/>
      <c r="Z7200" t="s">
        <v>38</v>
      </c>
      <c r="AA7200" t="s">
        <v>226</v>
      </c>
      <c r="AB7200" t="s">
        <v>443</v>
      </c>
      <c r="AC7200" s="21">
        <v>149.94999999999999</v>
      </c>
      <c r="AD7200" s="21" t="s">
        <v>368</v>
      </c>
      <c r="AE7200" t="str">
        <f>VLOOKUP(Table_Query_from_Actuarial___Production3[[#This Row],[Kor1]],$AI$3:$AK$105,3,FALSE)</f>
        <v>Misc. Income</v>
      </c>
      <c r="AF7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201" spans="18:32" x14ac:dyDescent="0.2">
      <c r="R7201" t="s">
        <v>41</v>
      </c>
      <c r="S7201" t="s">
        <v>231</v>
      </c>
      <c r="T7201" t="s">
        <v>7</v>
      </c>
      <c r="U7201" s="21">
        <v>50</v>
      </c>
      <c r="V7201" s="21" t="s">
        <v>368</v>
      </c>
      <c r="W7201" t="str">
        <f>VLOOKUP(Table_Query_from_Actuarial___Production[[#This Row],[Kor1]],$AI$3:$AK$105,3,FALSE)</f>
        <v>Misc. Income</v>
      </c>
      <c r="X7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1"/>
      <c r="Z7201" t="s">
        <v>41</v>
      </c>
      <c r="AA7201" t="s">
        <v>231</v>
      </c>
      <c r="AB7201" t="s">
        <v>7</v>
      </c>
      <c r="AC7201" s="21">
        <v>50</v>
      </c>
      <c r="AD7201" s="21" t="s">
        <v>368</v>
      </c>
      <c r="AE7201" t="str">
        <f>VLOOKUP(Table_Query_from_Actuarial___Production3[[#This Row],[Kor1]],$AI$3:$AK$105,3,FALSE)</f>
        <v>Misc. Income</v>
      </c>
      <c r="AF7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2" spans="18:32" x14ac:dyDescent="0.2">
      <c r="R7202" t="s">
        <v>41</v>
      </c>
      <c r="S7202" t="s">
        <v>254</v>
      </c>
      <c r="T7202" t="s">
        <v>6</v>
      </c>
      <c r="U7202" s="21">
        <v>500</v>
      </c>
      <c r="V7202" s="21" t="s">
        <v>368</v>
      </c>
      <c r="W7202" t="str">
        <f>VLOOKUP(Table_Query_from_Actuarial___Production[[#This Row],[Kor1]],$AI$3:$AK$105,3,FALSE)</f>
        <v>Misc. Income</v>
      </c>
      <c r="X7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2"/>
      <c r="Z7202" t="s">
        <v>41</v>
      </c>
      <c r="AA7202" t="s">
        <v>254</v>
      </c>
      <c r="AB7202" t="s">
        <v>6</v>
      </c>
      <c r="AC7202" s="21">
        <v>500</v>
      </c>
      <c r="AD7202" s="21" t="s">
        <v>368</v>
      </c>
      <c r="AE7202" t="str">
        <f>VLOOKUP(Table_Query_from_Actuarial___Production3[[#This Row],[Kor1]],$AI$3:$AK$105,3,FALSE)</f>
        <v>Misc. Income</v>
      </c>
      <c r="AF7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3" spans="18:32" x14ac:dyDescent="0.2">
      <c r="R7203" t="s">
        <v>44</v>
      </c>
      <c r="S7203" t="s">
        <v>263</v>
      </c>
      <c r="T7203" t="s">
        <v>433</v>
      </c>
      <c r="U7203" s="21">
        <v>13</v>
      </c>
      <c r="V7203" s="21" t="s">
        <v>368</v>
      </c>
      <c r="W7203" t="str">
        <f>VLOOKUP(Table_Query_from_Actuarial___Production[[#This Row],[Kor1]],$AI$3:$AK$105,3,FALSE)</f>
        <v>Charge-offs</v>
      </c>
      <c r="X7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3"/>
      <c r="Z7203" t="s">
        <v>44</v>
      </c>
      <c r="AA7203" t="s">
        <v>263</v>
      </c>
      <c r="AB7203" t="s">
        <v>433</v>
      </c>
      <c r="AC7203" s="21">
        <v>13</v>
      </c>
      <c r="AD7203" s="21" t="s">
        <v>368</v>
      </c>
      <c r="AE7203" t="str">
        <f>VLOOKUP(Table_Query_from_Actuarial___Production3[[#This Row],[Kor1]],$AI$3:$AK$105,3,FALSE)</f>
        <v>Charge-offs</v>
      </c>
      <c r="AF7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4" spans="18:32" x14ac:dyDescent="0.2">
      <c r="R7204" t="s">
        <v>10</v>
      </c>
      <c r="S7204" t="s">
        <v>225</v>
      </c>
      <c r="T7204" t="s">
        <v>351</v>
      </c>
      <c r="U7204" s="21">
        <v>288819.69</v>
      </c>
      <c r="V7204" s="21" t="s">
        <v>369</v>
      </c>
      <c r="W7204" t="str">
        <f>VLOOKUP(Table_Query_from_Actuarial___Production[[#This Row],[Kor1]],$AI$3:$AK$105,3,FALSE)</f>
        <v>Commissions</v>
      </c>
      <c r="X7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204"/>
      <c r="Z7204" t="s">
        <v>10</v>
      </c>
      <c r="AA7204" t="s">
        <v>225</v>
      </c>
      <c r="AB7204" t="s">
        <v>351</v>
      </c>
      <c r="AC7204" s="21">
        <v>288769.43</v>
      </c>
      <c r="AD7204" s="21" t="s">
        <v>369</v>
      </c>
      <c r="AE7204" t="str">
        <f>VLOOKUP(Table_Query_from_Actuarial___Production3[[#This Row],[Kor1]],$AI$3:$AK$105,3,FALSE)</f>
        <v>Commissions</v>
      </c>
      <c r="AF7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205" spans="18:32" x14ac:dyDescent="0.2">
      <c r="R7205" t="s">
        <v>36</v>
      </c>
      <c r="S7205" t="s">
        <v>230</v>
      </c>
      <c r="T7205" t="s">
        <v>8</v>
      </c>
      <c r="U7205" s="21">
        <v>32586.87</v>
      </c>
      <c r="V7205" s="21" t="s">
        <v>368</v>
      </c>
      <c r="W7205" t="str">
        <f>VLOOKUP(Table_Query_from_Actuarial___Production[[#This Row],[Kor1]],$AI$3:$AK$105,3,FALSE)</f>
        <v>Misc. Expense</v>
      </c>
      <c r="X7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5"/>
      <c r="Z7205" t="s">
        <v>14</v>
      </c>
      <c r="AA7205" t="s">
        <v>254</v>
      </c>
      <c r="AB7205" t="s">
        <v>5</v>
      </c>
      <c r="AC7205" s="21">
        <v>12700.65</v>
      </c>
      <c r="AD7205" s="21" t="s">
        <v>368</v>
      </c>
      <c r="AE7205" t="str">
        <f>VLOOKUP(Table_Query_from_Actuarial___Production3[[#This Row],[Kor1]],$AI$3:$AK$105,3,FALSE)</f>
        <v>Claims Expense</v>
      </c>
      <c r="AF7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6" spans="18:32" x14ac:dyDescent="0.2">
      <c r="R7206" t="s">
        <v>11</v>
      </c>
      <c r="S7206" t="s">
        <v>4</v>
      </c>
      <c r="T7206" t="s">
        <v>441</v>
      </c>
      <c r="U7206" s="21">
        <v>31690316.739999998</v>
      </c>
      <c r="V7206" s="21" t="s">
        <v>368</v>
      </c>
      <c r="W7206" t="str">
        <f>VLOOKUP(Table_Query_from_Actuarial___Production[[#This Row],[Kor1]],$AI$3:$AK$105,3,FALSE)</f>
        <v>Losses Paid</v>
      </c>
      <c r="X7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6"/>
      <c r="Z7206" t="s">
        <v>36</v>
      </c>
      <c r="AA7206" t="s">
        <v>230</v>
      </c>
      <c r="AB7206" t="s">
        <v>8</v>
      </c>
      <c r="AC7206" s="21">
        <v>32586.87</v>
      </c>
      <c r="AD7206" s="21" t="s">
        <v>368</v>
      </c>
      <c r="AE7206" t="str">
        <f>VLOOKUP(Table_Query_from_Actuarial___Production3[[#This Row],[Kor1]],$AI$3:$AK$105,3,FALSE)</f>
        <v>Misc. Expense</v>
      </c>
      <c r="AF7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7" spans="18:32" x14ac:dyDescent="0.2">
      <c r="R7207" t="s">
        <v>11</v>
      </c>
      <c r="S7207" t="s">
        <v>264</v>
      </c>
      <c r="T7207" t="s">
        <v>442</v>
      </c>
      <c r="U7207" s="21">
        <v>876142.79</v>
      </c>
      <c r="V7207" s="21" t="s">
        <v>368</v>
      </c>
      <c r="W7207" t="str">
        <f>VLOOKUP(Table_Query_from_Actuarial___Production[[#This Row],[Kor1]],$AI$3:$AK$105,3,FALSE)</f>
        <v>Losses Paid</v>
      </c>
      <c r="X7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7"/>
      <c r="Z7207" t="s">
        <v>11</v>
      </c>
      <c r="AA7207" t="s">
        <v>4</v>
      </c>
      <c r="AB7207" t="s">
        <v>441</v>
      </c>
      <c r="AC7207" s="21">
        <v>16273352.869999999</v>
      </c>
      <c r="AD7207" s="21" t="s">
        <v>368</v>
      </c>
      <c r="AE7207" t="str">
        <f>VLOOKUP(Table_Query_from_Actuarial___Production3[[#This Row],[Kor1]],$AI$3:$AK$105,3,FALSE)</f>
        <v>Losses Paid</v>
      </c>
      <c r="AF7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8" spans="18:32" x14ac:dyDescent="0.2">
      <c r="R7208" t="s">
        <v>19</v>
      </c>
      <c r="S7208" t="s">
        <v>265</v>
      </c>
      <c r="T7208" t="s">
        <v>433</v>
      </c>
      <c r="U7208" s="21">
        <v>186.04</v>
      </c>
      <c r="V7208" s="21" t="s">
        <v>368</v>
      </c>
      <c r="W7208" t="str">
        <f>VLOOKUP(Table_Query_from_Actuarial___Production[[#This Row],[Kor1]],$AI$3:$AK$105,3,FALSE)</f>
        <v>Misc. Expense for Insolvent Companies</v>
      </c>
      <c r="X7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8"/>
      <c r="Z7208" t="s">
        <v>11</v>
      </c>
      <c r="AA7208" t="s">
        <v>264</v>
      </c>
      <c r="AB7208" t="s">
        <v>442</v>
      </c>
      <c r="AC7208" s="21">
        <v>242720.2</v>
      </c>
      <c r="AD7208" s="21" t="s">
        <v>368</v>
      </c>
      <c r="AE7208" t="str">
        <f>VLOOKUP(Table_Query_from_Actuarial___Production3[[#This Row],[Kor1]],$AI$3:$AK$105,3,FALSE)</f>
        <v>Losses Paid</v>
      </c>
      <c r="AF7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09" spans="18:32" x14ac:dyDescent="0.2">
      <c r="R7209" t="s">
        <v>31</v>
      </c>
      <c r="S7209" t="s">
        <v>261</v>
      </c>
      <c r="T7209" t="s">
        <v>8</v>
      </c>
      <c r="U7209" s="21">
        <v>9489.48</v>
      </c>
      <c r="V7209" s="21" t="s">
        <v>368</v>
      </c>
      <c r="W7209" t="str">
        <f>VLOOKUP(Table_Query_from_Actuarial___Production[[#This Row],[Kor1]],$AI$3:$AK$105,3,FALSE)</f>
        <v>Misc. Expense</v>
      </c>
      <c r="X7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09"/>
      <c r="Z7209" t="s">
        <v>19</v>
      </c>
      <c r="AA7209" t="s">
        <v>265</v>
      </c>
      <c r="AB7209" t="s">
        <v>433</v>
      </c>
      <c r="AC7209" s="21">
        <v>186.04</v>
      </c>
      <c r="AD7209" s="21" t="s">
        <v>368</v>
      </c>
      <c r="AE7209" t="str">
        <f>VLOOKUP(Table_Query_from_Actuarial___Production3[[#This Row],[Kor1]],$AI$3:$AK$105,3,FALSE)</f>
        <v>Misc. Expense for Insolvent Companies</v>
      </c>
      <c r="AF7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0" spans="18:32" x14ac:dyDescent="0.2">
      <c r="R7210" t="s">
        <v>48</v>
      </c>
      <c r="S7210" t="s">
        <v>249</v>
      </c>
      <c r="T7210" t="s">
        <v>433</v>
      </c>
      <c r="U7210" s="21">
        <v>460.87</v>
      </c>
      <c r="V7210" s="21" t="s">
        <v>368</v>
      </c>
      <c r="W7210" t="str">
        <f>VLOOKUP(Table_Query_from_Actuarial___Production[[#This Row],[Kor1]],$AI$3:$AK$105,3,FALSE)</f>
        <v>Anticipated Salvage</v>
      </c>
      <c r="X7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0"/>
      <c r="Z7210" t="s">
        <v>31</v>
      </c>
      <c r="AA7210" t="s">
        <v>261</v>
      </c>
      <c r="AB7210" t="s">
        <v>8</v>
      </c>
      <c r="AC7210" s="21">
        <v>9489.48</v>
      </c>
      <c r="AD7210" s="21" t="s">
        <v>368</v>
      </c>
      <c r="AE7210" t="str">
        <f>VLOOKUP(Table_Query_from_Actuarial___Production3[[#This Row],[Kor1]],$AI$3:$AK$105,3,FALSE)</f>
        <v>Misc. Expense</v>
      </c>
      <c r="AF7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1" spans="18:32" x14ac:dyDescent="0.2">
      <c r="R7211" t="s">
        <v>11</v>
      </c>
      <c r="S7211" t="s">
        <v>267</v>
      </c>
      <c r="T7211" t="s">
        <v>8</v>
      </c>
      <c r="U7211" s="21">
        <v>551174.56000000006</v>
      </c>
      <c r="V7211" s="21" t="s">
        <v>368</v>
      </c>
      <c r="W7211" t="str">
        <f>VLOOKUP(Table_Query_from_Actuarial___Production[[#This Row],[Kor1]],$AI$3:$AK$105,3,FALSE)</f>
        <v>Losses Paid</v>
      </c>
      <c r="X7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1"/>
      <c r="Z7211" t="s">
        <v>48</v>
      </c>
      <c r="AA7211" t="s">
        <v>249</v>
      </c>
      <c r="AB7211" t="s">
        <v>433</v>
      </c>
      <c r="AC7211" s="21">
        <v>381.5</v>
      </c>
      <c r="AD7211" s="21" t="s">
        <v>368</v>
      </c>
      <c r="AE7211" t="str">
        <f>VLOOKUP(Table_Query_from_Actuarial___Production3[[#This Row],[Kor1]],$AI$3:$AK$105,3,FALSE)</f>
        <v>Anticipated Salvage</v>
      </c>
      <c r="AF7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2" spans="18:32" x14ac:dyDescent="0.2">
      <c r="R7212" t="s">
        <v>33</v>
      </c>
      <c r="S7212" t="s">
        <v>261</v>
      </c>
      <c r="T7212" t="s">
        <v>6</v>
      </c>
      <c r="U7212" s="21">
        <v>16092.25</v>
      </c>
      <c r="V7212" s="21" t="s">
        <v>368</v>
      </c>
      <c r="W7212" t="str">
        <f>VLOOKUP(Table_Query_from_Actuarial___Production[[#This Row],[Kor1]],$AI$3:$AK$105,3,FALSE)</f>
        <v>Misc. Expense</v>
      </c>
      <c r="X7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2"/>
      <c r="Z7212" t="s">
        <v>50</v>
      </c>
      <c r="AA7212" t="s">
        <v>245</v>
      </c>
      <c r="AB7212" t="s">
        <v>427</v>
      </c>
      <c r="AC7212" s="21">
        <v>16.399999999999999</v>
      </c>
      <c r="AD7212" s="21" t="s">
        <v>368</v>
      </c>
      <c r="AE7212" t="str">
        <f>VLOOKUP(Table_Query_from_Actuarial___Production3[[#This Row],[Kor1]],$AI$3:$AK$105,3,FALSE)</f>
        <v>ALAE Reserve</v>
      </c>
      <c r="AF7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3" spans="18:32" x14ac:dyDescent="0.2">
      <c r="R7213" t="s">
        <v>10</v>
      </c>
      <c r="S7213" t="s">
        <v>230</v>
      </c>
      <c r="T7213" t="s">
        <v>433</v>
      </c>
      <c r="U7213" s="21">
        <v>1568805.53</v>
      </c>
      <c r="V7213" s="21" t="s">
        <v>368</v>
      </c>
      <c r="W7213" t="str">
        <f>VLOOKUP(Table_Query_from_Actuarial___Production[[#This Row],[Kor1]],$AI$3:$AK$105,3,FALSE)</f>
        <v>Commissions</v>
      </c>
      <c r="X7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3"/>
      <c r="Z7213" t="s">
        <v>11</v>
      </c>
      <c r="AA7213" t="s">
        <v>267</v>
      </c>
      <c r="AB7213" t="s">
        <v>8</v>
      </c>
      <c r="AC7213" s="21">
        <v>551174.56000000006</v>
      </c>
      <c r="AD7213" s="21" t="s">
        <v>368</v>
      </c>
      <c r="AE7213" t="str">
        <f>VLOOKUP(Table_Query_from_Actuarial___Production3[[#This Row],[Kor1]],$AI$3:$AK$105,3,FALSE)</f>
        <v>Losses Paid</v>
      </c>
      <c r="AF7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4" spans="18:32" x14ac:dyDescent="0.2">
      <c r="R7214" t="s">
        <v>10</v>
      </c>
      <c r="S7214" t="s">
        <v>236</v>
      </c>
      <c r="T7214" t="s">
        <v>6</v>
      </c>
      <c r="U7214" s="21">
        <v>3772.8</v>
      </c>
      <c r="V7214" s="21" t="s">
        <v>368</v>
      </c>
      <c r="W7214" t="str">
        <f>VLOOKUP(Table_Query_from_Actuarial___Production[[#This Row],[Kor1]],$AI$3:$AK$105,3,FALSE)</f>
        <v>Commissions</v>
      </c>
      <c r="X7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4"/>
      <c r="Z7214" t="s">
        <v>33</v>
      </c>
      <c r="AA7214" t="s">
        <v>261</v>
      </c>
      <c r="AB7214" t="s">
        <v>6</v>
      </c>
      <c r="AC7214" s="21">
        <v>16092.25</v>
      </c>
      <c r="AD7214" s="21" t="s">
        <v>368</v>
      </c>
      <c r="AE7214" t="str">
        <f>VLOOKUP(Table_Query_from_Actuarial___Production3[[#This Row],[Kor1]],$AI$3:$AK$105,3,FALSE)</f>
        <v>Misc. Expense</v>
      </c>
      <c r="AF7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5" spans="18:32" x14ac:dyDescent="0.2">
      <c r="R7215" t="s">
        <v>12</v>
      </c>
      <c r="S7215" t="s">
        <v>234</v>
      </c>
      <c r="T7215" t="s">
        <v>9</v>
      </c>
      <c r="U7215" s="21">
        <v>11196.28</v>
      </c>
      <c r="V7215" s="21" t="s">
        <v>368</v>
      </c>
      <c r="W7215" t="str">
        <f>VLOOKUP(Table_Query_from_Actuarial___Production[[#This Row],[Kor1]],$AI$3:$AK$105,3,FALSE)</f>
        <v>Premium Tax</v>
      </c>
      <c r="X7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5"/>
      <c r="Z7215" t="s">
        <v>10</v>
      </c>
      <c r="AA7215" t="s">
        <v>230</v>
      </c>
      <c r="AB7215" t="s">
        <v>433</v>
      </c>
      <c r="AC7215" s="21">
        <v>1568805.53</v>
      </c>
      <c r="AD7215" s="21" t="s">
        <v>368</v>
      </c>
      <c r="AE7215" t="str">
        <f>VLOOKUP(Table_Query_from_Actuarial___Production3[[#This Row],[Kor1]],$AI$3:$AK$105,3,FALSE)</f>
        <v>Commissions</v>
      </c>
      <c r="AF7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6" spans="18:32" x14ac:dyDescent="0.2">
      <c r="R7216" t="s">
        <v>13</v>
      </c>
      <c r="S7216" t="s">
        <v>252</v>
      </c>
      <c r="T7216" t="s">
        <v>9</v>
      </c>
      <c r="U7216" s="21">
        <v>2901462.64</v>
      </c>
      <c r="V7216" s="21" t="s">
        <v>368</v>
      </c>
      <c r="W7216" t="str">
        <f>VLOOKUP(Table_Query_from_Actuarial___Production[[#This Row],[Kor1]],$AI$3:$AK$105,3,FALSE)</f>
        <v>Operating Service Fees</v>
      </c>
      <c r="X7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6"/>
      <c r="Z7216" t="s">
        <v>10</v>
      </c>
      <c r="AA7216" t="s">
        <v>236</v>
      </c>
      <c r="AB7216" t="s">
        <v>6</v>
      </c>
      <c r="AC7216" s="21">
        <v>3772.8</v>
      </c>
      <c r="AD7216" s="21" t="s">
        <v>368</v>
      </c>
      <c r="AE7216" t="str">
        <f>VLOOKUP(Table_Query_from_Actuarial___Production3[[#This Row],[Kor1]],$AI$3:$AK$105,3,FALSE)</f>
        <v>Commissions</v>
      </c>
      <c r="AF7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7" spans="18:32" x14ac:dyDescent="0.2">
      <c r="R7217" t="s">
        <v>10</v>
      </c>
      <c r="S7217" t="s">
        <v>247</v>
      </c>
      <c r="T7217" t="s">
        <v>443</v>
      </c>
      <c r="U7217" s="21">
        <v>334.6</v>
      </c>
      <c r="V7217" s="21" t="s">
        <v>368</v>
      </c>
      <c r="W7217" t="str">
        <f>VLOOKUP(Table_Query_from_Actuarial___Production[[#This Row],[Kor1]],$AI$3:$AK$105,3,FALSE)</f>
        <v>Commissions</v>
      </c>
      <c r="X7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7"/>
      <c r="Z7217" t="s">
        <v>12</v>
      </c>
      <c r="AA7217" t="s">
        <v>234</v>
      </c>
      <c r="AB7217" t="s">
        <v>9</v>
      </c>
      <c r="AC7217" s="21">
        <v>11196.28</v>
      </c>
      <c r="AD7217" s="21" t="s">
        <v>368</v>
      </c>
      <c r="AE7217" t="str">
        <f>VLOOKUP(Table_Query_from_Actuarial___Production3[[#This Row],[Kor1]],$AI$3:$AK$105,3,FALSE)</f>
        <v>Premium Tax</v>
      </c>
      <c r="AF7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8" spans="18:32" x14ac:dyDescent="0.2">
      <c r="R7218" t="s">
        <v>15</v>
      </c>
      <c r="S7218" t="s">
        <v>234</v>
      </c>
      <c r="T7218" t="s">
        <v>445</v>
      </c>
      <c r="U7218" s="21">
        <v>286881.69</v>
      </c>
      <c r="V7218" s="21" t="s">
        <v>368</v>
      </c>
      <c r="W7218" t="str">
        <f>VLOOKUP(Table_Query_from_Actuarial___Production[[#This Row],[Kor1]],$AI$3:$AK$105,3,FALSE)</f>
        <v>Unearned Premiums</v>
      </c>
      <c r="X7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8"/>
      <c r="Z7218" t="s">
        <v>13</v>
      </c>
      <c r="AA7218" t="s">
        <v>252</v>
      </c>
      <c r="AB7218" t="s">
        <v>9</v>
      </c>
      <c r="AC7218" s="21">
        <v>2901462.64</v>
      </c>
      <c r="AD7218" s="21" t="s">
        <v>368</v>
      </c>
      <c r="AE7218" t="str">
        <f>VLOOKUP(Table_Query_from_Actuarial___Production3[[#This Row],[Kor1]],$AI$3:$AK$105,3,FALSE)</f>
        <v>Operating Service Fees</v>
      </c>
      <c r="AF7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19" spans="18:32" x14ac:dyDescent="0.2">
      <c r="R7219" t="s">
        <v>34</v>
      </c>
      <c r="S7219" t="s">
        <v>242</v>
      </c>
      <c r="T7219" t="s">
        <v>443</v>
      </c>
      <c r="U7219" s="21">
        <v>13160.91</v>
      </c>
      <c r="V7219" s="21" t="s">
        <v>368</v>
      </c>
      <c r="W7219" t="str">
        <f>VLOOKUP(Table_Query_from_Actuarial___Production[[#This Row],[Kor1]],$AI$3:$AK$105,3,FALSE)</f>
        <v>Misc. Expense</v>
      </c>
      <c r="X7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19"/>
      <c r="Z7219" t="s">
        <v>11</v>
      </c>
      <c r="AA7219" t="s">
        <v>235</v>
      </c>
      <c r="AB7219" t="s">
        <v>5</v>
      </c>
      <c r="AC7219" s="21">
        <v>168456.25</v>
      </c>
      <c r="AD7219" s="21" t="s">
        <v>368</v>
      </c>
      <c r="AE7219" t="str">
        <f>VLOOKUP(Table_Query_from_Actuarial___Production3[[#This Row],[Kor1]],$AI$3:$AK$105,3,FALSE)</f>
        <v>Losses Paid</v>
      </c>
      <c r="AF7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0" spans="18:32" x14ac:dyDescent="0.2">
      <c r="R7220" t="s">
        <v>37</v>
      </c>
      <c r="S7220" t="s">
        <v>4</v>
      </c>
      <c r="T7220" t="s">
        <v>433</v>
      </c>
      <c r="U7220" s="21">
        <v>34074.28</v>
      </c>
      <c r="V7220" s="21" t="s">
        <v>368</v>
      </c>
      <c r="W7220" t="str">
        <f>VLOOKUP(Table_Query_from_Actuarial___Production[[#This Row],[Kor1]],$AI$3:$AK$105,3,FALSE)</f>
        <v>Misc. Expense</v>
      </c>
      <c r="X7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0"/>
      <c r="Z7220" t="s">
        <v>34</v>
      </c>
      <c r="AA7220" t="s">
        <v>242</v>
      </c>
      <c r="AB7220" t="s">
        <v>443</v>
      </c>
      <c r="AC7220" s="21">
        <v>6285.32</v>
      </c>
      <c r="AD7220" s="21" t="s">
        <v>368</v>
      </c>
      <c r="AE7220" t="str">
        <f>VLOOKUP(Table_Query_from_Actuarial___Production3[[#This Row],[Kor1]],$AI$3:$AK$105,3,FALSE)</f>
        <v>Misc. Expense</v>
      </c>
      <c r="AF7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1" spans="18:32" x14ac:dyDescent="0.2">
      <c r="R7221" t="s">
        <v>39</v>
      </c>
      <c r="S7221" t="s">
        <v>239</v>
      </c>
      <c r="T7221" t="s">
        <v>443</v>
      </c>
      <c r="U7221" s="21">
        <v>421.37</v>
      </c>
      <c r="V7221" s="21" t="s">
        <v>368</v>
      </c>
      <c r="W7221" t="str">
        <f>VLOOKUP(Table_Query_from_Actuarial___Production[[#This Row],[Kor1]],$AI$3:$AK$105,3,FALSE)</f>
        <v>Misc. Income for Insolvent Companies</v>
      </c>
      <c r="X7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1"/>
      <c r="Z7221" t="s">
        <v>37</v>
      </c>
      <c r="AA7221" t="s">
        <v>4</v>
      </c>
      <c r="AB7221" t="s">
        <v>433</v>
      </c>
      <c r="AC7221" s="21">
        <v>34085.11</v>
      </c>
      <c r="AD7221" s="21" t="s">
        <v>368</v>
      </c>
      <c r="AE7221" t="str">
        <f>VLOOKUP(Table_Query_from_Actuarial___Production3[[#This Row],[Kor1]],$AI$3:$AK$105,3,FALSE)</f>
        <v>Misc. Expense</v>
      </c>
      <c r="AF7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2" spans="18:32" x14ac:dyDescent="0.2">
      <c r="R7222" t="s">
        <v>14</v>
      </c>
      <c r="S7222" t="s">
        <v>252</v>
      </c>
      <c r="T7222" t="s">
        <v>6</v>
      </c>
      <c r="U7222" s="21">
        <v>1363535.3</v>
      </c>
      <c r="V7222" s="21" t="s">
        <v>368</v>
      </c>
      <c r="W7222" t="str">
        <f>VLOOKUP(Table_Query_from_Actuarial___Production[[#This Row],[Kor1]],$AI$3:$AK$105,3,FALSE)</f>
        <v>Claims Expense</v>
      </c>
      <c r="X7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2"/>
      <c r="Z7222" t="s">
        <v>39</v>
      </c>
      <c r="AA7222" t="s">
        <v>239</v>
      </c>
      <c r="AB7222" t="s">
        <v>443</v>
      </c>
      <c r="AC7222" s="21">
        <v>421.37</v>
      </c>
      <c r="AD7222" s="21" t="s">
        <v>368</v>
      </c>
      <c r="AE7222" t="str">
        <f>VLOOKUP(Table_Query_from_Actuarial___Production3[[#This Row],[Kor1]],$AI$3:$AK$105,3,FALSE)</f>
        <v>Misc. Income for Insolvent Companies</v>
      </c>
      <c r="AF7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3" spans="18:32" x14ac:dyDescent="0.2">
      <c r="R7223" t="s">
        <v>12</v>
      </c>
      <c r="S7223" t="s">
        <v>260</v>
      </c>
      <c r="T7223" t="s">
        <v>443</v>
      </c>
      <c r="U7223" s="21">
        <v>2629.92</v>
      </c>
      <c r="V7223" s="21" t="s">
        <v>368</v>
      </c>
      <c r="W7223" t="str">
        <f>VLOOKUP(Table_Query_from_Actuarial___Production[[#This Row],[Kor1]],$AI$3:$AK$105,3,FALSE)</f>
        <v>Premium Tax</v>
      </c>
      <c r="X7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3"/>
      <c r="Z7223" t="s">
        <v>14</v>
      </c>
      <c r="AA7223" t="s">
        <v>252</v>
      </c>
      <c r="AB7223" t="s">
        <v>6</v>
      </c>
      <c r="AC7223" s="21">
        <v>1363535.3</v>
      </c>
      <c r="AD7223" s="21" t="s">
        <v>368</v>
      </c>
      <c r="AE7223" t="str">
        <f>VLOOKUP(Table_Query_from_Actuarial___Production3[[#This Row],[Kor1]],$AI$3:$AK$105,3,FALSE)</f>
        <v>Claims Expense</v>
      </c>
      <c r="AF7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4" spans="18:32" x14ac:dyDescent="0.2">
      <c r="R7224" t="s">
        <v>11</v>
      </c>
      <c r="S7224" t="s">
        <v>265</v>
      </c>
      <c r="T7224" t="s">
        <v>441</v>
      </c>
      <c r="U7224" s="21">
        <v>1144539.56</v>
      </c>
      <c r="V7224" s="21" t="s">
        <v>368</v>
      </c>
      <c r="W7224" t="str">
        <f>VLOOKUP(Table_Query_from_Actuarial___Production[[#This Row],[Kor1]],$AI$3:$AK$105,3,FALSE)</f>
        <v>Losses Paid</v>
      </c>
      <c r="X7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4"/>
      <c r="Z7224" t="s">
        <v>12</v>
      </c>
      <c r="AA7224" t="s">
        <v>260</v>
      </c>
      <c r="AB7224" t="s">
        <v>443</v>
      </c>
      <c r="AC7224" s="21">
        <v>1270.51</v>
      </c>
      <c r="AD7224" s="21" t="s">
        <v>368</v>
      </c>
      <c r="AE7224" t="str">
        <f>VLOOKUP(Table_Query_from_Actuarial___Production3[[#This Row],[Kor1]],$AI$3:$AK$105,3,FALSE)</f>
        <v>Premium Tax</v>
      </c>
      <c r="AF7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5" spans="18:32" x14ac:dyDescent="0.2">
      <c r="R7225" t="s">
        <v>24</v>
      </c>
      <c r="S7225" t="s">
        <v>259</v>
      </c>
      <c r="T7225" t="s">
        <v>442</v>
      </c>
      <c r="U7225" s="21">
        <v>59.06</v>
      </c>
      <c r="V7225" s="21" t="s">
        <v>368</v>
      </c>
      <c r="W7225" t="str">
        <f>VLOOKUP(Table_Query_from_Actuarial___Production[[#This Row],[Kor1]],$AI$3:$AK$105,3,FALSE)</f>
        <v>Misc. Expense</v>
      </c>
      <c r="X7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5"/>
      <c r="Z7225" t="s">
        <v>11</v>
      </c>
      <c r="AA7225" t="s">
        <v>265</v>
      </c>
      <c r="AB7225" t="s">
        <v>441</v>
      </c>
      <c r="AC7225" s="21">
        <v>153839.49</v>
      </c>
      <c r="AD7225" s="21" t="s">
        <v>368</v>
      </c>
      <c r="AE7225" t="str">
        <f>VLOOKUP(Table_Query_from_Actuarial___Production3[[#This Row],[Kor1]],$AI$3:$AK$105,3,FALSE)</f>
        <v>Losses Paid</v>
      </c>
      <c r="AF7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6" spans="18:32" x14ac:dyDescent="0.2">
      <c r="R7226" t="s">
        <v>3</v>
      </c>
      <c r="S7226" t="s">
        <v>247</v>
      </c>
      <c r="T7226" t="s">
        <v>433</v>
      </c>
      <c r="U7226" s="21">
        <v>4868</v>
      </c>
      <c r="V7226" s="21" t="s">
        <v>368</v>
      </c>
      <c r="W7226" t="str">
        <f>VLOOKUP(Table_Query_from_Actuarial___Production[[#This Row],[Kor1]],$AI$3:$AK$105,3,FALSE)</f>
        <v>Premiums Written</v>
      </c>
      <c r="X7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6"/>
      <c r="Z7226" t="s">
        <v>24</v>
      </c>
      <c r="AA7226" t="s">
        <v>259</v>
      </c>
      <c r="AB7226" t="s">
        <v>442</v>
      </c>
      <c r="AC7226" s="21">
        <v>59.06</v>
      </c>
      <c r="AD7226" s="21" t="s">
        <v>368</v>
      </c>
      <c r="AE7226" t="str">
        <f>VLOOKUP(Table_Query_from_Actuarial___Production3[[#This Row],[Kor1]],$AI$3:$AK$105,3,FALSE)</f>
        <v>Misc. Expense</v>
      </c>
      <c r="AF7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7" spans="18:32" x14ac:dyDescent="0.2">
      <c r="R7227" t="s">
        <v>21</v>
      </c>
      <c r="S7227" t="s">
        <v>231</v>
      </c>
      <c r="T7227" t="s">
        <v>427</v>
      </c>
      <c r="U7227" s="21">
        <v>2064</v>
      </c>
      <c r="V7227" s="21" t="s">
        <v>368</v>
      </c>
      <c r="W7227" t="str">
        <f>VLOOKUP(Table_Query_from_Actuarial___Production[[#This Row],[Kor1]],$AI$3:$AK$105,3,FALSE)</f>
        <v>Misc. Expense</v>
      </c>
      <c r="X7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7"/>
      <c r="Z7227" t="s">
        <v>3</v>
      </c>
      <c r="AA7227" t="s">
        <v>247</v>
      </c>
      <c r="AB7227" t="s">
        <v>433</v>
      </c>
      <c r="AC7227" s="21">
        <v>4868</v>
      </c>
      <c r="AD7227" s="21" t="s">
        <v>368</v>
      </c>
      <c r="AE7227" t="str">
        <f>VLOOKUP(Table_Query_from_Actuarial___Production3[[#This Row],[Kor1]],$AI$3:$AK$105,3,FALSE)</f>
        <v>Premiums Written</v>
      </c>
      <c r="AF7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8" spans="18:32" x14ac:dyDescent="0.2">
      <c r="R7228" t="s">
        <v>40</v>
      </c>
      <c r="S7228" t="s">
        <v>237</v>
      </c>
      <c r="T7228" t="s">
        <v>8</v>
      </c>
      <c r="U7228" s="21">
        <v>166.05</v>
      </c>
      <c r="V7228" s="21" t="s">
        <v>368</v>
      </c>
      <c r="W7228" t="str">
        <f>VLOOKUP(Table_Query_from_Actuarial___Production[[#This Row],[Kor1]],$AI$3:$AK$105,3,FALSE)</f>
        <v>Misc. Income</v>
      </c>
      <c r="X7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8"/>
      <c r="Z7228" t="s">
        <v>21</v>
      </c>
      <c r="AA7228" t="s">
        <v>231</v>
      </c>
      <c r="AB7228" t="s">
        <v>427</v>
      </c>
      <c r="AC7228" s="21">
        <v>2064</v>
      </c>
      <c r="AD7228" s="21" t="s">
        <v>368</v>
      </c>
      <c r="AE7228" t="str">
        <f>VLOOKUP(Table_Query_from_Actuarial___Production3[[#This Row],[Kor1]],$AI$3:$AK$105,3,FALSE)</f>
        <v>Misc. Expense</v>
      </c>
      <c r="AF7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29" spans="18:32" x14ac:dyDescent="0.2">
      <c r="R7229" t="s">
        <v>439</v>
      </c>
      <c r="S7229" t="s">
        <v>254</v>
      </c>
      <c r="T7229" t="s">
        <v>443</v>
      </c>
      <c r="U7229" s="21">
        <v>-447417.76</v>
      </c>
      <c r="V7229" s="21" t="s">
        <v>368</v>
      </c>
      <c r="W7229" t="str">
        <f>VLOOKUP(Table_Query_from_Actuarial___Production[[#This Row],[Kor1]],$AI$3:$AK$105,3,FALSE)</f>
        <v>Operating Service Fees</v>
      </c>
      <c r="X7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29"/>
      <c r="Z7229" t="s">
        <v>40</v>
      </c>
      <c r="AA7229" t="s">
        <v>237</v>
      </c>
      <c r="AB7229" t="s">
        <v>8</v>
      </c>
      <c r="AC7229" s="21">
        <v>166.05</v>
      </c>
      <c r="AD7229" s="21" t="s">
        <v>368</v>
      </c>
      <c r="AE7229" t="str">
        <f>VLOOKUP(Table_Query_from_Actuarial___Production3[[#This Row],[Kor1]],$AI$3:$AK$105,3,FALSE)</f>
        <v>Misc. Income</v>
      </c>
      <c r="AF7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0" spans="18:32" x14ac:dyDescent="0.2">
      <c r="R7230" t="s">
        <v>14</v>
      </c>
      <c r="S7230" t="s">
        <v>230</v>
      </c>
      <c r="T7230" t="s">
        <v>443</v>
      </c>
      <c r="U7230" s="21">
        <v>726777.65</v>
      </c>
      <c r="V7230" s="21" t="s">
        <v>368</v>
      </c>
      <c r="W7230" t="str">
        <f>VLOOKUP(Table_Query_from_Actuarial___Production[[#This Row],[Kor1]],$AI$3:$AK$105,3,FALSE)</f>
        <v>Claims Expense</v>
      </c>
      <c r="X7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0"/>
      <c r="Z7230" t="s">
        <v>439</v>
      </c>
      <c r="AA7230" t="s">
        <v>254</v>
      </c>
      <c r="AB7230" t="s">
        <v>443</v>
      </c>
      <c r="AC7230" s="21">
        <v>-447417.76</v>
      </c>
      <c r="AD7230" s="21" t="s">
        <v>368</v>
      </c>
      <c r="AE7230" t="str">
        <f>VLOOKUP(Table_Query_from_Actuarial___Production3[[#This Row],[Kor1]],$AI$3:$AK$105,3,FALSE)</f>
        <v>Operating Service Fees</v>
      </c>
      <c r="AF7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1" spans="18:32" x14ac:dyDescent="0.2">
      <c r="R7231" t="s">
        <v>3</v>
      </c>
      <c r="S7231" t="s">
        <v>249</v>
      </c>
      <c r="T7231" t="s">
        <v>351</v>
      </c>
      <c r="U7231" s="21">
        <v>534339</v>
      </c>
      <c r="V7231" s="21" t="s">
        <v>368</v>
      </c>
      <c r="W7231" t="str">
        <f>VLOOKUP(Table_Query_from_Actuarial___Production[[#This Row],[Kor1]],$AI$3:$AK$105,3,FALSE)</f>
        <v>Premiums Written</v>
      </c>
      <c r="X7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1"/>
      <c r="Z7231" t="s">
        <v>14</v>
      </c>
      <c r="AA7231" t="s">
        <v>230</v>
      </c>
      <c r="AB7231" t="s">
        <v>443</v>
      </c>
      <c r="AC7231" s="21">
        <v>85937.71</v>
      </c>
      <c r="AD7231" s="21" t="s">
        <v>368</v>
      </c>
      <c r="AE7231" t="str">
        <f>VLOOKUP(Table_Query_from_Actuarial___Production3[[#This Row],[Kor1]],$AI$3:$AK$105,3,FALSE)</f>
        <v>Claims Expense</v>
      </c>
      <c r="AF7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2" spans="18:32" x14ac:dyDescent="0.2">
      <c r="R7232" t="s">
        <v>12</v>
      </c>
      <c r="S7232" t="s">
        <v>236</v>
      </c>
      <c r="T7232" t="s">
        <v>442</v>
      </c>
      <c r="U7232" s="21">
        <v>270.37</v>
      </c>
      <c r="V7232" s="21" t="s">
        <v>368</v>
      </c>
      <c r="W7232" t="str">
        <f>VLOOKUP(Table_Query_from_Actuarial___Production[[#This Row],[Kor1]],$AI$3:$AK$105,3,FALSE)</f>
        <v>Premium Tax</v>
      </c>
      <c r="X7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2"/>
      <c r="Z7232" t="s">
        <v>3</v>
      </c>
      <c r="AA7232" t="s">
        <v>249</v>
      </c>
      <c r="AB7232" t="s">
        <v>351</v>
      </c>
      <c r="AC7232" s="21">
        <v>534339</v>
      </c>
      <c r="AD7232" s="21" t="s">
        <v>368</v>
      </c>
      <c r="AE7232" t="str">
        <f>VLOOKUP(Table_Query_from_Actuarial___Production3[[#This Row],[Kor1]],$AI$3:$AK$105,3,FALSE)</f>
        <v>Premiums Written</v>
      </c>
      <c r="AF7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3" spans="18:32" x14ac:dyDescent="0.2">
      <c r="R7233" t="s">
        <v>44</v>
      </c>
      <c r="S7233" t="s">
        <v>231</v>
      </c>
      <c r="T7233" t="s">
        <v>356</v>
      </c>
      <c r="U7233" s="21">
        <v>1228.1199999999999</v>
      </c>
      <c r="V7233" s="21" t="s">
        <v>368</v>
      </c>
      <c r="W7233" t="str">
        <f>VLOOKUP(Table_Query_from_Actuarial___Production[[#This Row],[Kor1]],$AI$3:$AK$105,3,FALSE)</f>
        <v>Charge-offs</v>
      </c>
      <c r="X7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3"/>
      <c r="Z7233" t="s">
        <v>12</v>
      </c>
      <c r="AA7233" t="s">
        <v>236</v>
      </c>
      <c r="AB7233" t="s">
        <v>442</v>
      </c>
      <c r="AC7233" s="21">
        <v>2438.4299999999998</v>
      </c>
      <c r="AD7233" s="21" t="s">
        <v>368</v>
      </c>
      <c r="AE7233" t="str">
        <f>VLOOKUP(Table_Query_from_Actuarial___Production3[[#This Row],[Kor1]],$AI$3:$AK$105,3,FALSE)</f>
        <v>Premium Tax</v>
      </c>
      <c r="AF7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4" spans="18:32" x14ac:dyDescent="0.2">
      <c r="R7234" t="s">
        <v>20</v>
      </c>
      <c r="S7234" t="s">
        <v>237</v>
      </c>
      <c r="T7234" t="s">
        <v>442</v>
      </c>
      <c r="U7234" s="21">
        <v>3388.28</v>
      </c>
      <c r="V7234" s="21" t="s">
        <v>368</v>
      </c>
      <c r="W7234" t="str">
        <f>VLOOKUP(Table_Query_from_Actuarial___Production[[#This Row],[Kor1]],$AI$3:$AK$105,3,FALSE)</f>
        <v>Misc. Expense</v>
      </c>
      <c r="X7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4"/>
      <c r="Z7234" t="s">
        <v>14</v>
      </c>
      <c r="AA7234" t="s">
        <v>243</v>
      </c>
      <c r="AB7234" t="s">
        <v>5</v>
      </c>
      <c r="AC7234" s="21">
        <v>14571.61</v>
      </c>
      <c r="AD7234" s="21" t="s">
        <v>368</v>
      </c>
      <c r="AE7234" t="str">
        <f>VLOOKUP(Table_Query_from_Actuarial___Production3[[#This Row],[Kor1]],$AI$3:$AK$105,3,FALSE)</f>
        <v>Claims Expense</v>
      </c>
      <c r="AF7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5" spans="18:32" x14ac:dyDescent="0.2">
      <c r="R7235" t="s">
        <v>43</v>
      </c>
      <c r="S7235" t="s">
        <v>240</v>
      </c>
      <c r="T7235" t="s">
        <v>356</v>
      </c>
      <c r="U7235" s="21">
        <v>791.67</v>
      </c>
      <c r="V7235" s="21" t="s">
        <v>368</v>
      </c>
      <c r="W7235" t="str">
        <f>VLOOKUP(Table_Query_from_Actuarial___Production[[#This Row],[Kor1]],$AI$3:$AK$105,3,FALSE)</f>
        <v>Charge-offs</v>
      </c>
      <c r="X7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5"/>
      <c r="Z7235" t="s">
        <v>44</v>
      </c>
      <c r="AA7235" t="s">
        <v>231</v>
      </c>
      <c r="AB7235" t="s">
        <v>356</v>
      </c>
      <c r="AC7235" s="21">
        <v>1228.1199999999999</v>
      </c>
      <c r="AD7235" s="21" t="s">
        <v>368</v>
      </c>
      <c r="AE7235" t="str">
        <f>VLOOKUP(Table_Query_from_Actuarial___Production3[[#This Row],[Kor1]],$AI$3:$AK$105,3,FALSE)</f>
        <v>Charge-offs</v>
      </c>
      <c r="AF7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6" spans="18:32" x14ac:dyDescent="0.2">
      <c r="R7236" t="s">
        <v>44</v>
      </c>
      <c r="S7236" t="s">
        <v>244</v>
      </c>
      <c r="T7236" t="s">
        <v>9</v>
      </c>
      <c r="U7236" s="21">
        <v>1457.38</v>
      </c>
      <c r="V7236" s="21" t="s">
        <v>368</v>
      </c>
      <c r="W7236" t="str">
        <f>VLOOKUP(Table_Query_from_Actuarial___Production[[#This Row],[Kor1]],$AI$3:$AK$105,3,FALSE)</f>
        <v>Charge-offs</v>
      </c>
      <c r="X7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6"/>
      <c r="Z7236" t="s">
        <v>20</v>
      </c>
      <c r="AA7236" t="s">
        <v>237</v>
      </c>
      <c r="AB7236" t="s">
        <v>442</v>
      </c>
      <c r="AC7236" s="21">
        <v>3388.28</v>
      </c>
      <c r="AD7236" s="21" t="s">
        <v>368</v>
      </c>
      <c r="AE7236" t="str">
        <f>VLOOKUP(Table_Query_from_Actuarial___Production3[[#This Row],[Kor1]],$AI$3:$AK$105,3,FALSE)</f>
        <v>Misc. Expense</v>
      </c>
      <c r="AF7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7" spans="18:32" x14ac:dyDescent="0.2">
      <c r="R7237" t="s">
        <v>44</v>
      </c>
      <c r="S7237" t="s">
        <v>224</v>
      </c>
      <c r="T7237" t="s">
        <v>351</v>
      </c>
      <c r="U7237" s="21">
        <v>705.94</v>
      </c>
      <c r="V7237" s="21" t="s">
        <v>369</v>
      </c>
      <c r="W7237" t="str">
        <f>VLOOKUP(Table_Query_from_Actuarial___Production[[#This Row],[Kor1]],$AI$3:$AK$105,3,FALSE)</f>
        <v>Charge-offs</v>
      </c>
      <c r="X7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237"/>
      <c r="Z7237" t="s">
        <v>43</v>
      </c>
      <c r="AA7237" t="s">
        <v>240</v>
      </c>
      <c r="AB7237" t="s">
        <v>356</v>
      </c>
      <c r="AC7237" s="21">
        <v>791.67</v>
      </c>
      <c r="AD7237" s="21" t="s">
        <v>368</v>
      </c>
      <c r="AE7237" t="str">
        <f>VLOOKUP(Table_Query_from_Actuarial___Production3[[#This Row],[Kor1]],$AI$3:$AK$105,3,FALSE)</f>
        <v>Charge-offs</v>
      </c>
      <c r="AF7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8" spans="18:32" x14ac:dyDescent="0.2">
      <c r="R7238" t="s">
        <v>14</v>
      </c>
      <c r="S7238" t="s">
        <v>260</v>
      </c>
      <c r="T7238" t="s">
        <v>9</v>
      </c>
      <c r="U7238" s="21">
        <v>269.72000000000003</v>
      </c>
      <c r="V7238" s="21" t="s">
        <v>368</v>
      </c>
      <c r="W7238" t="str">
        <f>VLOOKUP(Table_Query_from_Actuarial___Production[[#This Row],[Kor1]],$AI$3:$AK$105,3,FALSE)</f>
        <v>Claims Expense</v>
      </c>
      <c r="X7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8"/>
      <c r="Z7238" t="s">
        <v>44</v>
      </c>
      <c r="AA7238" t="s">
        <v>244</v>
      </c>
      <c r="AB7238" t="s">
        <v>9</v>
      </c>
      <c r="AC7238" s="21">
        <v>1957.38</v>
      </c>
      <c r="AD7238" s="21" t="s">
        <v>368</v>
      </c>
      <c r="AE7238" t="str">
        <f>VLOOKUP(Table_Query_from_Actuarial___Production3[[#This Row],[Kor1]],$AI$3:$AK$105,3,FALSE)</f>
        <v>Charge-offs</v>
      </c>
      <c r="AF7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39" spans="18:32" x14ac:dyDescent="0.2">
      <c r="R7239" t="s">
        <v>37</v>
      </c>
      <c r="S7239" t="s">
        <v>244</v>
      </c>
      <c r="T7239" t="s">
        <v>433</v>
      </c>
      <c r="U7239" s="21">
        <v>-2299.94</v>
      </c>
      <c r="V7239" s="21" t="s">
        <v>368</v>
      </c>
      <c r="W7239" t="str">
        <f>VLOOKUP(Table_Query_from_Actuarial___Production[[#This Row],[Kor1]],$AI$3:$AK$105,3,FALSE)</f>
        <v>Misc. Expense</v>
      </c>
      <c r="X7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39"/>
      <c r="Z7239" t="s">
        <v>44</v>
      </c>
      <c r="AA7239" t="s">
        <v>224</v>
      </c>
      <c r="AB7239" t="s">
        <v>351</v>
      </c>
      <c r="AC7239" s="21">
        <v>705.94</v>
      </c>
      <c r="AD7239" s="21" t="s">
        <v>369</v>
      </c>
      <c r="AE7239" t="str">
        <f>VLOOKUP(Table_Query_from_Actuarial___Production3[[#This Row],[Kor1]],$AI$3:$AK$105,3,FALSE)</f>
        <v>Charge-offs</v>
      </c>
      <c r="AF7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240" spans="18:32" x14ac:dyDescent="0.2">
      <c r="R7240" t="s">
        <v>439</v>
      </c>
      <c r="S7240" t="s">
        <v>236</v>
      </c>
      <c r="T7240" t="s">
        <v>443</v>
      </c>
      <c r="U7240" s="21">
        <v>-967.27</v>
      </c>
      <c r="V7240" s="21" t="s">
        <v>368</v>
      </c>
      <c r="W7240" t="str">
        <f>VLOOKUP(Table_Query_from_Actuarial___Production[[#This Row],[Kor1]],$AI$3:$AK$105,3,FALSE)</f>
        <v>Operating Service Fees</v>
      </c>
      <c r="X7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0"/>
      <c r="Z7240" t="s">
        <v>14</v>
      </c>
      <c r="AA7240" t="s">
        <v>260</v>
      </c>
      <c r="AB7240" t="s">
        <v>9</v>
      </c>
      <c r="AC7240" s="21">
        <v>269.72000000000003</v>
      </c>
      <c r="AD7240" s="21" t="s">
        <v>368</v>
      </c>
      <c r="AE7240" t="str">
        <f>VLOOKUP(Table_Query_from_Actuarial___Production3[[#This Row],[Kor1]],$AI$3:$AK$105,3,FALSE)</f>
        <v>Claims Expense</v>
      </c>
      <c r="AF7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1" spans="18:32" x14ac:dyDescent="0.2">
      <c r="R7241" t="s">
        <v>40</v>
      </c>
      <c r="S7241" t="s">
        <v>245</v>
      </c>
      <c r="T7241" t="s">
        <v>7</v>
      </c>
      <c r="U7241" s="21">
        <v>118</v>
      </c>
      <c r="V7241" s="21" t="s">
        <v>368</v>
      </c>
      <c r="W7241" t="str">
        <f>VLOOKUP(Table_Query_from_Actuarial___Production[[#This Row],[Kor1]],$AI$3:$AK$105,3,FALSE)</f>
        <v>Misc. Income</v>
      </c>
      <c r="X7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1"/>
      <c r="Z7241" t="s">
        <v>37</v>
      </c>
      <c r="AA7241" t="s">
        <v>244</v>
      </c>
      <c r="AB7241" t="s">
        <v>433</v>
      </c>
      <c r="AC7241" s="21">
        <v>-2299.94</v>
      </c>
      <c r="AD7241" s="21" t="s">
        <v>368</v>
      </c>
      <c r="AE7241" t="str">
        <f>VLOOKUP(Table_Query_from_Actuarial___Production3[[#This Row],[Kor1]],$AI$3:$AK$105,3,FALSE)</f>
        <v>Misc. Expense</v>
      </c>
      <c r="AF7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2" spans="18:32" x14ac:dyDescent="0.2">
      <c r="R7242" t="s">
        <v>44</v>
      </c>
      <c r="S7242" t="s">
        <v>241</v>
      </c>
      <c r="T7242" t="s">
        <v>441</v>
      </c>
      <c r="U7242" s="21">
        <v>3961.04</v>
      </c>
      <c r="V7242" s="21" t="s">
        <v>368</v>
      </c>
      <c r="W7242" t="str">
        <f>VLOOKUP(Table_Query_from_Actuarial___Production[[#This Row],[Kor1]],$AI$3:$AK$105,3,FALSE)</f>
        <v>Charge-offs</v>
      </c>
      <c r="X7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2"/>
      <c r="Z7242" t="s">
        <v>439</v>
      </c>
      <c r="AA7242" t="s">
        <v>236</v>
      </c>
      <c r="AB7242" t="s">
        <v>443</v>
      </c>
      <c r="AC7242" s="21">
        <v>-967.27</v>
      </c>
      <c r="AD7242" s="21" t="s">
        <v>368</v>
      </c>
      <c r="AE7242" t="str">
        <f>VLOOKUP(Table_Query_from_Actuarial___Production3[[#This Row],[Kor1]],$AI$3:$AK$105,3,FALSE)</f>
        <v>Operating Service Fees</v>
      </c>
      <c r="AF7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3" spans="18:32" x14ac:dyDescent="0.2">
      <c r="R7243" t="s">
        <v>47</v>
      </c>
      <c r="S7243" t="s">
        <v>261</v>
      </c>
      <c r="T7243" t="s">
        <v>442</v>
      </c>
      <c r="U7243" s="21">
        <v>2302.44</v>
      </c>
      <c r="V7243" s="21" t="s">
        <v>368</v>
      </c>
      <c r="W7243" t="str">
        <f>VLOOKUP(Table_Query_from_Actuarial___Production[[#This Row],[Kor1]],$AI$3:$AK$105,3,FALSE)</f>
        <v>Investment Income</v>
      </c>
      <c r="X7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3"/>
      <c r="Z7243" t="s">
        <v>40</v>
      </c>
      <c r="AA7243" t="s">
        <v>245</v>
      </c>
      <c r="AB7243" t="s">
        <v>7</v>
      </c>
      <c r="AC7243" s="21">
        <v>118</v>
      </c>
      <c r="AD7243" s="21" t="s">
        <v>368</v>
      </c>
      <c r="AE7243" t="str">
        <f>VLOOKUP(Table_Query_from_Actuarial___Production3[[#This Row],[Kor1]],$AI$3:$AK$105,3,FALSE)</f>
        <v>Misc. Income</v>
      </c>
      <c r="AF7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4" spans="18:32" x14ac:dyDescent="0.2">
      <c r="R7244" t="s">
        <v>32</v>
      </c>
      <c r="S7244" t="s">
        <v>256</v>
      </c>
      <c r="T7244" t="s">
        <v>9</v>
      </c>
      <c r="U7244" s="21">
        <v>-4269.93</v>
      </c>
      <c r="V7244" s="21" t="s">
        <v>368</v>
      </c>
      <c r="W7244" t="str">
        <f>VLOOKUP(Table_Query_from_Actuarial___Production[[#This Row],[Kor1]],$AI$3:$AK$105,3,FALSE)</f>
        <v>Misc. Expense</v>
      </c>
      <c r="X7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4"/>
      <c r="Z7244" t="s">
        <v>44</v>
      </c>
      <c r="AA7244" t="s">
        <v>241</v>
      </c>
      <c r="AB7244" t="s">
        <v>441</v>
      </c>
      <c r="AC7244" s="21">
        <v>3961.04</v>
      </c>
      <c r="AD7244" s="21" t="s">
        <v>368</v>
      </c>
      <c r="AE7244" t="str">
        <f>VLOOKUP(Table_Query_from_Actuarial___Production3[[#This Row],[Kor1]],$AI$3:$AK$105,3,FALSE)</f>
        <v>Charge-offs</v>
      </c>
      <c r="AF7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5" spans="18:32" x14ac:dyDescent="0.2">
      <c r="R7245" t="s">
        <v>13</v>
      </c>
      <c r="S7245" t="s">
        <v>253</v>
      </c>
      <c r="T7245" t="s">
        <v>433</v>
      </c>
      <c r="U7245" s="21">
        <v>8984.86</v>
      </c>
      <c r="V7245" s="21" t="s">
        <v>368</v>
      </c>
      <c r="W7245" t="str">
        <f>VLOOKUP(Table_Query_from_Actuarial___Production[[#This Row],[Kor1]],$AI$3:$AK$105,3,FALSE)</f>
        <v>Operating Service Fees</v>
      </c>
      <c r="X7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5"/>
      <c r="Z7245" t="s">
        <v>47</v>
      </c>
      <c r="AA7245" t="s">
        <v>261</v>
      </c>
      <c r="AB7245" t="s">
        <v>442</v>
      </c>
      <c r="AC7245" s="21">
        <v>2302.44</v>
      </c>
      <c r="AD7245" s="21" t="s">
        <v>368</v>
      </c>
      <c r="AE7245" t="str">
        <f>VLOOKUP(Table_Query_from_Actuarial___Production3[[#This Row],[Kor1]],$AI$3:$AK$105,3,FALSE)</f>
        <v>Investment Income</v>
      </c>
      <c r="AF7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6" spans="18:32" x14ac:dyDescent="0.2">
      <c r="R7246" t="s">
        <v>12</v>
      </c>
      <c r="S7246" t="s">
        <v>242</v>
      </c>
      <c r="T7246" t="s">
        <v>9</v>
      </c>
      <c r="U7246" s="21">
        <v>12730.62</v>
      </c>
      <c r="V7246" s="21" t="s">
        <v>368</v>
      </c>
      <c r="W7246" t="str">
        <f>VLOOKUP(Table_Query_from_Actuarial___Production[[#This Row],[Kor1]],$AI$3:$AK$105,3,FALSE)</f>
        <v>Premium Tax</v>
      </c>
      <c r="X7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6"/>
      <c r="Z7246" t="s">
        <v>32</v>
      </c>
      <c r="AA7246" t="s">
        <v>256</v>
      </c>
      <c r="AB7246" t="s">
        <v>9</v>
      </c>
      <c r="AC7246" s="21">
        <v>-4269.93</v>
      </c>
      <c r="AD7246" s="21" t="s">
        <v>368</v>
      </c>
      <c r="AE7246" t="str">
        <f>VLOOKUP(Table_Query_from_Actuarial___Production3[[#This Row],[Kor1]],$AI$3:$AK$105,3,FALSE)</f>
        <v>Misc. Expense</v>
      </c>
      <c r="AF7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7" spans="18:32" x14ac:dyDescent="0.2">
      <c r="R7247" t="s">
        <v>34</v>
      </c>
      <c r="S7247" t="s">
        <v>266</v>
      </c>
      <c r="T7247" t="s">
        <v>6</v>
      </c>
      <c r="U7247" s="21">
        <v>0.18</v>
      </c>
      <c r="V7247" s="21" t="s">
        <v>368</v>
      </c>
      <c r="W7247" t="str">
        <f>VLOOKUP(Table_Query_from_Actuarial___Production[[#This Row],[Kor1]],$AI$3:$AK$105,3,FALSE)</f>
        <v>Misc. Expense</v>
      </c>
      <c r="X7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7"/>
      <c r="Z7247" t="s">
        <v>13</v>
      </c>
      <c r="AA7247" t="s">
        <v>253</v>
      </c>
      <c r="AB7247" t="s">
        <v>433</v>
      </c>
      <c r="AC7247" s="21">
        <v>8984.86</v>
      </c>
      <c r="AD7247" s="21" t="s">
        <v>368</v>
      </c>
      <c r="AE7247" t="str">
        <f>VLOOKUP(Table_Query_from_Actuarial___Production3[[#This Row],[Kor1]],$AI$3:$AK$105,3,FALSE)</f>
        <v>Operating Service Fees</v>
      </c>
      <c r="AF7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8" spans="18:32" x14ac:dyDescent="0.2">
      <c r="R7248" t="s">
        <v>13</v>
      </c>
      <c r="S7248" t="s">
        <v>244</v>
      </c>
      <c r="T7248" t="s">
        <v>427</v>
      </c>
      <c r="U7248" s="21">
        <v>441157.1</v>
      </c>
      <c r="V7248" s="21" t="s">
        <v>368</v>
      </c>
      <c r="W7248" t="str">
        <f>VLOOKUP(Table_Query_from_Actuarial___Production[[#This Row],[Kor1]],$AI$3:$AK$105,3,FALSE)</f>
        <v>Operating Service Fees</v>
      </c>
      <c r="X7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8"/>
      <c r="Z7248" t="s">
        <v>12</v>
      </c>
      <c r="AA7248" t="s">
        <v>242</v>
      </c>
      <c r="AB7248" t="s">
        <v>9</v>
      </c>
      <c r="AC7248" s="21">
        <v>12730.62</v>
      </c>
      <c r="AD7248" s="21" t="s">
        <v>368</v>
      </c>
      <c r="AE7248" t="str">
        <f>VLOOKUP(Table_Query_from_Actuarial___Production3[[#This Row],[Kor1]],$AI$3:$AK$105,3,FALSE)</f>
        <v>Premium Tax</v>
      </c>
      <c r="AF7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49" spans="18:32" x14ac:dyDescent="0.2">
      <c r="R7249" t="s">
        <v>14</v>
      </c>
      <c r="S7249" t="s">
        <v>4</v>
      </c>
      <c r="T7249" t="s">
        <v>351</v>
      </c>
      <c r="U7249" s="21">
        <v>1859504.01</v>
      </c>
      <c r="V7249" s="21" t="s">
        <v>368</v>
      </c>
      <c r="W7249" t="str">
        <f>VLOOKUP(Table_Query_from_Actuarial___Production[[#This Row],[Kor1]],$AI$3:$AK$105,3,FALSE)</f>
        <v>Claims Expense</v>
      </c>
      <c r="X7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49"/>
      <c r="Z7249" t="s">
        <v>34</v>
      </c>
      <c r="AA7249" t="s">
        <v>266</v>
      </c>
      <c r="AB7249" t="s">
        <v>6</v>
      </c>
      <c r="AC7249" s="21">
        <v>0.18</v>
      </c>
      <c r="AD7249" s="21" t="s">
        <v>368</v>
      </c>
      <c r="AE7249" t="str">
        <f>VLOOKUP(Table_Query_from_Actuarial___Production3[[#This Row],[Kor1]],$AI$3:$AK$105,3,FALSE)</f>
        <v>Misc. Expense</v>
      </c>
      <c r="AF7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0" spans="18:32" x14ac:dyDescent="0.2">
      <c r="R7250" t="s">
        <v>39</v>
      </c>
      <c r="S7250" t="s">
        <v>257</v>
      </c>
      <c r="T7250" t="s">
        <v>356</v>
      </c>
      <c r="U7250" s="21">
        <v>20</v>
      </c>
      <c r="V7250" s="21" t="s">
        <v>368</v>
      </c>
      <c r="W7250" t="str">
        <f>VLOOKUP(Table_Query_from_Actuarial___Production[[#This Row],[Kor1]],$AI$3:$AK$105,3,FALSE)</f>
        <v>Misc. Income for Insolvent Companies</v>
      </c>
      <c r="X7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0"/>
      <c r="Z7250" t="s">
        <v>13</v>
      </c>
      <c r="AA7250" t="s">
        <v>244</v>
      </c>
      <c r="AB7250" t="s">
        <v>427</v>
      </c>
      <c r="AC7250" s="21">
        <v>441157.1</v>
      </c>
      <c r="AD7250" s="21" t="s">
        <v>368</v>
      </c>
      <c r="AE7250" t="str">
        <f>VLOOKUP(Table_Query_from_Actuarial___Production3[[#This Row],[Kor1]],$AI$3:$AK$105,3,FALSE)</f>
        <v>Operating Service Fees</v>
      </c>
      <c r="AF7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1" spans="18:32" x14ac:dyDescent="0.2">
      <c r="R7251" t="s">
        <v>12</v>
      </c>
      <c r="S7251" t="s">
        <v>244</v>
      </c>
      <c r="T7251" t="s">
        <v>9</v>
      </c>
      <c r="U7251" s="21">
        <v>23955.72</v>
      </c>
      <c r="V7251" s="21" t="s">
        <v>368</v>
      </c>
      <c r="W7251" t="str">
        <f>VLOOKUP(Table_Query_from_Actuarial___Production[[#This Row],[Kor1]],$AI$3:$AK$105,3,FALSE)</f>
        <v>Premium Tax</v>
      </c>
      <c r="X7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1"/>
      <c r="Z7251" t="s">
        <v>14</v>
      </c>
      <c r="AA7251" t="s">
        <v>4</v>
      </c>
      <c r="AB7251" t="s">
        <v>351</v>
      </c>
      <c r="AC7251" s="21">
        <v>1859504.01</v>
      </c>
      <c r="AD7251" s="21" t="s">
        <v>368</v>
      </c>
      <c r="AE7251" t="str">
        <f>VLOOKUP(Table_Query_from_Actuarial___Production3[[#This Row],[Kor1]],$AI$3:$AK$105,3,FALSE)</f>
        <v>Claims Expense</v>
      </c>
      <c r="AF7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2" spans="18:32" x14ac:dyDescent="0.2">
      <c r="R7252" t="s">
        <v>10</v>
      </c>
      <c r="S7252" t="s">
        <v>225</v>
      </c>
      <c r="T7252" t="s">
        <v>441</v>
      </c>
      <c r="U7252" s="21">
        <v>35447.660000000003</v>
      </c>
      <c r="V7252" s="21" t="s">
        <v>369</v>
      </c>
      <c r="W7252" t="str">
        <f>VLOOKUP(Table_Query_from_Actuarial___Production[[#This Row],[Kor1]],$AI$3:$AK$105,3,FALSE)</f>
        <v>Commissions</v>
      </c>
      <c r="X7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252"/>
      <c r="Z7252" t="s">
        <v>39</v>
      </c>
      <c r="AA7252" t="s">
        <v>257</v>
      </c>
      <c r="AB7252" t="s">
        <v>356</v>
      </c>
      <c r="AC7252" s="21">
        <v>20</v>
      </c>
      <c r="AD7252" s="21" t="s">
        <v>368</v>
      </c>
      <c r="AE7252" t="str">
        <f>VLOOKUP(Table_Query_from_Actuarial___Production3[[#This Row],[Kor1]],$AI$3:$AK$105,3,FALSE)</f>
        <v>Misc. Income for Insolvent Companies</v>
      </c>
      <c r="AF7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3" spans="18:32" x14ac:dyDescent="0.2">
      <c r="R7253" t="s">
        <v>41</v>
      </c>
      <c r="S7253" t="s">
        <v>250</v>
      </c>
      <c r="T7253" t="s">
        <v>9</v>
      </c>
      <c r="U7253" s="21">
        <v>300</v>
      </c>
      <c r="V7253" s="21" t="s">
        <v>368</v>
      </c>
      <c r="W7253" t="str">
        <f>VLOOKUP(Table_Query_from_Actuarial___Production[[#This Row],[Kor1]],$AI$3:$AK$105,3,FALSE)</f>
        <v>Misc. Income</v>
      </c>
      <c r="X7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3"/>
      <c r="Z7253" t="s">
        <v>12</v>
      </c>
      <c r="AA7253" t="s">
        <v>244</v>
      </c>
      <c r="AB7253" t="s">
        <v>9</v>
      </c>
      <c r="AC7253" s="21">
        <v>23955.72</v>
      </c>
      <c r="AD7253" s="21" t="s">
        <v>368</v>
      </c>
      <c r="AE7253" t="str">
        <f>VLOOKUP(Table_Query_from_Actuarial___Production3[[#This Row],[Kor1]],$AI$3:$AK$105,3,FALSE)</f>
        <v>Premium Tax</v>
      </c>
      <c r="AF7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4" spans="18:32" x14ac:dyDescent="0.2">
      <c r="R7254" t="s">
        <v>10</v>
      </c>
      <c r="S7254" t="s">
        <v>252</v>
      </c>
      <c r="T7254" t="s">
        <v>443</v>
      </c>
      <c r="U7254" s="21">
        <v>1924422.8</v>
      </c>
      <c r="V7254" s="21" t="s">
        <v>368</v>
      </c>
      <c r="W7254" t="str">
        <f>VLOOKUP(Table_Query_from_Actuarial___Production[[#This Row],[Kor1]],$AI$3:$AK$105,3,FALSE)</f>
        <v>Commissions</v>
      </c>
      <c r="X7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4"/>
      <c r="Z7254" t="s">
        <v>10</v>
      </c>
      <c r="AA7254" t="s">
        <v>225</v>
      </c>
      <c r="AB7254" t="s">
        <v>441</v>
      </c>
      <c r="AC7254" s="21">
        <v>35317.96</v>
      </c>
      <c r="AD7254" s="21" t="s">
        <v>369</v>
      </c>
      <c r="AE7254" t="str">
        <f>VLOOKUP(Table_Query_from_Actuarial___Production3[[#This Row],[Kor1]],$AI$3:$AK$105,3,FALSE)</f>
        <v>Commissions</v>
      </c>
      <c r="AF7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255" spans="18:32" x14ac:dyDescent="0.2">
      <c r="R7255" t="s">
        <v>31</v>
      </c>
      <c r="S7255" t="s">
        <v>264</v>
      </c>
      <c r="T7255" t="s">
        <v>445</v>
      </c>
      <c r="U7255" s="21">
        <v>1246.71</v>
      </c>
      <c r="V7255" s="21" t="s">
        <v>368</v>
      </c>
      <c r="W7255" t="str">
        <f>VLOOKUP(Table_Query_from_Actuarial___Production[[#This Row],[Kor1]],$AI$3:$AK$105,3,FALSE)</f>
        <v>Misc. Expense</v>
      </c>
      <c r="X7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5"/>
      <c r="Z7255" t="s">
        <v>41</v>
      </c>
      <c r="AA7255" t="s">
        <v>250</v>
      </c>
      <c r="AB7255" t="s">
        <v>9</v>
      </c>
      <c r="AC7255" s="21">
        <v>300</v>
      </c>
      <c r="AD7255" s="21" t="s">
        <v>368</v>
      </c>
      <c r="AE7255" t="str">
        <f>VLOOKUP(Table_Query_from_Actuarial___Production3[[#This Row],[Kor1]],$AI$3:$AK$105,3,FALSE)</f>
        <v>Misc. Income</v>
      </c>
      <c r="AF7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6" spans="18:32" x14ac:dyDescent="0.2">
      <c r="R7256" t="s">
        <v>21</v>
      </c>
      <c r="S7256" t="s">
        <v>258</v>
      </c>
      <c r="T7256" t="s">
        <v>8</v>
      </c>
      <c r="U7256" s="21">
        <v>8365.5</v>
      </c>
      <c r="V7256" s="21" t="s">
        <v>368</v>
      </c>
      <c r="W7256" t="str">
        <f>VLOOKUP(Table_Query_from_Actuarial___Production[[#This Row],[Kor1]],$AI$3:$AK$105,3,FALSE)</f>
        <v>Misc. Expense</v>
      </c>
      <c r="X7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6"/>
      <c r="Z7256" t="s">
        <v>10</v>
      </c>
      <c r="AA7256" t="s">
        <v>252</v>
      </c>
      <c r="AB7256" t="s">
        <v>443</v>
      </c>
      <c r="AC7256" s="21">
        <v>929359.75</v>
      </c>
      <c r="AD7256" s="21" t="s">
        <v>368</v>
      </c>
      <c r="AE7256" t="str">
        <f>VLOOKUP(Table_Query_from_Actuarial___Production3[[#This Row],[Kor1]],$AI$3:$AK$105,3,FALSE)</f>
        <v>Commissions</v>
      </c>
      <c r="AF7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7" spans="18:32" x14ac:dyDescent="0.2">
      <c r="R7257" t="s">
        <v>34</v>
      </c>
      <c r="S7257" t="s">
        <v>242</v>
      </c>
      <c r="T7257" t="s">
        <v>427</v>
      </c>
      <c r="U7257" s="21">
        <v>7537.97</v>
      </c>
      <c r="V7257" s="21" t="s">
        <v>368</v>
      </c>
      <c r="W7257" t="str">
        <f>VLOOKUP(Table_Query_from_Actuarial___Production[[#This Row],[Kor1]],$AI$3:$AK$105,3,FALSE)</f>
        <v>Misc. Expense</v>
      </c>
      <c r="X7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7"/>
      <c r="Z7257" t="s">
        <v>21</v>
      </c>
      <c r="AA7257" t="s">
        <v>258</v>
      </c>
      <c r="AB7257" t="s">
        <v>8</v>
      </c>
      <c r="AC7257" s="21">
        <v>8365.5</v>
      </c>
      <c r="AD7257" s="21" t="s">
        <v>368</v>
      </c>
      <c r="AE7257" t="str">
        <f>VLOOKUP(Table_Query_from_Actuarial___Production3[[#This Row],[Kor1]],$AI$3:$AK$105,3,FALSE)</f>
        <v>Misc. Expense</v>
      </c>
      <c r="AF7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8" spans="18:32" x14ac:dyDescent="0.2">
      <c r="R7258" t="s">
        <v>39</v>
      </c>
      <c r="S7258" t="s">
        <v>239</v>
      </c>
      <c r="T7258" t="s">
        <v>427</v>
      </c>
      <c r="U7258" s="21">
        <v>2314.9699999999998</v>
      </c>
      <c r="V7258" s="21" t="s">
        <v>368</v>
      </c>
      <c r="W7258" t="str">
        <f>VLOOKUP(Table_Query_from_Actuarial___Production[[#This Row],[Kor1]],$AI$3:$AK$105,3,FALSE)</f>
        <v>Misc. Income for Insolvent Companies</v>
      </c>
      <c r="X7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58"/>
      <c r="Z7258" t="s">
        <v>34</v>
      </c>
      <c r="AA7258" t="s">
        <v>242</v>
      </c>
      <c r="AB7258" t="s">
        <v>427</v>
      </c>
      <c r="AC7258" s="21">
        <v>7537.97</v>
      </c>
      <c r="AD7258" s="21" t="s">
        <v>368</v>
      </c>
      <c r="AE7258" t="str">
        <f>VLOOKUP(Table_Query_from_Actuarial___Production3[[#This Row],[Kor1]],$AI$3:$AK$105,3,FALSE)</f>
        <v>Misc. Expense</v>
      </c>
      <c r="AF7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59" spans="18:32" x14ac:dyDescent="0.2">
      <c r="R7259" t="s">
        <v>17</v>
      </c>
      <c r="S7259" t="s">
        <v>224</v>
      </c>
      <c r="T7259" t="s">
        <v>442</v>
      </c>
      <c r="U7259" s="21">
        <v>946.6</v>
      </c>
      <c r="V7259" s="21" t="s">
        <v>425</v>
      </c>
      <c r="W7259" t="str">
        <f>VLOOKUP(Table_Query_from_Actuarial___Production[[#This Row],[Kor1]],$AI$3:$AK$105,3,FALSE)</f>
        <v>IBNR</v>
      </c>
      <c r="X7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259"/>
      <c r="Z7259" t="s">
        <v>39</v>
      </c>
      <c r="AA7259" t="s">
        <v>239</v>
      </c>
      <c r="AB7259" t="s">
        <v>427</v>
      </c>
      <c r="AC7259" s="21">
        <v>14.97</v>
      </c>
      <c r="AD7259" s="21" t="s">
        <v>368</v>
      </c>
      <c r="AE7259" t="str">
        <f>VLOOKUP(Table_Query_from_Actuarial___Production3[[#This Row],[Kor1]],$AI$3:$AK$105,3,FALSE)</f>
        <v>Misc. Income for Insolvent Companies</v>
      </c>
      <c r="AF7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0" spans="18:32" x14ac:dyDescent="0.2">
      <c r="R7260" t="s">
        <v>40</v>
      </c>
      <c r="S7260" t="s">
        <v>268</v>
      </c>
      <c r="T7260" t="s">
        <v>9</v>
      </c>
      <c r="U7260" s="21">
        <v>34</v>
      </c>
      <c r="V7260" s="21" t="s">
        <v>368</v>
      </c>
      <c r="W7260" t="str">
        <f>VLOOKUP(Table_Query_from_Actuarial___Production[[#This Row],[Kor1]],$AI$3:$AK$105,3,FALSE)</f>
        <v>Misc. Income</v>
      </c>
      <c r="X7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0"/>
      <c r="Z7260" t="s">
        <v>17</v>
      </c>
      <c r="AA7260" t="s">
        <v>224</v>
      </c>
      <c r="AB7260" t="s">
        <v>442</v>
      </c>
      <c r="AC7260" s="21">
        <v>3422.6</v>
      </c>
      <c r="AD7260" s="21" t="s">
        <v>425</v>
      </c>
      <c r="AE7260" t="str">
        <f>VLOOKUP(Table_Query_from_Actuarial___Production3[[#This Row],[Kor1]],$AI$3:$AK$105,3,FALSE)</f>
        <v>IBNR</v>
      </c>
      <c r="AF7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261" spans="18:32" x14ac:dyDescent="0.2">
      <c r="R7261" t="s">
        <v>43</v>
      </c>
      <c r="S7261" t="s">
        <v>259</v>
      </c>
      <c r="T7261" t="s">
        <v>427</v>
      </c>
      <c r="U7261" s="21">
        <v>32.74</v>
      </c>
      <c r="V7261" s="21" t="s">
        <v>368</v>
      </c>
      <c r="W7261" t="str">
        <f>VLOOKUP(Table_Query_from_Actuarial___Production[[#This Row],[Kor1]],$AI$3:$AK$105,3,FALSE)</f>
        <v>Charge-offs</v>
      </c>
      <c r="X7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1"/>
      <c r="Z7261" t="s">
        <v>15</v>
      </c>
      <c r="AA7261" t="s">
        <v>229</v>
      </c>
      <c r="AB7261" t="s">
        <v>442</v>
      </c>
      <c r="AC7261" s="21">
        <v>1767.86</v>
      </c>
      <c r="AD7261" s="21" t="s">
        <v>368</v>
      </c>
      <c r="AE7261" t="str">
        <f>VLOOKUP(Table_Query_from_Actuarial___Production3[[#This Row],[Kor1]],$AI$3:$AK$105,3,FALSE)</f>
        <v>Unearned Premiums</v>
      </c>
      <c r="AF7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2" spans="18:32" x14ac:dyDescent="0.2">
      <c r="R7262" t="s">
        <v>14</v>
      </c>
      <c r="S7262" t="s">
        <v>243</v>
      </c>
      <c r="T7262" t="s">
        <v>441</v>
      </c>
      <c r="U7262" s="21">
        <v>69797.14</v>
      </c>
      <c r="V7262" s="21" t="s">
        <v>368</v>
      </c>
      <c r="W7262" t="str">
        <f>VLOOKUP(Table_Query_from_Actuarial___Production[[#This Row],[Kor1]],$AI$3:$AK$105,3,FALSE)</f>
        <v>Claims Expense</v>
      </c>
      <c r="X7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2"/>
      <c r="Z7262" t="s">
        <v>40</v>
      </c>
      <c r="AA7262" t="s">
        <v>268</v>
      </c>
      <c r="AB7262" t="s">
        <v>9</v>
      </c>
      <c r="AC7262" s="21">
        <v>34</v>
      </c>
      <c r="AD7262" s="21" t="s">
        <v>368</v>
      </c>
      <c r="AE7262" t="str">
        <f>VLOOKUP(Table_Query_from_Actuarial___Production3[[#This Row],[Kor1]],$AI$3:$AK$105,3,FALSE)</f>
        <v>Misc. Income</v>
      </c>
      <c r="AF7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3" spans="18:32" x14ac:dyDescent="0.2">
      <c r="R7263" t="s">
        <v>41</v>
      </c>
      <c r="S7263" t="s">
        <v>248</v>
      </c>
      <c r="T7263" t="s">
        <v>443</v>
      </c>
      <c r="U7263" s="21">
        <v>1417.64</v>
      </c>
      <c r="V7263" s="21" t="s">
        <v>368</v>
      </c>
      <c r="W7263" t="str">
        <f>VLOOKUP(Table_Query_from_Actuarial___Production[[#This Row],[Kor1]],$AI$3:$AK$105,3,FALSE)</f>
        <v>Misc. Income</v>
      </c>
      <c r="X7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3"/>
      <c r="Z7263" t="s">
        <v>43</v>
      </c>
      <c r="AA7263" t="s">
        <v>259</v>
      </c>
      <c r="AB7263" t="s">
        <v>427</v>
      </c>
      <c r="AC7263" s="21">
        <v>32.74</v>
      </c>
      <c r="AD7263" s="21" t="s">
        <v>368</v>
      </c>
      <c r="AE7263" t="str">
        <f>VLOOKUP(Table_Query_from_Actuarial___Production3[[#This Row],[Kor1]],$AI$3:$AK$105,3,FALSE)</f>
        <v>Charge-offs</v>
      </c>
      <c r="AF7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4" spans="18:32" x14ac:dyDescent="0.2">
      <c r="R7264" t="s">
        <v>43</v>
      </c>
      <c r="S7264" t="s">
        <v>250</v>
      </c>
      <c r="T7264" t="s">
        <v>9</v>
      </c>
      <c r="U7264" s="21">
        <v>-73.41</v>
      </c>
      <c r="V7264" s="21" t="s">
        <v>368</v>
      </c>
      <c r="W7264" t="str">
        <f>VLOOKUP(Table_Query_from_Actuarial___Production[[#This Row],[Kor1]],$AI$3:$AK$105,3,FALSE)</f>
        <v>Charge-offs</v>
      </c>
      <c r="X7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4"/>
      <c r="Z7264" t="s">
        <v>14</v>
      </c>
      <c r="AA7264" t="s">
        <v>243</v>
      </c>
      <c r="AB7264" t="s">
        <v>441</v>
      </c>
      <c r="AC7264" s="21">
        <v>69830.89</v>
      </c>
      <c r="AD7264" s="21" t="s">
        <v>368</v>
      </c>
      <c r="AE7264" t="str">
        <f>VLOOKUP(Table_Query_from_Actuarial___Production3[[#This Row],[Kor1]],$AI$3:$AK$105,3,FALSE)</f>
        <v>Claims Expense</v>
      </c>
      <c r="AF7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5" spans="18:32" x14ac:dyDescent="0.2">
      <c r="R7265" t="s">
        <v>10</v>
      </c>
      <c r="S7265" t="s">
        <v>249</v>
      </c>
      <c r="T7265" t="s">
        <v>7</v>
      </c>
      <c r="U7265" s="21">
        <v>13583.59</v>
      </c>
      <c r="V7265" s="21" t="s">
        <v>368</v>
      </c>
      <c r="W7265" t="str">
        <f>VLOOKUP(Table_Query_from_Actuarial___Production[[#This Row],[Kor1]],$AI$3:$AK$105,3,FALSE)</f>
        <v>Commissions</v>
      </c>
      <c r="X7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5"/>
      <c r="Z7265" t="s">
        <v>33</v>
      </c>
      <c r="AA7265" t="s">
        <v>231</v>
      </c>
      <c r="AB7265" t="s">
        <v>5</v>
      </c>
      <c r="AC7265" s="21">
        <v>13882.58</v>
      </c>
      <c r="AD7265" s="21" t="s">
        <v>368</v>
      </c>
      <c r="AE7265" t="str">
        <f>VLOOKUP(Table_Query_from_Actuarial___Production3[[#This Row],[Kor1]],$AI$3:$AK$105,3,FALSE)</f>
        <v>Misc. Expense</v>
      </c>
      <c r="AF7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6" spans="18:32" x14ac:dyDescent="0.2">
      <c r="R7266" t="s">
        <v>37</v>
      </c>
      <c r="S7266" t="s">
        <v>231</v>
      </c>
      <c r="T7266" t="s">
        <v>8</v>
      </c>
      <c r="U7266" s="21">
        <v>-0.08</v>
      </c>
      <c r="V7266" s="21" t="s">
        <v>368</v>
      </c>
      <c r="W7266" t="str">
        <f>VLOOKUP(Table_Query_from_Actuarial___Production[[#This Row],[Kor1]],$AI$3:$AK$105,3,FALSE)</f>
        <v>Misc. Expense</v>
      </c>
      <c r="X7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6"/>
      <c r="Z7266" t="s">
        <v>41</v>
      </c>
      <c r="AA7266" t="s">
        <v>248</v>
      </c>
      <c r="AB7266" t="s">
        <v>443</v>
      </c>
      <c r="AC7266" s="21">
        <v>717.62</v>
      </c>
      <c r="AD7266" s="21" t="s">
        <v>368</v>
      </c>
      <c r="AE7266" t="str">
        <f>VLOOKUP(Table_Query_from_Actuarial___Production3[[#This Row],[Kor1]],$AI$3:$AK$105,3,FALSE)</f>
        <v>Misc. Income</v>
      </c>
      <c r="AF7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7" spans="18:32" x14ac:dyDescent="0.2">
      <c r="R7267" t="s">
        <v>11</v>
      </c>
      <c r="S7267" t="s">
        <v>235</v>
      </c>
      <c r="T7267" t="s">
        <v>441</v>
      </c>
      <c r="U7267" s="21">
        <v>582575.62</v>
      </c>
      <c r="V7267" s="21" t="s">
        <v>368</v>
      </c>
      <c r="W7267" t="str">
        <f>VLOOKUP(Table_Query_from_Actuarial___Production[[#This Row],[Kor1]],$AI$3:$AK$105,3,FALSE)</f>
        <v>Losses Paid</v>
      </c>
      <c r="X7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7"/>
      <c r="Z7267" t="s">
        <v>43</v>
      </c>
      <c r="AA7267" t="s">
        <v>250</v>
      </c>
      <c r="AB7267" t="s">
        <v>9</v>
      </c>
      <c r="AC7267" s="21">
        <v>-73.41</v>
      </c>
      <c r="AD7267" s="21" t="s">
        <v>368</v>
      </c>
      <c r="AE7267" t="str">
        <f>VLOOKUP(Table_Query_from_Actuarial___Production3[[#This Row],[Kor1]],$AI$3:$AK$105,3,FALSE)</f>
        <v>Charge-offs</v>
      </c>
      <c r="AF7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68" spans="18:32" x14ac:dyDescent="0.2">
      <c r="R7268" t="s">
        <v>41</v>
      </c>
      <c r="S7268" t="s">
        <v>258</v>
      </c>
      <c r="T7268" t="s">
        <v>427</v>
      </c>
      <c r="U7268" s="21">
        <v>313.25</v>
      </c>
      <c r="V7268" s="21" t="s">
        <v>368</v>
      </c>
      <c r="W7268" t="str">
        <f>VLOOKUP(Table_Query_from_Actuarial___Production[[#This Row],[Kor1]],$AI$3:$AK$105,3,FALSE)</f>
        <v>Misc. Income</v>
      </c>
      <c r="X7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8"/>
      <c r="Z7268" t="s">
        <v>46</v>
      </c>
      <c r="AA7268" t="s">
        <v>224</v>
      </c>
      <c r="AB7268" t="s">
        <v>5</v>
      </c>
      <c r="AC7268" s="21">
        <v>358.26</v>
      </c>
      <c r="AD7268" s="21" t="s">
        <v>368</v>
      </c>
      <c r="AE7268" t="str">
        <f>VLOOKUP(Table_Query_from_Actuarial___Production3[[#This Row],[Kor1]],$AI$3:$AK$105,3,FALSE)</f>
        <v>Investment Income</v>
      </c>
      <c r="AF7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269" spans="18:32" x14ac:dyDescent="0.2">
      <c r="R7269" t="s">
        <v>3</v>
      </c>
      <c r="S7269" t="s">
        <v>238</v>
      </c>
      <c r="T7269" t="s">
        <v>8</v>
      </c>
      <c r="U7269" s="21">
        <v>241126</v>
      </c>
      <c r="V7269" s="21" t="s">
        <v>368</v>
      </c>
      <c r="W7269" t="str">
        <f>VLOOKUP(Table_Query_from_Actuarial___Production[[#This Row],[Kor1]],$AI$3:$AK$105,3,FALSE)</f>
        <v>Premiums Written</v>
      </c>
      <c r="X7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69"/>
      <c r="Z7269" t="s">
        <v>10</v>
      </c>
      <c r="AA7269" t="s">
        <v>249</v>
      </c>
      <c r="AB7269" t="s">
        <v>7</v>
      </c>
      <c r="AC7269" s="21">
        <v>13583.59</v>
      </c>
      <c r="AD7269" s="21" t="s">
        <v>368</v>
      </c>
      <c r="AE7269" t="str">
        <f>VLOOKUP(Table_Query_from_Actuarial___Production3[[#This Row],[Kor1]],$AI$3:$AK$105,3,FALSE)</f>
        <v>Commissions</v>
      </c>
      <c r="AF7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0" spans="18:32" x14ac:dyDescent="0.2">
      <c r="R7270" t="s">
        <v>31</v>
      </c>
      <c r="S7270" t="s">
        <v>251</v>
      </c>
      <c r="T7270" t="s">
        <v>356</v>
      </c>
      <c r="U7270" s="21">
        <v>912.17</v>
      </c>
      <c r="V7270" s="21" t="s">
        <v>368</v>
      </c>
      <c r="W7270" t="str">
        <f>VLOOKUP(Table_Query_from_Actuarial___Production[[#This Row],[Kor1]],$AI$3:$AK$105,3,FALSE)</f>
        <v>Misc. Expense</v>
      </c>
      <c r="X7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0"/>
      <c r="Z7270" t="s">
        <v>37</v>
      </c>
      <c r="AA7270" t="s">
        <v>231</v>
      </c>
      <c r="AB7270" t="s">
        <v>8</v>
      </c>
      <c r="AC7270" s="21">
        <v>-0.08</v>
      </c>
      <c r="AD7270" s="21" t="s">
        <v>368</v>
      </c>
      <c r="AE7270" t="str">
        <f>VLOOKUP(Table_Query_from_Actuarial___Production3[[#This Row],[Kor1]],$AI$3:$AK$105,3,FALSE)</f>
        <v>Misc. Expense</v>
      </c>
      <c r="AF7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1" spans="18:32" x14ac:dyDescent="0.2">
      <c r="R7271" t="s">
        <v>12</v>
      </c>
      <c r="S7271" t="s">
        <v>4</v>
      </c>
      <c r="T7271" t="s">
        <v>427</v>
      </c>
      <c r="U7271" s="21">
        <v>841950.99</v>
      </c>
      <c r="V7271" s="21" t="s">
        <v>368</v>
      </c>
      <c r="W7271" t="str">
        <f>VLOOKUP(Table_Query_from_Actuarial___Production[[#This Row],[Kor1]],$AI$3:$AK$105,3,FALSE)</f>
        <v>Premium Tax</v>
      </c>
      <c r="X7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1"/>
      <c r="Z7271" t="s">
        <v>10</v>
      </c>
      <c r="AA7271" t="s">
        <v>238</v>
      </c>
      <c r="AB7271" t="s">
        <v>5</v>
      </c>
      <c r="AC7271" s="21">
        <v>3753.25</v>
      </c>
      <c r="AD7271" s="21" t="s">
        <v>368</v>
      </c>
      <c r="AE7271" t="str">
        <f>VLOOKUP(Table_Query_from_Actuarial___Production3[[#This Row],[Kor1]],$AI$3:$AK$105,3,FALSE)</f>
        <v>Commissions</v>
      </c>
      <c r="AF7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2" spans="18:32" x14ac:dyDescent="0.2">
      <c r="R7272" t="s">
        <v>11</v>
      </c>
      <c r="S7272" t="s">
        <v>265</v>
      </c>
      <c r="T7272" t="s">
        <v>351</v>
      </c>
      <c r="U7272" s="21">
        <v>683788.26</v>
      </c>
      <c r="V7272" s="21" t="s">
        <v>368</v>
      </c>
      <c r="W7272" t="str">
        <f>VLOOKUP(Table_Query_from_Actuarial___Production[[#This Row],[Kor1]],$AI$3:$AK$105,3,FALSE)</f>
        <v>Losses Paid</v>
      </c>
      <c r="X7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2"/>
      <c r="Z7272" t="s">
        <v>11</v>
      </c>
      <c r="AA7272" t="s">
        <v>235</v>
      </c>
      <c r="AB7272" t="s">
        <v>441</v>
      </c>
      <c r="AC7272" s="21">
        <v>582575.62</v>
      </c>
      <c r="AD7272" s="21" t="s">
        <v>368</v>
      </c>
      <c r="AE7272" t="str">
        <f>VLOOKUP(Table_Query_from_Actuarial___Production3[[#This Row],[Kor1]],$AI$3:$AK$105,3,FALSE)</f>
        <v>Losses Paid</v>
      </c>
      <c r="AF7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3" spans="18:32" x14ac:dyDescent="0.2">
      <c r="R7273" t="s">
        <v>19</v>
      </c>
      <c r="S7273" t="s">
        <v>230</v>
      </c>
      <c r="T7273" t="s">
        <v>427</v>
      </c>
      <c r="U7273" s="21">
        <v>127489.01</v>
      </c>
      <c r="V7273" s="21" t="s">
        <v>368</v>
      </c>
      <c r="W7273" t="str">
        <f>VLOOKUP(Table_Query_from_Actuarial___Production[[#This Row],[Kor1]],$AI$3:$AK$105,3,FALSE)</f>
        <v>Misc. Expense for Insolvent Companies</v>
      </c>
      <c r="X7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3"/>
      <c r="Z7273" t="s">
        <v>20</v>
      </c>
      <c r="AA7273" t="s">
        <v>233</v>
      </c>
      <c r="AB7273" t="s">
        <v>5</v>
      </c>
      <c r="AC7273" s="21">
        <v>77.28</v>
      </c>
      <c r="AD7273" s="21" t="s">
        <v>368</v>
      </c>
      <c r="AE7273" t="str">
        <f>VLOOKUP(Table_Query_from_Actuarial___Production3[[#This Row],[Kor1]],$AI$3:$AK$105,3,FALSE)</f>
        <v>Misc. Expense</v>
      </c>
      <c r="AF7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4" spans="18:32" x14ac:dyDescent="0.2">
      <c r="R7274" t="s">
        <v>39</v>
      </c>
      <c r="S7274" t="s">
        <v>231</v>
      </c>
      <c r="T7274" t="s">
        <v>441</v>
      </c>
      <c r="U7274" s="21">
        <v>139.99</v>
      </c>
      <c r="V7274" s="21" t="s">
        <v>368</v>
      </c>
      <c r="W7274" t="str">
        <f>VLOOKUP(Table_Query_from_Actuarial___Production[[#This Row],[Kor1]],$AI$3:$AK$105,3,FALSE)</f>
        <v>Misc. Income for Insolvent Companies</v>
      </c>
      <c r="X7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4"/>
      <c r="Z7274" t="s">
        <v>41</v>
      </c>
      <c r="AA7274" t="s">
        <v>258</v>
      </c>
      <c r="AB7274" t="s">
        <v>427</v>
      </c>
      <c r="AC7274" s="21">
        <v>313.25</v>
      </c>
      <c r="AD7274" s="21" t="s">
        <v>368</v>
      </c>
      <c r="AE7274" t="str">
        <f>VLOOKUP(Table_Query_from_Actuarial___Production3[[#This Row],[Kor1]],$AI$3:$AK$105,3,FALSE)</f>
        <v>Misc. Income</v>
      </c>
      <c r="AF7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5" spans="18:32" x14ac:dyDescent="0.2">
      <c r="R7275" t="s">
        <v>33</v>
      </c>
      <c r="S7275" t="s">
        <v>242</v>
      </c>
      <c r="T7275" t="s">
        <v>356</v>
      </c>
      <c r="U7275" s="21">
        <v>14955.64</v>
      </c>
      <c r="V7275" s="21" t="s">
        <v>368</v>
      </c>
      <c r="W7275" t="str">
        <f>VLOOKUP(Table_Query_from_Actuarial___Production[[#This Row],[Kor1]],$AI$3:$AK$105,3,FALSE)</f>
        <v>Misc. Expense</v>
      </c>
      <c r="X7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5"/>
      <c r="Z7275" t="s">
        <v>3</v>
      </c>
      <c r="AA7275" t="s">
        <v>238</v>
      </c>
      <c r="AB7275" t="s">
        <v>8</v>
      </c>
      <c r="AC7275" s="21">
        <v>241126</v>
      </c>
      <c r="AD7275" s="21" t="s">
        <v>368</v>
      </c>
      <c r="AE7275" t="str">
        <f>VLOOKUP(Table_Query_from_Actuarial___Production3[[#This Row],[Kor1]],$AI$3:$AK$105,3,FALSE)</f>
        <v>Premiums Written</v>
      </c>
      <c r="AF7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6" spans="18:32" x14ac:dyDescent="0.2">
      <c r="R7276" t="s">
        <v>41</v>
      </c>
      <c r="S7276" t="s">
        <v>260</v>
      </c>
      <c r="T7276" t="s">
        <v>8</v>
      </c>
      <c r="U7276" s="21">
        <v>350</v>
      </c>
      <c r="V7276" s="21" t="s">
        <v>368</v>
      </c>
      <c r="W7276" t="str">
        <f>VLOOKUP(Table_Query_from_Actuarial___Production[[#This Row],[Kor1]],$AI$3:$AK$105,3,FALSE)</f>
        <v>Misc. Income</v>
      </c>
      <c r="X7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6"/>
      <c r="Z7276" t="s">
        <v>31</v>
      </c>
      <c r="AA7276" t="s">
        <v>251</v>
      </c>
      <c r="AB7276" t="s">
        <v>356</v>
      </c>
      <c r="AC7276" s="21">
        <v>912.17</v>
      </c>
      <c r="AD7276" s="21" t="s">
        <v>368</v>
      </c>
      <c r="AE7276" t="str">
        <f>VLOOKUP(Table_Query_from_Actuarial___Production3[[#This Row],[Kor1]],$AI$3:$AK$105,3,FALSE)</f>
        <v>Misc. Expense</v>
      </c>
      <c r="AF7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7" spans="18:32" x14ac:dyDescent="0.2">
      <c r="R7277" t="s">
        <v>44</v>
      </c>
      <c r="S7277" t="s">
        <v>224</v>
      </c>
      <c r="T7277" t="s">
        <v>441</v>
      </c>
      <c r="U7277" s="21">
        <v>219.46</v>
      </c>
      <c r="V7277" s="21" t="s">
        <v>369</v>
      </c>
      <c r="W7277" t="str">
        <f>VLOOKUP(Table_Query_from_Actuarial___Production[[#This Row],[Kor1]],$AI$3:$AK$105,3,FALSE)</f>
        <v>Charge-offs</v>
      </c>
      <c r="X7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277"/>
      <c r="Z7277" t="s">
        <v>12</v>
      </c>
      <c r="AA7277" t="s">
        <v>4</v>
      </c>
      <c r="AB7277" t="s">
        <v>427</v>
      </c>
      <c r="AC7277" s="21">
        <v>841950.99</v>
      </c>
      <c r="AD7277" s="21" t="s">
        <v>368</v>
      </c>
      <c r="AE7277" t="str">
        <f>VLOOKUP(Table_Query_from_Actuarial___Production3[[#This Row],[Kor1]],$AI$3:$AK$105,3,FALSE)</f>
        <v>Premium Tax</v>
      </c>
      <c r="AF7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8" spans="18:32" x14ac:dyDescent="0.2">
      <c r="R7278" t="s">
        <v>10</v>
      </c>
      <c r="S7278" t="s">
        <v>257</v>
      </c>
      <c r="T7278" t="s">
        <v>427</v>
      </c>
      <c r="U7278" s="21">
        <v>105611.98</v>
      </c>
      <c r="V7278" s="21" t="s">
        <v>368</v>
      </c>
      <c r="W7278" t="str">
        <f>VLOOKUP(Table_Query_from_Actuarial___Production[[#This Row],[Kor1]],$AI$3:$AK$105,3,FALSE)</f>
        <v>Commissions</v>
      </c>
      <c r="X7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8"/>
      <c r="Z7278" t="s">
        <v>11</v>
      </c>
      <c r="AA7278" t="s">
        <v>265</v>
      </c>
      <c r="AB7278" t="s">
        <v>351</v>
      </c>
      <c r="AC7278" s="21">
        <v>683788.26</v>
      </c>
      <c r="AD7278" s="21" t="s">
        <v>368</v>
      </c>
      <c r="AE7278" t="str">
        <f>VLOOKUP(Table_Query_from_Actuarial___Production3[[#This Row],[Kor1]],$AI$3:$AK$105,3,FALSE)</f>
        <v>Losses Paid</v>
      </c>
      <c r="AF7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79" spans="18:32" x14ac:dyDescent="0.2">
      <c r="R7279" t="s">
        <v>33</v>
      </c>
      <c r="S7279" t="s">
        <v>255</v>
      </c>
      <c r="T7279" t="s">
        <v>445</v>
      </c>
      <c r="U7279" s="21">
        <v>8752.48</v>
      </c>
      <c r="V7279" s="21" t="s">
        <v>368</v>
      </c>
      <c r="W7279" t="str">
        <f>VLOOKUP(Table_Query_from_Actuarial___Production[[#This Row],[Kor1]],$AI$3:$AK$105,3,FALSE)</f>
        <v>Misc. Expense</v>
      </c>
      <c r="X7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79"/>
      <c r="Z7279" t="s">
        <v>19</v>
      </c>
      <c r="AA7279" t="s">
        <v>230</v>
      </c>
      <c r="AB7279" t="s">
        <v>427</v>
      </c>
      <c r="AC7279" s="21">
        <v>127489.01</v>
      </c>
      <c r="AD7279" s="21" t="s">
        <v>368</v>
      </c>
      <c r="AE7279" t="str">
        <f>VLOOKUP(Table_Query_from_Actuarial___Production3[[#This Row],[Kor1]],$AI$3:$AK$105,3,FALSE)</f>
        <v>Misc. Expense for Insolvent Companies</v>
      </c>
      <c r="AF7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0" spans="18:32" x14ac:dyDescent="0.2">
      <c r="R7280" t="s">
        <v>3</v>
      </c>
      <c r="S7280" t="s">
        <v>352</v>
      </c>
      <c r="T7280" t="s">
        <v>427</v>
      </c>
      <c r="U7280" s="21">
        <v>1261</v>
      </c>
      <c r="V7280" s="21" t="s">
        <v>368</v>
      </c>
      <c r="W7280" t="str">
        <f>VLOOKUP(Table_Query_from_Actuarial___Production[[#This Row],[Kor1]],$AI$3:$AK$105,3,FALSE)</f>
        <v>Premiums Written</v>
      </c>
      <c r="X7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7280"/>
      <c r="Z7280" t="s">
        <v>39</v>
      </c>
      <c r="AA7280" t="s">
        <v>231</v>
      </c>
      <c r="AB7280" t="s">
        <v>441</v>
      </c>
      <c r="AC7280" s="21">
        <v>139.99</v>
      </c>
      <c r="AD7280" s="21" t="s">
        <v>368</v>
      </c>
      <c r="AE7280" t="str">
        <f>VLOOKUP(Table_Query_from_Actuarial___Production3[[#This Row],[Kor1]],$AI$3:$AK$105,3,FALSE)</f>
        <v>Misc. Income for Insolvent Companies</v>
      </c>
      <c r="AF7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1" spans="18:32" x14ac:dyDescent="0.2">
      <c r="R7281" t="s">
        <v>37</v>
      </c>
      <c r="S7281" t="s">
        <v>4</v>
      </c>
      <c r="T7281" t="s">
        <v>6</v>
      </c>
      <c r="U7281" s="21">
        <v>9714.06</v>
      </c>
      <c r="V7281" s="21" t="s">
        <v>368</v>
      </c>
      <c r="W7281" t="str">
        <f>VLOOKUP(Table_Query_from_Actuarial___Production[[#This Row],[Kor1]],$AI$3:$AK$105,3,FALSE)</f>
        <v>Misc. Expense</v>
      </c>
      <c r="X7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1"/>
      <c r="Z7281" t="s">
        <v>33</v>
      </c>
      <c r="AA7281" t="s">
        <v>242</v>
      </c>
      <c r="AB7281" t="s">
        <v>356</v>
      </c>
      <c r="AC7281" s="21">
        <v>14955.64</v>
      </c>
      <c r="AD7281" s="21" t="s">
        <v>368</v>
      </c>
      <c r="AE7281" t="str">
        <f>VLOOKUP(Table_Query_from_Actuarial___Production3[[#This Row],[Kor1]],$AI$3:$AK$105,3,FALSE)</f>
        <v>Misc. Expense</v>
      </c>
      <c r="AF7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2" spans="18:32" x14ac:dyDescent="0.2">
      <c r="R7282" t="s">
        <v>32</v>
      </c>
      <c r="S7282" t="s">
        <v>234</v>
      </c>
      <c r="T7282" t="s">
        <v>6</v>
      </c>
      <c r="U7282" s="21">
        <v>11243.38</v>
      </c>
      <c r="V7282" s="21" t="s">
        <v>368</v>
      </c>
      <c r="W7282" t="str">
        <f>VLOOKUP(Table_Query_from_Actuarial___Production[[#This Row],[Kor1]],$AI$3:$AK$105,3,FALSE)</f>
        <v>Misc. Expense</v>
      </c>
      <c r="X7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2"/>
      <c r="Z7282" t="s">
        <v>41</v>
      </c>
      <c r="AA7282" t="s">
        <v>260</v>
      </c>
      <c r="AB7282" t="s">
        <v>8</v>
      </c>
      <c r="AC7282" s="21">
        <v>350</v>
      </c>
      <c r="AD7282" s="21" t="s">
        <v>368</v>
      </c>
      <c r="AE7282" t="str">
        <f>VLOOKUP(Table_Query_from_Actuarial___Production3[[#This Row],[Kor1]],$AI$3:$AK$105,3,FALSE)</f>
        <v>Misc. Income</v>
      </c>
      <c r="AF7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3" spans="18:32" x14ac:dyDescent="0.2">
      <c r="R7283" t="s">
        <v>17</v>
      </c>
      <c r="S7283" t="s">
        <v>254</v>
      </c>
      <c r="T7283" t="s">
        <v>443</v>
      </c>
      <c r="U7283" s="21">
        <v>4661479.47</v>
      </c>
      <c r="V7283" s="21" t="s">
        <v>368</v>
      </c>
      <c r="W7283" t="str">
        <f>VLOOKUP(Table_Query_from_Actuarial___Production[[#This Row],[Kor1]],$AI$3:$AK$105,3,FALSE)</f>
        <v>IBNR</v>
      </c>
      <c r="X7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3"/>
      <c r="Z7283" t="s">
        <v>44</v>
      </c>
      <c r="AA7283" t="s">
        <v>224</v>
      </c>
      <c r="AB7283" t="s">
        <v>441</v>
      </c>
      <c r="AC7283" s="21">
        <v>219.46</v>
      </c>
      <c r="AD7283" s="21" t="s">
        <v>369</v>
      </c>
      <c r="AE7283" t="str">
        <f>VLOOKUP(Table_Query_from_Actuarial___Production3[[#This Row],[Kor1]],$AI$3:$AK$105,3,FALSE)</f>
        <v>Charge-offs</v>
      </c>
      <c r="AF7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284" spans="18:32" x14ac:dyDescent="0.2">
      <c r="R7284" t="s">
        <v>33</v>
      </c>
      <c r="S7284" t="s">
        <v>241</v>
      </c>
      <c r="T7284" t="s">
        <v>351</v>
      </c>
      <c r="U7284" s="21">
        <v>16325.38</v>
      </c>
      <c r="V7284" s="21" t="s">
        <v>368</v>
      </c>
      <c r="W7284" t="str">
        <f>VLOOKUP(Table_Query_from_Actuarial___Production[[#This Row],[Kor1]],$AI$3:$AK$105,3,FALSE)</f>
        <v>Misc. Expense</v>
      </c>
      <c r="X7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4"/>
      <c r="Z7284" t="s">
        <v>10</v>
      </c>
      <c r="AA7284" t="s">
        <v>257</v>
      </c>
      <c r="AB7284" t="s">
        <v>427</v>
      </c>
      <c r="AC7284" s="21">
        <v>105611.98</v>
      </c>
      <c r="AD7284" s="21" t="s">
        <v>368</v>
      </c>
      <c r="AE7284" t="str">
        <f>VLOOKUP(Table_Query_from_Actuarial___Production3[[#This Row],[Kor1]],$AI$3:$AK$105,3,FALSE)</f>
        <v>Commissions</v>
      </c>
      <c r="AF7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5" spans="18:32" x14ac:dyDescent="0.2">
      <c r="R7285" t="s">
        <v>13</v>
      </c>
      <c r="S7285" t="s">
        <v>230</v>
      </c>
      <c r="T7285" t="s">
        <v>6</v>
      </c>
      <c r="U7285" s="21">
        <v>2629196.86</v>
      </c>
      <c r="V7285" s="21" t="s">
        <v>368</v>
      </c>
      <c r="W7285" t="str">
        <f>VLOOKUP(Table_Query_from_Actuarial___Production[[#This Row],[Kor1]],$AI$3:$AK$105,3,FALSE)</f>
        <v>Operating Service Fees</v>
      </c>
      <c r="X7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5"/>
      <c r="Z7285" t="s">
        <v>3</v>
      </c>
      <c r="AA7285" t="s">
        <v>352</v>
      </c>
      <c r="AB7285" t="s">
        <v>427</v>
      </c>
      <c r="AC7285" s="21">
        <v>1261</v>
      </c>
      <c r="AD7285" s="21" t="s">
        <v>368</v>
      </c>
      <c r="AE7285" t="str">
        <f>VLOOKUP(Table_Query_from_Actuarial___Production3[[#This Row],[Kor1]],$AI$3:$AK$105,3,FALSE)</f>
        <v>Premiums Written</v>
      </c>
      <c r="AF7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7286" spans="18:32" x14ac:dyDescent="0.2">
      <c r="R7286" t="s">
        <v>31</v>
      </c>
      <c r="S7286" t="s">
        <v>265</v>
      </c>
      <c r="T7286" t="s">
        <v>427</v>
      </c>
      <c r="U7286" s="21">
        <v>510.06</v>
      </c>
      <c r="V7286" s="21" t="s">
        <v>368</v>
      </c>
      <c r="W7286" t="str">
        <f>VLOOKUP(Table_Query_from_Actuarial___Production[[#This Row],[Kor1]],$AI$3:$AK$105,3,FALSE)</f>
        <v>Misc. Expense</v>
      </c>
      <c r="X7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6"/>
      <c r="Z7286" t="s">
        <v>37</v>
      </c>
      <c r="AA7286" t="s">
        <v>4</v>
      </c>
      <c r="AB7286" t="s">
        <v>6</v>
      </c>
      <c r="AC7286" s="21">
        <v>9714.06</v>
      </c>
      <c r="AD7286" s="21" t="s">
        <v>368</v>
      </c>
      <c r="AE7286" t="str">
        <f>VLOOKUP(Table_Query_from_Actuarial___Production3[[#This Row],[Kor1]],$AI$3:$AK$105,3,FALSE)</f>
        <v>Misc. Expense</v>
      </c>
      <c r="AF7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7" spans="18:32" x14ac:dyDescent="0.2">
      <c r="R7287" t="s">
        <v>11</v>
      </c>
      <c r="S7287" t="s">
        <v>261</v>
      </c>
      <c r="T7287" t="s">
        <v>6</v>
      </c>
      <c r="U7287" s="21">
        <v>880200.93</v>
      </c>
      <c r="V7287" s="21" t="s">
        <v>368</v>
      </c>
      <c r="W7287" t="str">
        <f>VLOOKUP(Table_Query_from_Actuarial___Production[[#This Row],[Kor1]],$AI$3:$AK$105,3,FALSE)</f>
        <v>Losses Paid</v>
      </c>
      <c r="X7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7"/>
      <c r="Z7287" t="s">
        <v>32</v>
      </c>
      <c r="AA7287" t="s">
        <v>234</v>
      </c>
      <c r="AB7287" t="s">
        <v>6</v>
      </c>
      <c r="AC7287" s="21">
        <v>11243.38</v>
      </c>
      <c r="AD7287" s="21" t="s">
        <v>368</v>
      </c>
      <c r="AE7287" t="str">
        <f>VLOOKUP(Table_Query_from_Actuarial___Production3[[#This Row],[Kor1]],$AI$3:$AK$105,3,FALSE)</f>
        <v>Misc. Expense</v>
      </c>
      <c r="AF7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8" spans="18:32" x14ac:dyDescent="0.2">
      <c r="R7288" t="s">
        <v>14</v>
      </c>
      <c r="S7288" t="s">
        <v>230</v>
      </c>
      <c r="T7288" t="s">
        <v>427</v>
      </c>
      <c r="U7288" s="21">
        <v>1601910.19</v>
      </c>
      <c r="V7288" s="21" t="s">
        <v>368</v>
      </c>
      <c r="W7288" t="str">
        <f>VLOOKUP(Table_Query_from_Actuarial___Production[[#This Row],[Kor1]],$AI$3:$AK$105,3,FALSE)</f>
        <v>Claims Expense</v>
      </c>
      <c r="X7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88"/>
      <c r="Z7288" t="s">
        <v>17</v>
      </c>
      <c r="AA7288" t="s">
        <v>254</v>
      </c>
      <c r="AB7288" t="s">
        <v>443</v>
      </c>
      <c r="AC7288" s="21">
        <v>1046122.36</v>
      </c>
      <c r="AD7288" s="21" t="s">
        <v>368</v>
      </c>
      <c r="AE7288" t="str">
        <f>VLOOKUP(Table_Query_from_Actuarial___Production3[[#This Row],[Kor1]],$AI$3:$AK$105,3,FALSE)</f>
        <v>IBNR</v>
      </c>
      <c r="AF7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89" spans="18:32" x14ac:dyDescent="0.2">
      <c r="R7289" t="s">
        <v>48</v>
      </c>
      <c r="S7289" t="s">
        <v>224</v>
      </c>
      <c r="T7289" t="s">
        <v>433</v>
      </c>
      <c r="U7289" s="21">
        <v>591.66</v>
      </c>
      <c r="V7289" s="21" t="s">
        <v>425</v>
      </c>
      <c r="W7289" t="str">
        <f>VLOOKUP(Table_Query_from_Actuarial___Production[[#This Row],[Kor1]],$AI$3:$AK$105,3,FALSE)</f>
        <v>Anticipated Salvage</v>
      </c>
      <c r="X7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289"/>
      <c r="Z7289" t="s">
        <v>33</v>
      </c>
      <c r="AA7289" t="s">
        <v>241</v>
      </c>
      <c r="AB7289" t="s">
        <v>351</v>
      </c>
      <c r="AC7289" s="21">
        <v>16325.38</v>
      </c>
      <c r="AD7289" s="21" t="s">
        <v>368</v>
      </c>
      <c r="AE7289" t="str">
        <f>VLOOKUP(Table_Query_from_Actuarial___Production3[[#This Row],[Kor1]],$AI$3:$AK$105,3,FALSE)</f>
        <v>Misc. Expense</v>
      </c>
      <c r="AF7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0" spans="18:32" x14ac:dyDescent="0.2">
      <c r="R7290" t="s">
        <v>14</v>
      </c>
      <c r="S7290" t="s">
        <v>252</v>
      </c>
      <c r="T7290" t="s">
        <v>433</v>
      </c>
      <c r="U7290" s="21">
        <v>3298252.27</v>
      </c>
      <c r="V7290" s="21" t="s">
        <v>368</v>
      </c>
      <c r="W7290" t="str">
        <f>VLOOKUP(Table_Query_from_Actuarial___Production[[#This Row],[Kor1]],$AI$3:$AK$105,3,FALSE)</f>
        <v>Claims Expense</v>
      </c>
      <c r="X7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0"/>
      <c r="Z7290" t="s">
        <v>12</v>
      </c>
      <c r="AA7290" t="s">
        <v>264</v>
      </c>
      <c r="AB7290" t="s">
        <v>5</v>
      </c>
      <c r="AC7290" s="21">
        <v>43441.47</v>
      </c>
      <c r="AD7290" s="21" t="s">
        <v>368</v>
      </c>
      <c r="AE7290" t="str">
        <f>VLOOKUP(Table_Query_from_Actuarial___Production3[[#This Row],[Kor1]],$AI$3:$AK$105,3,FALSE)</f>
        <v>Premium Tax</v>
      </c>
      <c r="AF7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1" spans="18:32" x14ac:dyDescent="0.2">
      <c r="R7291" t="s">
        <v>13</v>
      </c>
      <c r="S7291" t="s">
        <v>243</v>
      </c>
      <c r="T7291" t="s">
        <v>442</v>
      </c>
      <c r="U7291" s="21">
        <v>69391.55</v>
      </c>
      <c r="V7291" s="21" t="s">
        <v>368</v>
      </c>
      <c r="W7291" t="str">
        <f>VLOOKUP(Table_Query_from_Actuarial___Production[[#This Row],[Kor1]],$AI$3:$AK$105,3,FALSE)</f>
        <v>Operating Service Fees</v>
      </c>
      <c r="X7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1"/>
      <c r="Z7291" t="s">
        <v>13</v>
      </c>
      <c r="AA7291" t="s">
        <v>230</v>
      </c>
      <c r="AB7291" t="s">
        <v>6</v>
      </c>
      <c r="AC7291" s="21">
        <v>2629196.86</v>
      </c>
      <c r="AD7291" s="21" t="s">
        <v>368</v>
      </c>
      <c r="AE7291" t="str">
        <f>VLOOKUP(Table_Query_from_Actuarial___Production3[[#This Row],[Kor1]],$AI$3:$AK$105,3,FALSE)</f>
        <v>Operating Service Fees</v>
      </c>
      <c r="AF7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2" spans="18:32" x14ac:dyDescent="0.2">
      <c r="R7292" t="s">
        <v>33</v>
      </c>
      <c r="S7292" t="s">
        <v>260</v>
      </c>
      <c r="T7292" t="s">
        <v>356</v>
      </c>
      <c r="U7292" s="21">
        <v>14884.62</v>
      </c>
      <c r="V7292" s="21" t="s">
        <v>368</v>
      </c>
      <c r="W7292" t="str">
        <f>VLOOKUP(Table_Query_from_Actuarial___Production[[#This Row],[Kor1]],$AI$3:$AK$105,3,FALSE)</f>
        <v>Misc. Expense</v>
      </c>
      <c r="X7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2"/>
      <c r="Z7292" t="s">
        <v>31</v>
      </c>
      <c r="AA7292" t="s">
        <v>265</v>
      </c>
      <c r="AB7292" t="s">
        <v>427</v>
      </c>
      <c r="AC7292" s="21">
        <v>510.06</v>
      </c>
      <c r="AD7292" s="21" t="s">
        <v>368</v>
      </c>
      <c r="AE7292" t="str">
        <f>VLOOKUP(Table_Query_from_Actuarial___Production3[[#This Row],[Kor1]],$AI$3:$AK$105,3,FALSE)</f>
        <v>Misc. Expense</v>
      </c>
      <c r="AF7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3" spans="18:32" x14ac:dyDescent="0.2">
      <c r="R7293" t="s">
        <v>43</v>
      </c>
      <c r="S7293" t="s">
        <v>243</v>
      </c>
      <c r="T7293" t="s">
        <v>442</v>
      </c>
      <c r="U7293" s="21">
        <v>-101.34</v>
      </c>
      <c r="V7293" s="21" t="s">
        <v>368</v>
      </c>
      <c r="W7293" t="str">
        <f>VLOOKUP(Table_Query_from_Actuarial___Production[[#This Row],[Kor1]],$AI$3:$AK$105,3,FALSE)</f>
        <v>Charge-offs</v>
      </c>
      <c r="X7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3"/>
      <c r="Z7293" t="s">
        <v>11</v>
      </c>
      <c r="AA7293" t="s">
        <v>261</v>
      </c>
      <c r="AB7293" t="s">
        <v>6</v>
      </c>
      <c r="AC7293" s="21">
        <v>880200.93</v>
      </c>
      <c r="AD7293" s="21" t="s">
        <v>368</v>
      </c>
      <c r="AE7293" t="str">
        <f>VLOOKUP(Table_Query_from_Actuarial___Production3[[#This Row],[Kor1]],$AI$3:$AK$105,3,FALSE)</f>
        <v>Losses Paid</v>
      </c>
      <c r="AF7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4" spans="18:32" x14ac:dyDescent="0.2">
      <c r="R7294" t="s">
        <v>3</v>
      </c>
      <c r="S7294" t="s">
        <v>236</v>
      </c>
      <c r="T7294" t="s">
        <v>6</v>
      </c>
      <c r="U7294" s="21">
        <v>42777</v>
      </c>
      <c r="V7294" s="21" t="s">
        <v>368</v>
      </c>
      <c r="W7294" t="str">
        <f>VLOOKUP(Table_Query_from_Actuarial___Production[[#This Row],[Kor1]],$AI$3:$AK$105,3,FALSE)</f>
        <v>Premiums Written</v>
      </c>
      <c r="X7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4"/>
      <c r="Z7294" t="s">
        <v>14</v>
      </c>
      <c r="AA7294" t="s">
        <v>230</v>
      </c>
      <c r="AB7294" t="s">
        <v>427</v>
      </c>
      <c r="AC7294" s="21">
        <v>1601910.19</v>
      </c>
      <c r="AD7294" s="21" t="s">
        <v>368</v>
      </c>
      <c r="AE7294" t="str">
        <f>VLOOKUP(Table_Query_from_Actuarial___Production3[[#This Row],[Kor1]],$AI$3:$AK$105,3,FALSE)</f>
        <v>Claims Expense</v>
      </c>
      <c r="AF7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5" spans="18:32" x14ac:dyDescent="0.2">
      <c r="R7295" t="s">
        <v>48</v>
      </c>
      <c r="S7295" t="s">
        <v>224</v>
      </c>
      <c r="T7295" t="s">
        <v>445</v>
      </c>
      <c r="U7295" s="21">
        <v>118.45</v>
      </c>
      <c r="V7295" s="21" t="s">
        <v>369</v>
      </c>
      <c r="W7295" t="str">
        <f>VLOOKUP(Table_Query_from_Actuarial___Production[[#This Row],[Kor1]],$AI$3:$AK$105,3,FALSE)</f>
        <v>Anticipated Salvage</v>
      </c>
      <c r="X7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295"/>
      <c r="Z7295" t="s">
        <v>48</v>
      </c>
      <c r="AA7295" t="s">
        <v>224</v>
      </c>
      <c r="AB7295" t="s">
        <v>433</v>
      </c>
      <c r="AC7295" s="21">
        <v>470.23</v>
      </c>
      <c r="AD7295" s="21" t="s">
        <v>425</v>
      </c>
      <c r="AE7295" t="str">
        <f>VLOOKUP(Table_Query_from_Actuarial___Production3[[#This Row],[Kor1]],$AI$3:$AK$105,3,FALSE)</f>
        <v>Anticipated Salvage</v>
      </c>
      <c r="AF7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296" spans="18:32" x14ac:dyDescent="0.2">
      <c r="R7296" t="s">
        <v>3</v>
      </c>
      <c r="S7296" t="s">
        <v>247</v>
      </c>
      <c r="T7296" t="s">
        <v>443</v>
      </c>
      <c r="U7296" s="21">
        <v>6692</v>
      </c>
      <c r="V7296" s="21" t="s">
        <v>368</v>
      </c>
      <c r="W7296" t="str">
        <f>VLOOKUP(Table_Query_from_Actuarial___Production[[#This Row],[Kor1]],$AI$3:$AK$105,3,FALSE)</f>
        <v>Premiums Written</v>
      </c>
      <c r="X7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6"/>
      <c r="Z7296" t="s">
        <v>14</v>
      </c>
      <c r="AA7296" t="s">
        <v>252</v>
      </c>
      <c r="AB7296" t="s">
        <v>433</v>
      </c>
      <c r="AC7296" s="21">
        <v>3298252.27</v>
      </c>
      <c r="AD7296" s="21" t="s">
        <v>368</v>
      </c>
      <c r="AE7296" t="str">
        <f>VLOOKUP(Table_Query_from_Actuarial___Production3[[#This Row],[Kor1]],$AI$3:$AK$105,3,FALSE)</f>
        <v>Claims Expense</v>
      </c>
      <c r="AF7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7" spans="18:32" x14ac:dyDescent="0.2">
      <c r="R7297" t="s">
        <v>3</v>
      </c>
      <c r="S7297" t="s">
        <v>249</v>
      </c>
      <c r="T7297" t="s">
        <v>7</v>
      </c>
      <c r="U7297" s="21">
        <v>252269</v>
      </c>
      <c r="V7297" s="21" t="s">
        <v>368</v>
      </c>
      <c r="W7297" t="str">
        <f>VLOOKUP(Table_Query_from_Actuarial___Production[[#This Row],[Kor1]],$AI$3:$AK$105,3,FALSE)</f>
        <v>Premiums Written</v>
      </c>
      <c r="X7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7"/>
      <c r="Z7297" t="s">
        <v>13</v>
      </c>
      <c r="AA7297" t="s">
        <v>243</v>
      </c>
      <c r="AB7297" t="s">
        <v>442</v>
      </c>
      <c r="AC7297" s="21">
        <v>71099.11</v>
      </c>
      <c r="AD7297" s="21" t="s">
        <v>368</v>
      </c>
      <c r="AE7297" t="str">
        <f>VLOOKUP(Table_Query_from_Actuarial___Production3[[#This Row],[Kor1]],$AI$3:$AK$105,3,FALSE)</f>
        <v>Operating Service Fees</v>
      </c>
      <c r="AF7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8" spans="18:32" x14ac:dyDescent="0.2">
      <c r="R7298" t="s">
        <v>12</v>
      </c>
      <c r="S7298" t="s">
        <v>4</v>
      </c>
      <c r="T7298" t="s">
        <v>9</v>
      </c>
      <c r="U7298" s="21">
        <v>354592.94</v>
      </c>
      <c r="V7298" s="21" t="s">
        <v>368</v>
      </c>
      <c r="W7298" t="str">
        <f>VLOOKUP(Table_Query_from_Actuarial___Production[[#This Row],[Kor1]],$AI$3:$AK$105,3,FALSE)</f>
        <v>Premium Tax</v>
      </c>
      <c r="X7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8"/>
      <c r="Z7298" t="s">
        <v>33</v>
      </c>
      <c r="AA7298" t="s">
        <v>260</v>
      </c>
      <c r="AB7298" t="s">
        <v>356</v>
      </c>
      <c r="AC7298" s="21">
        <v>14884.62</v>
      </c>
      <c r="AD7298" s="21" t="s">
        <v>368</v>
      </c>
      <c r="AE7298" t="str">
        <f>VLOOKUP(Table_Query_from_Actuarial___Production3[[#This Row],[Kor1]],$AI$3:$AK$105,3,FALSE)</f>
        <v>Misc. Expense</v>
      </c>
      <c r="AF7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299" spans="18:32" x14ac:dyDescent="0.2">
      <c r="R7299" t="s">
        <v>19</v>
      </c>
      <c r="S7299" t="s">
        <v>244</v>
      </c>
      <c r="T7299" t="s">
        <v>433</v>
      </c>
      <c r="U7299" s="21">
        <v>6375.99</v>
      </c>
      <c r="V7299" s="21" t="s">
        <v>368</v>
      </c>
      <c r="W7299" t="str">
        <f>VLOOKUP(Table_Query_from_Actuarial___Production[[#This Row],[Kor1]],$AI$3:$AK$105,3,FALSE)</f>
        <v>Misc. Expense for Insolvent Companies</v>
      </c>
      <c r="X7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299"/>
      <c r="Z7299" t="s">
        <v>43</v>
      </c>
      <c r="AA7299" t="s">
        <v>243</v>
      </c>
      <c r="AB7299" t="s">
        <v>442</v>
      </c>
      <c r="AC7299" s="21">
        <v>229.33</v>
      </c>
      <c r="AD7299" s="21" t="s">
        <v>368</v>
      </c>
      <c r="AE7299" t="str">
        <f>VLOOKUP(Table_Query_from_Actuarial___Production3[[#This Row],[Kor1]],$AI$3:$AK$105,3,FALSE)</f>
        <v>Charge-offs</v>
      </c>
      <c r="AF7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0" spans="18:32" x14ac:dyDescent="0.2">
      <c r="R7300" t="s">
        <v>20</v>
      </c>
      <c r="S7300" t="s">
        <v>264</v>
      </c>
      <c r="T7300" t="s">
        <v>7</v>
      </c>
      <c r="U7300" s="21">
        <v>3864.51</v>
      </c>
      <c r="V7300" s="21" t="s">
        <v>368</v>
      </c>
      <c r="W7300" t="str">
        <f>VLOOKUP(Table_Query_from_Actuarial___Production[[#This Row],[Kor1]],$AI$3:$AK$105,3,FALSE)</f>
        <v>Misc. Expense</v>
      </c>
      <c r="X7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0"/>
      <c r="Z7300" t="s">
        <v>16</v>
      </c>
      <c r="AA7300" t="s">
        <v>224</v>
      </c>
      <c r="AB7300" t="s">
        <v>356</v>
      </c>
      <c r="AC7300" s="21">
        <v>32000</v>
      </c>
      <c r="AD7300" s="21" t="s">
        <v>370</v>
      </c>
      <c r="AE7300" t="str">
        <f>VLOOKUP(Table_Query_from_Actuarial___Production3[[#This Row],[Kor1]],$AI$3:$AK$105,3,FALSE)</f>
        <v>Losses Outstanding</v>
      </c>
      <c r="AF7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301" spans="18:32" x14ac:dyDescent="0.2">
      <c r="R7301" t="s">
        <v>34</v>
      </c>
      <c r="S7301" t="s">
        <v>236</v>
      </c>
      <c r="T7301" t="s">
        <v>356</v>
      </c>
      <c r="U7301" s="21">
        <v>31.81</v>
      </c>
      <c r="V7301" s="21" t="s">
        <v>368</v>
      </c>
      <c r="W7301" t="str">
        <f>VLOOKUP(Table_Query_from_Actuarial___Production[[#This Row],[Kor1]],$AI$3:$AK$105,3,FALSE)</f>
        <v>Misc. Expense</v>
      </c>
      <c r="X7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1"/>
      <c r="Z7301" t="s">
        <v>3</v>
      </c>
      <c r="AA7301" t="s">
        <v>236</v>
      </c>
      <c r="AB7301" t="s">
        <v>6</v>
      </c>
      <c r="AC7301" s="21">
        <v>42777</v>
      </c>
      <c r="AD7301" s="21" t="s">
        <v>368</v>
      </c>
      <c r="AE7301" t="str">
        <f>VLOOKUP(Table_Query_from_Actuarial___Production3[[#This Row],[Kor1]],$AI$3:$AK$105,3,FALSE)</f>
        <v>Premiums Written</v>
      </c>
      <c r="AF7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2" spans="18:32" x14ac:dyDescent="0.2">
      <c r="R7302" t="s">
        <v>37</v>
      </c>
      <c r="S7302" t="s">
        <v>258</v>
      </c>
      <c r="T7302" t="s">
        <v>356</v>
      </c>
      <c r="U7302" s="21">
        <v>1711.84</v>
      </c>
      <c r="V7302" s="21" t="s">
        <v>368</v>
      </c>
      <c r="W7302" t="str">
        <f>VLOOKUP(Table_Query_from_Actuarial___Production[[#This Row],[Kor1]],$AI$3:$AK$105,3,FALSE)</f>
        <v>Misc. Expense</v>
      </c>
      <c r="X7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2"/>
      <c r="Z7302" t="s">
        <v>3</v>
      </c>
      <c r="AA7302" t="s">
        <v>249</v>
      </c>
      <c r="AB7302" t="s">
        <v>7</v>
      </c>
      <c r="AC7302" s="21">
        <v>252269</v>
      </c>
      <c r="AD7302" s="21" t="s">
        <v>368</v>
      </c>
      <c r="AE7302" t="str">
        <f>VLOOKUP(Table_Query_from_Actuarial___Production3[[#This Row],[Kor1]],$AI$3:$AK$105,3,FALSE)</f>
        <v>Premiums Written</v>
      </c>
      <c r="AF7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3" spans="18:32" x14ac:dyDescent="0.2">
      <c r="R7303" t="s">
        <v>13</v>
      </c>
      <c r="S7303" t="s">
        <v>250</v>
      </c>
      <c r="T7303" t="s">
        <v>433</v>
      </c>
      <c r="U7303" s="21">
        <v>209176.62</v>
      </c>
      <c r="V7303" s="21" t="s">
        <v>368</v>
      </c>
      <c r="W7303" t="str">
        <f>VLOOKUP(Table_Query_from_Actuarial___Production[[#This Row],[Kor1]],$AI$3:$AK$105,3,FALSE)</f>
        <v>Operating Service Fees</v>
      </c>
      <c r="X7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3"/>
      <c r="Z7303" t="s">
        <v>12</v>
      </c>
      <c r="AA7303" t="s">
        <v>4</v>
      </c>
      <c r="AB7303" t="s">
        <v>9</v>
      </c>
      <c r="AC7303" s="21">
        <v>354592.94</v>
      </c>
      <c r="AD7303" s="21" t="s">
        <v>368</v>
      </c>
      <c r="AE7303" t="str">
        <f>VLOOKUP(Table_Query_from_Actuarial___Production3[[#This Row],[Kor1]],$AI$3:$AK$105,3,FALSE)</f>
        <v>Premium Tax</v>
      </c>
      <c r="AF7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4" spans="18:32" x14ac:dyDescent="0.2">
      <c r="R7304" t="s">
        <v>14</v>
      </c>
      <c r="S7304" t="s">
        <v>234</v>
      </c>
      <c r="T7304" t="s">
        <v>6</v>
      </c>
      <c r="U7304" s="21">
        <v>33196.33</v>
      </c>
      <c r="V7304" s="21" t="s">
        <v>368</v>
      </c>
      <c r="W7304" t="str">
        <f>VLOOKUP(Table_Query_from_Actuarial___Production[[#This Row],[Kor1]],$AI$3:$AK$105,3,FALSE)</f>
        <v>Claims Expense</v>
      </c>
      <c r="X7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4"/>
      <c r="Z7304" t="s">
        <v>15</v>
      </c>
      <c r="AA7304" t="s">
        <v>258</v>
      </c>
      <c r="AB7304" t="s">
        <v>442</v>
      </c>
      <c r="AC7304" s="21">
        <v>577296.52</v>
      </c>
      <c r="AD7304" s="21" t="s">
        <v>368</v>
      </c>
      <c r="AE7304" t="str">
        <f>VLOOKUP(Table_Query_from_Actuarial___Production3[[#This Row],[Kor1]],$AI$3:$AK$105,3,FALSE)</f>
        <v>Unearned Premiums</v>
      </c>
      <c r="AF7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5" spans="18:32" x14ac:dyDescent="0.2">
      <c r="R7305" t="s">
        <v>14</v>
      </c>
      <c r="S7305" t="s">
        <v>254</v>
      </c>
      <c r="T7305" t="s">
        <v>441</v>
      </c>
      <c r="U7305" s="21">
        <v>4380230.38</v>
      </c>
      <c r="V7305" s="21" t="s">
        <v>368</v>
      </c>
      <c r="W7305" t="str">
        <f>VLOOKUP(Table_Query_from_Actuarial___Production[[#This Row],[Kor1]],$AI$3:$AK$105,3,FALSE)</f>
        <v>Claims Expense</v>
      </c>
      <c r="X7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5"/>
      <c r="Z7305" t="s">
        <v>19</v>
      </c>
      <c r="AA7305" t="s">
        <v>244</v>
      </c>
      <c r="AB7305" t="s">
        <v>433</v>
      </c>
      <c r="AC7305" s="21">
        <v>6375.99</v>
      </c>
      <c r="AD7305" s="21" t="s">
        <v>368</v>
      </c>
      <c r="AE7305" t="str">
        <f>VLOOKUP(Table_Query_from_Actuarial___Production3[[#This Row],[Kor1]],$AI$3:$AK$105,3,FALSE)</f>
        <v>Misc. Expense for Insolvent Companies</v>
      </c>
      <c r="AF7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6" spans="18:32" x14ac:dyDescent="0.2">
      <c r="R7306" t="s">
        <v>3</v>
      </c>
      <c r="S7306" t="s">
        <v>225</v>
      </c>
      <c r="T7306" t="s">
        <v>356</v>
      </c>
      <c r="U7306" s="21">
        <v>1573614</v>
      </c>
      <c r="V7306" s="21" t="s">
        <v>368</v>
      </c>
      <c r="W7306" t="str">
        <f>VLOOKUP(Table_Query_from_Actuarial___Production[[#This Row],[Kor1]],$AI$3:$AK$105,3,FALSE)</f>
        <v>Premiums Written</v>
      </c>
      <c r="X7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306"/>
      <c r="Z7306" t="s">
        <v>20</v>
      </c>
      <c r="AA7306" t="s">
        <v>264</v>
      </c>
      <c r="AB7306" t="s">
        <v>7</v>
      </c>
      <c r="AC7306" s="21">
        <v>3864.51</v>
      </c>
      <c r="AD7306" s="21" t="s">
        <v>368</v>
      </c>
      <c r="AE7306" t="str">
        <f>VLOOKUP(Table_Query_from_Actuarial___Production3[[#This Row],[Kor1]],$AI$3:$AK$105,3,FALSE)</f>
        <v>Misc. Expense</v>
      </c>
      <c r="AF7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7" spans="18:32" x14ac:dyDescent="0.2">
      <c r="R7307" t="s">
        <v>14</v>
      </c>
      <c r="S7307" t="s">
        <v>256</v>
      </c>
      <c r="T7307" t="s">
        <v>427</v>
      </c>
      <c r="U7307" s="21">
        <v>5066.54</v>
      </c>
      <c r="V7307" s="21" t="s">
        <v>368</v>
      </c>
      <c r="W7307" t="str">
        <f>VLOOKUP(Table_Query_from_Actuarial___Production[[#This Row],[Kor1]],$AI$3:$AK$105,3,FALSE)</f>
        <v>Claims Expense</v>
      </c>
      <c r="X7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7"/>
      <c r="Z7307" t="s">
        <v>34</v>
      </c>
      <c r="AA7307" t="s">
        <v>236</v>
      </c>
      <c r="AB7307" t="s">
        <v>356</v>
      </c>
      <c r="AC7307" s="21">
        <v>31.81</v>
      </c>
      <c r="AD7307" s="21" t="s">
        <v>368</v>
      </c>
      <c r="AE7307" t="str">
        <f>VLOOKUP(Table_Query_from_Actuarial___Production3[[#This Row],[Kor1]],$AI$3:$AK$105,3,FALSE)</f>
        <v>Misc. Expense</v>
      </c>
      <c r="AF7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8" spans="18:32" x14ac:dyDescent="0.2">
      <c r="R7308" t="s">
        <v>32</v>
      </c>
      <c r="S7308" t="s">
        <v>230</v>
      </c>
      <c r="T7308" t="s">
        <v>427</v>
      </c>
      <c r="U7308" s="21">
        <v>232005.35</v>
      </c>
      <c r="V7308" s="21" t="s">
        <v>368</v>
      </c>
      <c r="W7308" t="str">
        <f>VLOOKUP(Table_Query_from_Actuarial___Production[[#This Row],[Kor1]],$AI$3:$AK$105,3,FALSE)</f>
        <v>Misc. Expense</v>
      </c>
      <c r="X7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8"/>
      <c r="Z7308" t="s">
        <v>37</v>
      </c>
      <c r="AA7308" t="s">
        <v>258</v>
      </c>
      <c r="AB7308" t="s">
        <v>356</v>
      </c>
      <c r="AC7308" s="21">
        <v>1711.84</v>
      </c>
      <c r="AD7308" s="21" t="s">
        <v>368</v>
      </c>
      <c r="AE7308" t="str">
        <f>VLOOKUP(Table_Query_from_Actuarial___Production3[[#This Row],[Kor1]],$AI$3:$AK$105,3,FALSE)</f>
        <v>Misc. Expense</v>
      </c>
      <c r="AF7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09" spans="18:32" x14ac:dyDescent="0.2">
      <c r="R7309" t="s">
        <v>41</v>
      </c>
      <c r="S7309" t="s">
        <v>254</v>
      </c>
      <c r="T7309" t="s">
        <v>445</v>
      </c>
      <c r="U7309" s="21">
        <v>3814.89</v>
      </c>
      <c r="V7309" s="21" t="s">
        <v>368</v>
      </c>
      <c r="W7309" t="str">
        <f>VLOOKUP(Table_Query_from_Actuarial___Production[[#This Row],[Kor1]],$AI$3:$AK$105,3,FALSE)</f>
        <v>Misc. Income</v>
      </c>
      <c r="X7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09"/>
      <c r="Z7309" t="s">
        <v>13</v>
      </c>
      <c r="AA7309" t="s">
        <v>250</v>
      </c>
      <c r="AB7309" t="s">
        <v>433</v>
      </c>
      <c r="AC7309" s="21">
        <v>209176.62</v>
      </c>
      <c r="AD7309" s="21" t="s">
        <v>368</v>
      </c>
      <c r="AE7309" t="str">
        <f>VLOOKUP(Table_Query_from_Actuarial___Production3[[#This Row],[Kor1]],$AI$3:$AK$105,3,FALSE)</f>
        <v>Operating Service Fees</v>
      </c>
      <c r="AF7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0" spans="18:32" x14ac:dyDescent="0.2">
      <c r="R7310" t="s">
        <v>44</v>
      </c>
      <c r="S7310" t="s">
        <v>233</v>
      </c>
      <c r="T7310" t="s">
        <v>433</v>
      </c>
      <c r="U7310" s="21">
        <v>1232.8</v>
      </c>
      <c r="V7310" s="21" t="s">
        <v>368</v>
      </c>
      <c r="W7310" t="str">
        <f>VLOOKUP(Table_Query_from_Actuarial___Production[[#This Row],[Kor1]],$AI$3:$AK$105,3,FALSE)</f>
        <v>Charge-offs</v>
      </c>
      <c r="X7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0"/>
      <c r="Z7310" t="s">
        <v>14</v>
      </c>
      <c r="AA7310" t="s">
        <v>234</v>
      </c>
      <c r="AB7310" t="s">
        <v>6</v>
      </c>
      <c r="AC7310" s="21">
        <v>33196.33</v>
      </c>
      <c r="AD7310" s="21" t="s">
        <v>368</v>
      </c>
      <c r="AE7310" t="str">
        <f>VLOOKUP(Table_Query_from_Actuarial___Production3[[#This Row],[Kor1]],$AI$3:$AK$105,3,FALSE)</f>
        <v>Claims Expense</v>
      </c>
      <c r="AF7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1" spans="18:32" x14ac:dyDescent="0.2">
      <c r="R7311" t="s">
        <v>33</v>
      </c>
      <c r="S7311" t="s">
        <v>261</v>
      </c>
      <c r="T7311" t="s">
        <v>445</v>
      </c>
      <c r="U7311" s="21">
        <v>8752.48</v>
      </c>
      <c r="V7311" s="21" t="s">
        <v>368</v>
      </c>
      <c r="W7311" t="str">
        <f>VLOOKUP(Table_Query_from_Actuarial___Production[[#This Row],[Kor1]],$AI$3:$AK$105,3,FALSE)</f>
        <v>Misc. Expense</v>
      </c>
      <c r="X7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1"/>
      <c r="Z7311" t="s">
        <v>14</v>
      </c>
      <c r="AA7311" t="s">
        <v>254</v>
      </c>
      <c r="AB7311" t="s">
        <v>441</v>
      </c>
      <c r="AC7311" s="21">
        <v>4406380.1500000004</v>
      </c>
      <c r="AD7311" s="21" t="s">
        <v>368</v>
      </c>
      <c r="AE7311" t="str">
        <f>VLOOKUP(Table_Query_from_Actuarial___Production3[[#This Row],[Kor1]],$AI$3:$AK$105,3,FALSE)</f>
        <v>Claims Expense</v>
      </c>
      <c r="AF7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2" spans="18:32" x14ac:dyDescent="0.2">
      <c r="R7312" t="s">
        <v>39</v>
      </c>
      <c r="S7312" t="s">
        <v>239</v>
      </c>
      <c r="T7312" t="s">
        <v>7</v>
      </c>
      <c r="U7312" s="21">
        <v>220</v>
      </c>
      <c r="V7312" s="21" t="s">
        <v>368</v>
      </c>
      <c r="W7312" t="str">
        <f>VLOOKUP(Table_Query_from_Actuarial___Production[[#This Row],[Kor1]],$AI$3:$AK$105,3,FALSE)</f>
        <v>Misc. Income for Insolvent Companies</v>
      </c>
      <c r="X7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2"/>
      <c r="Z7312" t="s">
        <v>3</v>
      </c>
      <c r="AA7312" t="s">
        <v>225</v>
      </c>
      <c r="AB7312" t="s">
        <v>356</v>
      </c>
      <c r="AC7312" s="21">
        <v>1573614</v>
      </c>
      <c r="AD7312" s="21" t="s">
        <v>368</v>
      </c>
      <c r="AE7312" t="str">
        <f>VLOOKUP(Table_Query_from_Actuarial___Production3[[#This Row],[Kor1]],$AI$3:$AK$105,3,FALSE)</f>
        <v>Premiums Written</v>
      </c>
      <c r="AF7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313" spans="18:32" x14ac:dyDescent="0.2">
      <c r="R7313" t="s">
        <v>15</v>
      </c>
      <c r="S7313" t="s">
        <v>239</v>
      </c>
      <c r="T7313" t="s">
        <v>443</v>
      </c>
      <c r="U7313" s="21">
        <v>561912.68999999994</v>
      </c>
      <c r="V7313" s="21" t="s">
        <v>368</v>
      </c>
      <c r="W7313" t="str">
        <f>VLOOKUP(Table_Query_from_Actuarial___Production[[#This Row],[Kor1]],$AI$3:$AK$105,3,FALSE)</f>
        <v>Unearned Premiums</v>
      </c>
      <c r="X7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3"/>
      <c r="Z7313" t="s">
        <v>14</v>
      </c>
      <c r="AA7313" t="s">
        <v>256</v>
      </c>
      <c r="AB7313" t="s">
        <v>427</v>
      </c>
      <c r="AC7313" s="21">
        <v>5066.54</v>
      </c>
      <c r="AD7313" s="21" t="s">
        <v>368</v>
      </c>
      <c r="AE7313" t="str">
        <f>VLOOKUP(Table_Query_from_Actuarial___Production3[[#This Row],[Kor1]],$AI$3:$AK$105,3,FALSE)</f>
        <v>Claims Expense</v>
      </c>
      <c r="AF7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4" spans="18:32" x14ac:dyDescent="0.2">
      <c r="R7314" t="s">
        <v>33</v>
      </c>
      <c r="S7314" t="s">
        <v>257</v>
      </c>
      <c r="T7314" t="s">
        <v>8</v>
      </c>
      <c r="U7314" s="21">
        <v>19655.36</v>
      </c>
      <c r="V7314" s="21" t="s">
        <v>368</v>
      </c>
      <c r="W7314" t="str">
        <f>VLOOKUP(Table_Query_from_Actuarial___Production[[#This Row],[Kor1]],$AI$3:$AK$105,3,FALSE)</f>
        <v>Misc. Expense</v>
      </c>
      <c r="X7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4"/>
      <c r="Z7314" t="s">
        <v>32</v>
      </c>
      <c r="AA7314" t="s">
        <v>230</v>
      </c>
      <c r="AB7314" t="s">
        <v>427</v>
      </c>
      <c r="AC7314" s="21">
        <v>232005.35</v>
      </c>
      <c r="AD7314" s="21" t="s">
        <v>368</v>
      </c>
      <c r="AE7314" t="str">
        <f>VLOOKUP(Table_Query_from_Actuarial___Production3[[#This Row],[Kor1]],$AI$3:$AK$105,3,FALSE)</f>
        <v>Misc. Expense</v>
      </c>
      <c r="AF7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5" spans="18:32" x14ac:dyDescent="0.2">
      <c r="R7315" t="s">
        <v>41</v>
      </c>
      <c r="S7315" t="s">
        <v>237</v>
      </c>
      <c r="T7315" t="s">
        <v>8</v>
      </c>
      <c r="U7315" s="21">
        <v>599.98</v>
      </c>
      <c r="V7315" s="21" t="s">
        <v>368</v>
      </c>
      <c r="W7315" t="str">
        <f>VLOOKUP(Table_Query_from_Actuarial___Production[[#This Row],[Kor1]],$AI$3:$AK$105,3,FALSE)</f>
        <v>Misc. Income</v>
      </c>
      <c r="X7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5"/>
      <c r="Z7315" t="s">
        <v>44</v>
      </c>
      <c r="AA7315" t="s">
        <v>233</v>
      </c>
      <c r="AB7315" t="s">
        <v>433</v>
      </c>
      <c r="AC7315" s="21">
        <v>1232.8</v>
      </c>
      <c r="AD7315" s="21" t="s">
        <v>368</v>
      </c>
      <c r="AE7315" t="str">
        <f>VLOOKUP(Table_Query_from_Actuarial___Production3[[#This Row],[Kor1]],$AI$3:$AK$105,3,FALSE)</f>
        <v>Charge-offs</v>
      </c>
      <c r="AF7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6" spans="18:32" x14ac:dyDescent="0.2">
      <c r="R7316" t="s">
        <v>41</v>
      </c>
      <c r="S7316" t="s">
        <v>268</v>
      </c>
      <c r="T7316" t="s">
        <v>8</v>
      </c>
      <c r="U7316" s="21">
        <v>150</v>
      </c>
      <c r="V7316" s="21" t="s">
        <v>368</v>
      </c>
      <c r="W7316" t="str">
        <f>VLOOKUP(Table_Query_from_Actuarial___Production[[#This Row],[Kor1]],$AI$3:$AK$105,3,FALSE)</f>
        <v>Misc. Income</v>
      </c>
      <c r="X7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16"/>
      <c r="Z7316" t="s">
        <v>11</v>
      </c>
      <c r="AA7316" t="s">
        <v>265</v>
      </c>
      <c r="AB7316" t="s">
        <v>5</v>
      </c>
      <c r="AC7316" s="21">
        <v>31303.43</v>
      </c>
      <c r="AD7316" s="21" t="s">
        <v>368</v>
      </c>
      <c r="AE7316" t="str">
        <f>VLOOKUP(Table_Query_from_Actuarial___Production3[[#This Row],[Kor1]],$AI$3:$AK$105,3,FALSE)</f>
        <v>Losses Paid</v>
      </c>
      <c r="AF7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7" spans="18:32" x14ac:dyDescent="0.2">
      <c r="R7317" t="s">
        <v>167</v>
      </c>
      <c r="S7317" t="s">
        <v>354</v>
      </c>
      <c r="T7317" t="s">
        <v>427</v>
      </c>
      <c r="U7317" s="21">
        <v>10335529</v>
      </c>
      <c r="V7317" s="21" t="s">
        <v>368</v>
      </c>
      <c r="W7317" t="str">
        <f>VLOOKUP(Table_Query_from_Actuarial___Production[[#This Row],[Kor1]],$AI$3:$AK$105,3,FALSE)</f>
        <v>Recoupment</v>
      </c>
      <c r="X7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317"/>
      <c r="Z7317" t="s">
        <v>39</v>
      </c>
      <c r="AA7317" t="s">
        <v>239</v>
      </c>
      <c r="AB7317" t="s">
        <v>7</v>
      </c>
      <c r="AC7317" s="21">
        <v>197</v>
      </c>
      <c r="AD7317" s="21" t="s">
        <v>368</v>
      </c>
      <c r="AE7317" t="str">
        <f>VLOOKUP(Table_Query_from_Actuarial___Production3[[#This Row],[Kor1]],$AI$3:$AK$105,3,FALSE)</f>
        <v>Misc. Income for Insolvent Companies</v>
      </c>
      <c r="AF7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8" spans="18:32" x14ac:dyDescent="0.2">
      <c r="R7318" t="s">
        <v>18</v>
      </c>
      <c r="S7318" t="s">
        <v>225</v>
      </c>
      <c r="T7318" t="s">
        <v>442</v>
      </c>
      <c r="U7318" s="21">
        <v>508640.08</v>
      </c>
      <c r="V7318" s="21" t="s">
        <v>369</v>
      </c>
      <c r="W7318" t="str">
        <f>VLOOKUP(Table_Query_from_Actuarial___Production[[#This Row],[Kor1]],$AI$3:$AK$105,3,FALSE)</f>
        <v>Misc. Expense</v>
      </c>
      <c r="X7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318"/>
      <c r="Z7318" t="s">
        <v>15</v>
      </c>
      <c r="AA7318" t="s">
        <v>239</v>
      </c>
      <c r="AB7318" t="s">
        <v>443</v>
      </c>
      <c r="AC7318" s="21">
        <v>1231021.8999999999</v>
      </c>
      <c r="AD7318" s="21" t="s">
        <v>368</v>
      </c>
      <c r="AE7318" t="str">
        <f>VLOOKUP(Table_Query_from_Actuarial___Production3[[#This Row],[Kor1]],$AI$3:$AK$105,3,FALSE)</f>
        <v>Unearned Premiums</v>
      </c>
      <c r="AF7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19" spans="18:32" x14ac:dyDescent="0.2">
      <c r="R7319" t="s">
        <v>48</v>
      </c>
      <c r="S7319" t="s">
        <v>354</v>
      </c>
      <c r="T7319" t="s">
        <v>433</v>
      </c>
      <c r="U7319" s="21">
        <v>546855.57999999996</v>
      </c>
      <c r="V7319" s="21" t="s">
        <v>369</v>
      </c>
      <c r="W7319" t="str">
        <f>VLOOKUP(Table_Query_from_Actuarial___Production[[#This Row],[Kor1]],$AI$3:$AK$105,3,FALSE)</f>
        <v>Anticipated Salvage</v>
      </c>
      <c r="X7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319"/>
      <c r="Z7319" t="s">
        <v>33</v>
      </c>
      <c r="AA7319" t="s">
        <v>257</v>
      </c>
      <c r="AB7319" t="s">
        <v>8</v>
      </c>
      <c r="AC7319" s="21">
        <v>19655.36</v>
      </c>
      <c r="AD7319" s="21" t="s">
        <v>368</v>
      </c>
      <c r="AE7319" t="str">
        <f>VLOOKUP(Table_Query_from_Actuarial___Production3[[#This Row],[Kor1]],$AI$3:$AK$105,3,FALSE)</f>
        <v>Misc. Expense</v>
      </c>
      <c r="AF7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0" spans="18:32" x14ac:dyDescent="0.2">
      <c r="R7320" t="s">
        <v>19</v>
      </c>
      <c r="S7320" t="s">
        <v>229</v>
      </c>
      <c r="T7320" t="s">
        <v>8</v>
      </c>
      <c r="U7320" s="21">
        <v>25</v>
      </c>
      <c r="V7320" s="21" t="s">
        <v>368</v>
      </c>
      <c r="W7320" t="str">
        <f>VLOOKUP(Table_Query_from_Actuarial___Production[[#This Row],[Kor1]],$AI$3:$AK$105,3,FALSE)</f>
        <v>Misc. Expense for Insolvent Companies</v>
      </c>
      <c r="X7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0"/>
      <c r="Z7320" t="s">
        <v>41</v>
      </c>
      <c r="AA7320" t="s">
        <v>237</v>
      </c>
      <c r="AB7320" t="s">
        <v>8</v>
      </c>
      <c r="AC7320" s="21">
        <v>599.98</v>
      </c>
      <c r="AD7320" s="21" t="s">
        <v>368</v>
      </c>
      <c r="AE7320" t="str">
        <f>VLOOKUP(Table_Query_from_Actuarial___Production3[[#This Row],[Kor1]],$AI$3:$AK$105,3,FALSE)</f>
        <v>Misc. Income</v>
      </c>
      <c r="AF7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1" spans="18:32" x14ac:dyDescent="0.2">
      <c r="R7321" t="s">
        <v>48</v>
      </c>
      <c r="S7321" t="s">
        <v>235</v>
      </c>
      <c r="T7321" t="s">
        <v>445</v>
      </c>
      <c r="U7321" s="21">
        <v>68.819999999999993</v>
      </c>
      <c r="V7321" s="21" t="s">
        <v>368</v>
      </c>
      <c r="W7321" t="str">
        <f>VLOOKUP(Table_Query_from_Actuarial___Production[[#This Row],[Kor1]],$AI$3:$AK$105,3,FALSE)</f>
        <v>Anticipated Salvage</v>
      </c>
      <c r="X7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1"/>
      <c r="Z7321" t="s">
        <v>41</v>
      </c>
      <c r="AA7321" t="s">
        <v>268</v>
      </c>
      <c r="AB7321" t="s">
        <v>8</v>
      </c>
      <c r="AC7321" s="21">
        <v>150</v>
      </c>
      <c r="AD7321" s="21" t="s">
        <v>368</v>
      </c>
      <c r="AE7321" t="str">
        <f>VLOOKUP(Table_Query_from_Actuarial___Production3[[#This Row],[Kor1]],$AI$3:$AK$105,3,FALSE)</f>
        <v>Misc. Income</v>
      </c>
      <c r="AF7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2" spans="18:32" x14ac:dyDescent="0.2">
      <c r="R7322" t="s">
        <v>17</v>
      </c>
      <c r="S7322" t="s">
        <v>258</v>
      </c>
      <c r="T7322" t="s">
        <v>433</v>
      </c>
      <c r="U7322" s="21">
        <v>283934.15000000002</v>
      </c>
      <c r="V7322" s="21" t="s">
        <v>368</v>
      </c>
      <c r="W7322" t="str">
        <f>VLOOKUP(Table_Query_from_Actuarial___Production[[#This Row],[Kor1]],$AI$3:$AK$105,3,FALSE)</f>
        <v>IBNR</v>
      </c>
      <c r="X7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2"/>
      <c r="Z7322" t="s">
        <v>167</v>
      </c>
      <c r="AA7322" t="s">
        <v>354</v>
      </c>
      <c r="AB7322" t="s">
        <v>427</v>
      </c>
      <c r="AC7322" s="21">
        <v>8584695</v>
      </c>
      <c r="AD7322" s="21" t="s">
        <v>368</v>
      </c>
      <c r="AE7322" t="str">
        <f>VLOOKUP(Table_Query_from_Actuarial___Production3[[#This Row],[Kor1]],$AI$3:$AK$105,3,FALSE)</f>
        <v>Recoupment</v>
      </c>
      <c r="AF7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323" spans="18:32" x14ac:dyDescent="0.2">
      <c r="R7323" t="s">
        <v>26</v>
      </c>
      <c r="S7323" t="s">
        <v>259</v>
      </c>
      <c r="T7323" t="s">
        <v>351</v>
      </c>
      <c r="U7323" s="21">
        <v>2747.35</v>
      </c>
      <c r="V7323" s="21" t="s">
        <v>368</v>
      </c>
      <c r="W7323" t="str">
        <f>VLOOKUP(Table_Query_from_Actuarial___Production[[#This Row],[Kor1]],$AI$3:$AK$105,3,FALSE)</f>
        <v>Misc. Expense</v>
      </c>
      <c r="X7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3"/>
      <c r="Z7323" t="s">
        <v>43</v>
      </c>
      <c r="AA7323" t="s">
        <v>224</v>
      </c>
      <c r="AB7323" t="s">
        <v>5</v>
      </c>
      <c r="AC7323" s="21">
        <v>835.59</v>
      </c>
      <c r="AD7323" s="21" t="s">
        <v>368</v>
      </c>
      <c r="AE7323" t="str">
        <f>VLOOKUP(Table_Query_from_Actuarial___Production3[[#This Row],[Kor1]],$AI$3:$AK$105,3,FALSE)</f>
        <v>Charge-offs</v>
      </c>
      <c r="AF7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324" spans="18:32" x14ac:dyDescent="0.2">
      <c r="R7324" t="s">
        <v>44</v>
      </c>
      <c r="S7324" t="s">
        <v>4</v>
      </c>
      <c r="T7324" t="s">
        <v>6</v>
      </c>
      <c r="U7324" s="21">
        <v>85058.67</v>
      </c>
      <c r="V7324" s="21" t="s">
        <v>368</v>
      </c>
      <c r="W7324" t="str">
        <f>VLOOKUP(Table_Query_from_Actuarial___Production[[#This Row],[Kor1]],$AI$3:$AK$105,3,FALSE)</f>
        <v>Charge-offs</v>
      </c>
      <c r="X7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4"/>
      <c r="Z7324" t="s">
        <v>18</v>
      </c>
      <c r="AA7324" t="s">
        <v>225</v>
      </c>
      <c r="AB7324" t="s">
        <v>442</v>
      </c>
      <c r="AC7324" s="21">
        <v>508640.08</v>
      </c>
      <c r="AD7324" s="21" t="s">
        <v>369</v>
      </c>
      <c r="AE7324" t="str">
        <f>VLOOKUP(Table_Query_from_Actuarial___Production3[[#This Row],[Kor1]],$AI$3:$AK$105,3,FALSE)</f>
        <v>Misc. Expense</v>
      </c>
      <c r="AF7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325" spans="18:32" x14ac:dyDescent="0.2">
      <c r="R7325" t="s">
        <v>47</v>
      </c>
      <c r="S7325" t="s">
        <v>239</v>
      </c>
      <c r="T7325" t="s">
        <v>443</v>
      </c>
      <c r="U7325" s="21">
        <v>35554.959999999999</v>
      </c>
      <c r="V7325" s="21" t="s">
        <v>368</v>
      </c>
      <c r="W7325" t="str">
        <f>VLOOKUP(Table_Query_from_Actuarial___Production[[#This Row],[Kor1]],$AI$3:$AK$105,3,FALSE)</f>
        <v>Investment Income</v>
      </c>
      <c r="X7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5"/>
      <c r="Z7325" t="s">
        <v>48</v>
      </c>
      <c r="AA7325" t="s">
        <v>354</v>
      </c>
      <c r="AB7325" t="s">
        <v>433</v>
      </c>
      <c r="AC7325" s="21">
        <v>855539.77</v>
      </c>
      <c r="AD7325" s="21" t="s">
        <v>369</v>
      </c>
      <c r="AE7325" t="str">
        <f>VLOOKUP(Table_Query_from_Actuarial___Production3[[#This Row],[Kor1]],$AI$3:$AK$105,3,FALSE)</f>
        <v>Anticipated Salvage</v>
      </c>
      <c r="AF7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326" spans="18:32" x14ac:dyDescent="0.2">
      <c r="R7326" t="s">
        <v>50</v>
      </c>
      <c r="S7326" t="s">
        <v>266</v>
      </c>
      <c r="T7326" t="s">
        <v>441</v>
      </c>
      <c r="U7326" s="21">
        <v>6419.6</v>
      </c>
      <c r="V7326" s="21" t="s">
        <v>368</v>
      </c>
      <c r="W7326" t="str">
        <f>VLOOKUP(Table_Query_from_Actuarial___Production[[#This Row],[Kor1]],$AI$3:$AK$105,3,FALSE)</f>
        <v>ALAE Reserve</v>
      </c>
      <c r="X7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6"/>
      <c r="Z7326" t="s">
        <v>19</v>
      </c>
      <c r="AA7326" t="s">
        <v>229</v>
      </c>
      <c r="AB7326" t="s">
        <v>8</v>
      </c>
      <c r="AC7326" s="21">
        <v>8</v>
      </c>
      <c r="AD7326" s="21" t="s">
        <v>368</v>
      </c>
      <c r="AE7326" t="str">
        <f>VLOOKUP(Table_Query_from_Actuarial___Production3[[#This Row],[Kor1]],$AI$3:$AK$105,3,FALSE)</f>
        <v>Misc. Expense for Insolvent Companies</v>
      </c>
      <c r="AF7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7" spans="18:32" x14ac:dyDescent="0.2">
      <c r="R7327" t="s">
        <v>13</v>
      </c>
      <c r="S7327" t="s">
        <v>234</v>
      </c>
      <c r="T7327" t="s">
        <v>9</v>
      </c>
      <c r="U7327" s="21">
        <v>116912.89</v>
      </c>
      <c r="V7327" s="21" t="s">
        <v>368</v>
      </c>
      <c r="W7327" t="str">
        <f>VLOOKUP(Table_Query_from_Actuarial___Production[[#This Row],[Kor1]],$AI$3:$AK$105,3,FALSE)</f>
        <v>Operating Service Fees</v>
      </c>
      <c r="X7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7"/>
      <c r="Z7327" t="s">
        <v>17</v>
      </c>
      <c r="AA7327" t="s">
        <v>258</v>
      </c>
      <c r="AB7327" t="s">
        <v>433</v>
      </c>
      <c r="AC7327" s="21">
        <v>230701.28</v>
      </c>
      <c r="AD7327" s="21" t="s">
        <v>368</v>
      </c>
      <c r="AE7327" t="str">
        <f>VLOOKUP(Table_Query_from_Actuarial___Production3[[#This Row],[Kor1]],$AI$3:$AK$105,3,FALSE)</f>
        <v>IBNR</v>
      </c>
      <c r="AF7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8" spans="18:32" x14ac:dyDescent="0.2">
      <c r="R7328" t="s">
        <v>31</v>
      </c>
      <c r="S7328" t="s">
        <v>265</v>
      </c>
      <c r="T7328" t="s">
        <v>7</v>
      </c>
      <c r="U7328" s="21">
        <v>1041.31</v>
      </c>
      <c r="V7328" s="21" t="s">
        <v>368</v>
      </c>
      <c r="W7328" t="str">
        <f>VLOOKUP(Table_Query_from_Actuarial___Production[[#This Row],[Kor1]],$AI$3:$AK$105,3,FALSE)</f>
        <v>Misc. Expense</v>
      </c>
      <c r="X7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8"/>
      <c r="Z7328" t="s">
        <v>26</v>
      </c>
      <c r="AA7328" t="s">
        <v>259</v>
      </c>
      <c r="AB7328" t="s">
        <v>351</v>
      </c>
      <c r="AC7328" s="21">
        <v>2747.35</v>
      </c>
      <c r="AD7328" s="21" t="s">
        <v>368</v>
      </c>
      <c r="AE7328" t="str">
        <f>VLOOKUP(Table_Query_from_Actuarial___Production3[[#This Row],[Kor1]],$AI$3:$AK$105,3,FALSE)</f>
        <v>Misc. Expense</v>
      </c>
      <c r="AF7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29" spans="18:32" x14ac:dyDescent="0.2">
      <c r="R7329" t="s">
        <v>12</v>
      </c>
      <c r="S7329" t="s">
        <v>247</v>
      </c>
      <c r="T7329" t="s">
        <v>433</v>
      </c>
      <c r="U7329" s="21">
        <v>133.87</v>
      </c>
      <c r="V7329" s="21" t="s">
        <v>368</v>
      </c>
      <c r="W7329" t="str">
        <f>VLOOKUP(Table_Query_from_Actuarial___Production[[#This Row],[Kor1]],$AI$3:$AK$105,3,FALSE)</f>
        <v>Premium Tax</v>
      </c>
      <c r="X7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29"/>
      <c r="Z7329" t="s">
        <v>44</v>
      </c>
      <c r="AA7329" t="s">
        <v>4</v>
      </c>
      <c r="AB7329" t="s">
        <v>6</v>
      </c>
      <c r="AC7329" s="21">
        <v>85058.67</v>
      </c>
      <c r="AD7329" s="21" t="s">
        <v>368</v>
      </c>
      <c r="AE7329" t="str">
        <f>VLOOKUP(Table_Query_from_Actuarial___Production3[[#This Row],[Kor1]],$AI$3:$AK$105,3,FALSE)</f>
        <v>Charge-offs</v>
      </c>
      <c r="AF7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0" spans="18:32" x14ac:dyDescent="0.2">
      <c r="R7330" t="s">
        <v>37</v>
      </c>
      <c r="S7330" t="s">
        <v>252</v>
      </c>
      <c r="T7330" t="s">
        <v>445</v>
      </c>
      <c r="U7330" s="21">
        <v>14513.63</v>
      </c>
      <c r="V7330" s="21" t="s">
        <v>368</v>
      </c>
      <c r="W7330" t="str">
        <f>VLOOKUP(Table_Query_from_Actuarial___Production[[#This Row],[Kor1]],$AI$3:$AK$105,3,FALSE)</f>
        <v>Misc. Expense</v>
      </c>
      <c r="X7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0"/>
      <c r="Z7330" t="s">
        <v>47</v>
      </c>
      <c r="AA7330" t="s">
        <v>239</v>
      </c>
      <c r="AB7330" t="s">
        <v>443</v>
      </c>
      <c r="AC7330" s="21">
        <v>3007.63</v>
      </c>
      <c r="AD7330" s="21" t="s">
        <v>368</v>
      </c>
      <c r="AE7330" t="str">
        <f>VLOOKUP(Table_Query_from_Actuarial___Production3[[#This Row],[Kor1]],$AI$3:$AK$105,3,FALSE)</f>
        <v>Investment Income</v>
      </c>
      <c r="AF7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1" spans="18:32" x14ac:dyDescent="0.2">
      <c r="R7331" t="s">
        <v>11</v>
      </c>
      <c r="S7331" t="s">
        <v>240</v>
      </c>
      <c r="T7331" t="s">
        <v>442</v>
      </c>
      <c r="U7331" s="21">
        <v>477714.04</v>
      </c>
      <c r="V7331" s="21" t="s">
        <v>368</v>
      </c>
      <c r="W7331" t="str">
        <f>VLOOKUP(Table_Query_from_Actuarial___Production[[#This Row],[Kor1]],$AI$3:$AK$105,3,FALSE)</f>
        <v>Losses Paid</v>
      </c>
      <c r="X7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1"/>
      <c r="Z7331" t="s">
        <v>50</v>
      </c>
      <c r="AA7331" t="s">
        <v>266</v>
      </c>
      <c r="AB7331" t="s">
        <v>441</v>
      </c>
      <c r="AC7331" s="21">
        <v>60045.47</v>
      </c>
      <c r="AD7331" s="21" t="s">
        <v>368</v>
      </c>
      <c r="AE7331" t="str">
        <f>VLOOKUP(Table_Query_from_Actuarial___Production3[[#This Row],[Kor1]],$AI$3:$AK$105,3,FALSE)</f>
        <v>ALAE Reserve</v>
      </c>
      <c r="AF7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2" spans="18:32" x14ac:dyDescent="0.2">
      <c r="R7332" t="s">
        <v>13</v>
      </c>
      <c r="S7332" t="s">
        <v>236</v>
      </c>
      <c r="T7332" t="s">
        <v>433</v>
      </c>
      <c r="U7332" s="21">
        <v>7613.73</v>
      </c>
      <c r="V7332" s="21" t="s">
        <v>368</v>
      </c>
      <c r="W7332" t="str">
        <f>VLOOKUP(Table_Query_from_Actuarial___Production[[#This Row],[Kor1]],$AI$3:$AK$105,3,FALSE)</f>
        <v>Operating Service Fees</v>
      </c>
      <c r="X7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2"/>
      <c r="Z7332" t="s">
        <v>13</v>
      </c>
      <c r="AA7332" t="s">
        <v>234</v>
      </c>
      <c r="AB7332" t="s">
        <v>9</v>
      </c>
      <c r="AC7332" s="21">
        <v>116912.89</v>
      </c>
      <c r="AD7332" s="21" t="s">
        <v>368</v>
      </c>
      <c r="AE7332" t="str">
        <f>VLOOKUP(Table_Query_from_Actuarial___Production3[[#This Row],[Kor1]],$AI$3:$AK$105,3,FALSE)</f>
        <v>Operating Service Fees</v>
      </c>
      <c r="AF7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3" spans="18:32" x14ac:dyDescent="0.2">
      <c r="R7333" t="s">
        <v>10</v>
      </c>
      <c r="S7333" t="s">
        <v>243</v>
      </c>
      <c r="T7333" t="s">
        <v>356</v>
      </c>
      <c r="U7333" s="21">
        <v>28407.5</v>
      </c>
      <c r="V7333" s="21" t="s">
        <v>368</v>
      </c>
      <c r="W7333" t="str">
        <f>VLOOKUP(Table_Query_from_Actuarial___Production[[#This Row],[Kor1]],$AI$3:$AK$105,3,FALSE)</f>
        <v>Commissions</v>
      </c>
      <c r="X7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3"/>
      <c r="Z7333" t="s">
        <v>31</v>
      </c>
      <c r="AA7333" t="s">
        <v>265</v>
      </c>
      <c r="AB7333" t="s">
        <v>7</v>
      </c>
      <c r="AC7333" s="21">
        <v>1041.31</v>
      </c>
      <c r="AD7333" s="21" t="s">
        <v>368</v>
      </c>
      <c r="AE7333" t="str">
        <f>VLOOKUP(Table_Query_from_Actuarial___Production3[[#This Row],[Kor1]],$AI$3:$AK$105,3,FALSE)</f>
        <v>Misc. Expense</v>
      </c>
      <c r="AF7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4" spans="18:32" x14ac:dyDescent="0.2">
      <c r="R7334" t="s">
        <v>33</v>
      </c>
      <c r="S7334" t="s">
        <v>268</v>
      </c>
      <c r="T7334" t="s">
        <v>8</v>
      </c>
      <c r="U7334" s="21">
        <v>14653.91</v>
      </c>
      <c r="V7334" s="21" t="s">
        <v>368</v>
      </c>
      <c r="W7334" t="str">
        <f>VLOOKUP(Table_Query_from_Actuarial___Production[[#This Row],[Kor1]],$AI$3:$AK$105,3,FALSE)</f>
        <v>Misc. Expense</v>
      </c>
      <c r="X7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4"/>
      <c r="Z7334" t="s">
        <v>12</v>
      </c>
      <c r="AA7334" t="s">
        <v>247</v>
      </c>
      <c r="AB7334" t="s">
        <v>433</v>
      </c>
      <c r="AC7334" s="21">
        <v>133.87</v>
      </c>
      <c r="AD7334" s="21" t="s">
        <v>368</v>
      </c>
      <c r="AE7334" t="str">
        <f>VLOOKUP(Table_Query_from_Actuarial___Production3[[#This Row],[Kor1]],$AI$3:$AK$105,3,FALSE)</f>
        <v>Premium Tax</v>
      </c>
      <c r="AF7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5" spans="18:32" x14ac:dyDescent="0.2">
      <c r="R7335" t="s">
        <v>439</v>
      </c>
      <c r="S7335" t="s">
        <v>229</v>
      </c>
      <c r="T7335" t="s">
        <v>433</v>
      </c>
      <c r="U7335" s="21">
        <v>3687</v>
      </c>
      <c r="V7335" s="21" t="s">
        <v>368</v>
      </c>
      <c r="W7335" t="str">
        <f>VLOOKUP(Table_Query_from_Actuarial___Production[[#This Row],[Kor1]],$AI$3:$AK$105,3,FALSE)</f>
        <v>Operating Service Fees</v>
      </c>
      <c r="X7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5"/>
      <c r="Z7335" t="s">
        <v>11</v>
      </c>
      <c r="AA7335" t="s">
        <v>240</v>
      </c>
      <c r="AB7335" t="s">
        <v>442</v>
      </c>
      <c r="AC7335" s="21">
        <v>214267.9</v>
      </c>
      <c r="AD7335" s="21" t="s">
        <v>368</v>
      </c>
      <c r="AE7335" t="str">
        <f>VLOOKUP(Table_Query_from_Actuarial___Production3[[#This Row],[Kor1]],$AI$3:$AK$105,3,FALSE)</f>
        <v>Losses Paid</v>
      </c>
      <c r="AF7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6" spans="18:32" x14ac:dyDescent="0.2">
      <c r="R7336" t="s">
        <v>14</v>
      </c>
      <c r="S7336" t="s">
        <v>230</v>
      </c>
      <c r="T7336" t="s">
        <v>7</v>
      </c>
      <c r="U7336" s="21">
        <v>1982109.25</v>
      </c>
      <c r="V7336" s="21" t="s">
        <v>368</v>
      </c>
      <c r="W7336" t="str">
        <f>VLOOKUP(Table_Query_from_Actuarial___Production[[#This Row],[Kor1]],$AI$3:$AK$105,3,FALSE)</f>
        <v>Claims Expense</v>
      </c>
      <c r="X7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6"/>
      <c r="Z7336" t="s">
        <v>13</v>
      </c>
      <c r="AA7336" t="s">
        <v>236</v>
      </c>
      <c r="AB7336" t="s">
        <v>433</v>
      </c>
      <c r="AC7336" s="21">
        <v>7613.73</v>
      </c>
      <c r="AD7336" s="21" t="s">
        <v>368</v>
      </c>
      <c r="AE7336" t="str">
        <f>VLOOKUP(Table_Query_from_Actuarial___Production3[[#This Row],[Kor1]],$AI$3:$AK$105,3,FALSE)</f>
        <v>Operating Service Fees</v>
      </c>
      <c r="AF7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7" spans="18:32" x14ac:dyDescent="0.2">
      <c r="R7337" t="s">
        <v>10</v>
      </c>
      <c r="S7337" t="s">
        <v>252</v>
      </c>
      <c r="T7337" t="s">
        <v>427</v>
      </c>
      <c r="U7337" s="21">
        <v>2697688.19</v>
      </c>
      <c r="V7337" s="21" t="s">
        <v>368</v>
      </c>
      <c r="W7337" t="str">
        <f>VLOOKUP(Table_Query_from_Actuarial___Production[[#This Row],[Kor1]],$AI$3:$AK$105,3,FALSE)</f>
        <v>Commissions</v>
      </c>
      <c r="X7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7"/>
      <c r="Z7337" t="s">
        <v>10</v>
      </c>
      <c r="AA7337" t="s">
        <v>243</v>
      </c>
      <c r="AB7337" t="s">
        <v>356</v>
      </c>
      <c r="AC7337" s="21">
        <v>28407.5</v>
      </c>
      <c r="AD7337" s="21" t="s">
        <v>368</v>
      </c>
      <c r="AE7337" t="str">
        <f>VLOOKUP(Table_Query_from_Actuarial___Production3[[#This Row],[Kor1]],$AI$3:$AK$105,3,FALSE)</f>
        <v>Commissions</v>
      </c>
      <c r="AF7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8" spans="18:32" x14ac:dyDescent="0.2">
      <c r="R7338" t="s">
        <v>14</v>
      </c>
      <c r="S7338" t="s">
        <v>264</v>
      </c>
      <c r="T7338" t="s">
        <v>9</v>
      </c>
      <c r="U7338" s="21">
        <v>171269.39</v>
      </c>
      <c r="V7338" s="21" t="s">
        <v>368</v>
      </c>
      <c r="W7338" t="str">
        <f>VLOOKUP(Table_Query_from_Actuarial___Production[[#This Row],[Kor1]],$AI$3:$AK$105,3,FALSE)</f>
        <v>Claims Expense</v>
      </c>
      <c r="X7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8"/>
      <c r="Z7338" t="s">
        <v>33</v>
      </c>
      <c r="AA7338" t="s">
        <v>268</v>
      </c>
      <c r="AB7338" t="s">
        <v>8</v>
      </c>
      <c r="AC7338" s="21">
        <v>14653.91</v>
      </c>
      <c r="AD7338" s="21" t="s">
        <v>368</v>
      </c>
      <c r="AE7338" t="str">
        <f>VLOOKUP(Table_Query_from_Actuarial___Production3[[#This Row],[Kor1]],$AI$3:$AK$105,3,FALSE)</f>
        <v>Misc. Expense</v>
      </c>
      <c r="AF7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39" spans="18:32" x14ac:dyDescent="0.2">
      <c r="R7339" t="s">
        <v>19</v>
      </c>
      <c r="S7339" t="s">
        <v>267</v>
      </c>
      <c r="T7339" t="s">
        <v>443</v>
      </c>
      <c r="U7339" s="21">
        <v>1098.99</v>
      </c>
      <c r="V7339" s="21" t="s">
        <v>368</v>
      </c>
      <c r="W7339" t="str">
        <f>VLOOKUP(Table_Query_from_Actuarial___Production[[#This Row],[Kor1]],$AI$3:$AK$105,3,FALSE)</f>
        <v>Misc. Expense for Insolvent Companies</v>
      </c>
      <c r="X7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39"/>
      <c r="Z7339" t="s">
        <v>439</v>
      </c>
      <c r="AA7339" t="s">
        <v>229</v>
      </c>
      <c r="AB7339" t="s">
        <v>433</v>
      </c>
      <c r="AC7339" s="21">
        <v>3687</v>
      </c>
      <c r="AD7339" s="21" t="s">
        <v>368</v>
      </c>
      <c r="AE7339" t="str">
        <f>VLOOKUP(Table_Query_from_Actuarial___Production3[[#This Row],[Kor1]],$AI$3:$AK$105,3,FALSE)</f>
        <v>Operating Service Fees</v>
      </c>
      <c r="AF7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0" spans="18:32" x14ac:dyDescent="0.2">
      <c r="R7340" t="s">
        <v>50</v>
      </c>
      <c r="S7340" t="s">
        <v>4</v>
      </c>
      <c r="T7340" t="s">
        <v>427</v>
      </c>
      <c r="U7340" s="21">
        <v>677614.38</v>
      </c>
      <c r="V7340" s="21" t="s">
        <v>368</v>
      </c>
      <c r="W7340" t="str">
        <f>VLOOKUP(Table_Query_from_Actuarial___Production[[#This Row],[Kor1]],$AI$3:$AK$105,3,FALSE)</f>
        <v>ALAE Reserve</v>
      </c>
      <c r="X7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0"/>
      <c r="Z7340" t="s">
        <v>14</v>
      </c>
      <c r="AA7340" t="s">
        <v>230</v>
      </c>
      <c r="AB7340" t="s">
        <v>7</v>
      </c>
      <c r="AC7340" s="21">
        <v>1982109.25</v>
      </c>
      <c r="AD7340" s="21" t="s">
        <v>368</v>
      </c>
      <c r="AE7340" t="str">
        <f>VLOOKUP(Table_Query_from_Actuarial___Production3[[#This Row],[Kor1]],$AI$3:$AK$105,3,FALSE)</f>
        <v>Claims Expense</v>
      </c>
      <c r="AF7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1" spans="18:32" x14ac:dyDescent="0.2">
      <c r="R7341" t="s">
        <v>20</v>
      </c>
      <c r="S7341" t="s">
        <v>259</v>
      </c>
      <c r="T7341" t="s">
        <v>445</v>
      </c>
      <c r="U7341" s="21">
        <v>28.48</v>
      </c>
      <c r="V7341" s="21" t="s">
        <v>368</v>
      </c>
      <c r="W7341" t="str">
        <f>VLOOKUP(Table_Query_from_Actuarial___Production[[#This Row],[Kor1]],$AI$3:$AK$105,3,FALSE)</f>
        <v>Misc. Expense</v>
      </c>
      <c r="X7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1"/>
      <c r="Z7341" t="s">
        <v>10</v>
      </c>
      <c r="AA7341" t="s">
        <v>252</v>
      </c>
      <c r="AB7341" t="s">
        <v>427</v>
      </c>
      <c r="AC7341" s="21">
        <v>2697688.19</v>
      </c>
      <c r="AD7341" s="21" t="s">
        <v>368</v>
      </c>
      <c r="AE7341" t="str">
        <f>VLOOKUP(Table_Query_from_Actuarial___Production3[[#This Row],[Kor1]],$AI$3:$AK$105,3,FALSE)</f>
        <v>Commissions</v>
      </c>
      <c r="AF7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2" spans="18:32" x14ac:dyDescent="0.2">
      <c r="R7342" t="s">
        <v>33</v>
      </c>
      <c r="S7342" t="s">
        <v>236</v>
      </c>
      <c r="T7342" t="s">
        <v>6</v>
      </c>
      <c r="U7342" s="21">
        <v>15314.82</v>
      </c>
      <c r="V7342" s="21" t="s">
        <v>368</v>
      </c>
      <c r="W7342" t="str">
        <f>VLOOKUP(Table_Query_from_Actuarial___Production[[#This Row],[Kor1]],$AI$3:$AK$105,3,FALSE)</f>
        <v>Misc. Expense</v>
      </c>
      <c r="X7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2"/>
      <c r="Z7342" t="s">
        <v>14</v>
      </c>
      <c r="AA7342" t="s">
        <v>264</v>
      </c>
      <c r="AB7342" t="s">
        <v>9</v>
      </c>
      <c r="AC7342" s="21">
        <v>171269.39</v>
      </c>
      <c r="AD7342" s="21" t="s">
        <v>368</v>
      </c>
      <c r="AE7342" t="str">
        <f>VLOOKUP(Table_Query_from_Actuarial___Production3[[#This Row],[Kor1]],$AI$3:$AK$105,3,FALSE)</f>
        <v>Claims Expense</v>
      </c>
      <c r="AF7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3" spans="18:32" x14ac:dyDescent="0.2">
      <c r="R7343" t="s">
        <v>46</v>
      </c>
      <c r="S7343" t="s">
        <v>224</v>
      </c>
      <c r="T7343" t="s">
        <v>442</v>
      </c>
      <c r="U7343" s="21">
        <v>895.25</v>
      </c>
      <c r="V7343" s="21" t="s">
        <v>369</v>
      </c>
      <c r="W7343" t="str">
        <f>VLOOKUP(Table_Query_from_Actuarial___Production[[#This Row],[Kor1]],$AI$3:$AK$105,3,FALSE)</f>
        <v>Investment Income</v>
      </c>
      <c r="X7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343"/>
      <c r="Z7343" t="s">
        <v>50</v>
      </c>
      <c r="AA7343" t="s">
        <v>4</v>
      </c>
      <c r="AB7343" t="s">
        <v>427</v>
      </c>
      <c r="AC7343" s="21">
        <v>914252.16</v>
      </c>
      <c r="AD7343" s="21" t="s">
        <v>368</v>
      </c>
      <c r="AE7343" t="str">
        <f>VLOOKUP(Table_Query_from_Actuarial___Production3[[#This Row],[Kor1]],$AI$3:$AK$105,3,FALSE)</f>
        <v>ALAE Reserve</v>
      </c>
      <c r="AF7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4" spans="18:32" x14ac:dyDescent="0.2">
      <c r="R7344" t="s">
        <v>44</v>
      </c>
      <c r="S7344" t="s">
        <v>226</v>
      </c>
      <c r="T7344" t="s">
        <v>6</v>
      </c>
      <c r="U7344" s="21">
        <v>154978.73000000001</v>
      </c>
      <c r="V7344" s="21" t="s">
        <v>368</v>
      </c>
      <c r="W7344" t="str">
        <f>VLOOKUP(Table_Query_from_Actuarial___Production[[#This Row],[Kor1]],$AI$3:$AK$105,3,FALSE)</f>
        <v>Charge-offs</v>
      </c>
      <c r="X7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344"/>
      <c r="Z7344" t="s">
        <v>33</v>
      </c>
      <c r="AA7344" t="s">
        <v>236</v>
      </c>
      <c r="AB7344" t="s">
        <v>6</v>
      </c>
      <c r="AC7344" s="21">
        <v>15314.82</v>
      </c>
      <c r="AD7344" s="21" t="s">
        <v>368</v>
      </c>
      <c r="AE7344" t="str">
        <f>VLOOKUP(Table_Query_from_Actuarial___Production3[[#This Row],[Kor1]],$AI$3:$AK$105,3,FALSE)</f>
        <v>Misc. Expense</v>
      </c>
      <c r="AF7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5" spans="18:32" x14ac:dyDescent="0.2">
      <c r="R7345" t="s">
        <v>37</v>
      </c>
      <c r="S7345" t="s">
        <v>250</v>
      </c>
      <c r="T7345" t="s">
        <v>7</v>
      </c>
      <c r="U7345" s="21">
        <v>650.36</v>
      </c>
      <c r="V7345" s="21" t="s">
        <v>368</v>
      </c>
      <c r="W7345" t="str">
        <f>VLOOKUP(Table_Query_from_Actuarial___Production[[#This Row],[Kor1]],$AI$3:$AK$105,3,FALSE)</f>
        <v>Misc. Expense</v>
      </c>
      <c r="X7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5"/>
      <c r="Z7345" t="s">
        <v>46</v>
      </c>
      <c r="AA7345" t="s">
        <v>224</v>
      </c>
      <c r="AB7345" t="s">
        <v>442</v>
      </c>
      <c r="AC7345" s="21">
        <v>895.25</v>
      </c>
      <c r="AD7345" s="21" t="s">
        <v>369</v>
      </c>
      <c r="AE7345" t="str">
        <f>VLOOKUP(Table_Query_from_Actuarial___Production3[[#This Row],[Kor1]],$AI$3:$AK$105,3,FALSE)</f>
        <v>Investment Income</v>
      </c>
      <c r="AF7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346" spans="18:32" x14ac:dyDescent="0.2">
      <c r="R7346" t="s">
        <v>37</v>
      </c>
      <c r="S7346" t="s">
        <v>232</v>
      </c>
      <c r="T7346" t="s">
        <v>356</v>
      </c>
      <c r="U7346" s="21">
        <v>521.05999999999995</v>
      </c>
      <c r="V7346" s="21" t="s">
        <v>368</v>
      </c>
      <c r="W7346" t="str">
        <f>VLOOKUP(Table_Query_from_Actuarial___Production[[#This Row],[Kor1]],$AI$3:$AK$105,3,FALSE)</f>
        <v>Misc. Expense</v>
      </c>
      <c r="X7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6"/>
      <c r="Z7346" t="s">
        <v>44</v>
      </c>
      <c r="AA7346" t="s">
        <v>226</v>
      </c>
      <c r="AB7346" t="s">
        <v>6</v>
      </c>
      <c r="AC7346" s="21">
        <v>154978.73000000001</v>
      </c>
      <c r="AD7346" s="21" t="s">
        <v>368</v>
      </c>
      <c r="AE7346" t="str">
        <f>VLOOKUP(Table_Query_from_Actuarial___Production3[[#This Row],[Kor1]],$AI$3:$AK$105,3,FALSE)</f>
        <v>Charge-offs</v>
      </c>
      <c r="AF7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347" spans="18:32" x14ac:dyDescent="0.2">
      <c r="R7347" t="s">
        <v>48</v>
      </c>
      <c r="S7347" t="s">
        <v>354</v>
      </c>
      <c r="T7347" t="s">
        <v>356</v>
      </c>
      <c r="U7347" s="21">
        <v>25264.99</v>
      </c>
      <c r="V7347" s="21" t="s">
        <v>368</v>
      </c>
      <c r="W7347" t="str">
        <f>VLOOKUP(Table_Query_from_Actuarial___Production[[#This Row],[Kor1]],$AI$3:$AK$105,3,FALSE)</f>
        <v>Anticipated Salvage</v>
      </c>
      <c r="X7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347"/>
      <c r="Z7347" t="s">
        <v>37</v>
      </c>
      <c r="AA7347" t="s">
        <v>250</v>
      </c>
      <c r="AB7347" t="s">
        <v>7</v>
      </c>
      <c r="AC7347" s="21">
        <v>650.36</v>
      </c>
      <c r="AD7347" s="21" t="s">
        <v>368</v>
      </c>
      <c r="AE7347" t="str">
        <f>VLOOKUP(Table_Query_from_Actuarial___Production3[[#This Row],[Kor1]],$AI$3:$AK$105,3,FALSE)</f>
        <v>Misc. Expense</v>
      </c>
      <c r="AF7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8" spans="18:32" x14ac:dyDescent="0.2">
      <c r="R7348" t="s">
        <v>50</v>
      </c>
      <c r="S7348" t="s">
        <v>241</v>
      </c>
      <c r="T7348" t="s">
        <v>433</v>
      </c>
      <c r="U7348" s="21">
        <v>3169.88</v>
      </c>
      <c r="V7348" s="21" t="s">
        <v>368</v>
      </c>
      <c r="W7348" t="str">
        <f>VLOOKUP(Table_Query_from_Actuarial___Production[[#This Row],[Kor1]],$AI$3:$AK$105,3,FALSE)</f>
        <v>ALAE Reserve</v>
      </c>
      <c r="X7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8"/>
      <c r="Z7348" t="s">
        <v>37</v>
      </c>
      <c r="AA7348" t="s">
        <v>232</v>
      </c>
      <c r="AB7348" t="s">
        <v>356</v>
      </c>
      <c r="AC7348" s="21">
        <v>521.05999999999995</v>
      </c>
      <c r="AD7348" s="21" t="s">
        <v>368</v>
      </c>
      <c r="AE7348" t="str">
        <f>VLOOKUP(Table_Query_from_Actuarial___Production3[[#This Row],[Kor1]],$AI$3:$AK$105,3,FALSE)</f>
        <v>Misc. Expense</v>
      </c>
      <c r="AF7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49" spans="18:32" x14ac:dyDescent="0.2">
      <c r="R7349" t="s">
        <v>14</v>
      </c>
      <c r="S7349" t="s">
        <v>256</v>
      </c>
      <c r="T7349" t="s">
        <v>443</v>
      </c>
      <c r="U7349" s="21">
        <v>3473.6</v>
      </c>
      <c r="V7349" s="21" t="s">
        <v>368</v>
      </c>
      <c r="W7349" t="str">
        <f>VLOOKUP(Table_Query_from_Actuarial___Production[[#This Row],[Kor1]],$AI$3:$AK$105,3,FALSE)</f>
        <v>Claims Expense</v>
      </c>
      <c r="X7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49"/>
      <c r="Z7349" t="s">
        <v>48</v>
      </c>
      <c r="AA7349" t="s">
        <v>354</v>
      </c>
      <c r="AB7349" t="s">
        <v>356</v>
      </c>
      <c r="AC7349" s="21">
        <v>29893.91</v>
      </c>
      <c r="AD7349" s="21" t="s">
        <v>368</v>
      </c>
      <c r="AE7349" t="str">
        <f>VLOOKUP(Table_Query_from_Actuarial___Production3[[#This Row],[Kor1]],$AI$3:$AK$105,3,FALSE)</f>
        <v>Anticipated Salvage</v>
      </c>
      <c r="AF7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350" spans="18:32" x14ac:dyDescent="0.2">
      <c r="R7350" t="s">
        <v>33</v>
      </c>
      <c r="S7350" t="s">
        <v>258</v>
      </c>
      <c r="T7350" t="s">
        <v>441</v>
      </c>
      <c r="U7350" s="21">
        <v>14997.96</v>
      </c>
      <c r="V7350" s="21" t="s">
        <v>368</v>
      </c>
      <c r="W7350" t="str">
        <f>VLOOKUP(Table_Query_from_Actuarial___Production[[#This Row],[Kor1]],$AI$3:$AK$105,3,FALSE)</f>
        <v>Misc. Expense</v>
      </c>
      <c r="X7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0"/>
      <c r="Z7350" t="s">
        <v>50</v>
      </c>
      <c r="AA7350" t="s">
        <v>241</v>
      </c>
      <c r="AB7350" t="s">
        <v>433</v>
      </c>
      <c r="AC7350" s="21">
        <v>1407.01</v>
      </c>
      <c r="AD7350" s="21" t="s">
        <v>368</v>
      </c>
      <c r="AE7350" t="str">
        <f>VLOOKUP(Table_Query_from_Actuarial___Production3[[#This Row],[Kor1]],$AI$3:$AK$105,3,FALSE)</f>
        <v>ALAE Reserve</v>
      </c>
      <c r="AF7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1" spans="18:32" x14ac:dyDescent="0.2">
      <c r="R7351" t="s">
        <v>21</v>
      </c>
      <c r="S7351" t="s">
        <v>242</v>
      </c>
      <c r="T7351" t="s">
        <v>443</v>
      </c>
      <c r="U7351" s="21">
        <v>230</v>
      </c>
      <c r="V7351" s="21" t="s">
        <v>368</v>
      </c>
      <c r="W7351" t="str">
        <f>VLOOKUP(Table_Query_from_Actuarial___Production[[#This Row],[Kor1]],$AI$3:$AK$105,3,FALSE)</f>
        <v>Misc. Expense</v>
      </c>
      <c r="X7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1"/>
      <c r="Z7351" t="s">
        <v>3</v>
      </c>
      <c r="AA7351" t="s">
        <v>238</v>
      </c>
      <c r="AB7351" t="s">
        <v>5</v>
      </c>
      <c r="AC7351" s="21">
        <v>43148</v>
      </c>
      <c r="AD7351" s="21" t="s">
        <v>368</v>
      </c>
      <c r="AE7351" t="str">
        <f>VLOOKUP(Table_Query_from_Actuarial___Production3[[#This Row],[Kor1]],$AI$3:$AK$105,3,FALSE)</f>
        <v>Premiums Written</v>
      </c>
      <c r="AF7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2" spans="18:32" x14ac:dyDescent="0.2">
      <c r="R7352" t="s">
        <v>33</v>
      </c>
      <c r="S7352" t="s">
        <v>259</v>
      </c>
      <c r="T7352" t="s">
        <v>8</v>
      </c>
      <c r="U7352" s="21">
        <v>17327.400000000001</v>
      </c>
      <c r="V7352" s="21" t="s">
        <v>368</v>
      </c>
      <c r="W7352" t="str">
        <f>VLOOKUP(Table_Query_from_Actuarial___Production[[#This Row],[Kor1]],$AI$3:$AK$105,3,FALSE)</f>
        <v>Misc. Expense</v>
      </c>
      <c r="X7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2"/>
      <c r="Z7352" t="s">
        <v>14</v>
      </c>
      <c r="AA7352" t="s">
        <v>256</v>
      </c>
      <c r="AB7352" t="s">
        <v>443</v>
      </c>
      <c r="AC7352" s="21">
        <v>614.34</v>
      </c>
      <c r="AD7352" s="21" t="s">
        <v>368</v>
      </c>
      <c r="AE7352" t="str">
        <f>VLOOKUP(Table_Query_from_Actuarial___Production3[[#This Row],[Kor1]],$AI$3:$AK$105,3,FALSE)</f>
        <v>Claims Expense</v>
      </c>
      <c r="AF7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3" spans="18:32" x14ac:dyDescent="0.2">
      <c r="R7353" t="s">
        <v>49</v>
      </c>
      <c r="S7353" t="s">
        <v>242</v>
      </c>
      <c r="T7353" t="s">
        <v>6</v>
      </c>
      <c r="U7353" s="21">
        <v>11103.8</v>
      </c>
      <c r="V7353" s="21" t="s">
        <v>368</v>
      </c>
      <c r="W7353" t="str">
        <f>VLOOKUP(Table_Query_from_Actuarial___Production[[#This Row],[Kor1]],$AI$3:$AK$105,3,FALSE)</f>
        <v>ALAE Paid</v>
      </c>
      <c r="X7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3"/>
      <c r="Z7353" t="s">
        <v>33</v>
      </c>
      <c r="AA7353" t="s">
        <v>258</v>
      </c>
      <c r="AB7353" t="s">
        <v>441</v>
      </c>
      <c r="AC7353" s="21">
        <v>14997.96</v>
      </c>
      <c r="AD7353" s="21" t="s">
        <v>368</v>
      </c>
      <c r="AE7353" t="str">
        <f>VLOOKUP(Table_Query_from_Actuarial___Production3[[#This Row],[Kor1]],$AI$3:$AK$105,3,FALSE)</f>
        <v>Misc. Expense</v>
      </c>
      <c r="AF7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4" spans="18:32" x14ac:dyDescent="0.2">
      <c r="R7354" t="s">
        <v>439</v>
      </c>
      <c r="S7354" t="s">
        <v>263</v>
      </c>
      <c r="T7354" t="s">
        <v>433</v>
      </c>
      <c r="U7354" s="21">
        <v>8992</v>
      </c>
      <c r="V7354" s="21" t="s">
        <v>368</v>
      </c>
      <c r="W7354" t="str">
        <f>VLOOKUP(Table_Query_from_Actuarial___Production[[#This Row],[Kor1]],$AI$3:$AK$105,3,FALSE)</f>
        <v>Operating Service Fees</v>
      </c>
      <c r="X7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4"/>
      <c r="Z7354" t="s">
        <v>21</v>
      </c>
      <c r="AA7354" t="s">
        <v>242</v>
      </c>
      <c r="AB7354" t="s">
        <v>443</v>
      </c>
      <c r="AC7354" s="21">
        <v>230</v>
      </c>
      <c r="AD7354" s="21" t="s">
        <v>368</v>
      </c>
      <c r="AE7354" t="str">
        <f>VLOOKUP(Table_Query_from_Actuarial___Production3[[#This Row],[Kor1]],$AI$3:$AK$105,3,FALSE)</f>
        <v>Misc. Expense</v>
      </c>
      <c r="AF7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5" spans="18:32" x14ac:dyDescent="0.2">
      <c r="R7355" t="s">
        <v>39</v>
      </c>
      <c r="S7355" t="s">
        <v>246</v>
      </c>
      <c r="T7355" t="s">
        <v>9</v>
      </c>
      <c r="U7355" s="21">
        <v>4149</v>
      </c>
      <c r="V7355" s="21" t="s">
        <v>368</v>
      </c>
      <c r="W7355" t="str">
        <f>VLOOKUP(Table_Query_from_Actuarial___Production[[#This Row],[Kor1]],$AI$3:$AK$105,3,FALSE)</f>
        <v>Misc. Income for Insolvent Companies</v>
      </c>
      <c r="X7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5"/>
      <c r="Z7355" t="s">
        <v>33</v>
      </c>
      <c r="AA7355" t="s">
        <v>259</v>
      </c>
      <c r="AB7355" t="s">
        <v>8</v>
      </c>
      <c r="AC7355" s="21">
        <v>17327.400000000001</v>
      </c>
      <c r="AD7355" s="21" t="s">
        <v>368</v>
      </c>
      <c r="AE7355" t="str">
        <f>VLOOKUP(Table_Query_from_Actuarial___Production3[[#This Row],[Kor1]],$AI$3:$AK$105,3,FALSE)</f>
        <v>Misc. Expense</v>
      </c>
      <c r="AF7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6" spans="18:32" x14ac:dyDescent="0.2">
      <c r="R7356" t="s">
        <v>3</v>
      </c>
      <c r="S7356" t="s">
        <v>225</v>
      </c>
      <c r="T7356" t="s">
        <v>433</v>
      </c>
      <c r="U7356" s="21">
        <v>439511</v>
      </c>
      <c r="V7356" s="21" t="s">
        <v>369</v>
      </c>
      <c r="W7356" t="str">
        <f>VLOOKUP(Table_Query_from_Actuarial___Production[[#This Row],[Kor1]],$AI$3:$AK$105,3,FALSE)</f>
        <v>Premiums Written</v>
      </c>
      <c r="X7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356"/>
      <c r="Z7356" t="s">
        <v>49</v>
      </c>
      <c r="AA7356" t="s">
        <v>242</v>
      </c>
      <c r="AB7356" t="s">
        <v>6</v>
      </c>
      <c r="AC7356" s="21">
        <v>9436.7999999999993</v>
      </c>
      <c r="AD7356" s="21" t="s">
        <v>368</v>
      </c>
      <c r="AE7356" t="str">
        <f>VLOOKUP(Table_Query_from_Actuarial___Production3[[#This Row],[Kor1]],$AI$3:$AK$105,3,FALSE)</f>
        <v>ALAE Paid</v>
      </c>
      <c r="AF7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7" spans="18:32" x14ac:dyDescent="0.2">
      <c r="R7357" t="s">
        <v>13</v>
      </c>
      <c r="S7357" t="s">
        <v>230</v>
      </c>
      <c r="T7357" t="s">
        <v>445</v>
      </c>
      <c r="U7357" s="21">
        <v>901099.8</v>
      </c>
      <c r="V7357" s="21" t="s">
        <v>368</v>
      </c>
      <c r="W7357" t="str">
        <f>VLOOKUP(Table_Query_from_Actuarial___Production[[#This Row],[Kor1]],$AI$3:$AK$105,3,FALSE)</f>
        <v>Operating Service Fees</v>
      </c>
      <c r="X7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7"/>
      <c r="Z7357" t="s">
        <v>439</v>
      </c>
      <c r="AA7357" t="s">
        <v>263</v>
      </c>
      <c r="AB7357" t="s">
        <v>433</v>
      </c>
      <c r="AC7357" s="21">
        <v>8992</v>
      </c>
      <c r="AD7357" s="21" t="s">
        <v>368</v>
      </c>
      <c r="AE7357" t="str">
        <f>VLOOKUP(Table_Query_from_Actuarial___Production3[[#This Row],[Kor1]],$AI$3:$AK$105,3,FALSE)</f>
        <v>Operating Service Fees</v>
      </c>
      <c r="AF7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8" spans="18:32" x14ac:dyDescent="0.2">
      <c r="R7358" t="s">
        <v>43</v>
      </c>
      <c r="S7358" t="s">
        <v>267</v>
      </c>
      <c r="T7358" t="s">
        <v>6</v>
      </c>
      <c r="U7358" s="21">
        <v>5.26</v>
      </c>
      <c r="V7358" s="21" t="s">
        <v>368</v>
      </c>
      <c r="W7358" t="str">
        <f>VLOOKUP(Table_Query_from_Actuarial___Production[[#This Row],[Kor1]],$AI$3:$AK$105,3,FALSE)</f>
        <v>Charge-offs</v>
      </c>
      <c r="X7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8"/>
      <c r="Z7358" t="s">
        <v>39</v>
      </c>
      <c r="AA7358" t="s">
        <v>246</v>
      </c>
      <c r="AB7358" t="s">
        <v>9</v>
      </c>
      <c r="AC7358" s="21">
        <v>2897</v>
      </c>
      <c r="AD7358" s="21" t="s">
        <v>368</v>
      </c>
      <c r="AE7358" t="str">
        <f>VLOOKUP(Table_Query_from_Actuarial___Production3[[#This Row],[Kor1]],$AI$3:$AK$105,3,FALSE)</f>
        <v>Misc. Income for Insolvent Companies</v>
      </c>
      <c r="AF7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59" spans="18:32" x14ac:dyDescent="0.2">
      <c r="R7359" t="s">
        <v>20</v>
      </c>
      <c r="S7359" t="s">
        <v>255</v>
      </c>
      <c r="T7359" t="s">
        <v>427</v>
      </c>
      <c r="U7359" s="21">
        <v>170.22</v>
      </c>
      <c r="V7359" s="21" t="s">
        <v>368</v>
      </c>
      <c r="W7359" t="str">
        <f>VLOOKUP(Table_Query_from_Actuarial___Production[[#This Row],[Kor1]],$AI$3:$AK$105,3,FALSE)</f>
        <v>Misc. Expense</v>
      </c>
      <c r="X7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59"/>
      <c r="Z7359" t="s">
        <v>3</v>
      </c>
      <c r="AA7359" t="s">
        <v>225</v>
      </c>
      <c r="AB7359" t="s">
        <v>433</v>
      </c>
      <c r="AC7359" s="21">
        <v>439680</v>
      </c>
      <c r="AD7359" s="21" t="s">
        <v>369</v>
      </c>
      <c r="AE7359" t="str">
        <f>VLOOKUP(Table_Query_from_Actuarial___Production3[[#This Row],[Kor1]],$AI$3:$AK$105,3,FALSE)</f>
        <v>Premiums Written</v>
      </c>
      <c r="AF7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360" spans="18:32" x14ac:dyDescent="0.2">
      <c r="R7360" t="s">
        <v>17</v>
      </c>
      <c r="S7360" t="s">
        <v>225</v>
      </c>
      <c r="T7360" t="s">
        <v>427</v>
      </c>
      <c r="U7360" s="21">
        <v>753</v>
      </c>
      <c r="V7360" s="21" t="s">
        <v>369</v>
      </c>
      <c r="W7360" t="str">
        <f>VLOOKUP(Table_Query_from_Actuarial___Production[[#This Row],[Kor1]],$AI$3:$AK$105,3,FALSE)</f>
        <v>IBNR</v>
      </c>
      <c r="X7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360"/>
      <c r="Z7360" t="s">
        <v>43</v>
      </c>
      <c r="AA7360" t="s">
        <v>267</v>
      </c>
      <c r="AB7360" t="s">
        <v>6</v>
      </c>
      <c r="AC7360" s="21">
        <v>5.26</v>
      </c>
      <c r="AD7360" s="21" t="s">
        <v>368</v>
      </c>
      <c r="AE7360" t="str">
        <f>VLOOKUP(Table_Query_from_Actuarial___Production3[[#This Row],[Kor1]],$AI$3:$AK$105,3,FALSE)</f>
        <v>Charge-offs</v>
      </c>
      <c r="AF7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1" spans="18:32" x14ac:dyDescent="0.2">
      <c r="R7361" t="s">
        <v>37</v>
      </c>
      <c r="S7361" t="s">
        <v>244</v>
      </c>
      <c r="T7361" t="s">
        <v>6</v>
      </c>
      <c r="U7361" s="21">
        <v>2124.0700000000002</v>
      </c>
      <c r="V7361" s="21" t="s">
        <v>368</v>
      </c>
      <c r="W7361" t="str">
        <f>VLOOKUP(Table_Query_from_Actuarial___Production[[#This Row],[Kor1]],$AI$3:$AK$105,3,FALSE)</f>
        <v>Misc. Expense</v>
      </c>
      <c r="X7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1"/>
      <c r="Z7361" t="s">
        <v>20</v>
      </c>
      <c r="AA7361" t="s">
        <v>255</v>
      </c>
      <c r="AB7361" t="s">
        <v>427</v>
      </c>
      <c r="AC7361" s="21">
        <v>170.22</v>
      </c>
      <c r="AD7361" s="21" t="s">
        <v>368</v>
      </c>
      <c r="AE7361" t="str">
        <f>VLOOKUP(Table_Query_from_Actuarial___Production3[[#This Row],[Kor1]],$AI$3:$AK$105,3,FALSE)</f>
        <v>Misc. Expense</v>
      </c>
      <c r="AF7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2" spans="18:32" x14ac:dyDescent="0.2">
      <c r="R7362" t="s">
        <v>43</v>
      </c>
      <c r="S7362" t="s">
        <v>257</v>
      </c>
      <c r="T7362" t="s">
        <v>442</v>
      </c>
      <c r="U7362" s="21">
        <v>9696.76</v>
      </c>
      <c r="V7362" s="21" t="s">
        <v>368</v>
      </c>
      <c r="W7362" t="str">
        <f>VLOOKUP(Table_Query_from_Actuarial___Production[[#This Row],[Kor1]],$AI$3:$AK$105,3,FALSE)</f>
        <v>Charge-offs</v>
      </c>
      <c r="X7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2"/>
      <c r="Z7362" t="s">
        <v>19</v>
      </c>
      <c r="AA7362" t="s">
        <v>233</v>
      </c>
      <c r="AB7362" t="s">
        <v>5</v>
      </c>
      <c r="AC7362" s="21">
        <v>5414</v>
      </c>
      <c r="AD7362" s="21" t="s">
        <v>368</v>
      </c>
      <c r="AE7362" t="str">
        <f>VLOOKUP(Table_Query_from_Actuarial___Production3[[#This Row],[Kor1]],$AI$3:$AK$105,3,FALSE)</f>
        <v>Misc. Expense for Insolvent Companies</v>
      </c>
      <c r="AF7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3" spans="18:32" x14ac:dyDescent="0.2">
      <c r="R7363" t="s">
        <v>17</v>
      </c>
      <c r="S7363" t="s">
        <v>232</v>
      </c>
      <c r="T7363" t="s">
        <v>442</v>
      </c>
      <c r="U7363" s="21">
        <v>274057.2</v>
      </c>
      <c r="V7363" s="21" t="s">
        <v>368</v>
      </c>
      <c r="W7363" t="str">
        <f>VLOOKUP(Table_Query_from_Actuarial___Production[[#This Row],[Kor1]],$AI$3:$AK$105,3,FALSE)</f>
        <v>IBNR</v>
      </c>
      <c r="X7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3"/>
      <c r="Z7363" t="s">
        <v>17</v>
      </c>
      <c r="AA7363" t="s">
        <v>225</v>
      </c>
      <c r="AB7363" t="s">
        <v>427</v>
      </c>
      <c r="AC7363" s="21">
        <v>3610.3</v>
      </c>
      <c r="AD7363" s="21" t="s">
        <v>369</v>
      </c>
      <c r="AE7363" t="str">
        <f>VLOOKUP(Table_Query_from_Actuarial___Production3[[#This Row],[Kor1]],$AI$3:$AK$105,3,FALSE)</f>
        <v>IBNR</v>
      </c>
      <c r="AF7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364" spans="18:32" x14ac:dyDescent="0.2">
      <c r="R7364" t="s">
        <v>50</v>
      </c>
      <c r="S7364" t="s">
        <v>4</v>
      </c>
      <c r="T7364" t="s">
        <v>443</v>
      </c>
      <c r="U7364" s="21">
        <v>93097.51</v>
      </c>
      <c r="V7364" s="21" t="s">
        <v>368</v>
      </c>
      <c r="W7364" t="str">
        <f>VLOOKUP(Table_Query_from_Actuarial___Production[[#This Row],[Kor1]],$AI$3:$AK$105,3,FALSE)</f>
        <v>ALAE Reserve</v>
      </c>
      <c r="X7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4"/>
      <c r="Z7364" t="s">
        <v>37</v>
      </c>
      <c r="AA7364" t="s">
        <v>244</v>
      </c>
      <c r="AB7364" t="s">
        <v>6</v>
      </c>
      <c r="AC7364" s="21">
        <v>2124.0700000000002</v>
      </c>
      <c r="AD7364" s="21" t="s">
        <v>368</v>
      </c>
      <c r="AE7364" t="str">
        <f>VLOOKUP(Table_Query_from_Actuarial___Production3[[#This Row],[Kor1]],$AI$3:$AK$105,3,FALSE)</f>
        <v>Misc. Expense</v>
      </c>
      <c r="AF7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5" spans="18:32" x14ac:dyDescent="0.2">
      <c r="R7365" t="s">
        <v>20</v>
      </c>
      <c r="S7365" t="s">
        <v>263</v>
      </c>
      <c r="T7365" t="s">
        <v>445</v>
      </c>
      <c r="U7365" s="21">
        <v>28.47</v>
      </c>
      <c r="V7365" s="21" t="s">
        <v>368</v>
      </c>
      <c r="W7365" t="str">
        <f>VLOOKUP(Table_Query_from_Actuarial___Production[[#This Row],[Kor1]],$AI$3:$AK$105,3,FALSE)</f>
        <v>Misc. Expense</v>
      </c>
      <c r="X7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5"/>
      <c r="Z7365" t="s">
        <v>44</v>
      </c>
      <c r="AA7365" t="s">
        <v>224</v>
      </c>
      <c r="AB7365" t="s">
        <v>5</v>
      </c>
      <c r="AC7365" s="21">
        <v>3034.03</v>
      </c>
      <c r="AD7365" s="21" t="s">
        <v>369</v>
      </c>
      <c r="AE7365" t="str">
        <f>VLOOKUP(Table_Query_from_Actuarial___Production3[[#This Row],[Kor1]],$AI$3:$AK$105,3,FALSE)</f>
        <v>Charge-offs</v>
      </c>
      <c r="AF7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366" spans="18:32" x14ac:dyDescent="0.2">
      <c r="R7366" t="s">
        <v>44</v>
      </c>
      <c r="S7366" t="s">
        <v>237</v>
      </c>
      <c r="T7366" t="s">
        <v>433</v>
      </c>
      <c r="U7366" s="21">
        <v>956363.13</v>
      </c>
      <c r="V7366" s="21" t="s">
        <v>368</v>
      </c>
      <c r="W7366" t="str">
        <f>VLOOKUP(Table_Query_from_Actuarial___Production[[#This Row],[Kor1]],$AI$3:$AK$105,3,FALSE)</f>
        <v>Charge-offs</v>
      </c>
      <c r="X7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6"/>
      <c r="Z7366" t="s">
        <v>43</v>
      </c>
      <c r="AA7366" t="s">
        <v>257</v>
      </c>
      <c r="AB7366" t="s">
        <v>442</v>
      </c>
      <c r="AC7366" s="21">
        <v>3419.44</v>
      </c>
      <c r="AD7366" s="21" t="s">
        <v>368</v>
      </c>
      <c r="AE7366" t="str">
        <f>VLOOKUP(Table_Query_from_Actuarial___Production3[[#This Row],[Kor1]],$AI$3:$AK$105,3,FALSE)</f>
        <v>Charge-offs</v>
      </c>
      <c r="AF7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7" spans="18:32" x14ac:dyDescent="0.2">
      <c r="R7367" t="s">
        <v>12</v>
      </c>
      <c r="S7367" t="s">
        <v>244</v>
      </c>
      <c r="T7367" t="s">
        <v>427</v>
      </c>
      <c r="U7367" s="21">
        <v>48115.48</v>
      </c>
      <c r="V7367" s="21" t="s">
        <v>368</v>
      </c>
      <c r="W7367" t="str">
        <f>VLOOKUP(Table_Query_from_Actuarial___Production[[#This Row],[Kor1]],$AI$3:$AK$105,3,FALSE)</f>
        <v>Premium Tax</v>
      </c>
      <c r="X7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7"/>
      <c r="Z7367" t="s">
        <v>17</v>
      </c>
      <c r="AA7367" t="s">
        <v>232</v>
      </c>
      <c r="AB7367" t="s">
        <v>442</v>
      </c>
      <c r="AC7367" s="21">
        <v>297849.18</v>
      </c>
      <c r="AD7367" s="21" t="s">
        <v>368</v>
      </c>
      <c r="AE7367" t="str">
        <f>VLOOKUP(Table_Query_from_Actuarial___Production3[[#This Row],[Kor1]],$AI$3:$AK$105,3,FALSE)</f>
        <v>IBNR</v>
      </c>
      <c r="AF7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8" spans="18:32" x14ac:dyDescent="0.2">
      <c r="R7368" t="s">
        <v>16</v>
      </c>
      <c r="S7368" t="s">
        <v>242</v>
      </c>
      <c r="T7368" t="s">
        <v>356</v>
      </c>
      <c r="U7368" s="21">
        <v>177832.92</v>
      </c>
      <c r="V7368" s="21" t="s">
        <v>368</v>
      </c>
      <c r="W7368" t="str">
        <f>VLOOKUP(Table_Query_from_Actuarial___Production[[#This Row],[Kor1]],$AI$3:$AK$105,3,FALSE)</f>
        <v>Losses Outstanding</v>
      </c>
      <c r="X7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8"/>
      <c r="Z7368" t="s">
        <v>44</v>
      </c>
      <c r="AA7368" t="s">
        <v>237</v>
      </c>
      <c r="AB7368" t="s">
        <v>433</v>
      </c>
      <c r="AC7368" s="21">
        <v>947432.13</v>
      </c>
      <c r="AD7368" s="21" t="s">
        <v>368</v>
      </c>
      <c r="AE7368" t="str">
        <f>VLOOKUP(Table_Query_from_Actuarial___Production3[[#This Row],[Kor1]],$AI$3:$AK$105,3,FALSE)</f>
        <v>Charge-offs</v>
      </c>
      <c r="AF7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69" spans="18:32" x14ac:dyDescent="0.2">
      <c r="R7369" t="s">
        <v>41</v>
      </c>
      <c r="S7369" t="s">
        <v>249</v>
      </c>
      <c r="T7369" t="s">
        <v>9</v>
      </c>
      <c r="U7369" s="21">
        <v>350</v>
      </c>
      <c r="V7369" s="21" t="s">
        <v>368</v>
      </c>
      <c r="W7369" t="str">
        <f>VLOOKUP(Table_Query_from_Actuarial___Production[[#This Row],[Kor1]],$AI$3:$AK$105,3,FALSE)</f>
        <v>Misc. Income</v>
      </c>
      <c r="X7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69"/>
      <c r="Z7369" t="s">
        <v>12</v>
      </c>
      <c r="AA7369" t="s">
        <v>244</v>
      </c>
      <c r="AB7369" t="s">
        <v>427</v>
      </c>
      <c r="AC7369" s="21">
        <v>48115.48</v>
      </c>
      <c r="AD7369" s="21" t="s">
        <v>368</v>
      </c>
      <c r="AE7369" t="str">
        <f>VLOOKUP(Table_Query_from_Actuarial___Production3[[#This Row],[Kor1]],$AI$3:$AK$105,3,FALSE)</f>
        <v>Premium Tax</v>
      </c>
      <c r="AF7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0" spans="18:32" x14ac:dyDescent="0.2">
      <c r="R7370" t="s">
        <v>33</v>
      </c>
      <c r="S7370" t="s">
        <v>250</v>
      </c>
      <c r="T7370" t="s">
        <v>442</v>
      </c>
      <c r="U7370" s="21">
        <v>31342.36</v>
      </c>
      <c r="V7370" s="21" t="s">
        <v>368</v>
      </c>
      <c r="W7370" t="str">
        <f>VLOOKUP(Table_Query_from_Actuarial___Production[[#This Row],[Kor1]],$AI$3:$AK$105,3,FALSE)</f>
        <v>Misc. Expense</v>
      </c>
      <c r="X7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0"/>
      <c r="Z7370" t="s">
        <v>16</v>
      </c>
      <c r="AA7370" t="s">
        <v>242</v>
      </c>
      <c r="AB7370" t="s">
        <v>356</v>
      </c>
      <c r="AC7370" s="21">
        <v>335256.28999999998</v>
      </c>
      <c r="AD7370" s="21" t="s">
        <v>368</v>
      </c>
      <c r="AE7370" t="str">
        <f>VLOOKUP(Table_Query_from_Actuarial___Production3[[#This Row],[Kor1]],$AI$3:$AK$105,3,FALSE)</f>
        <v>Losses Outstanding</v>
      </c>
      <c r="AF7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1" spans="18:32" x14ac:dyDescent="0.2">
      <c r="R7371" t="s">
        <v>11</v>
      </c>
      <c r="S7371" t="s">
        <v>255</v>
      </c>
      <c r="T7371" t="s">
        <v>7</v>
      </c>
      <c r="U7371" s="21">
        <v>12667.36</v>
      </c>
      <c r="V7371" s="21" t="s">
        <v>368</v>
      </c>
      <c r="W7371" t="str">
        <f>VLOOKUP(Table_Query_from_Actuarial___Production[[#This Row],[Kor1]],$AI$3:$AK$105,3,FALSE)</f>
        <v>Losses Paid</v>
      </c>
      <c r="X7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1"/>
      <c r="Z7371" t="s">
        <v>41</v>
      </c>
      <c r="AA7371" t="s">
        <v>249</v>
      </c>
      <c r="AB7371" t="s">
        <v>9</v>
      </c>
      <c r="AC7371" s="21">
        <v>350</v>
      </c>
      <c r="AD7371" s="21" t="s">
        <v>368</v>
      </c>
      <c r="AE7371" t="str">
        <f>VLOOKUP(Table_Query_from_Actuarial___Production3[[#This Row],[Kor1]],$AI$3:$AK$105,3,FALSE)</f>
        <v>Misc. Income</v>
      </c>
      <c r="AF7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2" spans="18:32" x14ac:dyDescent="0.2">
      <c r="R7372" t="s">
        <v>15</v>
      </c>
      <c r="S7372" t="s">
        <v>263</v>
      </c>
      <c r="T7372" t="s">
        <v>445</v>
      </c>
      <c r="U7372" s="21">
        <v>33821.230000000003</v>
      </c>
      <c r="V7372" s="21" t="s">
        <v>368</v>
      </c>
      <c r="W7372" t="str">
        <f>VLOOKUP(Table_Query_from_Actuarial___Production[[#This Row],[Kor1]],$AI$3:$AK$105,3,FALSE)</f>
        <v>Unearned Premiums</v>
      </c>
      <c r="X7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2"/>
      <c r="Z7372" t="s">
        <v>47</v>
      </c>
      <c r="AA7372" t="s">
        <v>251</v>
      </c>
      <c r="AB7372" t="s">
        <v>5</v>
      </c>
      <c r="AC7372" s="21">
        <v>0.92</v>
      </c>
      <c r="AD7372" s="21" t="s">
        <v>368</v>
      </c>
      <c r="AE7372" t="str">
        <f>VLOOKUP(Table_Query_from_Actuarial___Production3[[#This Row],[Kor1]],$AI$3:$AK$105,3,FALSE)</f>
        <v>Investment Income</v>
      </c>
      <c r="AF7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3" spans="18:32" x14ac:dyDescent="0.2">
      <c r="R7373" t="s">
        <v>44</v>
      </c>
      <c r="S7373" t="s">
        <v>266</v>
      </c>
      <c r="T7373" t="s">
        <v>442</v>
      </c>
      <c r="U7373" s="21">
        <v>24253.46</v>
      </c>
      <c r="V7373" s="21" t="s">
        <v>368</v>
      </c>
      <c r="W7373" t="str">
        <f>VLOOKUP(Table_Query_from_Actuarial___Production[[#This Row],[Kor1]],$AI$3:$AK$105,3,FALSE)</f>
        <v>Charge-offs</v>
      </c>
      <c r="X7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3"/>
      <c r="Z7373" t="s">
        <v>33</v>
      </c>
      <c r="AA7373" t="s">
        <v>250</v>
      </c>
      <c r="AB7373" t="s">
        <v>442</v>
      </c>
      <c r="AC7373" s="21">
        <v>31342.36</v>
      </c>
      <c r="AD7373" s="21" t="s">
        <v>368</v>
      </c>
      <c r="AE7373" t="str">
        <f>VLOOKUP(Table_Query_from_Actuarial___Production3[[#This Row],[Kor1]],$AI$3:$AK$105,3,FALSE)</f>
        <v>Misc. Expense</v>
      </c>
      <c r="AF7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4" spans="18:32" x14ac:dyDescent="0.2">
      <c r="R7374" t="s">
        <v>15</v>
      </c>
      <c r="S7374" t="s">
        <v>237</v>
      </c>
      <c r="T7374" t="s">
        <v>445</v>
      </c>
      <c r="U7374" s="21">
        <v>21034555.100000001</v>
      </c>
      <c r="V7374" s="21" t="s">
        <v>368</v>
      </c>
      <c r="W7374" t="str">
        <f>VLOOKUP(Table_Query_from_Actuarial___Production[[#This Row],[Kor1]],$AI$3:$AK$105,3,FALSE)</f>
        <v>Unearned Premiums</v>
      </c>
      <c r="X7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4"/>
      <c r="Z7374" t="s">
        <v>11</v>
      </c>
      <c r="AA7374" t="s">
        <v>255</v>
      </c>
      <c r="AB7374" t="s">
        <v>7</v>
      </c>
      <c r="AC7374" s="21">
        <v>12667.36</v>
      </c>
      <c r="AD7374" s="21" t="s">
        <v>368</v>
      </c>
      <c r="AE7374" t="str">
        <f>VLOOKUP(Table_Query_from_Actuarial___Production3[[#This Row],[Kor1]],$AI$3:$AK$105,3,FALSE)</f>
        <v>Losses Paid</v>
      </c>
      <c r="AF7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5" spans="18:32" x14ac:dyDescent="0.2">
      <c r="R7375" t="s">
        <v>37</v>
      </c>
      <c r="S7375" t="s">
        <v>234</v>
      </c>
      <c r="T7375" t="s">
        <v>445</v>
      </c>
      <c r="U7375" s="21">
        <v>94.51</v>
      </c>
      <c r="V7375" s="21" t="s">
        <v>368</v>
      </c>
      <c r="W7375" t="str">
        <f>VLOOKUP(Table_Query_from_Actuarial___Production[[#This Row],[Kor1]],$AI$3:$AK$105,3,FALSE)</f>
        <v>Misc. Expense</v>
      </c>
      <c r="X7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5"/>
      <c r="Z7375" t="s">
        <v>44</v>
      </c>
      <c r="AA7375" t="s">
        <v>266</v>
      </c>
      <c r="AB7375" t="s">
        <v>442</v>
      </c>
      <c r="AC7375" s="21">
        <v>18086.75</v>
      </c>
      <c r="AD7375" s="21" t="s">
        <v>368</v>
      </c>
      <c r="AE7375" t="str">
        <f>VLOOKUP(Table_Query_from_Actuarial___Production3[[#This Row],[Kor1]],$AI$3:$AK$105,3,FALSE)</f>
        <v>Charge-offs</v>
      </c>
      <c r="AF7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6" spans="18:32" x14ac:dyDescent="0.2">
      <c r="R7376" t="s">
        <v>20</v>
      </c>
      <c r="S7376" t="s">
        <v>4</v>
      </c>
      <c r="T7376" t="s">
        <v>441</v>
      </c>
      <c r="U7376" s="21">
        <v>4497.1899999999996</v>
      </c>
      <c r="V7376" s="21" t="s">
        <v>368</v>
      </c>
      <c r="W7376" t="str">
        <f>VLOOKUP(Table_Query_from_Actuarial___Production[[#This Row],[Kor1]],$AI$3:$AK$105,3,FALSE)</f>
        <v>Misc. Expense</v>
      </c>
      <c r="X7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6"/>
      <c r="Z7376" t="s">
        <v>11</v>
      </c>
      <c r="AA7376" t="s">
        <v>354</v>
      </c>
      <c r="AB7376" t="s">
        <v>5</v>
      </c>
      <c r="AC7376" s="21">
        <v>606651029.34000003</v>
      </c>
      <c r="AD7376" s="21" t="s">
        <v>369</v>
      </c>
      <c r="AE7376" t="str">
        <f>VLOOKUP(Table_Query_from_Actuarial___Production3[[#This Row],[Kor1]],$AI$3:$AK$105,3,FALSE)</f>
        <v>Losses Paid</v>
      </c>
      <c r="AF7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377" spans="18:32" x14ac:dyDescent="0.2">
      <c r="R7377" t="s">
        <v>21</v>
      </c>
      <c r="S7377" t="s">
        <v>251</v>
      </c>
      <c r="T7377" t="s">
        <v>6</v>
      </c>
      <c r="U7377" s="21">
        <v>1254.08</v>
      </c>
      <c r="V7377" s="21" t="s">
        <v>368</v>
      </c>
      <c r="W7377" t="str">
        <f>VLOOKUP(Table_Query_from_Actuarial___Production[[#This Row],[Kor1]],$AI$3:$AK$105,3,FALSE)</f>
        <v>Misc. Expense</v>
      </c>
      <c r="X7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7"/>
      <c r="Z7377" t="s">
        <v>20</v>
      </c>
      <c r="AA7377" t="s">
        <v>4</v>
      </c>
      <c r="AB7377" t="s">
        <v>441</v>
      </c>
      <c r="AC7377" s="21">
        <v>4497.1899999999996</v>
      </c>
      <c r="AD7377" s="21" t="s">
        <v>368</v>
      </c>
      <c r="AE7377" t="str">
        <f>VLOOKUP(Table_Query_from_Actuarial___Production3[[#This Row],[Kor1]],$AI$3:$AK$105,3,FALSE)</f>
        <v>Misc. Expense</v>
      </c>
      <c r="AF7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8" spans="18:32" x14ac:dyDescent="0.2">
      <c r="R7378" t="s">
        <v>37</v>
      </c>
      <c r="S7378" t="s">
        <v>251</v>
      </c>
      <c r="T7378" t="s">
        <v>445</v>
      </c>
      <c r="U7378" s="21">
        <v>644.76</v>
      </c>
      <c r="V7378" s="21" t="s">
        <v>368</v>
      </c>
      <c r="W7378" t="str">
        <f>VLOOKUP(Table_Query_from_Actuarial___Production[[#This Row],[Kor1]],$AI$3:$AK$105,3,FALSE)</f>
        <v>Misc. Expense</v>
      </c>
      <c r="X7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8"/>
      <c r="Z7378" t="s">
        <v>21</v>
      </c>
      <c r="AA7378" t="s">
        <v>251</v>
      </c>
      <c r="AB7378" t="s">
        <v>6</v>
      </c>
      <c r="AC7378" s="21">
        <v>1254.08</v>
      </c>
      <c r="AD7378" s="21" t="s">
        <v>368</v>
      </c>
      <c r="AE7378" t="str">
        <f>VLOOKUP(Table_Query_from_Actuarial___Production3[[#This Row],[Kor1]],$AI$3:$AK$105,3,FALSE)</f>
        <v>Misc. Expense</v>
      </c>
      <c r="AF7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79" spans="18:32" x14ac:dyDescent="0.2">
      <c r="R7379" t="s">
        <v>33</v>
      </c>
      <c r="S7379" t="s">
        <v>262</v>
      </c>
      <c r="T7379" t="s">
        <v>9</v>
      </c>
      <c r="U7379" s="21">
        <v>11473.68</v>
      </c>
      <c r="V7379" s="21" t="s">
        <v>368</v>
      </c>
      <c r="W7379" t="str">
        <f>VLOOKUP(Table_Query_from_Actuarial___Production[[#This Row],[Kor1]],$AI$3:$AK$105,3,FALSE)</f>
        <v>Misc. Expense</v>
      </c>
      <c r="X7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79"/>
      <c r="Z7379" t="s">
        <v>33</v>
      </c>
      <c r="AA7379" t="s">
        <v>262</v>
      </c>
      <c r="AB7379" t="s">
        <v>9</v>
      </c>
      <c r="AC7379" s="21">
        <v>11473.68</v>
      </c>
      <c r="AD7379" s="21" t="s">
        <v>368</v>
      </c>
      <c r="AE7379" t="str">
        <f>VLOOKUP(Table_Query_from_Actuarial___Production3[[#This Row],[Kor1]],$AI$3:$AK$105,3,FALSE)</f>
        <v>Misc. Expense</v>
      </c>
      <c r="AF7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0" spans="18:32" x14ac:dyDescent="0.2">
      <c r="R7380" t="s">
        <v>14</v>
      </c>
      <c r="S7380" t="s">
        <v>224</v>
      </c>
      <c r="T7380" t="s">
        <v>445</v>
      </c>
      <c r="U7380" s="21">
        <v>2413.36</v>
      </c>
      <c r="V7380" s="21" t="s">
        <v>369</v>
      </c>
      <c r="W7380" t="str">
        <f>VLOOKUP(Table_Query_from_Actuarial___Production[[#This Row],[Kor1]],$AI$3:$AK$105,3,FALSE)</f>
        <v>Claims Expense</v>
      </c>
      <c r="X7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380"/>
      <c r="Z7380" t="s">
        <v>18</v>
      </c>
      <c r="AA7380" t="s">
        <v>224</v>
      </c>
      <c r="AB7380" t="s">
        <v>356</v>
      </c>
      <c r="AC7380" s="21">
        <v>144071.76999999999</v>
      </c>
      <c r="AD7380" s="21" t="s">
        <v>368</v>
      </c>
      <c r="AE7380" t="str">
        <f>VLOOKUP(Table_Query_from_Actuarial___Production3[[#This Row],[Kor1]],$AI$3:$AK$105,3,FALSE)</f>
        <v>Misc. Expense</v>
      </c>
      <c r="AF7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381" spans="18:32" x14ac:dyDescent="0.2">
      <c r="R7381" t="s">
        <v>18</v>
      </c>
      <c r="S7381" t="s">
        <v>224</v>
      </c>
      <c r="T7381" t="s">
        <v>356</v>
      </c>
      <c r="U7381" s="21">
        <v>144071.76999999999</v>
      </c>
      <c r="V7381" s="21" t="s">
        <v>368</v>
      </c>
      <c r="W7381" t="str">
        <f>VLOOKUP(Table_Query_from_Actuarial___Production[[#This Row],[Kor1]],$AI$3:$AK$105,3,FALSE)</f>
        <v>Misc. Expense</v>
      </c>
      <c r="X7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381"/>
      <c r="Z7381" t="s">
        <v>46</v>
      </c>
      <c r="AA7381" t="s">
        <v>354</v>
      </c>
      <c r="AB7381" t="s">
        <v>351</v>
      </c>
      <c r="AC7381" s="21">
        <v>1657237.96</v>
      </c>
      <c r="AD7381" s="21" t="s">
        <v>368</v>
      </c>
      <c r="AE7381" t="str">
        <f>VLOOKUP(Table_Query_from_Actuarial___Production3[[#This Row],[Kor1]],$AI$3:$AK$105,3,FALSE)</f>
        <v>Investment Income</v>
      </c>
      <c r="AF7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382" spans="18:32" x14ac:dyDescent="0.2">
      <c r="R7382" t="s">
        <v>46</v>
      </c>
      <c r="S7382" t="s">
        <v>354</v>
      </c>
      <c r="T7382" t="s">
        <v>351</v>
      </c>
      <c r="U7382" s="21">
        <v>1657237.96</v>
      </c>
      <c r="V7382" s="21" t="s">
        <v>368</v>
      </c>
      <c r="W7382" t="str">
        <f>VLOOKUP(Table_Query_from_Actuarial___Production[[#This Row],[Kor1]],$AI$3:$AK$105,3,FALSE)</f>
        <v>Investment Income</v>
      </c>
      <c r="X7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382"/>
      <c r="Z7382" t="s">
        <v>11</v>
      </c>
      <c r="AA7382" t="s">
        <v>224</v>
      </c>
      <c r="AB7382" t="s">
        <v>351</v>
      </c>
      <c r="AC7382" s="21">
        <v>3305065.97</v>
      </c>
      <c r="AD7382" s="21" t="s">
        <v>368</v>
      </c>
      <c r="AE7382" t="str">
        <f>VLOOKUP(Table_Query_from_Actuarial___Production3[[#This Row],[Kor1]],$AI$3:$AK$105,3,FALSE)</f>
        <v>Losses Paid</v>
      </c>
      <c r="AF7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383" spans="18:32" x14ac:dyDescent="0.2">
      <c r="R7383" t="s">
        <v>11</v>
      </c>
      <c r="S7383" t="s">
        <v>224</v>
      </c>
      <c r="T7383" t="s">
        <v>351</v>
      </c>
      <c r="U7383" s="21">
        <v>3305065.97</v>
      </c>
      <c r="V7383" s="21" t="s">
        <v>368</v>
      </c>
      <c r="W7383" t="str">
        <f>VLOOKUP(Table_Query_from_Actuarial___Production[[#This Row],[Kor1]],$AI$3:$AK$105,3,FALSE)</f>
        <v>Losses Paid</v>
      </c>
      <c r="X7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383"/>
      <c r="Z7383" t="s">
        <v>31</v>
      </c>
      <c r="AA7383" t="s">
        <v>227</v>
      </c>
      <c r="AB7383" t="s">
        <v>442</v>
      </c>
      <c r="AC7383" s="21">
        <v>991.51</v>
      </c>
      <c r="AD7383" s="21" t="s">
        <v>368</v>
      </c>
      <c r="AE7383" t="str">
        <f>VLOOKUP(Table_Query_from_Actuarial___Production3[[#This Row],[Kor1]],$AI$3:$AK$105,3,FALSE)</f>
        <v>Misc. Expense</v>
      </c>
      <c r="AF7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4" spans="18:32" x14ac:dyDescent="0.2">
      <c r="R7384" t="s">
        <v>44</v>
      </c>
      <c r="S7384" t="s">
        <v>227</v>
      </c>
      <c r="T7384" t="s">
        <v>442</v>
      </c>
      <c r="U7384" s="21">
        <v>8924</v>
      </c>
      <c r="V7384" s="21" t="s">
        <v>368</v>
      </c>
      <c r="W7384" t="str">
        <f>VLOOKUP(Table_Query_from_Actuarial___Production[[#This Row],[Kor1]],$AI$3:$AK$105,3,FALSE)</f>
        <v>Charge-offs</v>
      </c>
      <c r="X7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84"/>
      <c r="Z7384" t="s">
        <v>50</v>
      </c>
      <c r="AA7384" t="s">
        <v>252</v>
      </c>
      <c r="AB7384" t="s">
        <v>427</v>
      </c>
      <c r="AC7384" s="21">
        <v>2517816.7200000002</v>
      </c>
      <c r="AD7384" s="21" t="s">
        <v>368</v>
      </c>
      <c r="AE7384" t="str">
        <f>VLOOKUP(Table_Query_from_Actuarial___Production3[[#This Row],[Kor1]],$AI$3:$AK$105,3,FALSE)</f>
        <v>ALAE Reserve</v>
      </c>
      <c r="AF7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5" spans="18:32" x14ac:dyDescent="0.2">
      <c r="R7385" t="s">
        <v>31</v>
      </c>
      <c r="S7385" t="s">
        <v>227</v>
      </c>
      <c r="T7385" t="s">
        <v>442</v>
      </c>
      <c r="U7385" s="21">
        <v>991.51</v>
      </c>
      <c r="V7385" s="21" t="s">
        <v>368</v>
      </c>
      <c r="W7385" t="str">
        <f>VLOOKUP(Table_Query_from_Actuarial___Production[[#This Row],[Kor1]],$AI$3:$AK$105,3,FALSE)</f>
        <v>Misc. Expense</v>
      </c>
      <c r="X7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85"/>
      <c r="Z7385" t="s">
        <v>48</v>
      </c>
      <c r="AA7385" t="s">
        <v>240</v>
      </c>
      <c r="AB7385" t="s">
        <v>441</v>
      </c>
      <c r="AC7385" s="21">
        <v>16332.94</v>
      </c>
      <c r="AD7385" s="21" t="s">
        <v>368</v>
      </c>
      <c r="AE7385" t="str">
        <f>VLOOKUP(Table_Query_from_Actuarial___Production3[[#This Row],[Kor1]],$AI$3:$AK$105,3,FALSE)</f>
        <v>Anticipated Salvage</v>
      </c>
      <c r="AF7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6" spans="18:32" x14ac:dyDescent="0.2">
      <c r="R7386" t="s">
        <v>50</v>
      </c>
      <c r="S7386" t="s">
        <v>252</v>
      </c>
      <c r="T7386" t="s">
        <v>427</v>
      </c>
      <c r="U7386" s="21">
        <v>711733.5</v>
      </c>
      <c r="V7386" s="21" t="s">
        <v>368</v>
      </c>
      <c r="W7386" t="str">
        <f>VLOOKUP(Table_Query_from_Actuarial___Production[[#This Row],[Kor1]],$AI$3:$AK$105,3,FALSE)</f>
        <v>ALAE Reserve</v>
      </c>
      <c r="X7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86"/>
      <c r="Z7386" t="s">
        <v>48</v>
      </c>
      <c r="AA7386" t="s">
        <v>264</v>
      </c>
      <c r="AB7386" t="s">
        <v>356</v>
      </c>
      <c r="AC7386" s="21">
        <v>232</v>
      </c>
      <c r="AD7386" s="21" t="s">
        <v>368</v>
      </c>
      <c r="AE7386" t="str">
        <f>VLOOKUP(Table_Query_from_Actuarial___Production3[[#This Row],[Kor1]],$AI$3:$AK$105,3,FALSE)</f>
        <v>Anticipated Salvage</v>
      </c>
      <c r="AF7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7" spans="18:32" x14ac:dyDescent="0.2">
      <c r="R7387" t="s">
        <v>48</v>
      </c>
      <c r="S7387" t="s">
        <v>240</v>
      </c>
      <c r="T7387" t="s">
        <v>441</v>
      </c>
      <c r="U7387" s="21">
        <v>16723</v>
      </c>
      <c r="V7387" s="21" t="s">
        <v>368</v>
      </c>
      <c r="W7387" t="str">
        <f>VLOOKUP(Table_Query_from_Actuarial___Production[[#This Row],[Kor1]],$AI$3:$AK$105,3,FALSE)</f>
        <v>Anticipated Salvage</v>
      </c>
      <c r="X7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87"/>
      <c r="Z7387" t="s">
        <v>16</v>
      </c>
      <c r="AA7387" t="s">
        <v>354</v>
      </c>
      <c r="AB7387" t="s">
        <v>442</v>
      </c>
      <c r="AC7387" s="21">
        <v>20994436.300000001</v>
      </c>
      <c r="AD7387" s="21" t="s">
        <v>368</v>
      </c>
      <c r="AE7387" t="str">
        <f>VLOOKUP(Table_Query_from_Actuarial___Production3[[#This Row],[Kor1]],$AI$3:$AK$105,3,FALSE)</f>
        <v>Losses Outstanding</v>
      </c>
      <c r="AF7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388" spans="18:32" x14ac:dyDescent="0.2">
      <c r="R7388" t="s">
        <v>16</v>
      </c>
      <c r="S7388" t="s">
        <v>354</v>
      </c>
      <c r="T7388" t="s">
        <v>442</v>
      </c>
      <c r="U7388" s="21">
        <v>20783484.109999999</v>
      </c>
      <c r="V7388" s="21" t="s">
        <v>368</v>
      </c>
      <c r="W7388" t="str">
        <f>VLOOKUP(Table_Query_from_Actuarial___Production[[#This Row],[Kor1]],$AI$3:$AK$105,3,FALSE)</f>
        <v>Losses Outstanding</v>
      </c>
      <c r="X7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388"/>
      <c r="Z7388" t="s">
        <v>31</v>
      </c>
      <c r="AA7388" t="s">
        <v>263</v>
      </c>
      <c r="AB7388" t="s">
        <v>8</v>
      </c>
      <c r="AC7388" s="21">
        <v>474.23</v>
      </c>
      <c r="AD7388" s="21" t="s">
        <v>368</v>
      </c>
      <c r="AE7388" t="str">
        <f>VLOOKUP(Table_Query_from_Actuarial___Production3[[#This Row],[Kor1]],$AI$3:$AK$105,3,FALSE)</f>
        <v>Misc. Expense</v>
      </c>
      <c r="AF7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89" spans="18:32" x14ac:dyDescent="0.2">
      <c r="R7389" t="s">
        <v>10</v>
      </c>
      <c r="S7389" t="s">
        <v>224</v>
      </c>
      <c r="T7389" t="s">
        <v>445</v>
      </c>
      <c r="U7389" s="21">
        <v>27052.52</v>
      </c>
      <c r="V7389" s="21" t="s">
        <v>368</v>
      </c>
      <c r="W7389" t="str">
        <f>VLOOKUP(Table_Query_from_Actuarial___Production[[#This Row],[Kor1]],$AI$3:$AK$105,3,FALSE)</f>
        <v>Commissions</v>
      </c>
      <c r="X7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389"/>
      <c r="Z7389" t="s">
        <v>33</v>
      </c>
      <c r="AA7389" t="s">
        <v>240</v>
      </c>
      <c r="AB7389" t="s">
        <v>441</v>
      </c>
      <c r="AC7389" s="21">
        <v>14336.51</v>
      </c>
      <c r="AD7389" s="21" t="s">
        <v>368</v>
      </c>
      <c r="AE7389" t="str">
        <f>VLOOKUP(Table_Query_from_Actuarial___Production3[[#This Row],[Kor1]],$AI$3:$AK$105,3,FALSE)</f>
        <v>Misc. Expense</v>
      </c>
      <c r="AF7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0" spans="18:32" x14ac:dyDescent="0.2">
      <c r="R7390" t="s">
        <v>15</v>
      </c>
      <c r="S7390" t="s">
        <v>232</v>
      </c>
      <c r="T7390" t="s">
        <v>445</v>
      </c>
      <c r="U7390" s="21">
        <v>870401.92</v>
      </c>
      <c r="V7390" s="21" t="s">
        <v>368</v>
      </c>
      <c r="W7390" t="str">
        <f>VLOOKUP(Table_Query_from_Actuarial___Production[[#This Row],[Kor1]],$AI$3:$AK$105,3,FALSE)</f>
        <v>Unearned Premiums</v>
      </c>
      <c r="X7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0"/>
      <c r="Z7390" t="s">
        <v>167</v>
      </c>
      <c r="AA7390" t="s">
        <v>354</v>
      </c>
      <c r="AB7390" t="s">
        <v>6</v>
      </c>
      <c r="AC7390" s="21">
        <v>65739821</v>
      </c>
      <c r="AD7390" s="21" t="s">
        <v>369</v>
      </c>
      <c r="AE7390" t="str">
        <f>VLOOKUP(Table_Query_from_Actuarial___Production3[[#This Row],[Kor1]],$AI$3:$AK$105,3,FALSE)</f>
        <v>Recoupment</v>
      </c>
      <c r="AF7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391" spans="18:32" x14ac:dyDescent="0.2">
      <c r="R7391" t="s">
        <v>31</v>
      </c>
      <c r="S7391" t="s">
        <v>263</v>
      </c>
      <c r="T7391" t="s">
        <v>8</v>
      </c>
      <c r="U7391" s="21">
        <v>474.23</v>
      </c>
      <c r="V7391" s="21" t="s">
        <v>368</v>
      </c>
      <c r="W7391" t="str">
        <f>VLOOKUP(Table_Query_from_Actuarial___Production[[#This Row],[Kor1]],$AI$3:$AK$105,3,FALSE)</f>
        <v>Misc. Expense</v>
      </c>
      <c r="X7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1"/>
      <c r="Z7391" t="s">
        <v>13</v>
      </c>
      <c r="AA7391" t="s">
        <v>352</v>
      </c>
      <c r="AB7391" t="s">
        <v>9</v>
      </c>
      <c r="AC7391" s="21">
        <v>2050.0500000000002</v>
      </c>
      <c r="AD7391" s="21" t="s">
        <v>368</v>
      </c>
      <c r="AE7391" t="str">
        <f>VLOOKUP(Table_Query_from_Actuarial___Production3[[#This Row],[Kor1]],$AI$3:$AK$105,3,FALSE)</f>
        <v>Operating Service Fees</v>
      </c>
      <c r="AF7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7392" spans="18:32" x14ac:dyDescent="0.2">
      <c r="R7392" t="s">
        <v>33</v>
      </c>
      <c r="S7392" t="s">
        <v>240</v>
      </c>
      <c r="T7392" t="s">
        <v>441</v>
      </c>
      <c r="U7392" s="21">
        <v>14336.51</v>
      </c>
      <c r="V7392" s="21" t="s">
        <v>368</v>
      </c>
      <c r="W7392" t="str">
        <f>VLOOKUP(Table_Query_from_Actuarial___Production[[#This Row],[Kor1]],$AI$3:$AK$105,3,FALSE)</f>
        <v>Misc. Expense</v>
      </c>
      <c r="X7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2"/>
      <c r="Z7392" t="s">
        <v>23</v>
      </c>
      <c r="AA7392" t="s">
        <v>259</v>
      </c>
      <c r="AB7392" t="s">
        <v>351</v>
      </c>
      <c r="AC7392" s="21">
        <v>8850.7000000000007</v>
      </c>
      <c r="AD7392" s="21" t="s">
        <v>368</v>
      </c>
      <c r="AE7392" t="str">
        <f>VLOOKUP(Table_Query_from_Actuarial___Production3[[#This Row],[Kor1]],$AI$3:$AK$105,3,FALSE)</f>
        <v>Misc. Expense</v>
      </c>
      <c r="AF7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3" spans="18:32" x14ac:dyDescent="0.2">
      <c r="R7393" t="s">
        <v>167</v>
      </c>
      <c r="S7393" t="s">
        <v>354</v>
      </c>
      <c r="T7393" t="s">
        <v>6</v>
      </c>
      <c r="U7393" s="21">
        <v>65813989</v>
      </c>
      <c r="V7393" s="21" t="s">
        <v>369</v>
      </c>
      <c r="W7393" t="str">
        <f>VLOOKUP(Table_Query_from_Actuarial___Production[[#This Row],[Kor1]],$AI$3:$AK$105,3,FALSE)</f>
        <v>Recoupment</v>
      </c>
      <c r="X7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393"/>
      <c r="Z7393" t="s">
        <v>40</v>
      </c>
      <c r="AA7393" t="s">
        <v>258</v>
      </c>
      <c r="AB7393" t="s">
        <v>427</v>
      </c>
      <c r="AC7393" s="21">
        <v>10</v>
      </c>
      <c r="AD7393" s="21" t="s">
        <v>368</v>
      </c>
      <c r="AE7393" t="str">
        <f>VLOOKUP(Table_Query_from_Actuarial___Production3[[#This Row],[Kor1]],$AI$3:$AK$105,3,FALSE)</f>
        <v>Misc. Income</v>
      </c>
      <c r="AF7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4" spans="18:32" x14ac:dyDescent="0.2">
      <c r="R7394" t="s">
        <v>13</v>
      </c>
      <c r="S7394" t="s">
        <v>352</v>
      </c>
      <c r="T7394" t="s">
        <v>9</v>
      </c>
      <c r="U7394" s="21">
        <v>2050.0500000000002</v>
      </c>
      <c r="V7394" s="21" t="s">
        <v>368</v>
      </c>
      <c r="W7394" t="str">
        <f>VLOOKUP(Table_Query_from_Actuarial___Production[[#This Row],[Kor1]],$AI$3:$AK$105,3,FALSE)</f>
        <v>Operating Service Fees</v>
      </c>
      <c r="X7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7394"/>
      <c r="Z7394" t="s">
        <v>43</v>
      </c>
      <c r="AA7394" t="s">
        <v>248</v>
      </c>
      <c r="AB7394" t="s">
        <v>433</v>
      </c>
      <c r="AC7394" s="21">
        <v>11.76</v>
      </c>
      <c r="AD7394" s="21" t="s">
        <v>368</v>
      </c>
      <c r="AE7394" t="str">
        <f>VLOOKUP(Table_Query_from_Actuarial___Production3[[#This Row],[Kor1]],$AI$3:$AK$105,3,FALSE)</f>
        <v>Charge-offs</v>
      </c>
      <c r="AF7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5" spans="18:32" x14ac:dyDescent="0.2">
      <c r="R7395" t="s">
        <v>23</v>
      </c>
      <c r="S7395" t="s">
        <v>259</v>
      </c>
      <c r="T7395" t="s">
        <v>351</v>
      </c>
      <c r="U7395" s="21">
        <v>8850.7000000000007</v>
      </c>
      <c r="V7395" s="21" t="s">
        <v>368</v>
      </c>
      <c r="W7395" t="str">
        <f>VLOOKUP(Table_Query_from_Actuarial___Production[[#This Row],[Kor1]],$AI$3:$AK$105,3,FALSE)</f>
        <v>Misc. Expense</v>
      </c>
      <c r="X7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5"/>
      <c r="Z7395" t="s">
        <v>34</v>
      </c>
      <c r="AA7395" t="s">
        <v>248</v>
      </c>
      <c r="AB7395" t="s">
        <v>7</v>
      </c>
      <c r="AC7395" s="21">
        <v>14.42</v>
      </c>
      <c r="AD7395" s="21" t="s">
        <v>368</v>
      </c>
      <c r="AE7395" t="str">
        <f>VLOOKUP(Table_Query_from_Actuarial___Production3[[#This Row],[Kor1]],$AI$3:$AK$105,3,FALSE)</f>
        <v>Misc. Expense</v>
      </c>
      <c r="AF7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6" spans="18:32" x14ac:dyDescent="0.2">
      <c r="R7396" t="s">
        <v>19</v>
      </c>
      <c r="S7396" t="s">
        <v>260</v>
      </c>
      <c r="T7396" t="s">
        <v>441</v>
      </c>
      <c r="U7396" s="21">
        <v>31</v>
      </c>
      <c r="V7396" s="21" t="s">
        <v>368</v>
      </c>
      <c r="W7396" t="str">
        <f>VLOOKUP(Table_Query_from_Actuarial___Production[[#This Row],[Kor1]],$AI$3:$AK$105,3,FALSE)</f>
        <v>Misc. Expense for Insolvent Companies</v>
      </c>
      <c r="X7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6"/>
      <c r="Z7396" t="s">
        <v>10</v>
      </c>
      <c r="AA7396" t="s">
        <v>231</v>
      </c>
      <c r="AB7396" t="s">
        <v>427</v>
      </c>
      <c r="AC7396" s="21">
        <v>61026.95</v>
      </c>
      <c r="AD7396" s="21" t="s">
        <v>368</v>
      </c>
      <c r="AE7396" t="str">
        <f>VLOOKUP(Table_Query_from_Actuarial___Production3[[#This Row],[Kor1]],$AI$3:$AK$105,3,FALSE)</f>
        <v>Commissions</v>
      </c>
      <c r="AF7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7" spans="18:32" x14ac:dyDescent="0.2">
      <c r="R7397" t="s">
        <v>40</v>
      </c>
      <c r="S7397" t="s">
        <v>258</v>
      </c>
      <c r="T7397" t="s">
        <v>427</v>
      </c>
      <c r="U7397" s="21">
        <v>10</v>
      </c>
      <c r="V7397" s="21" t="s">
        <v>368</v>
      </c>
      <c r="W7397" t="str">
        <f>VLOOKUP(Table_Query_from_Actuarial___Production[[#This Row],[Kor1]],$AI$3:$AK$105,3,FALSE)</f>
        <v>Misc. Income</v>
      </c>
      <c r="X7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7"/>
      <c r="Z7397" t="s">
        <v>31</v>
      </c>
      <c r="AA7397" t="s">
        <v>267</v>
      </c>
      <c r="AB7397" t="s">
        <v>8</v>
      </c>
      <c r="AC7397" s="21">
        <v>23550.2</v>
      </c>
      <c r="AD7397" s="21" t="s">
        <v>368</v>
      </c>
      <c r="AE7397" t="str">
        <f>VLOOKUP(Table_Query_from_Actuarial___Production3[[#This Row],[Kor1]],$AI$3:$AK$105,3,FALSE)</f>
        <v>Misc. Expense</v>
      </c>
      <c r="AF7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8" spans="18:32" x14ac:dyDescent="0.2">
      <c r="R7398" t="s">
        <v>43</v>
      </c>
      <c r="S7398" t="s">
        <v>248</v>
      </c>
      <c r="T7398" t="s">
        <v>433</v>
      </c>
      <c r="U7398" s="21">
        <v>11.76</v>
      </c>
      <c r="V7398" s="21" t="s">
        <v>368</v>
      </c>
      <c r="W7398" t="str">
        <f>VLOOKUP(Table_Query_from_Actuarial___Production[[#This Row],[Kor1]],$AI$3:$AK$105,3,FALSE)</f>
        <v>Charge-offs</v>
      </c>
      <c r="X7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8"/>
      <c r="Z7398" t="s">
        <v>31</v>
      </c>
      <c r="AA7398" t="s">
        <v>231</v>
      </c>
      <c r="AB7398" t="s">
        <v>8</v>
      </c>
      <c r="AC7398" s="21">
        <v>555.42999999999995</v>
      </c>
      <c r="AD7398" s="21" t="s">
        <v>368</v>
      </c>
      <c r="AE7398" t="str">
        <f>VLOOKUP(Table_Query_from_Actuarial___Production3[[#This Row],[Kor1]],$AI$3:$AK$105,3,FALSE)</f>
        <v>Misc. Expense</v>
      </c>
      <c r="AF7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399" spans="18:32" x14ac:dyDescent="0.2">
      <c r="R7399" t="s">
        <v>34</v>
      </c>
      <c r="S7399" t="s">
        <v>248</v>
      </c>
      <c r="T7399" t="s">
        <v>7</v>
      </c>
      <c r="U7399" s="21">
        <v>14.42</v>
      </c>
      <c r="V7399" s="21" t="s">
        <v>368</v>
      </c>
      <c r="W7399" t="str">
        <f>VLOOKUP(Table_Query_from_Actuarial___Production[[#This Row],[Kor1]],$AI$3:$AK$105,3,FALSE)</f>
        <v>Misc. Expense</v>
      </c>
      <c r="X7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399"/>
      <c r="Z7399" t="s">
        <v>49</v>
      </c>
      <c r="AA7399" t="s">
        <v>233</v>
      </c>
      <c r="AB7399" t="s">
        <v>441</v>
      </c>
      <c r="AC7399" s="21">
        <v>3041.5</v>
      </c>
      <c r="AD7399" s="21" t="s">
        <v>368</v>
      </c>
      <c r="AE7399" t="str">
        <f>VLOOKUP(Table_Query_from_Actuarial___Production3[[#This Row],[Kor1]],$AI$3:$AK$105,3,FALSE)</f>
        <v>ALAE Paid</v>
      </c>
      <c r="AF7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0" spans="18:32" x14ac:dyDescent="0.2">
      <c r="R7400" t="s">
        <v>10</v>
      </c>
      <c r="S7400" t="s">
        <v>231</v>
      </c>
      <c r="T7400" t="s">
        <v>427</v>
      </c>
      <c r="U7400" s="21">
        <v>61026.95</v>
      </c>
      <c r="V7400" s="21" t="s">
        <v>368</v>
      </c>
      <c r="W7400" t="str">
        <f>VLOOKUP(Table_Query_from_Actuarial___Production[[#This Row],[Kor1]],$AI$3:$AK$105,3,FALSE)</f>
        <v>Commissions</v>
      </c>
      <c r="X7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0"/>
      <c r="Z7400" t="s">
        <v>10</v>
      </c>
      <c r="AA7400" t="s">
        <v>230</v>
      </c>
      <c r="AB7400" t="s">
        <v>441</v>
      </c>
      <c r="AC7400" s="21">
        <v>1612442.46</v>
      </c>
      <c r="AD7400" s="21" t="s">
        <v>368</v>
      </c>
      <c r="AE7400" t="str">
        <f>VLOOKUP(Table_Query_from_Actuarial___Production3[[#This Row],[Kor1]],$AI$3:$AK$105,3,FALSE)</f>
        <v>Commissions</v>
      </c>
      <c r="AF7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1" spans="18:32" x14ac:dyDescent="0.2">
      <c r="R7401" t="s">
        <v>31</v>
      </c>
      <c r="S7401" t="s">
        <v>267</v>
      </c>
      <c r="T7401" t="s">
        <v>8</v>
      </c>
      <c r="U7401" s="21">
        <v>23550.2</v>
      </c>
      <c r="V7401" s="21" t="s">
        <v>368</v>
      </c>
      <c r="W7401" t="str">
        <f>VLOOKUP(Table_Query_from_Actuarial___Production[[#This Row],[Kor1]],$AI$3:$AK$105,3,FALSE)</f>
        <v>Misc. Expense</v>
      </c>
      <c r="X7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1"/>
      <c r="Z7401" t="s">
        <v>16</v>
      </c>
      <c r="AA7401" t="s">
        <v>226</v>
      </c>
      <c r="AB7401" t="s">
        <v>9</v>
      </c>
      <c r="AC7401" s="21">
        <v>163400</v>
      </c>
      <c r="AD7401" s="21" t="s">
        <v>368</v>
      </c>
      <c r="AE7401" t="str">
        <f>VLOOKUP(Table_Query_from_Actuarial___Production3[[#This Row],[Kor1]],$AI$3:$AK$105,3,FALSE)</f>
        <v>Losses Outstanding</v>
      </c>
      <c r="AF7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402" spans="18:32" x14ac:dyDescent="0.2">
      <c r="R7402" t="s">
        <v>31</v>
      </c>
      <c r="S7402" t="s">
        <v>231</v>
      </c>
      <c r="T7402" t="s">
        <v>8</v>
      </c>
      <c r="U7402" s="21">
        <v>555.42999999999995</v>
      </c>
      <c r="V7402" s="21" t="s">
        <v>368</v>
      </c>
      <c r="W7402" t="str">
        <f>VLOOKUP(Table_Query_from_Actuarial___Production[[#This Row],[Kor1]],$AI$3:$AK$105,3,FALSE)</f>
        <v>Misc. Expense</v>
      </c>
      <c r="X7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2"/>
      <c r="Z7402" t="s">
        <v>20</v>
      </c>
      <c r="AA7402" t="s">
        <v>4</v>
      </c>
      <c r="AB7402" t="s">
        <v>351</v>
      </c>
      <c r="AC7402" s="21">
        <v>5502.09</v>
      </c>
      <c r="AD7402" s="21" t="s">
        <v>368</v>
      </c>
      <c r="AE7402" t="str">
        <f>VLOOKUP(Table_Query_from_Actuarial___Production3[[#This Row],[Kor1]],$AI$3:$AK$105,3,FALSE)</f>
        <v>Misc. Expense</v>
      </c>
      <c r="AF7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3" spans="18:32" x14ac:dyDescent="0.2">
      <c r="R7403" t="s">
        <v>49</v>
      </c>
      <c r="S7403" t="s">
        <v>233</v>
      </c>
      <c r="T7403" t="s">
        <v>441</v>
      </c>
      <c r="U7403" s="21">
        <v>26373.98</v>
      </c>
      <c r="V7403" s="21" t="s">
        <v>368</v>
      </c>
      <c r="W7403" t="str">
        <f>VLOOKUP(Table_Query_from_Actuarial___Production[[#This Row],[Kor1]],$AI$3:$AK$105,3,FALSE)</f>
        <v>ALAE Paid</v>
      </c>
      <c r="X7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3"/>
      <c r="Z7403" t="s">
        <v>11</v>
      </c>
      <c r="AA7403" t="s">
        <v>265</v>
      </c>
      <c r="AB7403" t="s">
        <v>433</v>
      </c>
      <c r="AC7403" s="21">
        <v>364424.7</v>
      </c>
      <c r="AD7403" s="21" t="s">
        <v>368</v>
      </c>
      <c r="AE7403" t="str">
        <f>VLOOKUP(Table_Query_from_Actuarial___Production3[[#This Row],[Kor1]],$AI$3:$AK$105,3,FALSE)</f>
        <v>Losses Paid</v>
      </c>
      <c r="AF7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4" spans="18:32" x14ac:dyDescent="0.2">
      <c r="R7404" t="s">
        <v>10</v>
      </c>
      <c r="S7404" t="s">
        <v>230</v>
      </c>
      <c r="T7404" t="s">
        <v>441</v>
      </c>
      <c r="U7404" s="21">
        <v>1612443.46</v>
      </c>
      <c r="V7404" s="21" t="s">
        <v>368</v>
      </c>
      <c r="W7404" t="str">
        <f>VLOOKUP(Table_Query_from_Actuarial___Production[[#This Row],[Kor1]],$AI$3:$AK$105,3,FALSE)</f>
        <v>Commissions</v>
      </c>
      <c r="X7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4"/>
      <c r="Z7404" t="s">
        <v>37</v>
      </c>
      <c r="AA7404" t="s">
        <v>250</v>
      </c>
      <c r="AB7404" t="s">
        <v>443</v>
      </c>
      <c r="AC7404" s="21">
        <v>36.700000000000003</v>
      </c>
      <c r="AD7404" s="21" t="s">
        <v>368</v>
      </c>
      <c r="AE7404" t="str">
        <f>VLOOKUP(Table_Query_from_Actuarial___Production3[[#This Row],[Kor1]],$AI$3:$AK$105,3,FALSE)</f>
        <v>Misc. Expense</v>
      </c>
      <c r="AF7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5" spans="18:32" x14ac:dyDescent="0.2">
      <c r="R7405" t="s">
        <v>16</v>
      </c>
      <c r="S7405" t="s">
        <v>226</v>
      </c>
      <c r="T7405" t="s">
        <v>9</v>
      </c>
      <c r="U7405" s="21">
        <v>70000</v>
      </c>
      <c r="V7405" s="21" t="s">
        <v>368</v>
      </c>
      <c r="W7405" t="str">
        <f>VLOOKUP(Table_Query_from_Actuarial___Production[[#This Row],[Kor1]],$AI$3:$AK$105,3,FALSE)</f>
        <v>Losses Outstanding</v>
      </c>
      <c r="X7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405"/>
      <c r="Z7405" t="s">
        <v>39</v>
      </c>
      <c r="AA7405" t="s">
        <v>245</v>
      </c>
      <c r="AB7405" t="s">
        <v>356</v>
      </c>
      <c r="AC7405" s="21">
        <v>115</v>
      </c>
      <c r="AD7405" s="21" t="s">
        <v>368</v>
      </c>
      <c r="AE7405" t="str">
        <f>VLOOKUP(Table_Query_from_Actuarial___Production3[[#This Row],[Kor1]],$AI$3:$AK$105,3,FALSE)</f>
        <v>Misc. Income for Insolvent Companies</v>
      </c>
      <c r="AF7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6" spans="18:32" x14ac:dyDescent="0.2">
      <c r="R7406" t="s">
        <v>20</v>
      </c>
      <c r="S7406" t="s">
        <v>4</v>
      </c>
      <c r="T7406" t="s">
        <v>351</v>
      </c>
      <c r="U7406" s="21">
        <v>5502.09</v>
      </c>
      <c r="V7406" s="21" t="s">
        <v>368</v>
      </c>
      <c r="W7406" t="str">
        <f>VLOOKUP(Table_Query_from_Actuarial___Production[[#This Row],[Kor1]],$AI$3:$AK$105,3,FALSE)</f>
        <v>Misc. Expense</v>
      </c>
      <c r="X7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6"/>
      <c r="Z7406" t="s">
        <v>49</v>
      </c>
      <c r="AA7406" t="s">
        <v>249</v>
      </c>
      <c r="AB7406" t="s">
        <v>9</v>
      </c>
      <c r="AC7406" s="21">
        <v>182009.08</v>
      </c>
      <c r="AD7406" s="21" t="s">
        <v>368</v>
      </c>
      <c r="AE7406" t="str">
        <f>VLOOKUP(Table_Query_from_Actuarial___Production3[[#This Row],[Kor1]],$AI$3:$AK$105,3,FALSE)</f>
        <v>ALAE Paid</v>
      </c>
      <c r="AF7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07" spans="18:32" x14ac:dyDescent="0.2">
      <c r="R7407" t="s">
        <v>11</v>
      </c>
      <c r="S7407" t="s">
        <v>265</v>
      </c>
      <c r="T7407" t="s">
        <v>433</v>
      </c>
      <c r="U7407" s="21">
        <v>1429376.29</v>
      </c>
      <c r="V7407" s="21" t="s">
        <v>368</v>
      </c>
      <c r="W7407" t="str">
        <f>VLOOKUP(Table_Query_from_Actuarial___Production[[#This Row],[Kor1]],$AI$3:$AK$105,3,FALSE)</f>
        <v>Losses Paid</v>
      </c>
      <c r="X7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7"/>
      <c r="Z7407" t="s">
        <v>14</v>
      </c>
      <c r="AA7407" t="s">
        <v>354</v>
      </c>
      <c r="AB7407" t="s">
        <v>6</v>
      </c>
      <c r="AC7407" s="21">
        <v>85548229.359999999</v>
      </c>
      <c r="AD7407" s="21" t="s">
        <v>369</v>
      </c>
      <c r="AE7407" t="str">
        <f>VLOOKUP(Table_Query_from_Actuarial___Production3[[#This Row],[Kor1]],$AI$3:$AK$105,3,FALSE)</f>
        <v>Claims Expense</v>
      </c>
      <c r="AF7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408" spans="18:32" x14ac:dyDescent="0.2">
      <c r="R7408" t="s">
        <v>37</v>
      </c>
      <c r="S7408" t="s">
        <v>250</v>
      </c>
      <c r="T7408" t="s">
        <v>443</v>
      </c>
      <c r="U7408" s="21">
        <v>36.700000000000003</v>
      </c>
      <c r="V7408" s="21" t="s">
        <v>368</v>
      </c>
      <c r="W7408" t="str">
        <f>VLOOKUP(Table_Query_from_Actuarial___Production[[#This Row],[Kor1]],$AI$3:$AK$105,3,FALSE)</f>
        <v>Misc. Expense</v>
      </c>
      <c r="X7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8"/>
      <c r="Z7408" t="s">
        <v>43</v>
      </c>
      <c r="AA7408" t="s">
        <v>224</v>
      </c>
      <c r="AB7408" t="s">
        <v>7</v>
      </c>
      <c r="AC7408" s="21">
        <v>270.68</v>
      </c>
      <c r="AD7408" s="21" t="s">
        <v>370</v>
      </c>
      <c r="AE7408" t="str">
        <f>VLOOKUP(Table_Query_from_Actuarial___Production3[[#This Row],[Kor1]],$AI$3:$AK$105,3,FALSE)</f>
        <v>Charge-offs</v>
      </c>
      <c r="AF7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409" spans="18:32" x14ac:dyDescent="0.2">
      <c r="R7409" t="s">
        <v>39</v>
      </c>
      <c r="S7409" t="s">
        <v>245</v>
      </c>
      <c r="T7409" t="s">
        <v>356</v>
      </c>
      <c r="U7409" s="21">
        <v>115</v>
      </c>
      <c r="V7409" s="21" t="s">
        <v>368</v>
      </c>
      <c r="W7409" t="str">
        <f>VLOOKUP(Table_Query_from_Actuarial___Production[[#This Row],[Kor1]],$AI$3:$AK$105,3,FALSE)</f>
        <v>Misc. Income for Insolvent Companies</v>
      </c>
      <c r="X7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09"/>
      <c r="Z7409" t="s">
        <v>43</v>
      </c>
      <c r="AA7409" t="s">
        <v>252</v>
      </c>
      <c r="AB7409" t="s">
        <v>8</v>
      </c>
      <c r="AC7409" s="21">
        <v>2377.1</v>
      </c>
      <c r="AD7409" s="21" t="s">
        <v>368</v>
      </c>
      <c r="AE7409" t="str">
        <f>VLOOKUP(Table_Query_from_Actuarial___Production3[[#This Row],[Kor1]],$AI$3:$AK$105,3,FALSE)</f>
        <v>Charge-offs</v>
      </c>
      <c r="AF7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0" spans="18:32" x14ac:dyDescent="0.2">
      <c r="R7410" t="s">
        <v>49</v>
      </c>
      <c r="S7410" t="s">
        <v>249</v>
      </c>
      <c r="T7410" t="s">
        <v>9</v>
      </c>
      <c r="U7410" s="21">
        <v>182009.08</v>
      </c>
      <c r="V7410" s="21" t="s">
        <v>368</v>
      </c>
      <c r="W7410" t="str">
        <f>VLOOKUP(Table_Query_from_Actuarial___Production[[#This Row],[Kor1]],$AI$3:$AK$105,3,FALSE)</f>
        <v>ALAE Paid</v>
      </c>
      <c r="X7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0"/>
      <c r="Z7410" t="s">
        <v>11</v>
      </c>
      <c r="AA7410" t="s">
        <v>266</v>
      </c>
      <c r="AB7410" t="s">
        <v>7</v>
      </c>
      <c r="AC7410" s="21">
        <v>148290.16</v>
      </c>
      <c r="AD7410" s="21" t="s">
        <v>368</v>
      </c>
      <c r="AE7410" t="str">
        <f>VLOOKUP(Table_Query_from_Actuarial___Production3[[#This Row],[Kor1]],$AI$3:$AK$105,3,FALSE)</f>
        <v>Losses Paid</v>
      </c>
      <c r="AF7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1" spans="18:32" x14ac:dyDescent="0.2">
      <c r="R7411" t="s">
        <v>14</v>
      </c>
      <c r="S7411" t="s">
        <v>354</v>
      </c>
      <c r="T7411" t="s">
        <v>6</v>
      </c>
      <c r="U7411" s="21">
        <v>85548228.760000005</v>
      </c>
      <c r="V7411" s="21" t="s">
        <v>369</v>
      </c>
      <c r="W7411" t="str">
        <f>VLOOKUP(Table_Query_from_Actuarial___Production[[#This Row],[Kor1]],$AI$3:$AK$105,3,FALSE)</f>
        <v>Claims Expense</v>
      </c>
      <c r="X7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411"/>
      <c r="Z7411" t="s">
        <v>3</v>
      </c>
      <c r="AA7411" t="s">
        <v>237</v>
      </c>
      <c r="AB7411" t="s">
        <v>443</v>
      </c>
      <c r="AC7411" s="21">
        <v>30884887</v>
      </c>
      <c r="AD7411" s="21" t="s">
        <v>368</v>
      </c>
      <c r="AE7411" t="str">
        <f>VLOOKUP(Table_Query_from_Actuarial___Production3[[#This Row],[Kor1]],$AI$3:$AK$105,3,FALSE)</f>
        <v>Premiums Written</v>
      </c>
      <c r="AF7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2" spans="18:32" x14ac:dyDescent="0.2">
      <c r="R7412" t="s">
        <v>43</v>
      </c>
      <c r="S7412" t="s">
        <v>224</v>
      </c>
      <c r="T7412" t="s">
        <v>7</v>
      </c>
      <c r="U7412" s="21">
        <v>270.68</v>
      </c>
      <c r="V7412" s="21" t="s">
        <v>370</v>
      </c>
      <c r="W7412" t="str">
        <f>VLOOKUP(Table_Query_from_Actuarial___Production[[#This Row],[Kor1]],$AI$3:$AK$105,3,FALSE)</f>
        <v>Charge-offs</v>
      </c>
      <c r="X7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412"/>
      <c r="Z7412" t="s">
        <v>11</v>
      </c>
      <c r="AA7412" t="s">
        <v>239</v>
      </c>
      <c r="AB7412" t="s">
        <v>441</v>
      </c>
      <c r="AC7412" s="21">
        <v>4775538.5199999996</v>
      </c>
      <c r="AD7412" s="21" t="s">
        <v>368</v>
      </c>
      <c r="AE7412" t="str">
        <f>VLOOKUP(Table_Query_from_Actuarial___Production3[[#This Row],[Kor1]],$AI$3:$AK$105,3,FALSE)</f>
        <v>Losses Paid</v>
      </c>
      <c r="AF7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3" spans="18:32" x14ac:dyDescent="0.2">
      <c r="R7413" t="s">
        <v>43</v>
      </c>
      <c r="S7413" t="s">
        <v>252</v>
      </c>
      <c r="T7413" t="s">
        <v>8</v>
      </c>
      <c r="U7413" s="21">
        <v>2377.1</v>
      </c>
      <c r="V7413" s="21" t="s">
        <v>368</v>
      </c>
      <c r="W7413" t="str">
        <f>VLOOKUP(Table_Query_from_Actuarial___Production[[#This Row],[Kor1]],$AI$3:$AK$105,3,FALSE)</f>
        <v>Charge-offs</v>
      </c>
      <c r="X7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3"/>
      <c r="Z7413" t="s">
        <v>44</v>
      </c>
      <c r="AA7413" t="s">
        <v>232</v>
      </c>
      <c r="AB7413" t="s">
        <v>8</v>
      </c>
      <c r="AC7413" s="21">
        <v>35576.1</v>
      </c>
      <c r="AD7413" s="21" t="s">
        <v>368</v>
      </c>
      <c r="AE7413" t="str">
        <f>VLOOKUP(Table_Query_from_Actuarial___Production3[[#This Row],[Kor1]],$AI$3:$AK$105,3,FALSE)</f>
        <v>Charge-offs</v>
      </c>
      <c r="AF7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4" spans="18:32" x14ac:dyDescent="0.2">
      <c r="R7414" t="s">
        <v>11</v>
      </c>
      <c r="S7414" t="s">
        <v>266</v>
      </c>
      <c r="T7414" t="s">
        <v>7</v>
      </c>
      <c r="U7414" s="21">
        <v>148290.16</v>
      </c>
      <c r="V7414" s="21" t="s">
        <v>368</v>
      </c>
      <c r="W7414" t="str">
        <f>VLOOKUP(Table_Query_from_Actuarial___Production[[#This Row],[Kor1]],$AI$3:$AK$105,3,FALSE)</f>
        <v>Losses Paid</v>
      </c>
      <c r="X7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4"/>
      <c r="Z7414" t="s">
        <v>17</v>
      </c>
      <c r="AA7414" t="s">
        <v>228</v>
      </c>
      <c r="AB7414" t="s">
        <v>441</v>
      </c>
      <c r="AC7414" s="21">
        <v>66459.149999999994</v>
      </c>
      <c r="AD7414" s="21" t="s">
        <v>368</v>
      </c>
      <c r="AE7414" t="str">
        <f>VLOOKUP(Table_Query_from_Actuarial___Production3[[#This Row],[Kor1]],$AI$3:$AK$105,3,FALSE)</f>
        <v>IBNR</v>
      </c>
      <c r="AF7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5" spans="18:32" x14ac:dyDescent="0.2">
      <c r="R7415" t="s">
        <v>3</v>
      </c>
      <c r="S7415" t="s">
        <v>237</v>
      </c>
      <c r="T7415" t="s">
        <v>443</v>
      </c>
      <c r="U7415" s="21">
        <v>59637230</v>
      </c>
      <c r="V7415" s="21" t="s">
        <v>368</v>
      </c>
      <c r="W7415" t="str">
        <f>VLOOKUP(Table_Query_from_Actuarial___Production[[#This Row],[Kor1]],$AI$3:$AK$105,3,FALSE)</f>
        <v>Premiums Written</v>
      </c>
      <c r="X7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5"/>
      <c r="Z7415" t="s">
        <v>31</v>
      </c>
      <c r="AA7415" t="s">
        <v>253</v>
      </c>
      <c r="AB7415" t="s">
        <v>7</v>
      </c>
      <c r="AC7415" s="21">
        <v>411.16</v>
      </c>
      <c r="AD7415" s="21" t="s">
        <v>368</v>
      </c>
      <c r="AE7415" t="str">
        <f>VLOOKUP(Table_Query_from_Actuarial___Production3[[#This Row],[Kor1]],$AI$3:$AK$105,3,FALSE)</f>
        <v>Misc. Expense</v>
      </c>
      <c r="AF7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6" spans="18:32" x14ac:dyDescent="0.2">
      <c r="R7416" t="s">
        <v>11</v>
      </c>
      <c r="S7416" t="s">
        <v>239</v>
      </c>
      <c r="T7416" t="s">
        <v>441</v>
      </c>
      <c r="U7416" s="21">
        <v>7130744.0300000003</v>
      </c>
      <c r="V7416" s="21" t="s">
        <v>368</v>
      </c>
      <c r="W7416" t="str">
        <f>VLOOKUP(Table_Query_from_Actuarial___Production[[#This Row],[Kor1]],$AI$3:$AK$105,3,FALSE)</f>
        <v>Losses Paid</v>
      </c>
      <c r="X7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6"/>
      <c r="Z7416" t="s">
        <v>31</v>
      </c>
      <c r="AA7416" t="s">
        <v>239</v>
      </c>
      <c r="AB7416" t="s">
        <v>356</v>
      </c>
      <c r="AC7416" s="21">
        <v>918.9</v>
      </c>
      <c r="AD7416" s="21" t="s">
        <v>368</v>
      </c>
      <c r="AE7416" t="str">
        <f>VLOOKUP(Table_Query_from_Actuarial___Production3[[#This Row],[Kor1]],$AI$3:$AK$105,3,FALSE)</f>
        <v>Misc. Expense</v>
      </c>
      <c r="AF7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7" spans="18:32" x14ac:dyDescent="0.2">
      <c r="R7417" t="s">
        <v>44</v>
      </c>
      <c r="S7417" t="s">
        <v>232</v>
      </c>
      <c r="T7417" t="s">
        <v>8</v>
      </c>
      <c r="U7417" s="21">
        <v>35576.1</v>
      </c>
      <c r="V7417" s="21" t="s">
        <v>368</v>
      </c>
      <c r="W7417" t="str">
        <f>VLOOKUP(Table_Query_from_Actuarial___Production[[#This Row],[Kor1]],$AI$3:$AK$105,3,FALSE)</f>
        <v>Charge-offs</v>
      </c>
      <c r="X7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7"/>
      <c r="Z7417" t="s">
        <v>32</v>
      </c>
      <c r="AA7417" t="s">
        <v>230</v>
      </c>
      <c r="AB7417" t="s">
        <v>7</v>
      </c>
      <c r="AC7417" s="21">
        <v>-6912980.8499999996</v>
      </c>
      <c r="AD7417" s="21" t="s">
        <v>368</v>
      </c>
      <c r="AE7417" t="str">
        <f>VLOOKUP(Table_Query_from_Actuarial___Production3[[#This Row],[Kor1]],$AI$3:$AK$105,3,FALSE)</f>
        <v>Misc. Expense</v>
      </c>
      <c r="AF7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8" spans="18:32" x14ac:dyDescent="0.2">
      <c r="R7418" t="s">
        <v>17</v>
      </c>
      <c r="S7418" t="s">
        <v>228</v>
      </c>
      <c r="T7418" t="s">
        <v>441</v>
      </c>
      <c r="U7418" s="21">
        <v>42465.7</v>
      </c>
      <c r="V7418" s="21" t="s">
        <v>368</v>
      </c>
      <c r="W7418" t="str">
        <f>VLOOKUP(Table_Query_from_Actuarial___Production[[#This Row],[Kor1]],$AI$3:$AK$105,3,FALSE)</f>
        <v>IBNR</v>
      </c>
      <c r="X7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8"/>
      <c r="Z7418" t="s">
        <v>14</v>
      </c>
      <c r="AA7418" t="s">
        <v>254</v>
      </c>
      <c r="AB7418" t="s">
        <v>351</v>
      </c>
      <c r="AC7418" s="21">
        <v>358233.57</v>
      </c>
      <c r="AD7418" s="21" t="s">
        <v>368</v>
      </c>
      <c r="AE7418" t="str">
        <f>VLOOKUP(Table_Query_from_Actuarial___Production3[[#This Row],[Kor1]],$AI$3:$AK$105,3,FALSE)</f>
        <v>Claims Expense</v>
      </c>
      <c r="AF7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19" spans="18:32" x14ac:dyDescent="0.2">
      <c r="R7419" t="s">
        <v>31</v>
      </c>
      <c r="S7419" t="s">
        <v>253</v>
      </c>
      <c r="T7419" t="s">
        <v>7</v>
      </c>
      <c r="U7419" s="21">
        <v>411.16</v>
      </c>
      <c r="V7419" s="21" t="s">
        <v>368</v>
      </c>
      <c r="W7419" t="str">
        <f>VLOOKUP(Table_Query_from_Actuarial___Production[[#This Row],[Kor1]],$AI$3:$AK$105,3,FALSE)</f>
        <v>Misc. Expense</v>
      </c>
      <c r="X7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19"/>
      <c r="Z7419" t="s">
        <v>12</v>
      </c>
      <c r="AA7419" t="s">
        <v>237</v>
      </c>
      <c r="AB7419" t="s">
        <v>8</v>
      </c>
      <c r="AC7419" s="21">
        <v>137253.79999999999</v>
      </c>
      <c r="AD7419" s="21" t="s">
        <v>368</v>
      </c>
      <c r="AE7419" t="str">
        <f>VLOOKUP(Table_Query_from_Actuarial___Production3[[#This Row],[Kor1]],$AI$3:$AK$105,3,FALSE)</f>
        <v>Premium Tax</v>
      </c>
      <c r="AF7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0" spans="18:32" x14ac:dyDescent="0.2">
      <c r="R7420" t="s">
        <v>17</v>
      </c>
      <c r="S7420" t="s">
        <v>233</v>
      </c>
      <c r="T7420" t="s">
        <v>445</v>
      </c>
      <c r="U7420" s="21">
        <v>112264.77</v>
      </c>
      <c r="V7420" s="21" t="s">
        <v>368</v>
      </c>
      <c r="W7420" t="str">
        <f>VLOOKUP(Table_Query_from_Actuarial___Production[[#This Row],[Kor1]],$AI$3:$AK$105,3,FALSE)</f>
        <v>IBNR</v>
      </c>
      <c r="X7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0"/>
      <c r="Z7420" t="s">
        <v>13</v>
      </c>
      <c r="AA7420" t="s">
        <v>235</v>
      </c>
      <c r="AB7420" t="s">
        <v>443</v>
      </c>
      <c r="AC7420" s="21">
        <v>1179.6500000000001</v>
      </c>
      <c r="AD7420" s="21" t="s">
        <v>368</v>
      </c>
      <c r="AE7420" t="str">
        <f>VLOOKUP(Table_Query_from_Actuarial___Production3[[#This Row],[Kor1]],$AI$3:$AK$105,3,FALSE)</f>
        <v>Operating Service Fees</v>
      </c>
      <c r="AF7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1" spans="18:32" x14ac:dyDescent="0.2">
      <c r="R7421" t="s">
        <v>31</v>
      </c>
      <c r="S7421" t="s">
        <v>239</v>
      </c>
      <c r="T7421" t="s">
        <v>356</v>
      </c>
      <c r="U7421" s="21">
        <v>918.9</v>
      </c>
      <c r="V7421" s="21" t="s">
        <v>368</v>
      </c>
      <c r="W7421" t="str">
        <f>VLOOKUP(Table_Query_from_Actuarial___Production[[#This Row],[Kor1]],$AI$3:$AK$105,3,FALSE)</f>
        <v>Misc. Expense</v>
      </c>
      <c r="X7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1"/>
      <c r="Z7421" t="s">
        <v>16</v>
      </c>
      <c r="AA7421" t="s">
        <v>257</v>
      </c>
      <c r="AB7421" t="s">
        <v>433</v>
      </c>
      <c r="AC7421" s="21">
        <v>767412.43</v>
      </c>
      <c r="AD7421" s="21" t="s">
        <v>368</v>
      </c>
      <c r="AE7421" t="str">
        <f>VLOOKUP(Table_Query_from_Actuarial___Production3[[#This Row],[Kor1]],$AI$3:$AK$105,3,FALSE)</f>
        <v>Losses Outstanding</v>
      </c>
      <c r="AF7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2" spans="18:32" x14ac:dyDescent="0.2">
      <c r="R7422" t="s">
        <v>32</v>
      </c>
      <c r="S7422" t="s">
        <v>230</v>
      </c>
      <c r="T7422" t="s">
        <v>7</v>
      </c>
      <c r="U7422" s="21">
        <v>-6912980.8499999996</v>
      </c>
      <c r="V7422" s="21" t="s">
        <v>368</v>
      </c>
      <c r="W7422" t="str">
        <f>VLOOKUP(Table_Query_from_Actuarial___Production[[#This Row],[Kor1]],$AI$3:$AK$105,3,FALSE)</f>
        <v>Misc. Expense</v>
      </c>
      <c r="X7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2"/>
      <c r="Z7422" t="s">
        <v>10</v>
      </c>
      <c r="AA7422" t="s">
        <v>248</v>
      </c>
      <c r="AB7422" t="s">
        <v>356</v>
      </c>
      <c r="AC7422" s="21">
        <v>16424.88</v>
      </c>
      <c r="AD7422" s="21" t="s">
        <v>368</v>
      </c>
      <c r="AE7422" t="str">
        <f>VLOOKUP(Table_Query_from_Actuarial___Production3[[#This Row],[Kor1]],$AI$3:$AK$105,3,FALSE)</f>
        <v>Commissions</v>
      </c>
      <c r="AF7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3" spans="18:32" x14ac:dyDescent="0.2">
      <c r="R7423" t="s">
        <v>14</v>
      </c>
      <c r="S7423" t="s">
        <v>254</v>
      </c>
      <c r="T7423" t="s">
        <v>351</v>
      </c>
      <c r="U7423" s="21">
        <v>358233.57</v>
      </c>
      <c r="V7423" s="21" t="s">
        <v>368</v>
      </c>
      <c r="W7423" t="str">
        <f>VLOOKUP(Table_Query_from_Actuarial___Production[[#This Row],[Kor1]],$AI$3:$AK$105,3,FALSE)</f>
        <v>Claims Expense</v>
      </c>
      <c r="X7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3"/>
      <c r="Z7423" t="s">
        <v>3</v>
      </c>
      <c r="AA7423" t="s">
        <v>237</v>
      </c>
      <c r="AB7423" t="s">
        <v>7</v>
      </c>
      <c r="AC7423" s="21">
        <v>3682184</v>
      </c>
      <c r="AD7423" s="21" t="s">
        <v>368</v>
      </c>
      <c r="AE7423" t="str">
        <f>VLOOKUP(Table_Query_from_Actuarial___Production3[[#This Row],[Kor1]],$AI$3:$AK$105,3,FALSE)</f>
        <v>Premiums Written</v>
      </c>
      <c r="AF7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4" spans="18:32" x14ac:dyDescent="0.2">
      <c r="R7424" t="s">
        <v>12</v>
      </c>
      <c r="S7424" t="s">
        <v>237</v>
      </c>
      <c r="T7424" t="s">
        <v>8</v>
      </c>
      <c r="U7424" s="21">
        <v>137253.79999999999</v>
      </c>
      <c r="V7424" s="21" t="s">
        <v>368</v>
      </c>
      <c r="W7424" t="str">
        <f>VLOOKUP(Table_Query_from_Actuarial___Production[[#This Row],[Kor1]],$AI$3:$AK$105,3,FALSE)</f>
        <v>Premium Tax</v>
      </c>
      <c r="X7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4"/>
      <c r="Z7424" t="s">
        <v>14</v>
      </c>
      <c r="AA7424" t="s">
        <v>243</v>
      </c>
      <c r="AB7424" t="s">
        <v>433</v>
      </c>
      <c r="AC7424" s="21">
        <v>65448.3</v>
      </c>
      <c r="AD7424" s="21" t="s">
        <v>368</v>
      </c>
      <c r="AE7424" t="str">
        <f>VLOOKUP(Table_Query_from_Actuarial___Production3[[#This Row],[Kor1]],$AI$3:$AK$105,3,FALSE)</f>
        <v>Claims Expense</v>
      </c>
      <c r="AF7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5" spans="18:32" x14ac:dyDescent="0.2">
      <c r="R7425" t="s">
        <v>13</v>
      </c>
      <c r="S7425" t="s">
        <v>235</v>
      </c>
      <c r="T7425" t="s">
        <v>443</v>
      </c>
      <c r="U7425" s="21">
        <v>5240.99</v>
      </c>
      <c r="V7425" s="21" t="s">
        <v>368</v>
      </c>
      <c r="W7425" t="str">
        <f>VLOOKUP(Table_Query_from_Actuarial___Production[[#This Row],[Kor1]],$AI$3:$AK$105,3,FALSE)</f>
        <v>Operating Service Fees</v>
      </c>
      <c r="X7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5"/>
      <c r="Z7425" t="s">
        <v>11</v>
      </c>
      <c r="AA7425" t="s">
        <v>224</v>
      </c>
      <c r="AB7425" t="s">
        <v>441</v>
      </c>
      <c r="AC7425" s="21">
        <v>1108681.3600000001</v>
      </c>
      <c r="AD7425" s="21" t="s">
        <v>368</v>
      </c>
      <c r="AE7425" t="str">
        <f>VLOOKUP(Table_Query_from_Actuarial___Production3[[#This Row],[Kor1]],$AI$3:$AK$105,3,FALSE)</f>
        <v>Losses Paid</v>
      </c>
      <c r="AF7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426" spans="18:32" x14ac:dyDescent="0.2">
      <c r="R7426" t="s">
        <v>16</v>
      </c>
      <c r="S7426" t="s">
        <v>257</v>
      </c>
      <c r="T7426" t="s">
        <v>433</v>
      </c>
      <c r="U7426" s="21">
        <v>8388.93</v>
      </c>
      <c r="V7426" s="21" t="s">
        <v>368</v>
      </c>
      <c r="W7426" t="str">
        <f>VLOOKUP(Table_Query_from_Actuarial___Production[[#This Row],[Kor1]],$AI$3:$AK$105,3,FALSE)</f>
        <v>Losses Outstanding</v>
      </c>
      <c r="X7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6"/>
      <c r="Z7426" t="s">
        <v>3</v>
      </c>
      <c r="AA7426" t="s">
        <v>242</v>
      </c>
      <c r="AB7426" t="s">
        <v>5</v>
      </c>
      <c r="AC7426" s="21">
        <v>268977</v>
      </c>
      <c r="AD7426" s="21" t="s">
        <v>368</v>
      </c>
      <c r="AE7426" t="str">
        <f>VLOOKUP(Table_Query_from_Actuarial___Production3[[#This Row],[Kor1]],$AI$3:$AK$105,3,FALSE)</f>
        <v>Premiums Written</v>
      </c>
      <c r="AF7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7" spans="18:32" x14ac:dyDescent="0.2">
      <c r="R7427" t="s">
        <v>10</v>
      </c>
      <c r="S7427" t="s">
        <v>248</v>
      </c>
      <c r="T7427" t="s">
        <v>356</v>
      </c>
      <c r="U7427" s="21">
        <v>16424.88</v>
      </c>
      <c r="V7427" s="21" t="s">
        <v>368</v>
      </c>
      <c r="W7427" t="str">
        <f>VLOOKUP(Table_Query_from_Actuarial___Production[[#This Row],[Kor1]],$AI$3:$AK$105,3,FALSE)</f>
        <v>Commissions</v>
      </c>
      <c r="X7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7"/>
      <c r="Z7427" t="s">
        <v>3</v>
      </c>
      <c r="AA7427" t="s">
        <v>260</v>
      </c>
      <c r="AB7427" t="s">
        <v>9</v>
      </c>
      <c r="AC7427" s="21">
        <v>4261</v>
      </c>
      <c r="AD7427" s="21" t="s">
        <v>368</v>
      </c>
      <c r="AE7427" t="str">
        <f>VLOOKUP(Table_Query_from_Actuarial___Production3[[#This Row],[Kor1]],$AI$3:$AK$105,3,FALSE)</f>
        <v>Premiums Written</v>
      </c>
      <c r="AF7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8" spans="18:32" x14ac:dyDescent="0.2">
      <c r="R7428" t="s">
        <v>3</v>
      </c>
      <c r="S7428" t="s">
        <v>237</v>
      </c>
      <c r="T7428" t="s">
        <v>7</v>
      </c>
      <c r="U7428" s="21">
        <v>3682184</v>
      </c>
      <c r="V7428" s="21" t="s">
        <v>368</v>
      </c>
      <c r="W7428" t="str">
        <f>VLOOKUP(Table_Query_from_Actuarial___Production[[#This Row],[Kor1]],$AI$3:$AK$105,3,FALSE)</f>
        <v>Premiums Written</v>
      </c>
      <c r="X7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8"/>
      <c r="Z7428" t="s">
        <v>439</v>
      </c>
      <c r="AA7428" t="s">
        <v>242</v>
      </c>
      <c r="AB7428" t="s">
        <v>443</v>
      </c>
      <c r="AC7428" s="21">
        <v>-9833.9500000000007</v>
      </c>
      <c r="AD7428" s="21" t="s">
        <v>368</v>
      </c>
      <c r="AE7428" t="str">
        <f>VLOOKUP(Table_Query_from_Actuarial___Production3[[#This Row],[Kor1]],$AI$3:$AK$105,3,FALSE)</f>
        <v>Operating Service Fees</v>
      </c>
      <c r="AF7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29" spans="18:32" x14ac:dyDescent="0.2">
      <c r="R7429" t="s">
        <v>14</v>
      </c>
      <c r="S7429" t="s">
        <v>243</v>
      </c>
      <c r="T7429" t="s">
        <v>433</v>
      </c>
      <c r="U7429" s="21">
        <v>65448.3</v>
      </c>
      <c r="V7429" s="21" t="s">
        <v>368</v>
      </c>
      <c r="W7429" t="str">
        <f>VLOOKUP(Table_Query_from_Actuarial___Production[[#This Row],[Kor1]],$AI$3:$AK$105,3,FALSE)</f>
        <v>Claims Expense</v>
      </c>
      <c r="X7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29"/>
      <c r="Z7429" t="s">
        <v>38</v>
      </c>
      <c r="AA7429" t="s">
        <v>224</v>
      </c>
      <c r="AB7429" t="s">
        <v>7</v>
      </c>
      <c r="AC7429" s="21">
        <v>3227.05</v>
      </c>
      <c r="AD7429" s="21" t="s">
        <v>425</v>
      </c>
      <c r="AE7429" t="str">
        <f>VLOOKUP(Table_Query_from_Actuarial___Production3[[#This Row],[Kor1]],$AI$3:$AK$105,3,FALSE)</f>
        <v>Misc. Income</v>
      </c>
      <c r="AF7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430" spans="18:32" x14ac:dyDescent="0.2">
      <c r="R7430" t="s">
        <v>11</v>
      </c>
      <c r="S7430" t="s">
        <v>224</v>
      </c>
      <c r="T7430" t="s">
        <v>441</v>
      </c>
      <c r="U7430" s="21">
        <v>1125050.6000000001</v>
      </c>
      <c r="V7430" s="21" t="s">
        <v>368</v>
      </c>
      <c r="W7430" t="str">
        <f>VLOOKUP(Table_Query_from_Actuarial___Production[[#This Row],[Kor1]],$AI$3:$AK$105,3,FALSE)</f>
        <v>Losses Paid</v>
      </c>
      <c r="X7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430"/>
      <c r="Z7430" t="s">
        <v>13</v>
      </c>
      <c r="AA7430" t="s">
        <v>256</v>
      </c>
      <c r="AB7430" t="s">
        <v>8</v>
      </c>
      <c r="AC7430" s="21">
        <v>28009.75</v>
      </c>
      <c r="AD7430" s="21" t="s">
        <v>368</v>
      </c>
      <c r="AE7430" t="str">
        <f>VLOOKUP(Table_Query_from_Actuarial___Production3[[#This Row],[Kor1]],$AI$3:$AK$105,3,FALSE)</f>
        <v>Operating Service Fees</v>
      </c>
      <c r="AF7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1" spans="18:32" x14ac:dyDescent="0.2">
      <c r="R7431" t="s">
        <v>3</v>
      </c>
      <c r="S7431" t="s">
        <v>260</v>
      </c>
      <c r="T7431" t="s">
        <v>9</v>
      </c>
      <c r="U7431" s="21">
        <v>4261</v>
      </c>
      <c r="V7431" s="21" t="s">
        <v>368</v>
      </c>
      <c r="W7431" t="str">
        <f>VLOOKUP(Table_Query_from_Actuarial___Production[[#This Row],[Kor1]],$AI$3:$AK$105,3,FALSE)</f>
        <v>Premiums Written</v>
      </c>
      <c r="X7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1"/>
      <c r="Z7431" t="s">
        <v>14</v>
      </c>
      <c r="AA7431" t="s">
        <v>262</v>
      </c>
      <c r="AB7431" t="s">
        <v>427</v>
      </c>
      <c r="AC7431" s="21">
        <v>20785.64</v>
      </c>
      <c r="AD7431" s="21" t="s">
        <v>368</v>
      </c>
      <c r="AE7431" t="str">
        <f>VLOOKUP(Table_Query_from_Actuarial___Production3[[#This Row],[Kor1]],$AI$3:$AK$105,3,FALSE)</f>
        <v>Claims Expense</v>
      </c>
      <c r="AF7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2" spans="18:32" x14ac:dyDescent="0.2">
      <c r="R7432" t="s">
        <v>77</v>
      </c>
      <c r="S7432" t="s">
        <v>248</v>
      </c>
      <c r="T7432" t="s">
        <v>445</v>
      </c>
      <c r="U7432" s="21">
        <v>136512</v>
      </c>
      <c r="V7432" s="21" t="s">
        <v>368</v>
      </c>
      <c r="W7432" t="str">
        <f>VLOOKUP(Table_Query_from_Actuarial___Production[[#This Row],[Kor1]],$AI$3:$AK$105,3,FALSE)</f>
        <v>PDR</v>
      </c>
      <c r="X7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2"/>
      <c r="Z7432" t="s">
        <v>47</v>
      </c>
      <c r="AA7432" t="s">
        <v>247</v>
      </c>
      <c r="AB7432" t="s">
        <v>443</v>
      </c>
      <c r="AC7432" s="21">
        <v>237.97</v>
      </c>
      <c r="AD7432" s="21" t="s">
        <v>368</v>
      </c>
      <c r="AE7432" t="str">
        <f>VLOOKUP(Table_Query_from_Actuarial___Production3[[#This Row],[Kor1]],$AI$3:$AK$105,3,FALSE)</f>
        <v>Investment Income</v>
      </c>
      <c r="AF7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3" spans="18:32" x14ac:dyDescent="0.2">
      <c r="R7433" t="s">
        <v>439</v>
      </c>
      <c r="S7433" t="s">
        <v>242</v>
      </c>
      <c r="T7433" t="s">
        <v>443</v>
      </c>
      <c r="U7433" s="21">
        <v>-9833.9500000000007</v>
      </c>
      <c r="V7433" s="21" t="s">
        <v>368</v>
      </c>
      <c r="W7433" t="str">
        <f>VLOOKUP(Table_Query_from_Actuarial___Production[[#This Row],[Kor1]],$AI$3:$AK$105,3,FALSE)</f>
        <v>Operating Service Fees</v>
      </c>
      <c r="X7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3"/>
      <c r="Z7433" t="s">
        <v>43</v>
      </c>
      <c r="AA7433" t="s">
        <v>237</v>
      </c>
      <c r="AB7433" t="s">
        <v>351</v>
      </c>
      <c r="AC7433" s="21">
        <v>-116.83</v>
      </c>
      <c r="AD7433" s="21" t="s">
        <v>368</v>
      </c>
      <c r="AE7433" t="str">
        <f>VLOOKUP(Table_Query_from_Actuarial___Production3[[#This Row],[Kor1]],$AI$3:$AK$105,3,FALSE)</f>
        <v>Charge-offs</v>
      </c>
      <c r="AF7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4" spans="18:32" x14ac:dyDescent="0.2">
      <c r="R7434" t="s">
        <v>38</v>
      </c>
      <c r="S7434" t="s">
        <v>224</v>
      </c>
      <c r="T7434" t="s">
        <v>7</v>
      </c>
      <c r="U7434" s="21">
        <v>3227.05</v>
      </c>
      <c r="V7434" s="21" t="s">
        <v>425</v>
      </c>
      <c r="W7434" t="str">
        <f>VLOOKUP(Table_Query_from_Actuarial___Production[[#This Row],[Kor1]],$AI$3:$AK$105,3,FALSE)</f>
        <v>Misc. Income</v>
      </c>
      <c r="X7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434"/>
      <c r="Z7434" t="s">
        <v>47</v>
      </c>
      <c r="AA7434" t="s">
        <v>239</v>
      </c>
      <c r="AB7434" t="s">
        <v>427</v>
      </c>
      <c r="AC7434" s="21">
        <v>3697.86</v>
      </c>
      <c r="AD7434" s="21" t="s">
        <v>368</v>
      </c>
      <c r="AE7434" t="str">
        <f>VLOOKUP(Table_Query_from_Actuarial___Production3[[#This Row],[Kor1]],$AI$3:$AK$105,3,FALSE)</f>
        <v>Investment Income</v>
      </c>
      <c r="AF7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5" spans="18:32" x14ac:dyDescent="0.2">
      <c r="R7435" t="s">
        <v>13</v>
      </c>
      <c r="S7435" t="s">
        <v>256</v>
      </c>
      <c r="T7435" t="s">
        <v>8</v>
      </c>
      <c r="U7435" s="21">
        <v>28009.75</v>
      </c>
      <c r="V7435" s="21" t="s">
        <v>368</v>
      </c>
      <c r="W7435" t="str">
        <f>VLOOKUP(Table_Query_from_Actuarial___Production[[#This Row],[Kor1]],$AI$3:$AK$105,3,FALSE)</f>
        <v>Operating Service Fees</v>
      </c>
      <c r="X7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5"/>
      <c r="Z7435" t="s">
        <v>3</v>
      </c>
      <c r="AA7435" t="s">
        <v>224</v>
      </c>
      <c r="AB7435" t="s">
        <v>427</v>
      </c>
      <c r="AC7435" s="21">
        <v>102205.41</v>
      </c>
      <c r="AD7435" s="21" t="s">
        <v>369</v>
      </c>
      <c r="AE7435" t="str">
        <f>VLOOKUP(Table_Query_from_Actuarial___Production3[[#This Row],[Kor1]],$AI$3:$AK$105,3,FALSE)</f>
        <v>Premiums Written</v>
      </c>
      <c r="AF7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436" spans="18:32" x14ac:dyDescent="0.2">
      <c r="R7436" t="s">
        <v>14</v>
      </c>
      <c r="S7436" t="s">
        <v>262</v>
      </c>
      <c r="T7436" t="s">
        <v>427</v>
      </c>
      <c r="U7436" s="21">
        <v>20785.64</v>
      </c>
      <c r="V7436" s="21" t="s">
        <v>368</v>
      </c>
      <c r="W7436" t="str">
        <f>VLOOKUP(Table_Query_from_Actuarial___Production[[#This Row],[Kor1]],$AI$3:$AK$105,3,FALSE)</f>
        <v>Claims Expense</v>
      </c>
      <c r="X7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6"/>
      <c r="Z7436" t="s">
        <v>32</v>
      </c>
      <c r="AA7436" t="s">
        <v>228</v>
      </c>
      <c r="AB7436" t="s">
        <v>427</v>
      </c>
      <c r="AC7436" s="21">
        <v>5373</v>
      </c>
      <c r="AD7436" s="21" t="s">
        <v>368</v>
      </c>
      <c r="AE7436" t="str">
        <f>VLOOKUP(Table_Query_from_Actuarial___Production3[[#This Row],[Kor1]],$AI$3:$AK$105,3,FALSE)</f>
        <v>Misc. Expense</v>
      </c>
      <c r="AF7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7" spans="18:32" x14ac:dyDescent="0.2">
      <c r="R7437" t="s">
        <v>47</v>
      </c>
      <c r="S7437" t="s">
        <v>247</v>
      </c>
      <c r="T7437" t="s">
        <v>443</v>
      </c>
      <c r="U7437" s="21">
        <v>2461.91</v>
      </c>
      <c r="V7437" s="21" t="s">
        <v>368</v>
      </c>
      <c r="W7437" t="str">
        <f>VLOOKUP(Table_Query_from_Actuarial___Production[[#This Row],[Kor1]],$AI$3:$AK$105,3,FALSE)</f>
        <v>Investment Income</v>
      </c>
      <c r="X7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7"/>
      <c r="Z7437" t="s">
        <v>39</v>
      </c>
      <c r="AA7437" t="s">
        <v>231</v>
      </c>
      <c r="AB7437" t="s">
        <v>433</v>
      </c>
      <c r="AC7437" s="21">
        <v>4812.01</v>
      </c>
      <c r="AD7437" s="21" t="s">
        <v>368</v>
      </c>
      <c r="AE7437" t="str">
        <f>VLOOKUP(Table_Query_from_Actuarial___Production3[[#This Row],[Kor1]],$AI$3:$AK$105,3,FALSE)</f>
        <v>Misc. Income for Insolvent Companies</v>
      </c>
      <c r="AF7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8" spans="18:32" x14ac:dyDescent="0.2">
      <c r="R7438" t="s">
        <v>43</v>
      </c>
      <c r="S7438" t="s">
        <v>237</v>
      </c>
      <c r="T7438" t="s">
        <v>351</v>
      </c>
      <c r="U7438" s="21">
        <v>-116.83</v>
      </c>
      <c r="V7438" s="21" t="s">
        <v>368</v>
      </c>
      <c r="W7438" t="str">
        <f>VLOOKUP(Table_Query_from_Actuarial___Production[[#This Row],[Kor1]],$AI$3:$AK$105,3,FALSE)</f>
        <v>Charge-offs</v>
      </c>
      <c r="X7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8"/>
      <c r="Z7438" t="s">
        <v>10</v>
      </c>
      <c r="AA7438" t="s">
        <v>229</v>
      </c>
      <c r="AB7438" t="s">
        <v>427</v>
      </c>
      <c r="AC7438" s="21">
        <v>10195.299999999999</v>
      </c>
      <c r="AD7438" s="21" t="s">
        <v>368</v>
      </c>
      <c r="AE7438" t="str">
        <f>VLOOKUP(Table_Query_from_Actuarial___Production3[[#This Row],[Kor1]],$AI$3:$AK$105,3,FALSE)</f>
        <v>Commissions</v>
      </c>
      <c r="AF7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39" spans="18:32" x14ac:dyDescent="0.2">
      <c r="R7439" t="s">
        <v>47</v>
      </c>
      <c r="S7439" t="s">
        <v>239</v>
      </c>
      <c r="T7439" t="s">
        <v>427</v>
      </c>
      <c r="U7439" s="21">
        <v>3697.86</v>
      </c>
      <c r="V7439" s="21" t="s">
        <v>368</v>
      </c>
      <c r="W7439" t="str">
        <f>VLOOKUP(Table_Query_from_Actuarial___Production[[#This Row],[Kor1]],$AI$3:$AK$105,3,FALSE)</f>
        <v>Investment Income</v>
      </c>
      <c r="X7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39"/>
      <c r="Z7439" t="s">
        <v>11</v>
      </c>
      <c r="AA7439" t="s">
        <v>239</v>
      </c>
      <c r="AB7439" t="s">
        <v>351</v>
      </c>
      <c r="AC7439" s="21">
        <v>213578.49</v>
      </c>
      <c r="AD7439" s="21" t="s">
        <v>368</v>
      </c>
      <c r="AE7439" t="str">
        <f>VLOOKUP(Table_Query_from_Actuarial___Production3[[#This Row],[Kor1]],$AI$3:$AK$105,3,FALSE)</f>
        <v>Losses Paid</v>
      </c>
      <c r="AF7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0" spans="18:32" x14ac:dyDescent="0.2">
      <c r="R7440" t="s">
        <v>3</v>
      </c>
      <c r="S7440" t="s">
        <v>224</v>
      </c>
      <c r="T7440" t="s">
        <v>427</v>
      </c>
      <c r="U7440" s="21">
        <v>102205.41</v>
      </c>
      <c r="V7440" s="21" t="s">
        <v>369</v>
      </c>
      <c r="W7440" t="str">
        <f>VLOOKUP(Table_Query_from_Actuarial___Production[[#This Row],[Kor1]],$AI$3:$AK$105,3,FALSE)</f>
        <v>Premiums Written</v>
      </c>
      <c r="X7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440"/>
      <c r="Z7440" t="s">
        <v>44</v>
      </c>
      <c r="AA7440" t="s">
        <v>234</v>
      </c>
      <c r="AB7440" t="s">
        <v>8</v>
      </c>
      <c r="AC7440" s="21">
        <v>1950.5</v>
      </c>
      <c r="AD7440" s="21" t="s">
        <v>368</v>
      </c>
      <c r="AE7440" t="str">
        <f>VLOOKUP(Table_Query_from_Actuarial___Production3[[#This Row],[Kor1]],$AI$3:$AK$105,3,FALSE)</f>
        <v>Charge-offs</v>
      </c>
      <c r="AF7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1" spans="18:32" x14ac:dyDescent="0.2">
      <c r="R7441" t="s">
        <v>32</v>
      </c>
      <c r="S7441" t="s">
        <v>228</v>
      </c>
      <c r="T7441" t="s">
        <v>427</v>
      </c>
      <c r="U7441" s="21">
        <v>5373</v>
      </c>
      <c r="V7441" s="21" t="s">
        <v>368</v>
      </c>
      <c r="W7441" t="str">
        <f>VLOOKUP(Table_Query_from_Actuarial___Production[[#This Row],[Kor1]],$AI$3:$AK$105,3,FALSE)</f>
        <v>Misc. Expense</v>
      </c>
      <c r="X7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1"/>
      <c r="Z7441" t="s">
        <v>14</v>
      </c>
      <c r="AA7441" t="s">
        <v>264</v>
      </c>
      <c r="AB7441" t="s">
        <v>443</v>
      </c>
      <c r="AC7441" s="21">
        <v>21783.21</v>
      </c>
      <c r="AD7441" s="21" t="s">
        <v>368</v>
      </c>
      <c r="AE7441" t="str">
        <f>VLOOKUP(Table_Query_from_Actuarial___Production3[[#This Row],[Kor1]],$AI$3:$AK$105,3,FALSE)</f>
        <v>Claims Expense</v>
      </c>
      <c r="AF7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2" spans="18:32" x14ac:dyDescent="0.2">
      <c r="R7442" t="s">
        <v>39</v>
      </c>
      <c r="S7442" t="s">
        <v>231</v>
      </c>
      <c r="T7442" t="s">
        <v>433</v>
      </c>
      <c r="U7442" s="21">
        <v>4812.01</v>
      </c>
      <c r="V7442" s="21" t="s">
        <v>368</v>
      </c>
      <c r="W7442" t="str">
        <f>VLOOKUP(Table_Query_from_Actuarial___Production[[#This Row],[Kor1]],$AI$3:$AK$105,3,FALSE)</f>
        <v>Misc. Income for Insolvent Companies</v>
      </c>
      <c r="X7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2"/>
      <c r="Z7442" t="s">
        <v>77</v>
      </c>
      <c r="AA7442" t="s">
        <v>252</v>
      </c>
      <c r="AB7442" t="s">
        <v>442</v>
      </c>
      <c r="AC7442" s="21">
        <v>544449</v>
      </c>
      <c r="AD7442" s="21" t="s">
        <v>368</v>
      </c>
      <c r="AE7442" t="str">
        <f>VLOOKUP(Table_Query_from_Actuarial___Production3[[#This Row],[Kor1]],$AI$3:$AK$105,3,FALSE)</f>
        <v>PDR</v>
      </c>
      <c r="AF7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3" spans="18:32" x14ac:dyDescent="0.2">
      <c r="R7443" t="s">
        <v>10</v>
      </c>
      <c r="S7443" t="s">
        <v>229</v>
      </c>
      <c r="T7443" t="s">
        <v>427</v>
      </c>
      <c r="U7443" s="21">
        <v>10195.299999999999</v>
      </c>
      <c r="V7443" s="21" t="s">
        <v>368</v>
      </c>
      <c r="W7443" t="str">
        <f>VLOOKUP(Table_Query_from_Actuarial___Production[[#This Row],[Kor1]],$AI$3:$AK$105,3,FALSE)</f>
        <v>Commissions</v>
      </c>
      <c r="X7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3"/>
      <c r="Z7443" t="s">
        <v>49</v>
      </c>
      <c r="AA7443" t="s">
        <v>233</v>
      </c>
      <c r="AB7443" t="s">
        <v>351</v>
      </c>
      <c r="AC7443" s="21">
        <v>3360.4</v>
      </c>
      <c r="AD7443" s="21" t="s">
        <v>368</v>
      </c>
      <c r="AE7443" t="str">
        <f>VLOOKUP(Table_Query_from_Actuarial___Production3[[#This Row],[Kor1]],$AI$3:$AK$105,3,FALSE)</f>
        <v>ALAE Paid</v>
      </c>
      <c r="AF7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4" spans="18:32" x14ac:dyDescent="0.2">
      <c r="R7444" t="s">
        <v>11</v>
      </c>
      <c r="S7444" t="s">
        <v>239</v>
      </c>
      <c r="T7444" t="s">
        <v>351</v>
      </c>
      <c r="U7444" s="21">
        <v>213578.49</v>
      </c>
      <c r="V7444" s="21" t="s">
        <v>368</v>
      </c>
      <c r="W7444" t="str">
        <f>VLOOKUP(Table_Query_from_Actuarial___Production[[#This Row],[Kor1]],$AI$3:$AK$105,3,FALSE)</f>
        <v>Losses Paid</v>
      </c>
      <c r="X7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4"/>
      <c r="Z7444" t="s">
        <v>18</v>
      </c>
      <c r="AA7444" t="s">
        <v>352</v>
      </c>
      <c r="AB7444" t="s">
        <v>7</v>
      </c>
      <c r="AC7444" s="21">
        <v>168158.72</v>
      </c>
      <c r="AD7444" s="21" t="s">
        <v>369</v>
      </c>
      <c r="AE7444" t="str">
        <f>VLOOKUP(Table_Query_from_Actuarial___Production3[[#This Row],[Kor1]],$AI$3:$AK$105,3,FALSE)</f>
        <v>Misc. Expense</v>
      </c>
      <c r="AF7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445" spans="18:32" x14ac:dyDescent="0.2">
      <c r="R7445" t="s">
        <v>44</v>
      </c>
      <c r="S7445" t="s">
        <v>234</v>
      </c>
      <c r="T7445" t="s">
        <v>8</v>
      </c>
      <c r="U7445" s="21">
        <v>1950.5</v>
      </c>
      <c r="V7445" s="21" t="s">
        <v>368</v>
      </c>
      <c r="W7445" t="str">
        <f>VLOOKUP(Table_Query_from_Actuarial___Production[[#This Row],[Kor1]],$AI$3:$AK$105,3,FALSE)</f>
        <v>Charge-offs</v>
      </c>
      <c r="X7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5"/>
      <c r="Z7445" t="s">
        <v>14</v>
      </c>
      <c r="AA7445" t="s">
        <v>226</v>
      </c>
      <c r="AB7445" t="s">
        <v>7</v>
      </c>
      <c r="AC7445" s="21">
        <v>599615.54</v>
      </c>
      <c r="AD7445" s="21" t="s">
        <v>368</v>
      </c>
      <c r="AE7445" t="str">
        <f>VLOOKUP(Table_Query_from_Actuarial___Production3[[#This Row],[Kor1]],$AI$3:$AK$105,3,FALSE)</f>
        <v>Claims Expense</v>
      </c>
      <c r="AF7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446" spans="18:32" x14ac:dyDescent="0.2">
      <c r="R7446" t="s">
        <v>14</v>
      </c>
      <c r="S7446" t="s">
        <v>264</v>
      </c>
      <c r="T7446" t="s">
        <v>443</v>
      </c>
      <c r="U7446" s="21">
        <v>224213</v>
      </c>
      <c r="V7446" s="21" t="s">
        <v>368</v>
      </c>
      <c r="W7446" t="str">
        <f>VLOOKUP(Table_Query_from_Actuarial___Production[[#This Row],[Kor1]],$AI$3:$AK$105,3,FALSE)</f>
        <v>Claims Expense</v>
      </c>
      <c r="X7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6"/>
      <c r="Z7446" t="s">
        <v>31</v>
      </c>
      <c r="AA7446" t="s">
        <v>247</v>
      </c>
      <c r="AB7446" t="s">
        <v>441</v>
      </c>
      <c r="AC7446" s="21">
        <v>935.57</v>
      </c>
      <c r="AD7446" s="21" t="s">
        <v>368</v>
      </c>
      <c r="AE7446" t="str">
        <f>VLOOKUP(Table_Query_from_Actuarial___Production3[[#This Row],[Kor1]],$AI$3:$AK$105,3,FALSE)</f>
        <v>Misc. Expense</v>
      </c>
      <c r="AF7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7" spans="18:32" x14ac:dyDescent="0.2">
      <c r="R7447" t="s">
        <v>49</v>
      </c>
      <c r="S7447" t="s">
        <v>233</v>
      </c>
      <c r="T7447" t="s">
        <v>351</v>
      </c>
      <c r="U7447" s="21">
        <v>3360.4</v>
      </c>
      <c r="V7447" s="21" t="s">
        <v>368</v>
      </c>
      <c r="W7447" t="str">
        <f>VLOOKUP(Table_Query_from_Actuarial___Production[[#This Row],[Kor1]],$AI$3:$AK$105,3,FALSE)</f>
        <v>ALAE Paid</v>
      </c>
      <c r="X7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47"/>
      <c r="Z7447" t="s">
        <v>37</v>
      </c>
      <c r="AA7447" t="s">
        <v>243</v>
      </c>
      <c r="AB7447" t="s">
        <v>356</v>
      </c>
      <c r="AC7447" s="21">
        <v>1822.82</v>
      </c>
      <c r="AD7447" s="21" t="s">
        <v>368</v>
      </c>
      <c r="AE7447" t="str">
        <f>VLOOKUP(Table_Query_from_Actuarial___Production3[[#This Row],[Kor1]],$AI$3:$AK$105,3,FALSE)</f>
        <v>Misc. Expense</v>
      </c>
      <c r="AF7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8" spans="18:32" x14ac:dyDescent="0.2">
      <c r="R7448" t="s">
        <v>18</v>
      </c>
      <c r="S7448" t="s">
        <v>352</v>
      </c>
      <c r="T7448" t="s">
        <v>7</v>
      </c>
      <c r="U7448" s="21">
        <v>168158.72</v>
      </c>
      <c r="V7448" s="21" t="s">
        <v>369</v>
      </c>
      <c r="W7448" t="str">
        <f>VLOOKUP(Table_Query_from_Actuarial___Production[[#This Row],[Kor1]],$AI$3:$AK$105,3,FALSE)</f>
        <v>Misc. Expense</v>
      </c>
      <c r="X7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448"/>
      <c r="Z7448" t="s">
        <v>41</v>
      </c>
      <c r="AA7448" t="s">
        <v>228</v>
      </c>
      <c r="AB7448" t="s">
        <v>9</v>
      </c>
      <c r="AC7448" s="21">
        <v>1200</v>
      </c>
      <c r="AD7448" s="21" t="s">
        <v>368</v>
      </c>
      <c r="AE7448" t="str">
        <f>VLOOKUP(Table_Query_from_Actuarial___Production3[[#This Row],[Kor1]],$AI$3:$AK$105,3,FALSE)</f>
        <v>Misc. Income</v>
      </c>
      <c r="AF7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49" spans="18:32" x14ac:dyDescent="0.2">
      <c r="R7449" t="s">
        <v>14</v>
      </c>
      <c r="S7449" t="s">
        <v>226</v>
      </c>
      <c r="T7449" t="s">
        <v>7</v>
      </c>
      <c r="U7449" s="21">
        <v>599615.54</v>
      </c>
      <c r="V7449" s="21" t="s">
        <v>368</v>
      </c>
      <c r="W7449" t="str">
        <f>VLOOKUP(Table_Query_from_Actuarial___Production[[#This Row],[Kor1]],$AI$3:$AK$105,3,FALSE)</f>
        <v>Claims Expense</v>
      </c>
      <c r="X7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449"/>
      <c r="Z7449" t="s">
        <v>33</v>
      </c>
      <c r="AA7449" t="s">
        <v>266</v>
      </c>
      <c r="AB7449" t="s">
        <v>8</v>
      </c>
      <c r="AC7449" s="21">
        <v>15295.36</v>
      </c>
      <c r="AD7449" s="21" t="s">
        <v>368</v>
      </c>
      <c r="AE7449" t="str">
        <f>VLOOKUP(Table_Query_from_Actuarial___Production3[[#This Row],[Kor1]],$AI$3:$AK$105,3,FALSE)</f>
        <v>Misc. Expense</v>
      </c>
      <c r="AF7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0" spans="18:32" x14ac:dyDescent="0.2">
      <c r="R7450" t="s">
        <v>31</v>
      </c>
      <c r="S7450" t="s">
        <v>247</v>
      </c>
      <c r="T7450" t="s">
        <v>441</v>
      </c>
      <c r="U7450" s="21">
        <v>935.57</v>
      </c>
      <c r="V7450" s="21" t="s">
        <v>368</v>
      </c>
      <c r="W7450" t="str">
        <f>VLOOKUP(Table_Query_from_Actuarial___Production[[#This Row],[Kor1]],$AI$3:$AK$105,3,FALSE)</f>
        <v>Misc. Expense</v>
      </c>
      <c r="X7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0"/>
      <c r="Z7450" t="s">
        <v>31</v>
      </c>
      <c r="AA7450" t="s">
        <v>4</v>
      </c>
      <c r="AB7450" t="s">
        <v>441</v>
      </c>
      <c r="AC7450" s="21">
        <v>858.14</v>
      </c>
      <c r="AD7450" s="21" t="s">
        <v>368</v>
      </c>
      <c r="AE7450" t="str">
        <f>VLOOKUP(Table_Query_from_Actuarial___Production3[[#This Row],[Kor1]],$AI$3:$AK$105,3,FALSE)</f>
        <v>Misc. Expense</v>
      </c>
      <c r="AF7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1" spans="18:32" x14ac:dyDescent="0.2">
      <c r="R7451" t="s">
        <v>37</v>
      </c>
      <c r="S7451" t="s">
        <v>243</v>
      </c>
      <c r="T7451" t="s">
        <v>356</v>
      </c>
      <c r="U7451" s="21">
        <v>1822.82</v>
      </c>
      <c r="V7451" s="21" t="s">
        <v>368</v>
      </c>
      <c r="W7451" t="str">
        <f>VLOOKUP(Table_Query_from_Actuarial___Production[[#This Row],[Kor1]],$AI$3:$AK$105,3,FALSE)</f>
        <v>Misc. Expense</v>
      </c>
      <c r="X7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1"/>
      <c r="Z7451" t="s">
        <v>11</v>
      </c>
      <c r="AA7451" t="s">
        <v>354</v>
      </c>
      <c r="AB7451" t="s">
        <v>356</v>
      </c>
      <c r="AC7451" s="21">
        <v>89763159.430000007</v>
      </c>
      <c r="AD7451" s="21" t="s">
        <v>368</v>
      </c>
      <c r="AE7451" t="str">
        <f>VLOOKUP(Table_Query_from_Actuarial___Production3[[#This Row],[Kor1]],$AI$3:$AK$105,3,FALSE)</f>
        <v>Losses Paid</v>
      </c>
      <c r="AF7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452" spans="18:32" x14ac:dyDescent="0.2">
      <c r="R7452" t="s">
        <v>41</v>
      </c>
      <c r="S7452" t="s">
        <v>228</v>
      </c>
      <c r="T7452" t="s">
        <v>9</v>
      </c>
      <c r="U7452" s="21">
        <v>1200</v>
      </c>
      <c r="V7452" s="21" t="s">
        <v>368</v>
      </c>
      <c r="W7452" t="str">
        <f>VLOOKUP(Table_Query_from_Actuarial___Production[[#This Row],[Kor1]],$AI$3:$AK$105,3,FALSE)</f>
        <v>Misc. Income</v>
      </c>
      <c r="X7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2"/>
      <c r="Z7452" t="s">
        <v>11</v>
      </c>
      <c r="AA7452" t="s">
        <v>4</v>
      </c>
      <c r="AB7452" t="s">
        <v>433</v>
      </c>
      <c r="AC7452" s="21">
        <v>22188665.75</v>
      </c>
      <c r="AD7452" s="21" t="s">
        <v>368</v>
      </c>
      <c r="AE7452" t="str">
        <f>VLOOKUP(Table_Query_from_Actuarial___Production3[[#This Row],[Kor1]],$AI$3:$AK$105,3,FALSE)</f>
        <v>Losses Paid</v>
      </c>
      <c r="AF7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3" spans="18:32" x14ac:dyDescent="0.2">
      <c r="R7453" t="s">
        <v>33</v>
      </c>
      <c r="S7453" t="s">
        <v>266</v>
      </c>
      <c r="T7453" t="s">
        <v>8</v>
      </c>
      <c r="U7453" s="21">
        <v>15295.36</v>
      </c>
      <c r="V7453" s="21" t="s">
        <v>368</v>
      </c>
      <c r="W7453" t="str">
        <f>VLOOKUP(Table_Query_from_Actuarial___Production[[#This Row],[Kor1]],$AI$3:$AK$105,3,FALSE)</f>
        <v>Misc. Expense</v>
      </c>
      <c r="X7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3"/>
      <c r="Z7453" t="s">
        <v>31</v>
      </c>
      <c r="AA7453" t="s">
        <v>253</v>
      </c>
      <c r="AB7453" t="s">
        <v>443</v>
      </c>
      <c r="AC7453" s="21">
        <v>271.23</v>
      </c>
      <c r="AD7453" s="21" t="s">
        <v>368</v>
      </c>
      <c r="AE7453" t="str">
        <f>VLOOKUP(Table_Query_from_Actuarial___Production3[[#This Row],[Kor1]],$AI$3:$AK$105,3,FALSE)</f>
        <v>Misc. Expense</v>
      </c>
      <c r="AF7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4" spans="18:32" x14ac:dyDescent="0.2">
      <c r="R7454" t="s">
        <v>31</v>
      </c>
      <c r="S7454" t="s">
        <v>4</v>
      </c>
      <c r="T7454" t="s">
        <v>441</v>
      </c>
      <c r="U7454" s="21">
        <v>858.14</v>
      </c>
      <c r="V7454" s="21" t="s">
        <v>368</v>
      </c>
      <c r="W7454" t="str">
        <f>VLOOKUP(Table_Query_from_Actuarial___Production[[#This Row],[Kor1]],$AI$3:$AK$105,3,FALSE)</f>
        <v>Misc. Expense</v>
      </c>
      <c r="X7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4"/>
      <c r="Z7454" t="s">
        <v>39</v>
      </c>
      <c r="AA7454" t="s">
        <v>230</v>
      </c>
      <c r="AB7454" t="s">
        <v>8</v>
      </c>
      <c r="AC7454" s="21">
        <v>45318</v>
      </c>
      <c r="AD7454" s="21" t="s">
        <v>368</v>
      </c>
      <c r="AE7454" t="str">
        <f>VLOOKUP(Table_Query_from_Actuarial___Production3[[#This Row],[Kor1]],$AI$3:$AK$105,3,FALSE)</f>
        <v>Misc. Income for Insolvent Companies</v>
      </c>
      <c r="AF7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5" spans="18:32" x14ac:dyDescent="0.2">
      <c r="R7455" t="s">
        <v>40</v>
      </c>
      <c r="S7455" t="s">
        <v>254</v>
      </c>
      <c r="T7455" t="s">
        <v>443</v>
      </c>
      <c r="U7455" s="21">
        <v>60.44</v>
      </c>
      <c r="V7455" s="21" t="s">
        <v>368</v>
      </c>
      <c r="W7455" t="str">
        <f>VLOOKUP(Table_Query_from_Actuarial___Production[[#This Row],[Kor1]],$AI$3:$AK$105,3,FALSE)</f>
        <v>Misc. Income</v>
      </c>
      <c r="X7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5"/>
      <c r="Z7455" t="s">
        <v>43</v>
      </c>
      <c r="AA7455" t="s">
        <v>237</v>
      </c>
      <c r="AB7455" t="s">
        <v>441</v>
      </c>
      <c r="AC7455" s="21">
        <v>6959.33</v>
      </c>
      <c r="AD7455" s="21" t="s">
        <v>368</v>
      </c>
      <c r="AE7455" t="str">
        <f>VLOOKUP(Table_Query_from_Actuarial___Production3[[#This Row],[Kor1]],$AI$3:$AK$105,3,FALSE)</f>
        <v>Charge-offs</v>
      </c>
      <c r="AF7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6" spans="18:32" x14ac:dyDescent="0.2">
      <c r="R7456" t="s">
        <v>11</v>
      </c>
      <c r="S7456" t="s">
        <v>354</v>
      </c>
      <c r="T7456" t="s">
        <v>356</v>
      </c>
      <c r="U7456" s="21">
        <v>95373640.769999996</v>
      </c>
      <c r="V7456" s="21" t="s">
        <v>368</v>
      </c>
      <c r="W7456" t="str">
        <f>VLOOKUP(Table_Query_from_Actuarial___Production[[#This Row],[Kor1]],$AI$3:$AK$105,3,FALSE)</f>
        <v>Losses Paid</v>
      </c>
      <c r="X7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456"/>
      <c r="Z7456" t="s">
        <v>21</v>
      </c>
      <c r="AA7456" t="s">
        <v>250</v>
      </c>
      <c r="AB7456" t="s">
        <v>443</v>
      </c>
      <c r="AC7456" s="21">
        <v>672</v>
      </c>
      <c r="AD7456" s="21" t="s">
        <v>368</v>
      </c>
      <c r="AE7456" t="str">
        <f>VLOOKUP(Table_Query_from_Actuarial___Production3[[#This Row],[Kor1]],$AI$3:$AK$105,3,FALSE)</f>
        <v>Misc. Expense</v>
      </c>
      <c r="AF7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7" spans="18:32" x14ac:dyDescent="0.2">
      <c r="R7457" t="s">
        <v>11</v>
      </c>
      <c r="S7457" t="s">
        <v>4</v>
      </c>
      <c r="T7457" t="s">
        <v>433</v>
      </c>
      <c r="U7457" s="21">
        <v>30813254.789999999</v>
      </c>
      <c r="V7457" s="21" t="s">
        <v>368</v>
      </c>
      <c r="W7457" t="str">
        <f>VLOOKUP(Table_Query_from_Actuarial___Production[[#This Row],[Kor1]],$AI$3:$AK$105,3,FALSE)</f>
        <v>Losses Paid</v>
      </c>
      <c r="X7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7"/>
      <c r="Z7457" t="s">
        <v>33</v>
      </c>
      <c r="AA7457" t="s">
        <v>255</v>
      </c>
      <c r="AB7457" t="s">
        <v>6</v>
      </c>
      <c r="AC7457" s="21">
        <v>18771.71</v>
      </c>
      <c r="AD7457" s="21" t="s">
        <v>368</v>
      </c>
      <c r="AE7457" t="str">
        <f>VLOOKUP(Table_Query_from_Actuarial___Production3[[#This Row],[Kor1]],$AI$3:$AK$105,3,FALSE)</f>
        <v>Misc. Expense</v>
      </c>
      <c r="AF7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8" spans="18:32" x14ac:dyDescent="0.2">
      <c r="R7458" t="s">
        <v>31</v>
      </c>
      <c r="S7458" t="s">
        <v>253</v>
      </c>
      <c r="T7458" t="s">
        <v>443</v>
      </c>
      <c r="U7458" s="21">
        <v>798.35</v>
      </c>
      <c r="V7458" s="21" t="s">
        <v>368</v>
      </c>
      <c r="W7458" t="str">
        <f>VLOOKUP(Table_Query_from_Actuarial___Production[[#This Row],[Kor1]],$AI$3:$AK$105,3,FALSE)</f>
        <v>Misc. Expense</v>
      </c>
      <c r="X7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8"/>
      <c r="Z7458" t="s">
        <v>19</v>
      </c>
      <c r="AA7458" t="s">
        <v>260</v>
      </c>
      <c r="AB7458" t="s">
        <v>5</v>
      </c>
      <c r="AC7458" s="21">
        <v>13176</v>
      </c>
      <c r="AD7458" s="21" t="s">
        <v>368</v>
      </c>
      <c r="AE7458" t="str">
        <f>VLOOKUP(Table_Query_from_Actuarial___Production3[[#This Row],[Kor1]],$AI$3:$AK$105,3,FALSE)</f>
        <v>Misc. Expense for Insolvent Companies</v>
      </c>
      <c r="AF7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59" spans="18:32" x14ac:dyDescent="0.2">
      <c r="R7459" t="s">
        <v>39</v>
      </c>
      <c r="S7459" t="s">
        <v>230</v>
      </c>
      <c r="T7459" t="s">
        <v>8</v>
      </c>
      <c r="U7459" s="21">
        <v>45318</v>
      </c>
      <c r="V7459" s="21" t="s">
        <v>368</v>
      </c>
      <c r="W7459" t="str">
        <f>VLOOKUP(Table_Query_from_Actuarial___Production[[#This Row],[Kor1]],$AI$3:$AK$105,3,FALSE)</f>
        <v>Misc. Income for Insolvent Companies</v>
      </c>
      <c r="X7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59"/>
      <c r="Z7459" t="s">
        <v>33</v>
      </c>
      <c r="AA7459" t="s">
        <v>228</v>
      </c>
      <c r="AB7459" t="s">
        <v>433</v>
      </c>
      <c r="AC7459" s="21">
        <v>3619.26</v>
      </c>
      <c r="AD7459" s="21" t="s">
        <v>368</v>
      </c>
      <c r="AE7459" t="str">
        <f>VLOOKUP(Table_Query_from_Actuarial___Production3[[#This Row],[Kor1]],$AI$3:$AK$105,3,FALSE)</f>
        <v>Misc. Expense</v>
      </c>
      <c r="AF7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0" spans="18:32" x14ac:dyDescent="0.2">
      <c r="R7460" t="s">
        <v>43</v>
      </c>
      <c r="S7460" t="s">
        <v>237</v>
      </c>
      <c r="T7460" t="s">
        <v>441</v>
      </c>
      <c r="U7460" s="21">
        <v>6959.33</v>
      </c>
      <c r="V7460" s="21" t="s">
        <v>368</v>
      </c>
      <c r="W7460" t="str">
        <f>VLOOKUP(Table_Query_from_Actuarial___Production[[#This Row],[Kor1]],$AI$3:$AK$105,3,FALSE)</f>
        <v>Charge-offs</v>
      </c>
      <c r="X7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0"/>
      <c r="Z7460" t="s">
        <v>47</v>
      </c>
      <c r="AA7460" t="s">
        <v>249</v>
      </c>
      <c r="AB7460" t="s">
        <v>9</v>
      </c>
      <c r="AC7460" s="21">
        <v>325.47000000000003</v>
      </c>
      <c r="AD7460" s="21" t="s">
        <v>368</v>
      </c>
      <c r="AE7460" t="str">
        <f>VLOOKUP(Table_Query_from_Actuarial___Production3[[#This Row],[Kor1]],$AI$3:$AK$105,3,FALSE)</f>
        <v>Investment Income</v>
      </c>
      <c r="AF7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1" spans="18:32" x14ac:dyDescent="0.2">
      <c r="R7461" t="s">
        <v>21</v>
      </c>
      <c r="S7461" t="s">
        <v>250</v>
      </c>
      <c r="T7461" t="s">
        <v>443</v>
      </c>
      <c r="U7461" s="21">
        <v>672</v>
      </c>
      <c r="V7461" s="21" t="s">
        <v>368</v>
      </c>
      <c r="W7461" t="str">
        <f>VLOOKUP(Table_Query_from_Actuarial___Production[[#This Row],[Kor1]],$AI$3:$AK$105,3,FALSE)</f>
        <v>Misc. Expense</v>
      </c>
      <c r="X7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1"/>
      <c r="Z7461" t="s">
        <v>48</v>
      </c>
      <c r="AA7461" t="s">
        <v>354</v>
      </c>
      <c r="AB7461" t="s">
        <v>441</v>
      </c>
      <c r="AC7461" s="21">
        <v>1594370.89</v>
      </c>
      <c r="AD7461" s="21" t="s">
        <v>369</v>
      </c>
      <c r="AE7461" t="str">
        <f>VLOOKUP(Table_Query_from_Actuarial___Production3[[#This Row],[Kor1]],$AI$3:$AK$105,3,FALSE)</f>
        <v>Anticipated Salvage</v>
      </c>
      <c r="AF7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462" spans="18:32" x14ac:dyDescent="0.2">
      <c r="R7462" t="s">
        <v>33</v>
      </c>
      <c r="S7462" t="s">
        <v>255</v>
      </c>
      <c r="T7462" t="s">
        <v>6</v>
      </c>
      <c r="U7462" s="21">
        <v>18771.71</v>
      </c>
      <c r="V7462" s="21" t="s">
        <v>368</v>
      </c>
      <c r="W7462" t="str">
        <f>VLOOKUP(Table_Query_from_Actuarial___Production[[#This Row],[Kor1]],$AI$3:$AK$105,3,FALSE)</f>
        <v>Misc. Expense</v>
      </c>
      <c r="X7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2"/>
      <c r="Z7462" t="s">
        <v>37</v>
      </c>
      <c r="AA7462" t="s">
        <v>250</v>
      </c>
      <c r="AB7462" t="s">
        <v>427</v>
      </c>
      <c r="AC7462" s="21">
        <v>65.739999999999995</v>
      </c>
      <c r="AD7462" s="21" t="s">
        <v>368</v>
      </c>
      <c r="AE7462" t="str">
        <f>VLOOKUP(Table_Query_from_Actuarial___Production3[[#This Row],[Kor1]],$AI$3:$AK$105,3,FALSE)</f>
        <v>Misc. Expense</v>
      </c>
      <c r="AF7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3" spans="18:32" x14ac:dyDescent="0.2">
      <c r="R7463" t="s">
        <v>33</v>
      </c>
      <c r="S7463" t="s">
        <v>228</v>
      </c>
      <c r="T7463" t="s">
        <v>433</v>
      </c>
      <c r="U7463" s="21">
        <v>3619.26</v>
      </c>
      <c r="V7463" s="21" t="s">
        <v>368</v>
      </c>
      <c r="W7463" t="str">
        <f>VLOOKUP(Table_Query_from_Actuarial___Production[[#This Row],[Kor1]],$AI$3:$AK$105,3,FALSE)</f>
        <v>Misc. Expense</v>
      </c>
      <c r="X7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3"/>
      <c r="Z7463" t="s">
        <v>41</v>
      </c>
      <c r="AA7463" t="s">
        <v>247</v>
      </c>
      <c r="AB7463" t="s">
        <v>6</v>
      </c>
      <c r="AC7463" s="21">
        <v>150</v>
      </c>
      <c r="AD7463" s="21" t="s">
        <v>368</v>
      </c>
      <c r="AE7463" t="str">
        <f>VLOOKUP(Table_Query_from_Actuarial___Production3[[#This Row],[Kor1]],$AI$3:$AK$105,3,FALSE)</f>
        <v>Misc. Income</v>
      </c>
      <c r="AF7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4" spans="18:32" x14ac:dyDescent="0.2">
      <c r="R7464" t="s">
        <v>47</v>
      </c>
      <c r="S7464" t="s">
        <v>249</v>
      </c>
      <c r="T7464" t="s">
        <v>9</v>
      </c>
      <c r="U7464" s="21">
        <v>325.47000000000003</v>
      </c>
      <c r="V7464" s="21" t="s">
        <v>368</v>
      </c>
      <c r="W7464" t="str">
        <f>VLOOKUP(Table_Query_from_Actuarial___Production[[#This Row],[Kor1]],$AI$3:$AK$105,3,FALSE)</f>
        <v>Investment Income</v>
      </c>
      <c r="X7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4"/>
      <c r="Z7464" t="s">
        <v>50</v>
      </c>
      <c r="AA7464" t="s">
        <v>230</v>
      </c>
      <c r="AB7464" t="s">
        <v>351</v>
      </c>
      <c r="AC7464" s="21">
        <v>276760.71000000002</v>
      </c>
      <c r="AD7464" s="21" t="s">
        <v>368</v>
      </c>
      <c r="AE7464" t="str">
        <f>VLOOKUP(Table_Query_from_Actuarial___Production3[[#This Row],[Kor1]],$AI$3:$AK$105,3,FALSE)</f>
        <v>ALAE Reserve</v>
      </c>
      <c r="AF7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5" spans="18:32" x14ac:dyDescent="0.2">
      <c r="R7465" t="s">
        <v>48</v>
      </c>
      <c r="S7465" t="s">
        <v>354</v>
      </c>
      <c r="T7465" t="s">
        <v>441</v>
      </c>
      <c r="U7465" s="21">
        <v>938644.63</v>
      </c>
      <c r="V7465" s="21" t="s">
        <v>369</v>
      </c>
      <c r="W7465" t="str">
        <f>VLOOKUP(Table_Query_from_Actuarial___Production[[#This Row],[Kor1]],$AI$3:$AK$105,3,FALSE)</f>
        <v>Anticipated Salvage</v>
      </c>
      <c r="X7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465"/>
      <c r="Z7465" t="s">
        <v>13</v>
      </c>
      <c r="AA7465" t="s">
        <v>235</v>
      </c>
      <c r="AB7465" t="s">
        <v>427</v>
      </c>
      <c r="AC7465" s="21">
        <v>122455.25</v>
      </c>
      <c r="AD7465" s="21" t="s">
        <v>368</v>
      </c>
      <c r="AE7465" t="str">
        <f>VLOOKUP(Table_Query_from_Actuarial___Production3[[#This Row],[Kor1]],$AI$3:$AK$105,3,FALSE)</f>
        <v>Operating Service Fees</v>
      </c>
      <c r="AF7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6" spans="18:32" x14ac:dyDescent="0.2">
      <c r="R7466" t="s">
        <v>37</v>
      </c>
      <c r="S7466" t="s">
        <v>250</v>
      </c>
      <c r="T7466" t="s">
        <v>427</v>
      </c>
      <c r="U7466" s="21">
        <v>65.739999999999995</v>
      </c>
      <c r="V7466" s="21" t="s">
        <v>368</v>
      </c>
      <c r="W7466" t="str">
        <f>VLOOKUP(Table_Query_from_Actuarial___Production[[#This Row],[Kor1]],$AI$3:$AK$105,3,FALSE)</f>
        <v>Misc. Expense</v>
      </c>
      <c r="X7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6"/>
      <c r="Z7466" t="s">
        <v>34</v>
      </c>
      <c r="AA7466" t="s">
        <v>248</v>
      </c>
      <c r="AB7466" t="s">
        <v>443</v>
      </c>
      <c r="AC7466" s="21">
        <v>5689.74</v>
      </c>
      <c r="AD7466" s="21" t="s">
        <v>368</v>
      </c>
      <c r="AE7466" t="str">
        <f>VLOOKUP(Table_Query_from_Actuarial___Production3[[#This Row],[Kor1]],$AI$3:$AK$105,3,FALSE)</f>
        <v>Misc. Expense</v>
      </c>
      <c r="AF7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7" spans="18:32" x14ac:dyDescent="0.2">
      <c r="R7467" t="s">
        <v>41</v>
      </c>
      <c r="S7467" t="s">
        <v>247</v>
      </c>
      <c r="T7467" t="s">
        <v>6</v>
      </c>
      <c r="U7467" s="21">
        <v>150</v>
      </c>
      <c r="V7467" s="21" t="s">
        <v>368</v>
      </c>
      <c r="W7467" t="str">
        <f>VLOOKUP(Table_Query_from_Actuarial___Production[[#This Row],[Kor1]],$AI$3:$AK$105,3,FALSE)</f>
        <v>Misc. Income</v>
      </c>
      <c r="X7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7"/>
      <c r="Z7467" t="s">
        <v>41</v>
      </c>
      <c r="AA7467" t="s">
        <v>241</v>
      </c>
      <c r="AB7467" t="s">
        <v>356</v>
      </c>
      <c r="AC7467" s="21">
        <v>449.98</v>
      </c>
      <c r="AD7467" s="21" t="s">
        <v>368</v>
      </c>
      <c r="AE7467" t="str">
        <f>VLOOKUP(Table_Query_from_Actuarial___Production3[[#This Row],[Kor1]],$AI$3:$AK$105,3,FALSE)</f>
        <v>Misc. Income</v>
      </c>
      <c r="AF7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68" spans="18:32" x14ac:dyDescent="0.2">
      <c r="R7468" t="s">
        <v>50</v>
      </c>
      <c r="S7468" t="s">
        <v>230</v>
      </c>
      <c r="T7468" t="s">
        <v>351</v>
      </c>
      <c r="U7468" s="21">
        <v>97817.71</v>
      </c>
      <c r="V7468" s="21" t="s">
        <v>368</v>
      </c>
      <c r="W7468" t="str">
        <f>VLOOKUP(Table_Query_from_Actuarial___Production[[#This Row],[Kor1]],$AI$3:$AK$105,3,FALSE)</f>
        <v>ALAE Reserve</v>
      </c>
      <c r="X7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8"/>
      <c r="Z7468" t="s">
        <v>14</v>
      </c>
      <c r="AA7468" t="s">
        <v>224</v>
      </c>
      <c r="AB7468" t="s">
        <v>6</v>
      </c>
      <c r="AC7468" s="21">
        <v>30785.31</v>
      </c>
      <c r="AD7468" s="21" t="s">
        <v>369</v>
      </c>
      <c r="AE7468" t="str">
        <f>VLOOKUP(Table_Query_from_Actuarial___Production3[[#This Row],[Kor1]],$AI$3:$AK$105,3,FALSE)</f>
        <v>Claims Expense</v>
      </c>
      <c r="AF7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469" spans="18:32" x14ac:dyDescent="0.2">
      <c r="R7469" t="s">
        <v>13</v>
      </c>
      <c r="S7469" t="s">
        <v>235</v>
      </c>
      <c r="T7469" t="s">
        <v>427</v>
      </c>
      <c r="U7469" s="21">
        <v>122455.25</v>
      </c>
      <c r="V7469" s="21" t="s">
        <v>368</v>
      </c>
      <c r="W7469" t="str">
        <f>VLOOKUP(Table_Query_from_Actuarial___Production[[#This Row],[Kor1]],$AI$3:$AK$105,3,FALSE)</f>
        <v>Operating Service Fees</v>
      </c>
      <c r="X7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69"/>
      <c r="Z7469" t="s">
        <v>14</v>
      </c>
      <c r="AA7469" t="s">
        <v>265</v>
      </c>
      <c r="AB7469" t="s">
        <v>442</v>
      </c>
      <c r="AC7469" s="21">
        <v>24065.93</v>
      </c>
      <c r="AD7469" s="21" t="s">
        <v>368</v>
      </c>
      <c r="AE7469" t="str">
        <f>VLOOKUP(Table_Query_from_Actuarial___Production3[[#This Row],[Kor1]],$AI$3:$AK$105,3,FALSE)</f>
        <v>Claims Expense</v>
      </c>
      <c r="AF7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0" spans="18:32" x14ac:dyDescent="0.2">
      <c r="R7470" t="s">
        <v>34</v>
      </c>
      <c r="S7470" t="s">
        <v>248</v>
      </c>
      <c r="T7470" t="s">
        <v>443</v>
      </c>
      <c r="U7470" s="21">
        <v>5703.93</v>
      </c>
      <c r="V7470" s="21" t="s">
        <v>368</v>
      </c>
      <c r="W7470" t="str">
        <f>VLOOKUP(Table_Query_from_Actuarial___Production[[#This Row],[Kor1]],$AI$3:$AK$105,3,FALSE)</f>
        <v>Misc. Expense</v>
      </c>
      <c r="X7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0"/>
      <c r="Z7470" t="s">
        <v>16</v>
      </c>
      <c r="AA7470" t="s">
        <v>241</v>
      </c>
      <c r="AB7470" t="s">
        <v>441</v>
      </c>
      <c r="AC7470" s="21">
        <v>12079.99</v>
      </c>
      <c r="AD7470" s="21" t="s">
        <v>368</v>
      </c>
      <c r="AE7470" t="str">
        <f>VLOOKUP(Table_Query_from_Actuarial___Production3[[#This Row],[Kor1]],$AI$3:$AK$105,3,FALSE)</f>
        <v>Losses Outstanding</v>
      </c>
      <c r="AF7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1" spans="18:32" x14ac:dyDescent="0.2">
      <c r="R7471" t="s">
        <v>41</v>
      </c>
      <c r="S7471" t="s">
        <v>241</v>
      </c>
      <c r="T7471" t="s">
        <v>356</v>
      </c>
      <c r="U7471" s="21">
        <v>449.98</v>
      </c>
      <c r="V7471" s="21" t="s">
        <v>368</v>
      </c>
      <c r="W7471" t="str">
        <f>VLOOKUP(Table_Query_from_Actuarial___Production[[#This Row],[Kor1]],$AI$3:$AK$105,3,FALSE)</f>
        <v>Misc. Income</v>
      </c>
      <c r="X7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1"/>
      <c r="Z7471" t="s">
        <v>3</v>
      </c>
      <c r="AA7471" t="s">
        <v>247</v>
      </c>
      <c r="AB7471" t="s">
        <v>351</v>
      </c>
      <c r="AC7471" s="21">
        <v>10929</v>
      </c>
      <c r="AD7471" s="21" t="s">
        <v>368</v>
      </c>
      <c r="AE7471" t="str">
        <f>VLOOKUP(Table_Query_from_Actuarial___Production3[[#This Row],[Kor1]],$AI$3:$AK$105,3,FALSE)</f>
        <v>Premiums Written</v>
      </c>
      <c r="AF7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2" spans="18:32" x14ac:dyDescent="0.2">
      <c r="R7472" t="s">
        <v>14</v>
      </c>
      <c r="S7472" t="s">
        <v>224</v>
      </c>
      <c r="T7472" t="s">
        <v>6</v>
      </c>
      <c r="U7472" s="21">
        <v>30785.31</v>
      </c>
      <c r="V7472" s="21" t="s">
        <v>369</v>
      </c>
      <c r="W7472" t="str">
        <f>VLOOKUP(Table_Query_from_Actuarial___Production[[#This Row],[Kor1]],$AI$3:$AK$105,3,FALSE)</f>
        <v>Claims Expense</v>
      </c>
      <c r="X7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472"/>
      <c r="Z7472" t="s">
        <v>13</v>
      </c>
      <c r="AA7472" t="s">
        <v>250</v>
      </c>
      <c r="AB7472" t="s">
        <v>441</v>
      </c>
      <c r="AC7472" s="21">
        <v>235891.05</v>
      </c>
      <c r="AD7472" s="21" t="s">
        <v>368</v>
      </c>
      <c r="AE7472" t="str">
        <f>VLOOKUP(Table_Query_from_Actuarial___Production3[[#This Row],[Kor1]],$AI$3:$AK$105,3,FALSE)</f>
        <v>Operating Service Fees</v>
      </c>
      <c r="AF7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3" spans="18:32" x14ac:dyDescent="0.2">
      <c r="R7473" t="s">
        <v>20</v>
      </c>
      <c r="S7473" t="s">
        <v>227</v>
      </c>
      <c r="T7473" t="s">
        <v>443</v>
      </c>
      <c r="U7473" s="21">
        <v>56.96</v>
      </c>
      <c r="V7473" s="21" t="s">
        <v>368</v>
      </c>
      <c r="W7473" t="str">
        <f>VLOOKUP(Table_Query_from_Actuarial___Production[[#This Row],[Kor1]],$AI$3:$AK$105,3,FALSE)</f>
        <v>Misc. Expense</v>
      </c>
      <c r="X7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3"/>
      <c r="Z7473" t="s">
        <v>39</v>
      </c>
      <c r="AA7473" t="s">
        <v>235</v>
      </c>
      <c r="AB7473" t="s">
        <v>8</v>
      </c>
      <c r="AC7473" s="21">
        <v>1437</v>
      </c>
      <c r="AD7473" s="21" t="s">
        <v>368</v>
      </c>
      <c r="AE7473" t="str">
        <f>VLOOKUP(Table_Query_from_Actuarial___Production3[[#This Row],[Kor1]],$AI$3:$AK$105,3,FALSE)</f>
        <v>Misc. Income for Insolvent Companies</v>
      </c>
      <c r="AF7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4" spans="18:32" x14ac:dyDescent="0.2">
      <c r="R7474" t="s">
        <v>14</v>
      </c>
      <c r="S7474" t="s">
        <v>265</v>
      </c>
      <c r="T7474" t="s">
        <v>442</v>
      </c>
      <c r="U7474" s="21">
        <v>29566.18</v>
      </c>
      <c r="V7474" s="21" t="s">
        <v>368</v>
      </c>
      <c r="W7474" t="str">
        <f>VLOOKUP(Table_Query_from_Actuarial___Production[[#This Row],[Kor1]],$AI$3:$AK$105,3,FALSE)</f>
        <v>Claims Expense</v>
      </c>
      <c r="X7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4"/>
      <c r="Z7474" t="s">
        <v>12</v>
      </c>
      <c r="AA7474" t="s">
        <v>230</v>
      </c>
      <c r="AB7474" t="s">
        <v>8</v>
      </c>
      <c r="AC7474" s="21">
        <v>544289.4</v>
      </c>
      <c r="AD7474" s="21" t="s">
        <v>368</v>
      </c>
      <c r="AE7474" t="str">
        <f>VLOOKUP(Table_Query_from_Actuarial___Production3[[#This Row],[Kor1]],$AI$3:$AK$105,3,FALSE)</f>
        <v>Premium Tax</v>
      </c>
      <c r="AF7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75" spans="18:32" x14ac:dyDescent="0.2">
      <c r="R7475" t="s">
        <v>3</v>
      </c>
      <c r="S7475" t="s">
        <v>247</v>
      </c>
      <c r="T7475" t="s">
        <v>351</v>
      </c>
      <c r="U7475" s="21">
        <v>10929</v>
      </c>
      <c r="V7475" s="21" t="s">
        <v>368</v>
      </c>
      <c r="W7475" t="str">
        <f>VLOOKUP(Table_Query_from_Actuarial___Production[[#This Row],[Kor1]],$AI$3:$AK$105,3,FALSE)</f>
        <v>Premiums Written</v>
      </c>
      <c r="X7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5"/>
      <c r="Z7475" t="s">
        <v>18</v>
      </c>
      <c r="AA7475" t="s">
        <v>352</v>
      </c>
      <c r="AB7475" t="s">
        <v>427</v>
      </c>
      <c r="AC7475" s="21">
        <v>131597.57999999999</v>
      </c>
      <c r="AD7475" s="21" t="s">
        <v>369</v>
      </c>
      <c r="AE7475" t="str">
        <f>VLOOKUP(Table_Query_from_Actuarial___Production3[[#This Row],[Kor1]],$AI$3:$AK$105,3,FALSE)</f>
        <v>Misc. Expense</v>
      </c>
      <c r="AF7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476" spans="18:32" x14ac:dyDescent="0.2">
      <c r="R7476" t="s">
        <v>13</v>
      </c>
      <c r="S7476" t="s">
        <v>250</v>
      </c>
      <c r="T7476" t="s">
        <v>441</v>
      </c>
      <c r="U7476" s="21">
        <v>235891.05</v>
      </c>
      <c r="V7476" s="21" t="s">
        <v>368</v>
      </c>
      <c r="W7476" t="str">
        <f>VLOOKUP(Table_Query_from_Actuarial___Production[[#This Row],[Kor1]],$AI$3:$AK$105,3,FALSE)</f>
        <v>Operating Service Fees</v>
      </c>
      <c r="X7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6"/>
      <c r="Z7476" t="s">
        <v>10</v>
      </c>
      <c r="AA7476" t="s">
        <v>224</v>
      </c>
      <c r="AB7476" t="s">
        <v>6</v>
      </c>
      <c r="AC7476" s="21">
        <v>93032.44</v>
      </c>
      <c r="AD7476" s="21" t="s">
        <v>368</v>
      </c>
      <c r="AE7476" t="str">
        <f>VLOOKUP(Table_Query_from_Actuarial___Production3[[#This Row],[Kor1]],$AI$3:$AK$105,3,FALSE)</f>
        <v>Commissions</v>
      </c>
      <c r="AF7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477" spans="18:32" x14ac:dyDescent="0.2">
      <c r="R7477" t="s">
        <v>39</v>
      </c>
      <c r="S7477" t="s">
        <v>235</v>
      </c>
      <c r="T7477" t="s">
        <v>8</v>
      </c>
      <c r="U7477" s="21">
        <v>1437</v>
      </c>
      <c r="V7477" s="21" t="s">
        <v>368</v>
      </c>
      <c r="W7477" t="str">
        <f>VLOOKUP(Table_Query_from_Actuarial___Production[[#This Row],[Kor1]],$AI$3:$AK$105,3,FALSE)</f>
        <v>Misc. Income for Insolvent Companies</v>
      </c>
      <c r="X7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7"/>
      <c r="Z7477" t="s">
        <v>46</v>
      </c>
      <c r="AA7477" t="s">
        <v>225</v>
      </c>
      <c r="AB7477" t="s">
        <v>9</v>
      </c>
      <c r="AC7477" s="21">
        <v>23123.97</v>
      </c>
      <c r="AD7477" s="21" t="s">
        <v>369</v>
      </c>
      <c r="AE7477" t="str">
        <f>VLOOKUP(Table_Query_from_Actuarial___Production3[[#This Row],[Kor1]],$AI$3:$AK$105,3,FALSE)</f>
        <v>Investment Income</v>
      </c>
      <c r="AF7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478" spans="18:32" x14ac:dyDescent="0.2">
      <c r="R7478" t="s">
        <v>12</v>
      </c>
      <c r="S7478" t="s">
        <v>230</v>
      </c>
      <c r="T7478" t="s">
        <v>8</v>
      </c>
      <c r="U7478" s="21">
        <v>544289.4</v>
      </c>
      <c r="V7478" s="21" t="s">
        <v>368</v>
      </c>
      <c r="W7478" t="str">
        <f>VLOOKUP(Table_Query_from_Actuarial___Production[[#This Row],[Kor1]],$AI$3:$AK$105,3,FALSE)</f>
        <v>Premium Tax</v>
      </c>
      <c r="X7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78"/>
      <c r="Z7478" t="s">
        <v>16</v>
      </c>
      <c r="AA7478" t="s">
        <v>225</v>
      </c>
      <c r="AB7478" t="s">
        <v>441</v>
      </c>
      <c r="AC7478" s="21">
        <v>60000</v>
      </c>
      <c r="AD7478" s="21" t="s">
        <v>368</v>
      </c>
      <c r="AE7478" t="str">
        <f>VLOOKUP(Table_Query_from_Actuarial___Production3[[#This Row],[Kor1]],$AI$3:$AK$105,3,FALSE)</f>
        <v>Losses Outstanding</v>
      </c>
      <c r="AF7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479" spans="18:32" x14ac:dyDescent="0.2">
      <c r="R7479" t="s">
        <v>18</v>
      </c>
      <c r="S7479" t="s">
        <v>352</v>
      </c>
      <c r="T7479" t="s">
        <v>427</v>
      </c>
      <c r="U7479" s="21">
        <v>131597.57999999999</v>
      </c>
      <c r="V7479" s="21" t="s">
        <v>369</v>
      </c>
      <c r="W7479" t="str">
        <f>VLOOKUP(Table_Query_from_Actuarial___Production[[#This Row],[Kor1]],$AI$3:$AK$105,3,FALSE)</f>
        <v>Misc. Expense</v>
      </c>
      <c r="X7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479"/>
      <c r="Z7479" t="s">
        <v>10</v>
      </c>
      <c r="AA7479" t="s">
        <v>229</v>
      </c>
      <c r="AB7479" t="s">
        <v>443</v>
      </c>
      <c r="AC7479" s="21">
        <v>1035.6500000000001</v>
      </c>
      <c r="AD7479" s="21" t="s">
        <v>368</v>
      </c>
      <c r="AE7479" t="str">
        <f>VLOOKUP(Table_Query_from_Actuarial___Production3[[#This Row],[Kor1]],$AI$3:$AK$105,3,FALSE)</f>
        <v>Commissions</v>
      </c>
      <c r="AF7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0" spans="18:32" x14ac:dyDescent="0.2">
      <c r="R7480" t="s">
        <v>10</v>
      </c>
      <c r="S7480" t="s">
        <v>224</v>
      </c>
      <c r="T7480" t="s">
        <v>6</v>
      </c>
      <c r="U7480" s="21">
        <v>93032.44</v>
      </c>
      <c r="V7480" s="21" t="s">
        <v>368</v>
      </c>
      <c r="W7480" t="str">
        <f>VLOOKUP(Table_Query_from_Actuarial___Production[[#This Row],[Kor1]],$AI$3:$AK$105,3,FALSE)</f>
        <v>Commissions</v>
      </c>
      <c r="X7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480"/>
      <c r="Z7480" t="s">
        <v>31</v>
      </c>
      <c r="AA7480" t="s">
        <v>240</v>
      </c>
      <c r="AB7480" t="s">
        <v>442</v>
      </c>
      <c r="AC7480" s="21">
        <v>1075.8399999999999</v>
      </c>
      <c r="AD7480" s="21" t="s">
        <v>368</v>
      </c>
      <c r="AE7480" t="str">
        <f>VLOOKUP(Table_Query_from_Actuarial___Production3[[#This Row],[Kor1]],$AI$3:$AK$105,3,FALSE)</f>
        <v>Misc. Expense</v>
      </c>
      <c r="AF7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1" spans="18:32" x14ac:dyDescent="0.2">
      <c r="R7481" t="s">
        <v>46</v>
      </c>
      <c r="S7481" t="s">
        <v>225</v>
      </c>
      <c r="T7481" t="s">
        <v>9</v>
      </c>
      <c r="U7481" s="21">
        <v>23123.97</v>
      </c>
      <c r="V7481" s="21" t="s">
        <v>369</v>
      </c>
      <c r="W7481" t="str">
        <f>VLOOKUP(Table_Query_from_Actuarial___Production[[#This Row],[Kor1]],$AI$3:$AK$105,3,FALSE)</f>
        <v>Investment Income</v>
      </c>
      <c r="X7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481"/>
      <c r="Z7481" t="s">
        <v>38</v>
      </c>
      <c r="AA7481" t="s">
        <v>225</v>
      </c>
      <c r="AB7481" t="s">
        <v>442</v>
      </c>
      <c r="AC7481" s="21">
        <v>571702.29</v>
      </c>
      <c r="AD7481" s="21" t="s">
        <v>368</v>
      </c>
      <c r="AE7481" t="str">
        <f>VLOOKUP(Table_Query_from_Actuarial___Production3[[#This Row],[Kor1]],$AI$3:$AK$105,3,FALSE)</f>
        <v>Misc. Income</v>
      </c>
      <c r="AF7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482" spans="18:32" x14ac:dyDescent="0.2">
      <c r="R7482" t="s">
        <v>14</v>
      </c>
      <c r="S7482" t="s">
        <v>354</v>
      </c>
      <c r="T7482" t="s">
        <v>445</v>
      </c>
      <c r="U7482" s="21">
        <v>97066510.709999993</v>
      </c>
      <c r="V7482" s="21" t="s">
        <v>369</v>
      </c>
      <c r="W7482" t="str">
        <f>VLOOKUP(Table_Query_from_Actuarial___Production[[#This Row],[Kor1]],$AI$3:$AK$105,3,FALSE)</f>
        <v>Claims Expense</v>
      </c>
      <c r="X7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482"/>
      <c r="Z7482" t="s">
        <v>46</v>
      </c>
      <c r="AA7482" t="s">
        <v>224</v>
      </c>
      <c r="AB7482" t="s">
        <v>351</v>
      </c>
      <c r="AC7482" s="21">
        <v>38197.300000000003</v>
      </c>
      <c r="AD7482" s="21" t="s">
        <v>368</v>
      </c>
      <c r="AE7482" t="str">
        <f>VLOOKUP(Table_Query_from_Actuarial___Production3[[#This Row],[Kor1]],$AI$3:$AK$105,3,FALSE)</f>
        <v>Investment Income</v>
      </c>
      <c r="AF7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483" spans="18:32" x14ac:dyDescent="0.2">
      <c r="R7483" t="s">
        <v>10</v>
      </c>
      <c r="S7483" t="s">
        <v>229</v>
      </c>
      <c r="T7483" t="s">
        <v>443</v>
      </c>
      <c r="U7483" s="21">
        <v>4841.6000000000004</v>
      </c>
      <c r="V7483" s="21" t="s">
        <v>368</v>
      </c>
      <c r="W7483" t="str">
        <f>VLOOKUP(Table_Query_from_Actuarial___Production[[#This Row],[Kor1]],$AI$3:$AK$105,3,FALSE)</f>
        <v>Commissions</v>
      </c>
      <c r="X7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3"/>
      <c r="Z7483" t="s">
        <v>20</v>
      </c>
      <c r="AA7483" t="s">
        <v>251</v>
      </c>
      <c r="AB7483" t="s">
        <v>356</v>
      </c>
      <c r="AC7483" s="21">
        <v>10.3</v>
      </c>
      <c r="AD7483" s="21" t="s">
        <v>368</v>
      </c>
      <c r="AE7483" t="str">
        <f>VLOOKUP(Table_Query_from_Actuarial___Production3[[#This Row],[Kor1]],$AI$3:$AK$105,3,FALSE)</f>
        <v>Misc. Expense</v>
      </c>
      <c r="AF7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4" spans="18:32" x14ac:dyDescent="0.2">
      <c r="R7484" t="s">
        <v>31</v>
      </c>
      <c r="S7484" t="s">
        <v>240</v>
      </c>
      <c r="T7484" t="s">
        <v>442</v>
      </c>
      <c r="U7484" s="21">
        <v>1075.8399999999999</v>
      </c>
      <c r="V7484" s="21" t="s">
        <v>368</v>
      </c>
      <c r="W7484" t="str">
        <f>VLOOKUP(Table_Query_from_Actuarial___Production[[#This Row],[Kor1]],$AI$3:$AK$105,3,FALSE)</f>
        <v>Misc. Expense</v>
      </c>
      <c r="X7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4"/>
      <c r="Z7484" t="s">
        <v>16</v>
      </c>
      <c r="AA7484" t="s">
        <v>240</v>
      </c>
      <c r="AB7484" t="s">
        <v>441</v>
      </c>
      <c r="AC7484" s="21">
        <v>2121465.34</v>
      </c>
      <c r="AD7484" s="21" t="s">
        <v>368</v>
      </c>
      <c r="AE7484" t="str">
        <f>VLOOKUP(Table_Query_from_Actuarial___Production3[[#This Row],[Kor1]],$AI$3:$AK$105,3,FALSE)</f>
        <v>Losses Outstanding</v>
      </c>
      <c r="AF7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5" spans="18:32" x14ac:dyDescent="0.2">
      <c r="R7485" t="s">
        <v>10</v>
      </c>
      <c r="S7485" t="s">
        <v>4</v>
      </c>
      <c r="T7485" t="s">
        <v>445</v>
      </c>
      <c r="U7485" s="21">
        <v>1239992.3</v>
      </c>
      <c r="V7485" s="21" t="s">
        <v>368</v>
      </c>
      <c r="W7485" t="str">
        <f>VLOOKUP(Table_Query_from_Actuarial___Production[[#This Row],[Kor1]],$AI$3:$AK$105,3,FALSE)</f>
        <v>Commissions</v>
      </c>
      <c r="X7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5"/>
      <c r="Z7485" t="s">
        <v>40</v>
      </c>
      <c r="AA7485" t="s">
        <v>250</v>
      </c>
      <c r="AB7485" t="s">
        <v>6</v>
      </c>
      <c r="AC7485" s="21">
        <v>14.29</v>
      </c>
      <c r="AD7485" s="21" t="s">
        <v>368</v>
      </c>
      <c r="AE7485" t="str">
        <f>VLOOKUP(Table_Query_from_Actuarial___Production3[[#This Row],[Kor1]],$AI$3:$AK$105,3,FALSE)</f>
        <v>Misc. Income</v>
      </c>
      <c r="AF7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6" spans="18:32" x14ac:dyDescent="0.2">
      <c r="R7486" t="s">
        <v>38</v>
      </c>
      <c r="S7486" t="s">
        <v>225</v>
      </c>
      <c r="T7486" t="s">
        <v>442</v>
      </c>
      <c r="U7486" s="21">
        <v>571702.29</v>
      </c>
      <c r="V7486" s="21" t="s">
        <v>368</v>
      </c>
      <c r="W7486" t="str">
        <f>VLOOKUP(Table_Query_from_Actuarial___Production[[#This Row],[Kor1]],$AI$3:$AK$105,3,FALSE)</f>
        <v>Misc. Income</v>
      </c>
      <c r="X7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486"/>
      <c r="Z7486" t="s">
        <v>48</v>
      </c>
      <c r="AA7486" t="s">
        <v>260</v>
      </c>
      <c r="AB7486" t="s">
        <v>442</v>
      </c>
      <c r="AC7486" s="21">
        <v>52.95</v>
      </c>
      <c r="AD7486" s="21" t="s">
        <v>368</v>
      </c>
      <c r="AE7486" t="str">
        <f>VLOOKUP(Table_Query_from_Actuarial___Production3[[#This Row],[Kor1]],$AI$3:$AK$105,3,FALSE)</f>
        <v>Anticipated Salvage</v>
      </c>
      <c r="AF7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7" spans="18:32" x14ac:dyDescent="0.2">
      <c r="R7487" t="s">
        <v>46</v>
      </c>
      <c r="S7487" t="s">
        <v>224</v>
      </c>
      <c r="T7487" t="s">
        <v>351</v>
      </c>
      <c r="U7487" s="21">
        <v>38197.300000000003</v>
      </c>
      <c r="V7487" s="21" t="s">
        <v>368</v>
      </c>
      <c r="W7487" t="str">
        <f>VLOOKUP(Table_Query_from_Actuarial___Production[[#This Row],[Kor1]],$AI$3:$AK$105,3,FALSE)</f>
        <v>Investment Income</v>
      </c>
      <c r="X7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487"/>
      <c r="Z7487" t="s">
        <v>49</v>
      </c>
      <c r="AA7487" t="s">
        <v>233</v>
      </c>
      <c r="AB7487" t="s">
        <v>5</v>
      </c>
      <c r="AC7487" s="21">
        <v>374.5</v>
      </c>
      <c r="AD7487" s="21" t="s">
        <v>368</v>
      </c>
      <c r="AE7487" t="str">
        <f>VLOOKUP(Table_Query_from_Actuarial___Production3[[#This Row],[Kor1]],$AI$3:$AK$105,3,FALSE)</f>
        <v>ALAE Paid</v>
      </c>
      <c r="AF7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8" spans="18:32" x14ac:dyDescent="0.2">
      <c r="R7488" t="s">
        <v>20</v>
      </c>
      <c r="S7488" t="s">
        <v>251</v>
      </c>
      <c r="T7488" t="s">
        <v>356</v>
      </c>
      <c r="U7488" s="21">
        <v>10.3</v>
      </c>
      <c r="V7488" s="21" t="s">
        <v>368</v>
      </c>
      <c r="W7488" t="str">
        <f>VLOOKUP(Table_Query_from_Actuarial___Production[[#This Row],[Kor1]],$AI$3:$AK$105,3,FALSE)</f>
        <v>Misc. Expense</v>
      </c>
      <c r="X7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8"/>
      <c r="Z7488" t="s">
        <v>41</v>
      </c>
      <c r="AA7488" t="s">
        <v>267</v>
      </c>
      <c r="AB7488" t="s">
        <v>351</v>
      </c>
      <c r="AC7488" s="21">
        <v>1050</v>
      </c>
      <c r="AD7488" s="21" t="s">
        <v>368</v>
      </c>
      <c r="AE7488" t="str">
        <f>VLOOKUP(Table_Query_from_Actuarial___Production3[[#This Row],[Kor1]],$AI$3:$AK$105,3,FALSE)</f>
        <v>Misc. Income</v>
      </c>
      <c r="AF7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89" spans="18:32" x14ac:dyDescent="0.2">
      <c r="R7489" t="s">
        <v>16</v>
      </c>
      <c r="S7489" t="s">
        <v>240</v>
      </c>
      <c r="T7489" t="s">
        <v>441</v>
      </c>
      <c r="U7489" s="21">
        <v>2048407.27</v>
      </c>
      <c r="V7489" s="21" t="s">
        <v>368</v>
      </c>
      <c r="W7489" t="str">
        <f>VLOOKUP(Table_Query_from_Actuarial___Production[[#This Row],[Kor1]],$AI$3:$AK$105,3,FALSE)</f>
        <v>Losses Outstanding</v>
      </c>
      <c r="X7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89"/>
      <c r="Z7489" t="s">
        <v>49</v>
      </c>
      <c r="AA7489" t="s">
        <v>235</v>
      </c>
      <c r="AB7489" t="s">
        <v>5</v>
      </c>
      <c r="AC7489" s="21">
        <v>14499.28</v>
      </c>
      <c r="AD7489" s="21" t="s">
        <v>368</v>
      </c>
      <c r="AE7489" t="str">
        <f>VLOOKUP(Table_Query_from_Actuarial___Production3[[#This Row],[Kor1]],$AI$3:$AK$105,3,FALSE)</f>
        <v>ALAE Paid</v>
      </c>
      <c r="AF7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0" spans="18:32" x14ac:dyDescent="0.2">
      <c r="R7490" t="s">
        <v>40</v>
      </c>
      <c r="S7490" t="s">
        <v>250</v>
      </c>
      <c r="T7490" t="s">
        <v>6</v>
      </c>
      <c r="U7490" s="21">
        <v>14.29</v>
      </c>
      <c r="V7490" s="21" t="s">
        <v>368</v>
      </c>
      <c r="W7490" t="str">
        <f>VLOOKUP(Table_Query_from_Actuarial___Production[[#This Row],[Kor1]],$AI$3:$AK$105,3,FALSE)</f>
        <v>Misc. Income</v>
      </c>
      <c r="X7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0"/>
      <c r="Z7490" t="s">
        <v>15</v>
      </c>
      <c r="AA7490" t="s">
        <v>224</v>
      </c>
      <c r="AB7490" t="s">
        <v>442</v>
      </c>
      <c r="AC7490" s="21">
        <v>121757.88</v>
      </c>
      <c r="AD7490" s="21" t="s">
        <v>370</v>
      </c>
      <c r="AE7490" t="str">
        <f>VLOOKUP(Table_Query_from_Actuarial___Production3[[#This Row],[Kor1]],$AI$3:$AK$105,3,FALSE)</f>
        <v>Unearned Premiums</v>
      </c>
      <c r="AF7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491" spans="18:32" x14ac:dyDescent="0.2">
      <c r="R7491" t="s">
        <v>48</v>
      </c>
      <c r="S7491" t="s">
        <v>260</v>
      </c>
      <c r="T7491" t="s">
        <v>442</v>
      </c>
      <c r="U7491" s="21">
        <v>21.41</v>
      </c>
      <c r="V7491" s="21" t="s">
        <v>368</v>
      </c>
      <c r="W7491" t="str">
        <f>VLOOKUP(Table_Query_from_Actuarial___Production[[#This Row],[Kor1]],$AI$3:$AK$105,3,FALSE)</f>
        <v>Anticipated Salvage</v>
      </c>
      <c r="X7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1"/>
      <c r="Z7491" t="s">
        <v>16</v>
      </c>
      <c r="AA7491" t="s">
        <v>224</v>
      </c>
      <c r="AB7491" t="s">
        <v>441</v>
      </c>
      <c r="AC7491" s="21">
        <v>2208.73</v>
      </c>
      <c r="AD7491" s="21" t="s">
        <v>369</v>
      </c>
      <c r="AE7491" t="str">
        <f>VLOOKUP(Table_Query_from_Actuarial___Production3[[#This Row],[Kor1]],$AI$3:$AK$105,3,FALSE)</f>
        <v>Losses Outstanding</v>
      </c>
      <c r="AF7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492" spans="18:32" x14ac:dyDescent="0.2">
      <c r="R7492" t="s">
        <v>41</v>
      </c>
      <c r="S7492" t="s">
        <v>267</v>
      </c>
      <c r="T7492" t="s">
        <v>351</v>
      </c>
      <c r="U7492" s="21">
        <v>1050</v>
      </c>
      <c r="V7492" s="21" t="s">
        <v>368</v>
      </c>
      <c r="W7492" t="str">
        <f>VLOOKUP(Table_Query_from_Actuarial___Production[[#This Row],[Kor1]],$AI$3:$AK$105,3,FALSE)</f>
        <v>Misc. Income</v>
      </c>
      <c r="X7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2"/>
      <c r="Z7492" t="s">
        <v>43</v>
      </c>
      <c r="AA7492" t="s">
        <v>224</v>
      </c>
      <c r="AB7492" t="s">
        <v>443</v>
      </c>
      <c r="AC7492" s="21">
        <v>47.81</v>
      </c>
      <c r="AD7492" s="21" t="s">
        <v>370</v>
      </c>
      <c r="AE7492" t="str">
        <f>VLOOKUP(Table_Query_from_Actuarial___Production3[[#This Row],[Kor1]],$AI$3:$AK$105,3,FALSE)</f>
        <v>Charge-offs</v>
      </c>
      <c r="AF7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493" spans="18:32" x14ac:dyDescent="0.2">
      <c r="R7493" t="s">
        <v>43</v>
      </c>
      <c r="S7493" t="s">
        <v>224</v>
      </c>
      <c r="T7493" t="s">
        <v>443</v>
      </c>
      <c r="U7493" s="21">
        <v>47.81</v>
      </c>
      <c r="V7493" s="21" t="s">
        <v>370</v>
      </c>
      <c r="W7493" t="str">
        <f>VLOOKUP(Table_Query_from_Actuarial___Production[[#This Row],[Kor1]],$AI$3:$AK$105,3,FALSE)</f>
        <v>Charge-offs</v>
      </c>
      <c r="X7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493"/>
      <c r="Z7493" t="s">
        <v>3</v>
      </c>
      <c r="AA7493" t="s">
        <v>242</v>
      </c>
      <c r="AB7493" t="s">
        <v>441</v>
      </c>
      <c r="AC7493" s="21">
        <v>476443</v>
      </c>
      <c r="AD7493" s="21" t="s">
        <v>368</v>
      </c>
      <c r="AE7493" t="str">
        <f>VLOOKUP(Table_Query_from_Actuarial___Production3[[#This Row],[Kor1]],$AI$3:$AK$105,3,FALSE)</f>
        <v>Premiums Written</v>
      </c>
      <c r="AF7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4" spans="18:32" x14ac:dyDescent="0.2">
      <c r="R7494" t="s">
        <v>44</v>
      </c>
      <c r="S7494" t="s">
        <v>224</v>
      </c>
      <c r="T7494" t="s">
        <v>443</v>
      </c>
      <c r="U7494" s="21">
        <v>495.3</v>
      </c>
      <c r="V7494" s="21" t="s">
        <v>425</v>
      </c>
      <c r="W7494" t="str">
        <f>VLOOKUP(Table_Query_from_Actuarial___Production[[#This Row],[Kor1]],$AI$3:$AK$105,3,FALSE)</f>
        <v>Charge-offs</v>
      </c>
      <c r="X7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494"/>
      <c r="Z7494" t="s">
        <v>11</v>
      </c>
      <c r="AA7494" t="s">
        <v>231</v>
      </c>
      <c r="AB7494" t="s">
        <v>356</v>
      </c>
      <c r="AC7494" s="21">
        <v>249085.22</v>
      </c>
      <c r="AD7494" s="21" t="s">
        <v>368</v>
      </c>
      <c r="AE7494" t="str">
        <f>VLOOKUP(Table_Query_from_Actuarial___Production3[[#This Row],[Kor1]],$AI$3:$AK$105,3,FALSE)</f>
        <v>Losses Paid</v>
      </c>
      <c r="AF7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5" spans="18:32" x14ac:dyDescent="0.2">
      <c r="R7495" t="s">
        <v>3</v>
      </c>
      <c r="S7495" t="s">
        <v>242</v>
      </c>
      <c r="T7495" t="s">
        <v>441</v>
      </c>
      <c r="U7495" s="21">
        <v>476443</v>
      </c>
      <c r="V7495" s="21" t="s">
        <v>368</v>
      </c>
      <c r="W7495" t="str">
        <f>VLOOKUP(Table_Query_from_Actuarial___Production[[#This Row],[Kor1]],$AI$3:$AK$105,3,FALSE)</f>
        <v>Premiums Written</v>
      </c>
      <c r="X7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5"/>
      <c r="Z7495" t="s">
        <v>31</v>
      </c>
      <c r="AA7495" t="s">
        <v>264</v>
      </c>
      <c r="AB7495" t="s">
        <v>6</v>
      </c>
      <c r="AC7495" s="21">
        <v>61.01</v>
      </c>
      <c r="AD7495" s="21" t="s">
        <v>368</v>
      </c>
      <c r="AE7495" t="str">
        <f>VLOOKUP(Table_Query_from_Actuarial___Production3[[#This Row],[Kor1]],$AI$3:$AK$105,3,FALSE)</f>
        <v>Misc. Expense</v>
      </c>
      <c r="AF7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6" spans="18:32" x14ac:dyDescent="0.2">
      <c r="R7496" t="s">
        <v>11</v>
      </c>
      <c r="S7496" t="s">
        <v>231</v>
      </c>
      <c r="T7496" t="s">
        <v>356</v>
      </c>
      <c r="U7496" s="21">
        <v>249085.22</v>
      </c>
      <c r="V7496" s="21" t="s">
        <v>368</v>
      </c>
      <c r="W7496" t="str">
        <f>VLOOKUP(Table_Query_from_Actuarial___Production[[#This Row],[Kor1]],$AI$3:$AK$105,3,FALSE)</f>
        <v>Losses Paid</v>
      </c>
      <c r="X7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6"/>
      <c r="Z7496" t="s">
        <v>34</v>
      </c>
      <c r="AA7496" t="s">
        <v>257</v>
      </c>
      <c r="AB7496" t="s">
        <v>6</v>
      </c>
      <c r="AC7496" s="21">
        <v>32.32</v>
      </c>
      <c r="AD7496" s="21" t="s">
        <v>368</v>
      </c>
      <c r="AE7496" t="str">
        <f>VLOOKUP(Table_Query_from_Actuarial___Production3[[#This Row],[Kor1]],$AI$3:$AK$105,3,FALSE)</f>
        <v>Misc. Expense</v>
      </c>
      <c r="AF7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7" spans="18:32" x14ac:dyDescent="0.2">
      <c r="R7497" t="s">
        <v>31</v>
      </c>
      <c r="S7497" t="s">
        <v>264</v>
      </c>
      <c r="T7497" t="s">
        <v>6</v>
      </c>
      <c r="U7497" s="21">
        <v>61.01</v>
      </c>
      <c r="V7497" s="21" t="s">
        <v>368</v>
      </c>
      <c r="W7497" t="str">
        <f>VLOOKUP(Table_Query_from_Actuarial___Production[[#This Row],[Kor1]],$AI$3:$AK$105,3,FALSE)</f>
        <v>Misc. Expense</v>
      </c>
      <c r="X7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7"/>
      <c r="Z7497" t="s">
        <v>49</v>
      </c>
      <c r="AA7497" t="s">
        <v>235</v>
      </c>
      <c r="AB7497" t="s">
        <v>441</v>
      </c>
      <c r="AC7497" s="21">
        <v>1319.98</v>
      </c>
      <c r="AD7497" s="21" t="s">
        <v>368</v>
      </c>
      <c r="AE7497" t="str">
        <f>VLOOKUP(Table_Query_from_Actuarial___Production3[[#This Row],[Kor1]],$AI$3:$AK$105,3,FALSE)</f>
        <v>ALAE Paid</v>
      </c>
      <c r="AF7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498" spans="18:32" x14ac:dyDescent="0.2">
      <c r="R7498" t="s">
        <v>34</v>
      </c>
      <c r="S7498" t="s">
        <v>257</v>
      </c>
      <c r="T7498" t="s">
        <v>6</v>
      </c>
      <c r="U7498" s="21">
        <v>32.32</v>
      </c>
      <c r="V7498" s="21" t="s">
        <v>368</v>
      </c>
      <c r="W7498" t="str">
        <f>VLOOKUP(Table_Query_from_Actuarial___Production[[#This Row],[Kor1]],$AI$3:$AK$105,3,FALSE)</f>
        <v>Misc. Expense</v>
      </c>
      <c r="X7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8"/>
      <c r="Z7498" t="s">
        <v>3</v>
      </c>
      <c r="AA7498" t="s">
        <v>354</v>
      </c>
      <c r="AB7498" t="s">
        <v>442</v>
      </c>
      <c r="AC7498" s="21">
        <v>1004804856.84</v>
      </c>
      <c r="AD7498" s="21" t="s">
        <v>369</v>
      </c>
      <c r="AE7498" t="str">
        <f>VLOOKUP(Table_Query_from_Actuarial___Production3[[#This Row],[Kor1]],$AI$3:$AK$105,3,FALSE)</f>
        <v>Premiums Written</v>
      </c>
      <c r="AF7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499" spans="18:32" x14ac:dyDescent="0.2">
      <c r="R7499" t="s">
        <v>49</v>
      </c>
      <c r="S7499" t="s">
        <v>235</v>
      </c>
      <c r="T7499" t="s">
        <v>441</v>
      </c>
      <c r="U7499" s="21">
        <v>1319.98</v>
      </c>
      <c r="V7499" s="21" t="s">
        <v>368</v>
      </c>
      <c r="W7499" t="str">
        <f>VLOOKUP(Table_Query_from_Actuarial___Production[[#This Row],[Kor1]],$AI$3:$AK$105,3,FALSE)</f>
        <v>ALAE Paid</v>
      </c>
      <c r="X7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499"/>
      <c r="Z7499" t="s">
        <v>10</v>
      </c>
      <c r="AA7499" t="s">
        <v>253</v>
      </c>
      <c r="AB7499" t="s">
        <v>356</v>
      </c>
      <c r="AC7499" s="21">
        <v>6003.9</v>
      </c>
      <c r="AD7499" s="21" t="s">
        <v>368</v>
      </c>
      <c r="AE7499" t="str">
        <f>VLOOKUP(Table_Query_from_Actuarial___Production3[[#This Row],[Kor1]],$AI$3:$AK$105,3,FALSE)</f>
        <v>Commissions</v>
      </c>
      <c r="AF7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0" spans="18:32" x14ac:dyDescent="0.2">
      <c r="R7500" t="s">
        <v>3</v>
      </c>
      <c r="S7500" t="s">
        <v>354</v>
      </c>
      <c r="T7500" t="s">
        <v>442</v>
      </c>
      <c r="U7500" s="21">
        <v>1004245928.5599999</v>
      </c>
      <c r="V7500" s="21" t="s">
        <v>369</v>
      </c>
      <c r="W7500" t="str">
        <f>VLOOKUP(Table_Query_from_Actuarial___Production[[#This Row],[Kor1]],$AI$3:$AK$105,3,FALSE)</f>
        <v>Premiums Written</v>
      </c>
      <c r="X7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500"/>
      <c r="Z7500" t="s">
        <v>12</v>
      </c>
      <c r="AA7500" t="s">
        <v>241</v>
      </c>
      <c r="AB7500" t="s">
        <v>356</v>
      </c>
      <c r="AC7500" s="21">
        <v>27316.2</v>
      </c>
      <c r="AD7500" s="21" t="s">
        <v>368</v>
      </c>
      <c r="AE7500" t="str">
        <f>VLOOKUP(Table_Query_from_Actuarial___Production3[[#This Row],[Kor1]],$AI$3:$AK$105,3,FALSE)</f>
        <v>Premium Tax</v>
      </c>
      <c r="AF7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1" spans="18:32" x14ac:dyDescent="0.2">
      <c r="R7501" t="s">
        <v>10</v>
      </c>
      <c r="S7501" t="s">
        <v>253</v>
      </c>
      <c r="T7501" t="s">
        <v>356</v>
      </c>
      <c r="U7501" s="21">
        <v>6003.9</v>
      </c>
      <c r="V7501" s="21" t="s">
        <v>368</v>
      </c>
      <c r="W7501" t="str">
        <f>VLOOKUP(Table_Query_from_Actuarial___Production[[#This Row],[Kor1]],$AI$3:$AK$105,3,FALSE)</f>
        <v>Commissions</v>
      </c>
      <c r="X7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1"/>
      <c r="Z7501" t="s">
        <v>31</v>
      </c>
      <c r="AA7501" t="s">
        <v>254</v>
      </c>
      <c r="AB7501" t="s">
        <v>8</v>
      </c>
      <c r="AC7501" s="21">
        <v>551.29</v>
      </c>
      <c r="AD7501" s="21" t="s">
        <v>368</v>
      </c>
      <c r="AE7501" t="str">
        <f>VLOOKUP(Table_Query_from_Actuarial___Production3[[#This Row],[Kor1]],$AI$3:$AK$105,3,FALSE)</f>
        <v>Misc. Expense</v>
      </c>
      <c r="AF7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2" spans="18:32" x14ac:dyDescent="0.2">
      <c r="R7502" t="s">
        <v>12</v>
      </c>
      <c r="S7502" t="s">
        <v>241</v>
      </c>
      <c r="T7502" t="s">
        <v>356</v>
      </c>
      <c r="U7502" s="21">
        <v>27316.2</v>
      </c>
      <c r="V7502" s="21" t="s">
        <v>368</v>
      </c>
      <c r="W7502" t="str">
        <f>VLOOKUP(Table_Query_from_Actuarial___Production[[#This Row],[Kor1]],$AI$3:$AK$105,3,FALSE)</f>
        <v>Premium Tax</v>
      </c>
      <c r="X7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2"/>
      <c r="Z7502" t="s">
        <v>19</v>
      </c>
      <c r="AA7502" t="s">
        <v>230</v>
      </c>
      <c r="AB7502" t="s">
        <v>9</v>
      </c>
      <c r="AC7502" s="21">
        <v>59757.06</v>
      </c>
      <c r="AD7502" s="21" t="s">
        <v>368</v>
      </c>
      <c r="AE7502" t="str">
        <f>VLOOKUP(Table_Query_from_Actuarial___Production3[[#This Row],[Kor1]],$AI$3:$AK$105,3,FALSE)</f>
        <v>Misc. Expense for Insolvent Companies</v>
      </c>
      <c r="AF7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3" spans="18:32" x14ac:dyDescent="0.2">
      <c r="R7503" t="s">
        <v>31</v>
      </c>
      <c r="S7503" t="s">
        <v>254</v>
      </c>
      <c r="T7503" t="s">
        <v>8</v>
      </c>
      <c r="U7503" s="21">
        <v>551.29</v>
      </c>
      <c r="V7503" s="21" t="s">
        <v>368</v>
      </c>
      <c r="W7503" t="str">
        <f>VLOOKUP(Table_Query_from_Actuarial___Production[[#This Row],[Kor1]],$AI$3:$AK$105,3,FALSE)</f>
        <v>Misc. Expense</v>
      </c>
      <c r="X7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3"/>
      <c r="Z7503" t="s">
        <v>46</v>
      </c>
      <c r="AA7503" t="s">
        <v>354</v>
      </c>
      <c r="AB7503" t="s">
        <v>441</v>
      </c>
      <c r="AC7503" s="21">
        <v>2515628.98</v>
      </c>
      <c r="AD7503" s="21" t="s">
        <v>368</v>
      </c>
      <c r="AE7503" t="str">
        <f>VLOOKUP(Table_Query_from_Actuarial___Production3[[#This Row],[Kor1]],$AI$3:$AK$105,3,FALSE)</f>
        <v>Investment Income</v>
      </c>
      <c r="AF7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504" spans="18:32" x14ac:dyDescent="0.2">
      <c r="R7504" t="s">
        <v>19</v>
      </c>
      <c r="S7504" t="s">
        <v>230</v>
      </c>
      <c r="T7504" t="s">
        <v>9</v>
      </c>
      <c r="U7504" s="21">
        <v>59757.06</v>
      </c>
      <c r="V7504" s="21" t="s">
        <v>368</v>
      </c>
      <c r="W7504" t="str">
        <f>VLOOKUP(Table_Query_from_Actuarial___Production[[#This Row],[Kor1]],$AI$3:$AK$105,3,FALSE)</f>
        <v>Misc. Expense for Insolvent Companies</v>
      </c>
      <c r="X7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4"/>
      <c r="Z7504" t="s">
        <v>31</v>
      </c>
      <c r="AA7504" t="s">
        <v>262</v>
      </c>
      <c r="AB7504" t="s">
        <v>7</v>
      </c>
      <c r="AC7504" s="21">
        <v>1441.06</v>
      </c>
      <c r="AD7504" s="21" t="s">
        <v>368</v>
      </c>
      <c r="AE7504" t="str">
        <f>VLOOKUP(Table_Query_from_Actuarial___Production3[[#This Row],[Kor1]],$AI$3:$AK$105,3,FALSE)</f>
        <v>Misc. Expense</v>
      </c>
      <c r="AF7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5" spans="18:32" x14ac:dyDescent="0.2">
      <c r="R7505" t="s">
        <v>46</v>
      </c>
      <c r="S7505" t="s">
        <v>354</v>
      </c>
      <c r="T7505" t="s">
        <v>441</v>
      </c>
      <c r="U7505" s="21">
        <v>2515628.98</v>
      </c>
      <c r="V7505" s="21" t="s">
        <v>368</v>
      </c>
      <c r="W7505" t="str">
        <f>VLOOKUP(Table_Query_from_Actuarial___Production[[#This Row],[Kor1]],$AI$3:$AK$105,3,FALSE)</f>
        <v>Investment Income</v>
      </c>
      <c r="X7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505"/>
      <c r="Z7505" t="s">
        <v>16</v>
      </c>
      <c r="AA7505" t="s">
        <v>224</v>
      </c>
      <c r="AB7505" t="s">
        <v>442</v>
      </c>
      <c r="AC7505" s="21">
        <v>158177.44</v>
      </c>
      <c r="AD7505" s="21" t="s">
        <v>368</v>
      </c>
      <c r="AE7505" t="str">
        <f>VLOOKUP(Table_Query_from_Actuarial___Production3[[#This Row],[Kor1]],$AI$3:$AK$105,3,FALSE)</f>
        <v>Losses Outstanding</v>
      </c>
      <c r="AF7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506" spans="18:32" x14ac:dyDescent="0.2">
      <c r="R7506" t="s">
        <v>31</v>
      </c>
      <c r="S7506" t="s">
        <v>262</v>
      </c>
      <c r="T7506" t="s">
        <v>7</v>
      </c>
      <c r="U7506" s="21">
        <v>1441.06</v>
      </c>
      <c r="V7506" s="21" t="s">
        <v>368</v>
      </c>
      <c r="W7506" t="str">
        <f>VLOOKUP(Table_Query_from_Actuarial___Production[[#This Row],[Kor1]],$AI$3:$AK$105,3,FALSE)</f>
        <v>Misc. Expense</v>
      </c>
      <c r="X7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6"/>
      <c r="Z7506" t="s">
        <v>17</v>
      </c>
      <c r="AA7506" t="s">
        <v>248</v>
      </c>
      <c r="AB7506" t="s">
        <v>442</v>
      </c>
      <c r="AC7506" s="21">
        <v>199196.01</v>
      </c>
      <c r="AD7506" s="21" t="s">
        <v>368</v>
      </c>
      <c r="AE7506" t="str">
        <f>VLOOKUP(Table_Query_from_Actuarial___Production3[[#This Row],[Kor1]],$AI$3:$AK$105,3,FALSE)</f>
        <v>IBNR</v>
      </c>
      <c r="AF7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7" spans="18:32" x14ac:dyDescent="0.2">
      <c r="R7507" t="s">
        <v>41</v>
      </c>
      <c r="S7507" t="s">
        <v>241</v>
      </c>
      <c r="T7507" t="s">
        <v>445</v>
      </c>
      <c r="U7507" s="21">
        <v>300.01</v>
      </c>
      <c r="V7507" s="21" t="s">
        <v>368</v>
      </c>
      <c r="W7507" t="str">
        <f>VLOOKUP(Table_Query_from_Actuarial___Production[[#This Row],[Kor1]],$AI$3:$AK$105,3,FALSE)</f>
        <v>Misc. Income</v>
      </c>
      <c r="X7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7"/>
      <c r="Z7507" t="s">
        <v>40</v>
      </c>
      <c r="AA7507" t="s">
        <v>267</v>
      </c>
      <c r="AB7507" t="s">
        <v>433</v>
      </c>
      <c r="AC7507" s="21">
        <v>11</v>
      </c>
      <c r="AD7507" s="21" t="s">
        <v>368</v>
      </c>
      <c r="AE7507" t="str">
        <f>VLOOKUP(Table_Query_from_Actuarial___Production3[[#This Row],[Kor1]],$AI$3:$AK$105,3,FALSE)</f>
        <v>Misc. Income</v>
      </c>
      <c r="AF7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08" spans="18:32" x14ac:dyDescent="0.2">
      <c r="R7508" t="s">
        <v>16</v>
      </c>
      <c r="S7508" t="s">
        <v>224</v>
      </c>
      <c r="T7508" t="s">
        <v>442</v>
      </c>
      <c r="U7508" s="21">
        <v>15623.73</v>
      </c>
      <c r="V7508" s="21" t="s">
        <v>368</v>
      </c>
      <c r="W7508" t="str">
        <f>VLOOKUP(Table_Query_from_Actuarial___Production[[#This Row],[Kor1]],$AI$3:$AK$105,3,FALSE)</f>
        <v>Losses Outstanding</v>
      </c>
      <c r="X7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508"/>
      <c r="Z7508" t="s">
        <v>14</v>
      </c>
      <c r="AA7508" t="s">
        <v>225</v>
      </c>
      <c r="AB7508" t="s">
        <v>442</v>
      </c>
      <c r="AC7508" s="21">
        <v>7577</v>
      </c>
      <c r="AD7508" s="21" t="s">
        <v>369</v>
      </c>
      <c r="AE7508" t="str">
        <f>VLOOKUP(Table_Query_from_Actuarial___Production3[[#This Row],[Kor1]],$AI$3:$AK$105,3,FALSE)</f>
        <v>Claims Expense</v>
      </c>
      <c r="AF7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509" spans="18:32" x14ac:dyDescent="0.2">
      <c r="R7509" t="s">
        <v>17</v>
      </c>
      <c r="S7509" t="s">
        <v>248</v>
      </c>
      <c r="T7509" t="s">
        <v>442</v>
      </c>
      <c r="U7509" s="21">
        <v>300352.58</v>
      </c>
      <c r="V7509" s="21" t="s">
        <v>368</v>
      </c>
      <c r="W7509" t="str">
        <f>VLOOKUP(Table_Query_from_Actuarial___Production[[#This Row],[Kor1]],$AI$3:$AK$105,3,FALSE)</f>
        <v>IBNR</v>
      </c>
      <c r="X7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09"/>
      <c r="Z7509" t="s">
        <v>37</v>
      </c>
      <c r="AA7509" t="s">
        <v>234</v>
      </c>
      <c r="AB7509" t="s">
        <v>7</v>
      </c>
      <c r="AC7509" s="21">
        <v>238.63</v>
      </c>
      <c r="AD7509" s="21" t="s">
        <v>368</v>
      </c>
      <c r="AE7509" t="str">
        <f>VLOOKUP(Table_Query_from_Actuarial___Production3[[#This Row],[Kor1]],$AI$3:$AK$105,3,FALSE)</f>
        <v>Misc. Expense</v>
      </c>
      <c r="AF7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0" spans="18:32" x14ac:dyDescent="0.2">
      <c r="R7510" t="s">
        <v>40</v>
      </c>
      <c r="S7510" t="s">
        <v>267</v>
      </c>
      <c r="T7510" t="s">
        <v>433</v>
      </c>
      <c r="U7510" s="21">
        <v>11</v>
      </c>
      <c r="V7510" s="21" t="s">
        <v>368</v>
      </c>
      <c r="W7510" t="str">
        <f>VLOOKUP(Table_Query_from_Actuarial___Production[[#This Row],[Kor1]],$AI$3:$AK$105,3,FALSE)</f>
        <v>Misc. Income</v>
      </c>
      <c r="X7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0"/>
      <c r="Z7510" t="s">
        <v>48</v>
      </c>
      <c r="AA7510" t="s">
        <v>267</v>
      </c>
      <c r="AB7510" t="s">
        <v>442</v>
      </c>
      <c r="AC7510" s="21">
        <v>16844.82</v>
      </c>
      <c r="AD7510" s="21" t="s">
        <v>368</v>
      </c>
      <c r="AE7510" t="str">
        <f>VLOOKUP(Table_Query_from_Actuarial___Production3[[#This Row],[Kor1]],$AI$3:$AK$105,3,FALSE)</f>
        <v>Anticipated Salvage</v>
      </c>
      <c r="AF7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1" spans="18:32" x14ac:dyDescent="0.2">
      <c r="R7511" t="s">
        <v>14</v>
      </c>
      <c r="S7511" t="s">
        <v>225</v>
      </c>
      <c r="T7511" t="s">
        <v>442</v>
      </c>
      <c r="U7511" s="21">
        <v>9479</v>
      </c>
      <c r="V7511" s="21" t="s">
        <v>369</v>
      </c>
      <c r="W7511" t="str">
        <f>VLOOKUP(Table_Query_from_Actuarial___Production[[#This Row],[Kor1]],$AI$3:$AK$105,3,FALSE)</f>
        <v>Claims Expense</v>
      </c>
      <c r="X7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511"/>
      <c r="Z7511" t="s">
        <v>10</v>
      </c>
      <c r="AA7511" t="s">
        <v>231</v>
      </c>
      <c r="AB7511" t="s">
        <v>443</v>
      </c>
      <c r="AC7511" s="21">
        <v>41726.1</v>
      </c>
      <c r="AD7511" s="21" t="s">
        <v>368</v>
      </c>
      <c r="AE7511" t="str">
        <f>VLOOKUP(Table_Query_from_Actuarial___Production3[[#This Row],[Kor1]],$AI$3:$AK$105,3,FALSE)</f>
        <v>Commissions</v>
      </c>
      <c r="AF7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2" spans="18:32" x14ac:dyDescent="0.2">
      <c r="R7512" t="s">
        <v>37</v>
      </c>
      <c r="S7512" t="s">
        <v>234</v>
      </c>
      <c r="T7512" t="s">
        <v>7</v>
      </c>
      <c r="U7512" s="21">
        <v>238.63</v>
      </c>
      <c r="V7512" s="21" t="s">
        <v>368</v>
      </c>
      <c r="W7512" t="str">
        <f>VLOOKUP(Table_Query_from_Actuarial___Production[[#This Row],[Kor1]],$AI$3:$AK$105,3,FALSE)</f>
        <v>Misc. Expense</v>
      </c>
      <c r="X7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2"/>
      <c r="Z7512" t="s">
        <v>47</v>
      </c>
      <c r="AA7512" t="s">
        <v>259</v>
      </c>
      <c r="AB7512" t="s">
        <v>433</v>
      </c>
      <c r="AC7512" s="21">
        <v>1069.1199999999999</v>
      </c>
      <c r="AD7512" s="21" t="s">
        <v>368</v>
      </c>
      <c r="AE7512" t="str">
        <f>VLOOKUP(Table_Query_from_Actuarial___Production3[[#This Row],[Kor1]],$AI$3:$AK$105,3,FALSE)</f>
        <v>Investment Income</v>
      </c>
      <c r="AF7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3" spans="18:32" x14ac:dyDescent="0.2">
      <c r="R7513" t="s">
        <v>48</v>
      </c>
      <c r="S7513" t="s">
        <v>267</v>
      </c>
      <c r="T7513" t="s">
        <v>442</v>
      </c>
      <c r="U7513" s="21">
        <v>10051.280000000001</v>
      </c>
      <c r="V7513" s="21" t="s">
        <v>368</v>
      </c>
      <c r="W7513" t="str">
        <f>VLOOKUP(Table_Query_from_Actuarial___Production[[#This Row],[Kor1]],$AI$3:$AK$105,3,FALSE)</f>
        <v>Anticipated Salvage</v>
      </c>
      <c r="X7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3"/>
      <c r="Z7513" t="s">
        <v>37</v>
      </c>
      <c r="AA7513" t="s">
        <v>257</v>
      </c>
      <c r="AB7513" t="s">
        <v>356</v>
      </c>
      <c r="AC7513" s="21">
        <v>1354.89</v>
      </c>
      <c r="AD7513" s="21" t="s">
        <v>368</v>
      </c>
      <c r="AE7513" t="str">
        <f>VLOOKUP(Table_Query_from_Actuarial___Production3[[#This Row],[Kor1]],$AI$3:$AK$105,3,FALSE)</f>
        <v>Misc. Expense</v>
      </c>
      <c r="AF7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4" spans="18:32" x14ac:dyDescent="0.2">
      <c r="R7514" t="s">
        <v>10</v>
      </c>
      <c r="S7514" t="s">
        <v>231</v>
      </c>
      <c r="T7514" t="s">
        <v>443</v>
      </c>
      <c r="U7514" s="21">
        <v>147835.21</v>
      </c>
      <c r="V7514" s="21" t="s">
        <v>368</v>
      </c>
      <c r="W7514" t="str">
        <f>VLOOKUP(Table_Query_from_Actuarial___Production[[#This Row],[Kor1]],$AI$3:$AK$105,3,FALSE)</f>
        <v>Commissions</v>
      </c>
      <c r="X7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4"/>
      <c r="Z7514" t="s">
        <v>14</v>
      </c>
      <c r="AA7514" t="s">
        <v>236</v>
      </c>
      <c r="AB7514" t="s">
        <v>7</v>
      </c>
      <c r="AC7514" s="21">
        <v>1743.81</v>
      </c>
      <c r="AD7514" s="21" t="s">
        <v>368</v>
      </c>
      <c r="AE7514" t="str">
        <f>VLOOKUP(Table_Query_from_Actuarial___Production3[[#This Row],[Kor1]],$AI$3:$AK$105,3,FALSE)</f>
        <v>Claims Expense</v>
      </c>
      <c r="AF7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5" spans="18:32" x14ac:dyDescent="0.2">
      <c r="R7515" t="s">
        <v>47</v>
      </c>
      <c r="S7515" t="s">
        <v>259</v>
      </c>
      <c r="T7515" t="s">
        <v>433</v>
      </c>
      <c r="U7515" s="21">
        <v>1069.1199999999999</v>
      </c>
      <c r="V7515" s="21" t="s">
        <v>368</v>
      </c>
      <c r="W7515" t="str">
        <f>VLOOKUP(Table_Query_from_Actuarial___Production[[#This Row],[Kor1]],$AI$3:$AK$105,3,FALSE)</f>
        <v>Investment Income</v>
      </c>
      <c r="X7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5"/>
      <c r="Z7515" t="s">
        <v>31</v>
      </c>
      <c r="AA7515" t="s">
        <v>235</v>
      </c>
      <c r="AB7515" t="s">
        <v>6</v>
      </c>
      <c r="AC7515" s="21">
        <v>27.99</v>
      </c>
      <c r="AD7515" s="21" t="s">
        <v>368</v>
      </c>
      <c r="AE7515" t="str">
        <f>VLOOKUP(Table_Query_from_Actuarial___Production3[[#This Row],[Kor1]],$AI$3:$AK$105,3,FALSE)</f>
        <v>Misc. Expense</v>
      </c>
      <c r="AF7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6" spans="18:32" x14ac:dyDescent="0.2">
      <c r="R7516" t="s">
        <v>37</v>
      </c>
      <c r="S7516" t="s">
        <v>257</v>
      </c>
      <c r="T7516" t="s">
        <v>356</v>
      </c>
      <c r="U7516" s="21">
        <v>1354.89</v>
      </c>
      <c r="V7516" s="21" t="s">
        <v>368</v>
      </c>
      <c r="W7516" t="str">
        <f>VLOOKUP(Table_Query_from_Actuarial___Production[[#This Row],[Kor1]],$AI$3:$AK$105,3,FALSE)</f>
        <v>Misc. Expense</v>
      </c>
      <c r="X7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6"/>
      <c r="Z7516" t="s">
        <v>36</v>
      </c>
      <c r="AA7516" t="s">
        <v>234</v>
      </c>
      <c r="AB7516" t="s">
        <v>9</v>
      </c>
      <c r="AC7516" s="21">
        <v>1000</v>
      </c>
      <c r="AD7516" s="21" t="s">
        <v>368</v>
      </c>
      <c r="AE7516" t="str">
        <f>VLOOKUP(Table_Query_from_Actuarial___Production3[[#This Row],[Kor1]],$AI$3:$AK$105,3,FALSE)</f>
        <v>Misc. Expense</v>
      </c>
      <c r="AF7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7" spans="18:32" x14ac:dyDescent="0.2">
      <c r="R7517" t="s">
        <v>14</v>
      </c>
      <c r="S7517" t="s">
        <v>236</v>
      </c>
      <c r="T7517" t="s">
        <v>7</v>
      </c>
      <c r="U7517" s="21">
        <v>1743.81</v>
      </c>
      <c r="V7517" s="21" t="s">
        <v>368</v>
      </c>
      <c r="W7517" t="str">
        <f>VLOOKUP(Table_Query_from_Actuarial___Production[[#This Row],[Kor1]],$AI$3:$AK$105,3,FALSE)</f>
        <v>Claims Expense</v>
      </c>
      <c r="X7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7"/>
      <c r="Z7517" t="s">
        <v>20</v>
      </c>
      <c r="AA7517" t="s">
        <v>227</v>
      </c>
      <c r="AB7517" t="s">
        <v>427</v>
      </c>
      <c r="AC7517" s="21">
        <v>255.32</v>
      </c>
      <c r="AD7517" s="21" t="s">
        <v>368</v>
      </c>
      <c r="AE7517" t="str">
        <f>VLOOKUP(Table_Query_from_Actuarial___Production3[[#This Row],[Kor1]],$AI$3:$AK$105,3,FALSE)</f>
        <v>Misc. Expense</v>
      </c>
      <c r="AF7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8" spans="18:32" x14ac:dyDescent="0.2">
      <c r="R7518" t="s">
        <v>31</v>
      </c>
      <c r="S7518" t="s">
        <v>235</v>
      </c>
      <c r="T7518" t="s">
        <v>6</v>
      </c>
      <c r="U7518" s="21">
        <v>27.99</v>
      </c>
      <c r="V7518" s="21" t="s">
        <v>368</v>
      </c>
      <c r="W7518" t="str">
        <f>VLOOKUP(Table_Query_from_Actuarial___Production[[#This Row],[Kor1]],$AI$3:$AK$105,3,FALSE)</f>
        <v>Misc. Expense</v>
      </c>
      <c r="X7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8"/>
      <c r="Z7518" t="s">
        <v>41</v>
      </c>
      <c r="AA7518" t="s">
        <v>233</v>
      </c>
      <c r="AB7518" t="s">
        <v>356</v>
      </c>
      <c r="AC7518" s="21">
        <v>450.02</v>
      </c>
      <c r="AD7518" s="21" t="s">
        <v>368</v>
      </c>
      <c r="AE7518" t="str">
        <f>VLOOKUP(Table_Query_from_Actuarial___Production3[[#This Row],[Kor1]],$AI$3:$AK$105,3,FALSE)</f>
        <v>Misc. Income</v>
      </c>
      <c r="AF7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19" spans="18:32" x14ac:dyDescent="0.2">
      <c r="R7519" t="s">
        <v>36</v>
      </c>
      <c r="S7519" t="s">
        <v>234</v>
      </c>
      <c r="T7519" t="s">
        <v>9</v>
      </c>
      <c r="U7519" s="21">
        <v>1000</v>
      </c>
      <c r="V7519" s="21" t="s">
        <v>368</v>
      </c>
      <c r="W7519" t="str">
        <f>VLOOKUP(Table_Query_from_Actuarial___Production[[#This Row],[Kor1]],$AI$3:$AK$105,3,FALSE)</f>
        <v>Misc. Expense</v>
      </c>
      <c r="X7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19"/>
      <c r="Z7519" t="s">
        <v>77</v>
      </c>
      <c r="AA7519" t="s">
        <v>256</v>
      </c>
      <c r="AB7519" t="s">
        <v>443</v>
      </c>
      <c r="AC7519" s="21">
        <v>2588</v>
      </c>
      <c r="AD7519" s="21" t="s">
        <v>368</v>
      </c>
      <c r="AE7519" t="str">
        <f>VLOOKUP(Table_Query_from_Actuarial___Production3[[#This Row],[Kor1]],$AI$3:$AK$105,3,FALSE)</f>
        <v>PDR</v>
      </c>
      <c r="AF7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0" spans="18:32" x14ac:dyDescent="0.2">
      <c r="R7520" t="s">
        <v>40</v>
      </c>
      <c r="S7520" t="s">
        <v>231</v>
      </c>
      <c r="T7520" t="s">
        <v>443</v>
      </c>
      <c r="U7520" s="21">
        <v>2.02</v>
      </c>
      <c r="V7520" s="21" t="s">
        <v>368</v>
      </c>
      <c r="W7520" t="str">
        <f>VLOOKUP(Table_Query_from_Actuarial___Production[[#This Row],[Kor1]],$AI$3:$AK$105,3,FALSE)</f>
        <v>Misc. Income</v>
      </c>
      <c r="X7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0"/>
      <c r="Z7520" t="s">
        <v>49</v>
      </c>
      <c r="AA7520" t="s">
        <v>258</v>
      </c>
      <c r="AB7520" t="s">
        <v>442</v>
      </c>
      <c r="AC7520" s="21">
        <v>3157.5</v>
      </c>
      <c r="AD7520" s="21" t="s">
        <v>368</v>
      </c>
      <c r="AE7520" t="str">
        <f>VLOOKUP(Table_Query_from_Actuarial___Production3[[#This Row],[Kor1]],$AI$3:$AK$105,3,FALSE)</f>
        <v>ALAE Paid</v>
      </c>
      <c r="AF7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1" spans="18:32" x14ac:dyDescent="0.2">
      <c r="R7521" t="s">
        <v>20</v>
      </c>
      <c r="S7521" t="s">
        <v>227</v>
      </c>
      <c r="T7521" t="s">
        <v>427</v>
      </c>
      <c r="U7521" s="21">
        <v>255.32</v>
      </c>
      <c r="V7521" s="21" t="s">
        <v>368</v>
      </c>
      <c r="W7521" t="str">
        <f>VLOOKUP(Table_Query_from_Actuarial___Production[[#This Row],[Kor1]],$AI$3:$AK$105,3,FALSE)</f>
        <v>Misc. Expense</v>
      </c>
      <c r="X7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1"/>
      <c r="Z7521" t="s">
        <v>3</v>
      </c>
      <c r="AA7521" t="s">
        <v>224</v>
      </c>
      <c r="AB7521" t="s">
        <v>443</v>
      </c>
      <c r="AC7521" s="21">
        <v>16188</v>
      </c>
      <c r="AD7521" s="21" t="s">
        <v>369</v>
      </c>
      <c r="AE7521" t="str">
        <f>VLOOKUP(Table_Query_from_Actuarial___Production3[[#This Row],[Kor1]],$AI$3:$AK$105,3,FALSE)</f>
        <v>Premiums Written</v>
      </c>
      <c r="AF7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522" spans="18:32" x14ac:dyDescent="0.2">
      <c r="R7522" t="s">
        <v>41</v>
      </c>
      <c r="S7522" t="s">
        <v>233</v>
      </c>
      <c r="T7522" t="s">
        <v>356</v>
      </c>
      <c r="U7522" s="21">
        <v>450.02</v>
      </c>
      <c r="V7522" s="21" t="s">
        <v>368</v>
      </c>
      <c r="W7522" t="str">
        <f>VLOOKUP(Table_Query_from_Actuarial___Production[[#This Row],[Kor1]],$AI$3:$AK$105,3,FALSE)</f>
        <v>Misc. Income</v>
      </c>
      <c r="X7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2"/>
      <c r="Z7522" t="s">
        <v>14</v>
      </c>
      <c r="AA7522" t="s">
        <v>227</v>
      </c>
      <c r="AB7522" t="s">
        <v>6</v>
      </c>
      <c r="AC7522" s="21">
        <v>98561.95</v>
      </c>
      <c r="AD7522" s="21" t="s">
        <v>368</v>
      </c>
      <c r="AE7522" t="str">
        <f>VLOOKUP(Table_Query_from_Actuarial___Production3[[#This Row],[Kor1]],$AI$3:$AK$105,3,FALSE)</f>
        <v>Claims Expense</v>
      </c>
      <c r="AF7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3" spans="18:32" x14ac:dyDescent="0.2">
      <c r="R7523" t="s">
        <v>77</v>
      </c>
      <c r="S7523" t="s">
        <v>256</v>
      </c>
      <c r="T7523" t="s">
        <v>443</v>
      </c>
      <c r="U7523" s="21">
        <v>432</v>
      </c>
      <c r="V7523" s="21" t="s">
        <v>368</v>
      </c>
      <c r="W7523" t="str">
        <f>VLOOKUP(Table_Query_from_Actuarial___Production[[#This Row],[Kor1]],$AI$3:$AK$105,3,FALSE)</f>
        <v>PDR</v>
      </c>
      <c r="X7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3"/>
      <c r="Z7523" t="s">
        <v>37</v>
      </c>
      <c r="AA7523" t="s">
        <v>255</v>
      </c>
      <c r="AB7523" t="s">
        <v>356</v>
      </c>
      <c r="AC7523" s="21">
        <v>407.77</v>
      </c>
      <c r="AD7523" s="21" t="s">
        <v>368</v>
      </c>
      <c r="AE7523" t="str">
        <f>VLOOKUP(Table_Query_from_Actuarial___Production3[[#This Row],[Kor1]],$AI$3:$AK$105,3,FALSE)</f>
        <v>Misc. Expense</v>
      </c>
      <c r="AF7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4" spans="18:32" x14ac:dyDescent="0.2">
      <c r="R7524" t="s">
        <v>49</v>
      </c>
      <c r="S7524" t="s">
        <v>258</v>
      </c>
      <c r="T7524" t="s">
        <v>442</v>
      </c>
      <c r="U7524" s="21">
        <v>8420.5</v>
      </c>
      <c r="V7524" s="21" t="s">
        <v>368</v>
      </c>
      <c r="W7524" t="str">
        <f>VLOOKUP(Table_Query_from_Actuarial___Production[[#This Row],[Kor1]],$AI$3:$AK$105,3,FALSE)</f>
        <v>ALAE Paid</v>
      </c>
      <c r="X7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4"/>
      <c r="Z7524" t="s">
        <v>21</v>
      </c>
      <c r="AA7524" t="s">
        <v>252</v>
      </c>
      <c r="AB7524" t="s">
        <v>427</v>
      </c>
      <c r="AC7524" s="21">
        <v>52992.23</v>
      </c>
      <c r="AD7524" s="21" t="s">
        <v>368</v>
      </c>
      <c r="AE7524" t="str">
        <f>VLOOKUP(Table_Query_from_Actuarial___Production3[[#This Row],[Kor1]],$AI$3:$AK$105,3,FALSE)</f>
        <v>Misc. Expense</v>
      </c>
      <c r="AF7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5" spans="18:32" x14ac:dyDescent="0.2">
      <c r="R7525" t="s">
        <v>3</v>
      </c>
      <c r="S7525" t="s">
        <v>224</v>
      </c>
      <c r="T7525" t="s">
        <v>443</v>
      </c>
      <c r="U7525" s="21">
        <v>77782</v>
      </c>
      <c r="V7525" s="21" t="s">
        <v>369</v>
      </c>
      <c r="W7525" t="str">
        <f>VLOOKUP(Table_Query_from_Actuarial___Production[[#This Row],[Kor1]],$AI$3:$AK$105,3,FALSE)</f>
        <v>Premiums Written</v>
      </c>
      <c r="X7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525"/>
      <c r="Z7525" t="s">
        <v>31</v>
      </c>
      <c r="AA7525" t="s">
        <v>259</v>
      </c>
      <c r="AB7525" t="s">
        <v>356</v>
      </c>
      <c r="AC7525" s="21">
        <v>867.68</v>
      </c>
      <c r="AD7525" s="21" t="s">
        <v>368</v>
      </c>
      <c r="AE7525" t="str">
        <f>VLOOKUP(Table_Query_from_Actuarial___Production3[[#This Row],[Kor1]],$AI$3:$AK$105,3,FALSE)</f>
        <v>Misc. Expense</v>
      </c>
      <c r="AF7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6" spans="18:32" x14ac:dyDescent="0.2">
      <c r="R7526" t="s">
        <v>14</v>
      </c>
      <c r="S7526" t="s">
        <v>227</v>
      </c>
      <c r="T7526" t="s">
        <v>6</v>
      </c>
      <c r="U7526" s="21">
        <v>98561.95</v>
      </c>
      <c r="V7526" s="21" t="s">
        <v>368</v>
      </c>
      <c r="W7526" t="str">
        <f>VLOOKUP(Table_Query_from_Actuarial___Production[[#This Row],[Kor1]],$AI$3:$AK$105,3,FALSE)</f>
        <v>Claims Expense</v>
      </c>
      <c r="X7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6"/>
      <c r="Z7526" t="s">
        <v>50</v>
      </c>
      <c r="AA7526" t="s">
        <v>252</v>
      </c>
      <c r="AB7526" t="s">
        <v>9</v>
      </c>
      <c r="AC7526" s="21">
        <v>216848.19</v>
      </c>
      <c r="AD7526" s="21" t="s">
        <v>368</v>
      </c>
      <c r="AE7526" t="str">
        <f>VLOOKUP(Table_Query_from_Actuarial___Production3[[#This Row],[Kor1]],$AI$3:$AK$105,3,FALSE)</f>
        <v>ALAE Reserve</v>
      </c>
      <c r="AF7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7" spans="18:32" x14ac:dyDescent="0.2">
      <c r="R7527" t="s">
        <v>37</v>
      </c>
      <c r="S7527" t="s">
        <v>255</v>
      </c>
      <c r="T7527" t="s">
        <v>356</v>
      </c>
      <c r="U7527" s="21">
        <v>407.77</v>
      </c>
      <c r="V7527" s="21" t="s">
        <v>368</v>
      </c>
      <c r="W7527" t="str">
        <f>VLOOKUP(Table_Query_from_Actuarial___Production[[#This Row],[Kor1]],$AI$3:$AK$105,3,FALSE)</f>
        <v>Misc. Expense</v>
      </c>
      <c r="X7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7"/>
      <c r="Z7527" t="s">
        <v>3</v>
      </c>
      <c r="AA7527" t="s">
        <v>224</v>
      </c>
      <c r="AB7527" t="s">
        <v>8</v>
      </c>
      <c r="AC7527" s="21">
        <v>2618652.34</v>
      </c>
      <c r="AD7527" s="21" t="s">
        <v>370</v>
      </c>
      <c r="AE7527" t="str">
        <f>VLOOKUP(Table_Query_from_Actuarial___Production3[[#This Row],[Kor1]],$AI$3:$AK$105,3,FALSE)</f>
        <v>Premiums Written</v>
      </c>
      <c r="AF7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528" spans="18:32" x14ac:dyDescent="0.2">
      <c r="R7528" t="s">
        <v>21</v>
      </c>
      <c r="S7528" t="s">
        <v>252</v>
      </c>
      <c r="T7528" t="s">
        <v>427</v>
      </c>
      <c r="U7528" s="21">
        <v>52992.23</v>
      </c>
      <c r="V7528" s="21" t="s">
        <v>368</v>
      </c>
      <c r="W7528" t="str">
        <f>VLOOKUP(Table_Query_from_Actuarial___Production[[#This Row],[Kor1]],$AI$3:$AK$105,3,FALSE)</f>
        <v>Misc. Expense</v>
      </c>
      <c r="X7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8"/>
      <c r="Z7528" t="s">
        <v>32</v>
      </c>
      <c r="AA7528" t="s">
        <v>264</v>
      </c>
      <c r="AB7528" t="s">
        <v>351</v>
      </c>
      <c r="AC7528" s="21">
        <v>13241.9</v>
      </c>
      <c r="AD7528" s="21" t="s">
        <v>368</v>
      </c>
      <c r="AE7528" t="str">
        <f>VLOOKUP(Table_Query_from_Actuarial___Production3[[#This Row],[Kor1]],$AI$3:$AK$105,3,FALSE)</f>
        <v>Misc. Expense</v>
      </c>
      <c r="AF7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29" spans="18:32" x14ac:dyDescent="0.2">
      <c r="R7529" t="s">
        <v>31</v>
      </c>
      <c r="S7529" t="s">
        <v>259</v>
      </c>
      <c r="T7529" t="s">
        <v>356</v>
      </c>
      <c r="U7529" s="21">
        <v>867.68</v>
      </c>
      <c r="V7529" s="21" t="s">
        <v>368</v>
      </c>
      <c r="W7529" t="str">
        <f>VLOOKUP(Table_Query_from_Actuarial___Production[[#This Row],[Kor1]],$AI$3:$AK$105,3,FALSE)</f>
        <v>Misc. Expense</v>
      </c>
      <c r="X7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29"/>
      <c r="Z7529" t="s">
        <v>44</v>
      </c>
      <c r="AA7529" t="s">
        <v>251</v>
      </c>
      <c r="AB7529" t="s">
        <v>356</v>
      </c>
      <c r="AC7529" s="21">
        <v>6333.75</v>
      </c>
      <c r="AD7529" s="21" t="s">
        <v>368</v>
      </c>
      <c r="AE7529" t="str">
        <f>VLOOKUP(Table_Query_from_Actuarial___Production3[[#This Row],[Kor1]],$AI$3:$AK$105,3,FALSE)</f>
        <v>Charge-offs</v>
      </c>
      <c r="AF7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0" spans="18:32" x14ac:dyDescent="0.2">
      <c r="R7530" t="s">
        <v>50</v>
      </c>
      <c r="S7530" t="s">
        <v>252</v>
      </c>
      <c r="T7530" t="s">
        <v>9</v>
      </c>
      <c r="U7530" s="21">
        <v>201494.07</v>
      </c>
      <c r="V7530" s="21" t="s">
        <v>368</v>
      </c>
      <c r="W7530" t="str">
        <f>VLOOKUP(Table_Query_from_Actuarial___Production[[#This Row],[Kor1]],$AI$3:$AK$105,3,FALSE)</f>
        <v>ALAE Reserve</v>
      </c>
      <c r="X7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0"/>
      <c r="Z7530" t="s">
        <v>48</v>
      </c>
      <c r="AA7530" t="s">
        <v>227</v>
      </c>
      <c r="AB7530" t="s">
        <v>441</v>
      </c>
      <c r="AC7530" s="21">
        <v>15.86</v>
      </c>
      <c r="AD7530" s="21" t="s">
        <v>368</v>
      </c>
      <c r="AE7530" t="str">
        <f>VLOOKUP(Table_Query_from_Actuarial___Production3[[#This Row],[Kor1]],$AI$3:$AK$105,3,FALSE)</f>
        <v>Anticipated Salvage</v>
      </c>
      <c r="AF7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1" spans="18:32" x14ac:dyDescent="0.2">
      <c r="R7531" t="s">
        <v>3</v>
      </c>
      <c r="S7531" t="s">
        <v>224</v>
      </c>
      <c r="T7531" t="s">
        <v>8</v>
      </c>
      <c r="U7531" s="21">
        <v>2618652.34</v>
      </c>
      <c r="V7531" s="21" t="s">
        <v>370</v>
      </c>
      <c r="W7531" t="str">
        <f>VLOOKUP(Table_Query_from_Actuarial___Production[[#This Row],[Kor1]],$AI$3:$AK$105,3,FALSE)</f>
        <v>Premiums Written</v>
      </c>
      <c r="X7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531"/>
      <c r="Z7531" t="s">
        <v>46</v>
      </c>
      <c r="AA7531" t="s">
        <v>224</v>
      </c>
      <c r="AB7531" t="s">
        <v>441</v>
      </c>
      <c r="AC7531" s="21">
        <v>219.8</v>
      </c>
      <c r="AD7531" s="21" t="s">
        <v>368</v>
      </c>
      <c r="AE7531" t="str">
        <f>VLOOKUP(Table_Query_from_Actuarial___Production3[[#This Row],[Kor1]],$AI$3:$AK$105,3,FALSE)</f>
        <v>Investment Income</v>
      </c>
      <c r="AF7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532" spans="18:32" x14ac:dyDescent="0.2">
      <c r="R7532" t="s">
        <v>32</v>
      </c>
      <c r="S7532" t="s">
        <v>264</v>
      </c>
      <c r="T7532" t="s">
        <v>351</v>
      </c>
      <c r="U7532" s="21">
        <v>13241.9</v>
      </c>
      <c r="V7532" s="21" t="s">
        <v>368</v>
      </c>
      <c r="W7532" t="str">
        <f>VLOOKUP(Table_Query_from_Actuarial___Production[[#This Row],[Kor1]],$AI$3:$AK$105,3,FALSE)</f>
        <v>Misc. Expense</v>
      </c>
      <c r="X7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2"/>
      <c r="Z7532" t="s">
        <v>12</v>
      </c>
      <c r="AA7532" t="s">
        <v>252</v>
      </c>
      <c r="AB7532" t="s">
        <v>442</v>
      </c>
      <c r="AC7532" s="21">
        <v>756270.5</v>
      </c>
      <c r="AD7532" s="21" t="s">
        <v>368</v>
      </c>
      <c r="AE7532" t="str">
        <f>VLOOKUP(Table_Query_from_Actuarial___Production3[[#This Row],[Kor1]],$AI$3:$AK$105,3,FALSE)</f>
        <v>Premium Tax</v>
      </c>
      <c r="AF7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3" spans="18:32" x14ac:dyDescent="0.2">
      <c r="R7533" t="s">
        <v>44</v>
      </c>
      <c r="S7533" t="s">
        <v>251</v>
      </c>
      <c r="T7533" t="s">
        <v>356</v>
      </c>
      <c r="U7533" s="21">
        <v>6333.75</v>
      </c>
      <c r="V7533" s="21" t="s">
        <v>368</v>
      </c>
      <c r="W7533" t="str">
        <f>VLOOKUP(Table_Query_from_Actuarial___Production[[#This Row],[Kor1]],$AI$3:$AK$105,3,FALSE)</f>
        <v>Charge-offs</v>
      </c>
      <c r="X7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3"/>
      <c r="Z7533" t="s">
        <v>20</v>
      </c>
      <c r="AA7533" t="s">
        <v>231</v>
      </c>
      <c r="AB7533" t="s">
        <v>5</v>
      </c>
      <c r="AC7533" s="21">
        <v>25.82</v>
      </c>
      <c r="AD7533" s="21" t="s">
        <v>368</v>
      </c>
      <c r="AE7533" t="str">
        <f>VLOOKUP(Table_Query_from_Actuarial___Production3[[#This Row],[Kor1]],$AI$3:$AK$105,3,FALSE)</f>
        <v>Misc. Expense</v>
      </c>
      <c r="AF7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4" spans="18:32" x14ac:dyDescent="0.2">
      <c r="R7534" t="s">
        <v>48</v>
      </c>
      <c r="S7534" t="s">
        <v>227</v>
      </c>
      <c r="T7534" t="s">
        <v>441</v>
      </c>
      <c r="U7534" s="21">
        <v>20.22</v>
      </c>
      <c r="V7534" s="21" t="s">
        <v>368</v>
      </c>
      <c r="W7534" t="str">
        <f>VLOOKUP(Table_Query_from_Actuarial___Production[[#This Row],[Kor1]],$AI$3:$AK$105,3,FALSE)</f>
        <v>Anticipated Salvage</v>
      </c>
      <c r="X7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4"/>
      <c r="Z7534" t="s">
        <v>10</v>
      </c>
      <c r="AA7534" t="s">
        <v>264</v>
      </c>
      <c r="AB7534" t="s">
        <v>351</v>
      </c>
      <c r="AC7534" s="21">
        <v>136940.17000000001</v>
      </c>
      <c r="AD7534" s="21" t="s">
        <v>368</v>
      </c>
      <c r="AE7534" t="str">
        <f>VLOOKUP(Table_Query_from_Actuarial___Production3[[#This Row],[Kor1]],$AI$3:$AK$105,3,FALSE)</f>
        <v>Commissions</v>
      </c>
      <c r="AF7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5" spans="18:32" x14ac:dyDescent="0.2">
      <c r="R7535" t="s">
        <v>44</v>
      </c>
      <c r="S7535" t="s">
        <v>224</v>
      </c>
      <c r="T7535" t="s">
        <v>427</v>
      </c>
      <c r="U7535" s="21">
        <v>501</v>
      </c>
      <c r="V7535" s="21" t="s">
        <v>425</v>
      </c>
      <c r="W7535" t="str">
        <f>VLOOKUP(Table_Query_from_Actuarial___Production[[#This Row],[Kor1]],$AI$3:$AK$105,3,FALSE)</f>
        <v>Charge-offs</v>
      </c>
      <c r="X7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535"/>
      <c r="Z7535" t="s">
        <v>47</v>
      </c>
      <c r="AA7535" t="s">
        <v>233</v>
      </c>
      <c r="AB7535" t="s">
        <v>442</v>
      </c>
      <c r="AC7535" s="21">
        <v>2328.79</v>
      </c>
      <c r="AD7535" s="21" t="s">
        <v>368</v>
      </c>
      <c r="AE7535" t="str">
        <f>VLOOKUP(Table_Query_from_Actuarial___Production3[[#This Row],[Kor1]],$AI$3:$AK$105,3,FALSE)</f>
        <v>Investment Income</v>
      </c>
      <c r="AF7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6" spans="18:32" x14ac:dyDescent="0.2">
      <c r="R7536" t="s">
        <v>46</v>
      </c>
      <c r="S7536" t="s">
        <v>224</v>
      </c>
      <c r="T7536" t="s">
        <v>441</v>
      </c>
      <c r="U7536" s="21">
        <v>219.8</v>
      </c>
      <c r="V7536" s="21" t="s">
        <v>368</v>
      </c>
      <c r="W7536" t="str">
        <f>VLOOKUP(Table_Query_from_Actuarial___Production[[#This Row],[Kor1]],$AI$3:$AK$105,3,FALSE)</f>
        <v>Investment Income</v>
      </c>
      <c r="X7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536"/>
      <c r="Z7536" t="s">
        <v>44</v>
      </c>
      <c r="AA7536" t="s">
        <v>263</v>
      </c>
      <c r="AB7536" t="s">
        <v>8</v>
      </c>
      <c r="AC7536" s="21">
        <v>23</v>
      </c>
      <c r="AD7536" s="21" t="s">
        <v>368</v>
      </c>
      <c r="AE7536" t="str">
        <f>VLOOKUP(Table_Query_from_Actuarial___Production3[[#This Row],[Kor1]],$AI$3:$AK$105,3,FALSE)</f>
        <v>Charge-offs</v>
      </c>
      <c r="AF7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7" spans="18:32" x14ac:dyDescent="0.2">
      <c r="R7537" t="s">
        <v>12</v>
      </c>
      <c r="S7537" t="s">
        <v>252</v>
      </c>
      <c r="T7537" t="s">
        <v>442</v>
      </c>
      <c r="U7537" s="21">
        <v>774792.66</v>
      </c>
      <c r="V7537" s="21" t="s">
        <v>368</v>
      </c>
      <c r="W7537" t="str">
        <f>VLOOKUP(Table_Query_from_Actuarial___Production[[#This Row],[Kor1]],$AI$3:$AK$105,3,FALSE)</f>
        <v>Premium Tax</v>
      </c>
      <c r="X7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7"/>
      <c r="Z7537" t="s">
        <v>36</v>
      </c>
      <c r="AA7537" t="s">
        <v>230</v>
      </c>
      <c r="AB7537" t="s">
        <v>433</v>
      </c>
      <c r="AC7537" s="21">
        <v>32287.5</v>
      </c>
      <c r="AD7537" s="21" t="s">
        <v>368</v>
      </c>
      <c r="AE7537" t="str">
        <f>VLOOKUP(Table_Query_from_Actuarial___Production3[[#This Row],[Kor1]],$AI$3:$AK$105,3,FALSE)</f>
        <v>Misc. Expense</v>
      </c>
      <c r="AF7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38" spans="18:32" x14ac:dyDescent="0.2">
      <c r="R7538" t="s">
        <v>10</v>
      </c>
      <c r="S7538" t="s">
        <v>264</v>
      </c>
      <c r="T7538" t="s">
        <v>351</v>
      </c>
      <c r="U7538" s="21">
        <v>136940.17000000001</v>
      </c>
      <c r="V7538" s="21" t="s">
        <v>368</v>
      </c>
      <c r="W7538" t="str">
        <f>VLOOKUP(Table_Query_from_Actuarial___Production[[#This Row],[Kor1]],$AI$3:$AK$105,3,FALSE)</f>
        <v>Commissions</v>
      </c>
      <c r="X7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8"/>
      <c r="Z7538" t="s">
        <v>3</v>
      </c>
      <c r="AA7538" t="s">
        <v>354</v>
      </c>
      <c r="AB7538" t="s">
        <v>443</v>
      </c>
      <c r="AC7538" s="21">
        <v>76407561.310000002</v>
      </c>
      <c r="AD7538" s="21" t="s">
        <v>368</v>
      </c>
      <c r="AE7538" t="str">
        <f>VLOOKUP(Table_Query_from_Actuarial___Production3[[#This Row],[Kor1]],$AI$3:$AK$105,3,FALSE)</f>
        <v>Premiums Written</v>
      </c>
      <c r="AF7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539" spans="18:32" x14ac:dyDescent="0.2">
      <c r="R7539" t="s">
        <v>47</v>
      </c>
      <c r="S7539" t="s">
        <v>233</v>
      </c>
      <c r="T7539" t="s">
        <v>442</v>
      </c>
      <c r="U7539" s="21">
        <v>2328.79</v>
      </c>
      <c r="V7539" s="21" t="s">
        <v>368</v>
      </c>
      <c r="W7539" t="str">
        <f>VLOOKUP(Table_Query_from_Actuarial___Production[[#This Row],[Kor1]],$AI$3:$AK$105,3,FALSE)</f>
        <v>Investment Income</v>
      </c>
      <c r="X7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39"/>
      <c r="Z7539" t="s">
        <v>33</v>
      </c>
      <c r="AA7539" t="s">
        <v>237</v>
      </c>
      <c r="AB7539" t="s">
        <v>8</v>
      </c>
      <c r="AC7539" s="21">
        <v>17112.61</v>
      </c>
      <c r="AD7539" s="21" t="s">
        <v>368</v>
      </c>
      <c r="AE7539" t="str">
        <f>VLOOKUP(Table_Query_from_Actuarial___Production3[[#This Row],[Kor1]],$AI$3:$AK$105,3,FALSE)</f>
        <v>Misc. Expense</v>
      </c>
      <c r="AF7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0" spans="18:32" x14ac:dyDescent="0.2">
      <c r="R7540" t="s">
        <v>44</v>
      </c>
      <c r="S7540" t="s">
        <v>263</v>
      </c>
      <c r="T7540" t="s">
        <v>8</v>
      </c>
      <c r="U7540" s="21">
        <v>23</v>
      </c>
      <c r="V7540" s="21" t="s">
        <v>368</v>
      </c>
      <c r="W7540" t="str">
        <f>VLOOKUP(Table_Query_from_Actuarial___Production[[#This Row],[Kor1]],$AI$3:$AK$105,3,FALSE)</f>
        <v>Charge-offs</v>
      </c>
      <c r="X7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0"/>
      <c r="Z7540" t="s">
        <v>3</v>
      </c>
      <c r="AA7540" t="s">
        <v>242</v>
      </c>
      <c r="AB7540" t="s">
        <v>351</v>
      </c>
      <c r="AC7540" s="21">
        <v>309538</v>
      </c>
      <c r="AD7540" s="21" t="s">
        <v>368</v>
      </c>
      <c r="AE7540" t="str">
        <f>VLOOKUP(Table_Query_from_Actuarial___Production3[[#This Row],[Kor1]],$AI$3:$AK$105,3,FALSE)</f>
        <v>Premiums Written</v>
      </c>
      <c r="AF7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1" spans="18:32" x14ac:dyDescent="0.2">
      <c r="R7541" t="s">
        <v>19</v>
      </c>
      <c r="S7541" t="s">
        <v>239</v>
      </c>
      <c r="T7541" t="s">
        <v>441</v>
      </c>
      <c r="U7541" s="21">
        <v>1157</v>
      </c>
      <c r="V7541" s="21" t="s">
        <v>368</v>
      </c>
      <c r="W7541" t="str">
        <f>VLOOKUP(Table_Query_from_Actuarial___Production[[#This Row],[Kor1]],$AI$3:$AK$105,3,FALSE)</f>
        <v>Misc. Expense for Insolvent Companies</v>
      </c>
      <c r="X7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1"/>
      <c r="Z7541" t="s">
        <v>20</v>
      </c>
      <c r="AA7541" t="s">
        <v>266</v>
      </c>
      <c r="AB7541" t="s">
        <v>356</v>
      </c>
      <c r="AC7541" s="21">
        <v>96.91</v>
      </c>
      <c r="AD7541" s="21" t="s">
        <v>368</v>
      </c>
      <c r="AE7541" t="str">
        <f>VLOOKUP(Table_Query_from_Actuarial___Production3[[#This Row],[Kor1]],$AI$3:$AK$105,3,FALSE)</f>
        <v>Misc. Expense</v>
      </c>
      <c r="AF7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2" spans="18:32" x14ac:dyDescent="0.2">
      <c r="R7542" t="s">
        <v>36</v>
      </c>
      <c r="S7542" t="s">
        <v>230</v>
      </c>
      <c r="T7542" t="s">
        <v>433</v>
      </c>
      <c r="U7542" s="21">
        <v>32287.5</v>
      </c>
      <c r="V7542" s="21" t="s">
        <v>368</v>
      </c>
      <c r="W7542" t="str">
        <f>VLOOKUP(Table_Query_from_Actuarial___Production[[#This Row],[Kor1]],$AI$3:$AK$105,3,FALSE)</f>
        <v>Misc. Expense</v>
      </c>
      <c r="X7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2"/>
      <c r="Z7542" t="s">
        <v>40</v>
      </c>
      <c r="AA7542" t="s">
        <v>254</v>
      </c>
      <c r="AB7542" t="s">
        <v>351</v>
      </c>
      <c r="AC7542" s="21">
        <v>23</v>
      </c>
      <c r="AD7542" s="21" t="s">
        <v>368</v>
      </c>
      <c r="AE7542" t="str">
        <f>VLOOKUP(Table_Query_from_Actuarial___Production3[[#This Row],[Kor1]],$AI$3:$AK$105,3,FALSE)</f>
        <v>Misc. Income</v>
      </c>
      <c r="AF7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3" spans="18:32" x14ac:dyDescent="0.2">
      <c r="R7543" t="s">
        <v>3</v>
      </c>
      <c r="S7543" t="s">
        <v>354</v>
      </c>
      <c r="T7543" t="s">
        <v>443</v>
      </c>
      <c r="U7543" s="21">
        <v>139145060.38999999</v>
      </c>
      <c r="V7543" s="21" t="s">
        <v>368</v>
      </c>
      <c r="W7543" t="str">
        <f>VLOOKUP(Table_Query_from_Actuarial___Production[[#This Row],[Kor1]],$AI$3:$AK$105,3,FALSE)</f>
        <v>Premiums Written</v>
      </c>
      <c r="X7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543"/>
      <c r="Z7543" t="s">
        <v>47</v>
      </c>
      <c r="AA7543" t="s">
        <v>265</v>
      </c>
      <c r="AB7543" t="s">
        <v>433</v>
      </c>
      <c r="AC7543" s="21">
        <v>1219.7</v>
      </c>
      <c r="AD7543" s="21" t="s">
        <v>368</v>
      </c>
      <c r="AE7543" t="str">
        <f>VLOOKUP(Table_Query_from_Actuarial___Production3[[#This Row],[Kor1]],$AI$3:$AK$105,3,FALSE)</f>
        <v>Investment Income</v>
      </c>
      <c r="AF7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4" spans="18:32" x14ac:dyDescent="0.2">
      <c r="R7544" t="s">
        <v>33</v>
      </c>
      <c r="S7544" t="s">
        <v>237</v>
      </c>
      <c r="T7544" t="s">
        <v>8</v>
      </c>
      <c r="U7544" s="21">
        <v>17112.61</v>
      </c>
      <c r="V7544" s="21" t="s">
        <v>368</v>
      </c>
      <c r="W7544" t="str">
        <f>VLOOKUP(Table_Query_from_Actuarial___Production[[#This Row],[Kor1]],$AI$3:$AK$105,3,FALSE)</f>
        <v>Misc. Expense</v>
      </c>
      <c r="X7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4"/>
      <c r="Z7544" t="s">
        <v>10</v>
      </c>
      <c r="AA7544" t="s">
        <v>256</v>
      </c>
      <c r="AB7544" t="s">
        <v>442</v>
      </c>
      <c r="AC7544" s="21">
        <v>1760.6</v>
      </c>
      <c r="AD7544" s="21" t="s">
        <v>368</v>
      </c>
      <c r="AE7544" t="str">
        <f>VLOOKUP(Table_Query_from_Actuarial___Production3[[#This Row],[Kor1]],$AI$3:$AK$105,3,FALSE)</f>
        <v>Commissions</v>
      </c>
      <c r="AF7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5" spans="18:32" x14ac:dyDescent="0.2">
      <c r="R7545" t="s">
        <v>3</v>
      </c>
      <c r="S7545" t="s">
        <v>242</v>
      </c>
      <c r="T7545" t="s">
        <v>351</v>
      </c>
      <c r="U7545" s="21">
        <v>309538</v>
      </c>
      <c r="V7545" s="21" t="s">
        <v>368</v>
      </c>
      <c r="W7545" t="str">
        <f>VLOOKUP(Table_Query_from_Actuarial___Production[[#This Row],[Kor1]],$AI$3:$AK$105,3,FALSE)</f>
        <v>Premiums Written</v>
      </c>
      <c r="X7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5"/>
      <c r="Z7545" t="s">
        <v>13</v>
      </c>
      <c r="AA7545" t="s">
        <v>242</v>
      </c>
      <c r="AB7545" t="s">
        <v>443</v>
      </c>
      <c r="AC7545" s="21">
        <v>7959.22</v>
      </c>
      <c r="AD7545" s="21" t="s">
        <v>368</v>
      </c>
      <c r="AE7545" t="str">
        <f>VLOOKUP(Table_Query_from_Actuarial___Production3[[#This Row],[Kor1]],$AI$3:$AK$105,3,FALSE)</f>
        <v>Operating Service Fees</v>
      </c>
      <c r="AF7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6" spans="18:32" x14ac:dyDescent="0.2">
      <c r="R7546" t="s">
        <v>34</v>
      </c>
      <c r="S7546" t="s">
        <v>238</v>
      </c>
      <c r="T7546" t="s">
        <v>445</v>
      </c>
      <c r="U7546" s="21">
        <v>13968.33</v>
      </c>
      <c r="V7546" s="21" t="s">
        <v>368</v>
      </c>
      <c r="W7546" t="str">
        <f>VLOOKUP(Table_Query_from_Actuarial___Production[[#This Row],[Kor1]],$AI$3:$AK$105,3,FALSE)</f>
        <v>Misc. Expense</v>
      </c>
      <c r="X7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6"/>
      <c r="Z7546" t="s">
        <v>20</v>
      </c>
      <c r="AA7546" t="s">
        <v>227</v>
      </c>
      <c r="AB7546" t="s">
        <v>7</v>
      </c>
      <c r="AC7546" s="21">
        <v>113.36</v>
      </c>
      <c r="AD7546" s="21" t="s">
        <v>368</v>
      </c>
      <c r="AE7546" t="str">
        <f>VLOOKUP(Table_Query_from_Actuarial___Production3[[#This Row],[Kor1]],$AI$3:$AK$105,3,FALSE)</f>
        <v>Misc. Expense</v>
      </c>
      <c r="AF7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7" spans="18:32" x14ac:dyDescent="0.2">
      <c r="R7547" t="s">
        <v>20</v>
      </c>
      <c r="S7547" t="s">
        <v>266</v>
      </c>
      <c r="T7547" t="s">
        <v>356</v>
      </c>
      <c r="U7547" s="21">
        <v>96.91</v>
      </c>
      <c r="V7547" s="21" t="s">
        <v>368</v>
      </c>
      <c r="W7547" t="str">
        <f>VLOOKUP(Table_Query_from_Actuarial___Production[[#This Row],[Kor1]],$AI$3:$AK$105,3,FALSE)</f>
        <v>Misc. Expense</v>
      </c>
      <c r="X7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7"/>
      <c r="Z7547" t="s">
        <v>19</v>
      </c>
      <c r="AA7547" t="s">
        <v>231</v>
      </c>
      <c r="AB7547" t="s">
        <v>356</v>
      </c>
      <c r="AC7547" s="21">
        <v>1101</v>
      </c>
      <c r="AD7547" s="21" t="s">
        <v>368</v>
      </c>
      <c r="AE7547" t="str">
        <f>VLOOKUP(Table_Query_from_Actuarial___Production3[[#This Row],[Kor1]],$AI$3:$AK$105,3,FALSE)</f>
        <v>Misc. Expense for Insolvent Companies</v>
      </c>
      <c r="AF7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8" spans="18:32" x14ac:dyDescent="0.2">
      <c r="R7548" t="s">
        <v>40</v>
      </c>
      <c r="S7548" t="s">
        <v>254</v>
      </c>
      <c r="T7548" t="s">
        <v>351</v>
      </c>
      <c r="U7548" s="21">
        <v>23</v>
      </c>
      <c r="V7548" s="21" t="s">
        <v>368</v>
      </c>
      <c r="W7548" t="str">
        <f>VLOOKUP(Table_Query_from_Actuarial___Production[[#This Row],[Kor1]],$AI$3:$AK$105,3,FALSE)</f>
        <v>Misc. Income</v>
      </c>
      <c r="X7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8"/>
      <c r="Z7548" t="s">
        <v>39</v>
      </c>
      <c r="AA7548" t="s">
        <v>4</v>
      </c>
      <c r="AB7548" t="s">
        <v>356</v>
      </c>
      <c r="AC7548" s="21">
        <v>4279</v>
      </c>
      <c r="AD7548" s="21" t="s">
        <v>368</v>
      </c>
      <c r="AE7548" t="str">
        <f>VLOOKUP(Table_Query_from_Actuarial___Production3[[#This Row],[Kor1]],$AI$3:$AK$105,3,FALSE)</f>
        <v>Misc. Income for Insolvent Companies</v>
      </c>
      <c r="AF7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49" spans="18:32" x14ac:dyDescent="0.2">
      <c r="R7549" t="s">
        <v>41</v>
      </c>
      <c r="S7549" t="s">
        <v>257</v>
      </c>
      <c r="T7549" t="s">
        <v>445</v>
      </c>
      <c r="U7549" s="21">
        <v>1099.98</v>
      </c>
      <c r="V7549" s="21" t="s">
        <v>368</v>
      </c>
      <c r="W7549" t="str">
        <f>VLOOKUP(Table_Query_from_Actuarial___Production[[#This Row],[Kor1]],$AI$3:$AK$105,3,FALSE)</f>
        <v>Misc. Income</v>
      </c>
      <c r="X7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49"/>
      <c r="Z7549" t="s">
        <v>44</v>
      </c>
      <c r="AA7549" t="s">
        <v>250</v>
      </c>
      <c r="AB7549" t="s">
        <v>9</v>
      </c>
      <c r="AC7549" s="21">
        <v>225</v>
      </c>
      <c r="AD7549" s="21" t="s">
        <v>368</v>
      </c>
      <c r="AE7549" t="str">
        <f>VLOOKUP(Table_Query_from_Actuarial___Production3[[#This Row],[Kor1]],$AI$3:$AK$105,3,FALSE)</f>
        <v>Charge-offs</v>
      </c>
      <c r="AF7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0" spans="18:32" x14ac:dyDescent="0.2">
      <c r="R7550" t="s">
        <v>444</v>
      </c>
      <c r="S7550" t="s">
        <v>235</v>
      </c>
      <c r="T7550" t="s">
        <v>443</v>
      </c>
      <c r="U7550" s="21">
        <v>10167.81</v>
      </c>
      <c r="V7550" s="21" t="s">
        <v>368</v>
      </c>
      <c r="W7550" t="str">
        <f>VLOOKUP(Table_Query_from_Actuarial___Production[[#This Row],[Kor1]],$AI$3:$AK$105,3,FALSE)</f>
        <v>Misc. Expense</v>
      </c>
      <c r="X7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0"/>
      <c r="Z7550" t="s">
        <v>47</v>
      </c>
      <c r="AA7550" t="s">
        <v>257</v>
      </c>
      <c r="AB7550" t="s">
        <v>442</v>
      </c>
      <c r="AC7550" s="21">
        <v>36442.949999999997</v>
      </c>
      <c r="AD7550" s="21" t="s">
        <v>368</v>
      </c>
      <c r="AE7550" t="str">
        <f>VLOOKUP(Table_Query_from_Actuarial___Production3[[#This Row],[Kor1]],$AI$3:$AK$105,3,FALSE)</f>
        <v>Investment Income</v>
      </c>
      <c r="AF7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1" spans="18:32" x14ac:dyDescent="0.2">
      <c r="R7551" t="s">
        <v>47</v>
      </c>
      <c r="S7551" t="s">
        <v>265</v>
      </c>
      <c r="T7551" t="s">
        <v>433</v>
      </c>
      <c r="U7551" s="21">
        <v>1219.7</v>
      </c>
      <c r="V7551" s="21" t="s">
        <v>368</v>
      </c>
      <c r="W7551" t="str">
        <f>VLOOKUP(Table_Query_from_Actuarial___Production[[#This Row],[Kor1]],$AI$3:$AK$105,3,FALSE)</f>
        <v>Investment Income</v>
      </c>
      <c r="X7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1"/>
      <c r="Z7551" t="s">
        <v>48</v>
      </c>
      <c r="AA7551" t="s">
        <v>243</v>
      </c>
      <c r="AB7551" t="s">
        <v>427</v>
      </c>
      <c r="AC7551" s="21">
        <v>1672.43</v>
      </c>
      <c r="AD7551" s="21" t="s">
        <v>368</v>
      </c>
      <c r="AE7551" t="str">
        <f>VLOOKUP(Table_Query_from_Actuarial___Production3[[#This Row],[Kor1]],$AI$3:$AK$105,3,FALSE)</f>
        <v>Anticipated Salvage</v>
      </c>
      <c r="AF7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2" spans="18:32" x14ac:dyDescent="0.2">
      <c r="R7552" t="s">
        <v>10</v>
      </c>
      <c r="S7552" t="s">
        <v>256</v>
      </c>
      <c r="T7552" t="s">
        <v>442</v>
      </c>
      <c r="U7552" s="21">
        <v>1760.6</v>
      </c>
      <c r="V7552" s="21" t="s">
        <v>368</v>
      </c>
      <c r="W7552" t="str">
        <f>VLOOKUP(Table_Query_from_Actuarial___Production[[#This Row],[Kor1]],$AI$3:$AK$105,3,FALSE)</f>
        <v>Commissions</v>
      </c>
      <c r="X7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2"/>
      <c r="Z7552" t="s">
        <v>48</v>
      </c>
      <c r="AA7552" t="s">
        <v>263</v>
      </c>
      <c r="AB7552" t="s">
        <v>442</v>
      </c>
      <c r="AC7552" s="21">
        <v>3181.79</v>
      </c>
      <c r="AD7552" s="21" t="s">
        <v>368</v>
      </c>
      <c r="AE7552" t="str">
        <f>VLOOKUP(Table_Query_from_Actuarial___Production3[[#This Row],[Kor1]],$AI$3:$AK$105,3,FALSE)</f>
        <v>Anticipated Salvage</v>
      </c>
      <c r="AF7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3" spans="18:32" x14ac:dyDescent="0.2">
      <c r="R7553" t="s">
        <v>13</v>
      </c>
      <c r="S7553" t="s">
        <v>242</v>
      </c>
      <c r="T7553" t="s">
        <v>443</v>
      </c>
      <c r="U7553" s="21">
        <v>149010.15</v>
      </c>
      <c r="V7553" s="21" t="s">
        <v>368</v>
      </c>
      <c r="W7553" t="str">
        <f>VLOOKUP(Table_Query_from_Actuarial___Production[[#This Row],[Kor1]],$AI$3:$AK$105,3,FALSE)</f>
        <v>Operating Service Fees</v>
      </c>
      <c r="X7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3"/>
      <c r="Z7553" t="s">
        <v>13</v>
      </c>
      <c r="AA7553" t="s">
        <v>258</v>
      </c>
      <c r="AB7553" t="s">
        <v>9</v>
      </c>
      <c r="AC7553" s="21">
        <v>522137.76</v>
      </c>
      <c r="AD7553" s="21" t="s">
        <v>368</v>
      </c>
      <c r="AE7553" t="str">
        <f>VLOOKUP(Table_Query_from_Actuarial___Production3[[#This Row],[Kor1]],$AI$3:$AK$105,3,FALSE)</f>
        <v>Operating Service Fees</v>
      </c>
      <c r="AF7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4" spans="18:32" x14ac:dyDescent="0.2">
      <c r="R7554" t="s">
        <v>20</v>
      </c>
      <c r="S7554" t="s">
        <v>227</v>
      </c>
      <c r="T7554" t="s">
        <v>7</v>
      </c>
      <c r="U7554" s="21">
        <v>113.36</v>
      </c>
      <c r="V7554" s="21" t="s">
        <v>368</v>
      </c>
      <c r="W7554" t="str">
        <f>VLOOKUP(Table_Query_from_Actuarial___Production[[#This Row],[Kor1]],$AI$3:$AK$105,3,FALSE)</f>
        <v>Misc. Expense</v>
      </c>
      <c r="X7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4"/>
      <c r="Z7554" t="s">
        <v>17</v>
      </c>
      <c r="AA7554" t="s">
        <v>263</v>
      </c>
      <c r="AB7554" t="s">
        <v>442</v>
      </c>
      <c r="AC7554" s="21">
        <v>102562.66</v>
      </c>
      <c r="AD7554" s="21" t="s">
        <v>368</v>
      </c>
      <c r="AE7554" t="str">
        <f>VLOOKUP(Table_Query_from_Actuarial___Production3[[#This Row],[Kor1]],$AI$3:$AK$105,3,FALSE)</f>
        <v>IBNR</v>
      </c>
      <c r="AF7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5" spans="18:32" x14ac:dyDescent="0.2">
      <c r="R7555" t="s">
        <v>19</v>
      </c>
      <c r="S7555" t="s">
        <v>231</v>
      </c>
      <c r="T7555" t="s">
        <v>356</v>
      </c>
      <c r="U7555" s="21">
        <v>1101</v>
      </c>
      <c r="V7555" s="21" t="s">
        <v>368</v>
      </c>
      <c r="W7555" t="str">
        <f>VLOOKUP(Table_Query_from_Actuarial___Production[[#This Row],[Kor1]],$AI$3:$AK$105,3,FALSE)</f>
        <v>Misc. Expense for Insolvent Companies</v>
      </c>
      <c r="X7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5"/>
      <c r="Z7555" t="s">
        <v>49</v>
      </c>
      <c r="AA7555" t="s">
        <v>237</v>
      </c>
      <c r="AB7555" t="s">
        <v>433</v>
      </c>
      <c r="AC7555" s="21">
        <v>1615569.76</v>
      </c>
      <c r="AD7555" s="21" t="s">
        <v>368</v>
      </c>
      <c r="AE7555" t="str">
        <f>VLOOKUP(Table_Query_from_Actuarial___Production3[[#This Row],[Kor1]],$AI$3:$AK$105,3,FALSE)</f>
        <v>ALAE Paid</v>
      </c>
      <c r="AF7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6" spans="18:32" x14ac:dyDescent="0.2">
      <c r="R7556" t="s">
        <v>39</v>
      </c>
      <c r="S7556" t="s">
        <v>4</v>
      </c>
      <c r="T7556" t="s">
        <v>356</v>
      </c>
      <c r="U7556" s="21">
        <v>4281</v>
      </c>
      <c r="V7556" s="21" t="s">
        <v>368</v>
      </c>
      <c r="W7556" t="str">
        <f>VLOOKUP(Table_Query_from_Actuarial___Production[[#This Row],[Kor1]],$AI$3:$AK$105,3,FALSE)</f>
        <v>Misc. Income for Insolvent Companies</v>
      </c>
      <c r="X7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6"/>
      <c r="Z7556" t="s">
        <v>17</v>
      </c>
      <c r="AA7556" t="s">
        <v>261</v>
      </c>
      <c r="AB7556" t="s">
        <v>427</v>
      </c>
      <c r="AC7556" s="21">
        <v>40007.199999999997</v>
      </c>
      <c r="AD7556" s="21" t="s">
        <v>368</v>
      </c>
      <c r="AE7556" t="str">
        <f>VLOOKUP(Table_Query_from_Actuarial___Production3[[#This Row],[Kor1]],$AI$3:$AK$105,3,FALSE)</f>
        <v>IBNR</v>
      </c>
      <c r="AF7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7" spans="18:32" x14ac:dyDescent="0.2">
      <c r="R7557" t="s">
        <v>44</v>
      </c>
      <c r="S7557" t="s">
        <v>242</v>
      </c>
      <c r="T7557" t="s">
        <v>445</v>
      </c>
      <c r="U7557" s="21">
        <v>1</v>
      </c>
      <c r="V7557" s="21" t="s">
        <v>368</v>
      </c>
      <c r="W7557" t="str">
        <f>VLOOKUP(Table_Query_from_Actuarial___Production[[#This Row],[Kor1]],$AI$3:$AK$105,3,FALSE)</f>
        <v>Charge-offs</v>
      </c>
      <c r="X7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7"/>
      <c r="Z7557" t="s">
        <v>31</v>
      </c>
      <c r="AA7557" t="s">
        <v>255</v>
      </c>
      <c r="AB7557" t="s">
        <v>443</v>
      </c>
      <c r="AC7557" s="21">
        <v>670.58</v>
      </c>
      <c r="AD7557" s="21" t="s">
        <v>368</v>
      </c>
      <c r="AE7557" t="str">
        <f>VLOOKUP(Table_Query_from_Actuarial___Production3[[#This Row],[Kor1]],$AI$3:$AK$105,3,FALSE)</f>
        <v>Misc. Expense</v>
      </c>
      <c r="AF7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8" spans="18:32" x14ac:dyDescent="0.2">
      <c r="R7558" t="s">
        <v>44</v>
      </c>
      <c r="S7558" t="s">
        <v>250</v>
      </c>
      <c r="T7558" t="s">
        <v>9</v>
      </c>
      <c r="U7558" s="21">
        <v>225</v>
      </c>
      <c r="V7558" s="21" t="s">
        <v>368</v>
      </c>
      <c r="W7558" t="str">
        <f>VLOOKUP(Table_Query_from_Actuarial___Production[[#This Row],[Kor1]],$AI$3:$AK$105,3,FALSE)</f>
        <v>Charge-offs</v>
      </c>
      <c r="X7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8"/>
      <c r="Z7558" t="s">
        <v>39</v>
      </c>
      <c r="AA7558" t="s">
        <v>231</v>
      </c>
      <c r="AB7558" t="s">
        <v>9</v>
      </c>
      <c r="AC7558" s="21">
        <v>660.99</v>
      </c>
      <c r="AD7558" s="21" t="s">
        <v>368</v>
      </c>
      <c r="AE7558" t="str">
        <f>VLOOKUP(Table_Query_from_Actuarial___Production3[[#This Row],[Kor1]],$AI$3:$AK$105,3,FALSE)</f>
        <v>Misc. Income for Insolvent Companies</v>
      </c>
      <c r="AF7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59" spans="18:32" x14ac:dyDescent="0.2">
      <c r="R7559" t="s">
        <v>47</v>
      </c>
      <c r="S7559" t="s">
        <v>257</v>
      </c>
      <c r="T7559" t="s">
        <v>442</v>
      </c>
      <c r="U7559" s="21">
        <v>36442.949999999997</v>
      </c>
      <c r="V7559" s="21" t="s">
        <v>368</v>
      </c>
      <c r="W7559" t="str">
        <f>VLOOKUP(Table_Query_from_Actuarial___Production[[#This Row],[Kor1]],$AI$3:$AK$105,3,FALSE)</f>
        <v>Investment Income</v>
      </c>
      <c r="X7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59"/>
      <c r="Z7559" t="s">
        <v>38</v>
      </c>
      <c r="AA7559" t="s">
        <v>352</v>
      </c>
      <c r="AB7559" t="s">
        <v>351</v>
      </c>
      <c r="AC7559" s="21">
        <v>19461.12</v>
      </c>
      <c r="AD7559" s="21" t="s">
        <v>369</v>
      </c>
      <c r="AE7559" t="str">
        <f>VLOOKUP(Table_Query_from_Actuarial___Production3[[#This Row],[Kor1]],$AI$3:$AK$105,3,FALSE)</f>
        <v>Misc. Income</v>
      </c>
      <c r="AF7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560" spans="18:32" x14ac:dyDescent="0.2">
      <c r="R7560" t="s">
        <v>48</v>
      </c>
      <c r="S7560" t="s">
        <v>243</v>
      </c>
      <c r="T7560" t="s">
        <v>427</v>
      </c>
      <c r="U7560" s="21">
        <v>635</v>
      </c>
      <c r="V7560" s="21" t="s">
        <v>368</v>
      </c>
      <c r="W7560" t="str">
        <f>VLOOKUP(Table_Query_from_Actuarial___Production[[#This Row],[Kor1]],$AI$3:$AK$105,3,FALSE)</f>
        <v>Anticipated Salvage</v>
      </c>
      <c r="X7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0"/>
      <c r="Z7560" t="s">
        <v>38</v>
      </c>
      <c r="AA7560" t="s">
        <v>224</v>
      </c>
      <c r="AB7560" t="s">
        <v>351</v>
      </c>
      <c r="AC7560" s="21">
        <v>3125.7</v>
      </c>
      <c r="AD7560" s="21" t="s">
        <v>425</v>
      </c>
      <c r="AE7560" t="str">
        <f>VLOOKUP(Table_Query_from_Actuarial___Production3[[#This Row],[Kor1]],$AI$3:$AK$105,3,FALSE)</f>
        <v>Misc. Income</v>
      </c>
      <c r="AF7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561" spans="18:32" x14ac:dyDescent="0.2">
      <c r="R7561" t="s">
        <v>48</v>
      </c>
      <c r="S7561" t="s">
        <v>263</v>
      </c>
      <c r="T7561" t="s">
        <v>442</v>
      </c>
      <c r="U7561" s="21">
        <v>2453.5700000000002</v>
      </c>
      <c r="V7561" s="21" t="s">
        <v>368</v>
      </c>
      <c r="W7561" t="str">
        <f>VLOOKUP(Table_Query_from_Actuarial___Production[[#This Row],[Kor1]],$AI$3:$AK$105,3,FALSE)</f>
        <v>Anticipated Salvage</v>
      </c>
      <c r="X7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1"/>
      <c r="Z7561" t="s">
        <v>43</v>
      </c>
      <c r="AA7561" t="s">
        <v>224</v>
      </c>
      <c r="AB7561" t="s">
        <v>356</v>
      </c>
      <c r="AC7561" s="21">
        <v>2.82</v>
      </c>
      <c r="AD7561" s="21" t="s">
        <v>369</v>
      </c>
      <c r="AE7561" t="str">
        <f>VLOOKUP(Table_Query_from_Actuarial___Production3[[#This Row],[Kor1]],$AI$3:$AK$105,3,FALSE)</f>
        <v>Charge-offs</v>
      </c>
      <c r="AF7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562" spans="18:32" x14ac:dyDescent="0.2">
      <c r="R7562" t="s">
        <v>13</v>
      </c>
      <c r="S7562" t="s">
        <v>258</v>
      </c>
      <c r="T7562" t="s">
        <v>9</v>
      </c>
      <c r="U7562" s="21">
        <v>522137.76</v>
      </c>
      <c r="V7562" s="21" t="s">
        <v>368</v>
      </c>
      <c r="W7562" t="str">
        <f>VLOOKUP(Table_Query_from_Actuarial___Production[[#This Row],[Kor1]],$AI$3:$AK$105,3,FALSE)</f>
        <v>Operating Service Fees</v>
      </c>
      <c r="X7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2"/>
      <c r="Z7562" t="s">
        <v>75</v>
      </c>
      <c r="AA7562" t="s">
        <v>252</v>
      </c>
      <c r="AB7562" t="s">
        <v>442</v>
      </c>
      <c r="AC7562" s="21">
        <v>18169</v>
      </c>
      <c r="AD7562" s="21" t="s">
        <v>368</v>
      </c>
      <c r="AE7562" t="str">
        <f>VLOOKUP(Table_Query_from_Actuarial___Production3[[#This Row],[Kor1]],$AI$3:$AK$105,3,FALSE)</f>
        <v>EBUB</v>
      </c>
      <c r="AF7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3" spans="18:32" x14ac:dyDescent="0.2">
      <c r="R7563" t="s">
        <v>17</v>
      </c>
      <c r="S7563" t="s">
        <v>263</v>
      </c>
      <c r="T7563" t="s">
        <v>442</v>
      </c>
      <c r="U7563" s="21">
        <v>77100.97</v>
      </c>
      <c r="V7563" s="21" t="s">
        <v>368</v>
      </c>
      <c r="W7563" t="str">
        <f>VLOOKUP(Table_Query_from_Actuarial___Production[[#This Row],[Kor1]],$AI$3:$AK$105,3,FALSE)</f>
        <v>IBNR</v>
      </c>
      <c r="X7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3"/>
      <c r="Z7563" t="s">
        <v>43</v>
      </c>
      <c r="AA7563" t="s">
        <v>260</v>
      </c>
      <c r="AB7563" t="s">
        <v>8</v>
      </c>
      <c r="AC7563" s="21">
        <v>8.76</v>
      </c>
      <c r="AD7563" s="21" t="s">
        <v>368</v>
      </c>
      <c r="AE7563" t="str">
        <f>VLOOKUP(Table_Query_from_Actuarial___Production3[[#This Row],[Kor1]],$AI$3:$AK$105,3,FALSE)</f>
        <v>Charge-offs</v>
      </c>
      <c r="AF7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4" spans="18:32" x14ac:dyDescent="0.2">
      <c r="R7564" t="s">
        <v>17</v>
      </c>
      <c r="S7564" t="s">
        <v>238</v>
      </c>
      <c r="T7564" t="s">
        <v>445</v>
      </c>
      <c r="U7564" s="21">
        <v>151576.47</v>
      </c>
      <c r="V7564" s="21" t="s">
        <v>368</v>
      </c>
      <c r="W7564" t="str">
        <f>VLOOKUP(Table_Query_from_Actuarial___Production[[#This Row],[Kor1]],$AI$3:$AK$105,3,FALSE)</f>
        <v>IBNR</v>
      </c>
      <c r="X7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4"/>
      <c r="Z7564" t="s">
        <v>17</v>
      </c>
      <c r="AA7564" t="s">
        <v>257</v>
      </c>
      <c r="AB7564" t="s">
        <v>427</v>
      </c>
      <c r="AC7564" s="21">
        <v>165848.78</v>
      </c>
      <c r="AD7564" s="21" t="s">
        <v>368</v>
      </c>
      <c r="AE7564" t="str">
        <f>VLOOKUP(Table_Query_from_Actuarial___Production3[[#This Row],[Kor1]],$AI$3:$AK$105,3,FALSE)</f>
        <v>IBNR</v>
      </c>
      <c r="AF7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5" spans="18:32" x14ac:dyDescent="0.2">
      <c r="R7565" t="s">
        <v>43</v>
      </c>
      <c r="S7565" t="s">
        <v>230</v>
      </c>
      <c r="T7565" t="s">
        <v>445</v>
      </c>
      <c r="U7565" s="21">
        <v>3142.83</v>
      </c>
      <c r="V7565" s="21" t="s">
        <v>368</v>
      </c>
      <c r="W7565" t="str">
        <f>VLOOKUP(Table_Query_from_Actuarial___Production[[#This Row],[Kor1]],$AI$3:$AK$105,3,FALSE)</f>
        <v>Charge-offs</v>
      </c>
      <c r="X7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5"/>
      <c r="Z7565" t="s">
        <v>40</v>
      </c>
      <c r="AA7565" t="s">
        <v>247</v>
      </c>
      <c r="AB7565" t="s">
        <v>6</v>
      </c>
      <c r="AC7565" s="21">
        <v>42</v>
      </c>
      <c r="AD7565" s="21" t="s">
        <v>368</v>
      </c>
      <c r="AE7565" t="str">
        <f>VLOOKUP(Table_Query_from_Actuarial___Production3[[#This Row],[Kor1]],$AI$3:$AK$105,3,FALSE)</f>
        <v>Misc. Income</v>
      </c>
      <c r="AF7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6" spans="18:32" x14ac:dyDescent="0.2">
      <c r="R7566" t="s">
        <v>49</v>
      </c>
      <c r="S7566" t="s">
        <v>237</v>
      </c>
      <c r="T7566" t="s">
        <v>433</v>
      </c>
      <c r="U7566" s="21">
        <v>2700160.07</v>
      </c>
      <c r="V7566" s="21" t="s">
        <v>368</v>
      </c>
      <c r="W7566" t="str">
        <f>VLOOKUP(Table_Query_from_Actuarial___Production[[#This Row],[Kor1]],$AI$3:$AK$105,3,FALSE)</f>
        <v>ALAE Paid</v>
      </c>
      <c r="X7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6"/>
      <c r="Z7566" t="s">
        <v>31</v>
      </c>
      <c r="AA7566" t="s">
        <v>235</v>
      </c>
      <c r="AB7566" t="s">
        <v>433</v>
      </c>
      <c r="AC7566" s="21">
        <v>930.82</v>
      </c>
      <c r="AD7566" s="21" t="s">
        <v>368</v>
      </c>
      <c r="AE7566" t="str">
        <f>VLOOKUP(Table_Query_from_Actuarial___Production3[[#This Row],[Kor1]],$AI$3:$AK$105,3,FALSE)</f>
        <v>Misc. Expense</v>
      </c>
      <c r="AF7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7" spans="18:32" x14ac:dyDescent="0.2">
      <c r="R7567" t="s">
        <v>44</v>
      </c>
      <c r="S7567" t="s">
        <v>255</v>
      </c>
      <c r="T7567" t="s">
        <v>442</v>
      </c>
      <c r="U7567" s="21">
        <v>143</v>
      </c>
      <c r="V7567" s="21" t="s">
        <v>368</v>
      </c>
      <c r="W7567" t="str">
        <f>VLOOKUP(Table_Query_from_Actuarial___Production[[#This Row],[Kor1]],$AI$3:$AK$105,3,FALSE)</f>
        <v>Charge-offs</v>
      </c>
      <c r="X7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7"/>
      <c r="Z7567" t="s">
        <v>41</v>
      </c>
      <c r="AA7567" t="s">
        <v>227</v>
      </c>
      <c r="AB7567" t="s">
        <v>9</v>
      </c>
      <c r="AC7567" s="21">
        <v>1763.62</v>
      </c>
      <c r="AD7567" s="21" t="s">
        <v>368</v>
      </c>
      <c r="AE7567" t="str">
        <f>VLOOKUP(Table_Query_from_Actuarial___Production3[[#This Row],[Kor1]],$AI$3:$AK$105,3,FALSE)</f>
        <v>Misc. Income</v>
      </c>
      <c r="AF7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8" spans="18:32" x14ac:dyDescent="0.2">
      <c r="R7568" t="s">
        <v>48</v>
      </c>
      <c r="S7568" t="s">
        <v>225</v>
      </c>
      <c r="T7568" t="s">
        <v>445</v>
      </c>
      <c r="U7568" s="21">
        <v>3173.87</v>
      </c>
      <c r="V7568" s="21" t="s">
        <v>369</v>
      </c>
      <c r="W7568" t="str">
        <f>VLOOKUP(Table_Query_from_Actuarial___Production[[#This Row],[Kor1]],$AI$3:$AK$105,3,FALSE)</f>
        <v>Anticipated Salvage</v>
      </c>
      <c r="X7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568"/>
      <c r="Z7568" t="s">
        <v>33</v>
      </c>
      <c r="AA7568" t="s">
        <v>267</v>
      </c>
      <c r="AB7568" t="s">
        <v>9</v>
      </c>
      <c r="AC7568" s="21">
        <v>15646.64</v>
      </c>
      <c r="AD7568" s="21" t="s">
        <v>368</v>
      </c>
      <c r="AE7568" t="str">
        <f>VLOOKUP(Table_Query_from_Actuarial___Production3[[#This Row],[Kor1]],$AI$3:$AK$105,3,FALSE)</f>
        <v>Misc. Expense</v>
      </c>
      <c r="AF7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69" spans="18:32" x14ac:dyDescent="0.2">
      <c r="R7569" t="s">
        <v>31</v>
      </c>
      <c r="S7569" t="s">
        <v>255</v>
      </c>
      <c r="T7569" t="s">
        <v>443</v>
      </c>
      <c r="U7569" s="21">
        <v>1017.69</v>
      </c>
      <c r="V7569" s="21" t="s">
        <v>368</v>
      </c>
      <c r="W7569" t="str">
        <f>VLOOKUP(Table_Query_from_Actuarial___Production[[#This Row],[Kor1]],$AI$3:$AK$105,3,FALSE)</f>
        <v>Misc. Expense</v>
      </c>
      <c r="X7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69"/>
      <c r="Z7569" t="s">
        <v>14</v>
      </c>
      <c r="AA7569" t="s">
        <v>267</v>
      </c>
      <c r="AB7569" t="s">
        <v>7</v>
      </c>
      <c r="AC7569" s="21">
        <v>18005.32</v>
      </c>
      <c r="AD7569" s="21" t="s">
        <v>368</v>
      </c>
      <c r="AE7569" t="str">
        <f>VLOOKUP(Table_Query_from_Actuarial___Production3[[#This Row],[Kor1]],$AI$3:$AK$105,3,FALSE)</f>
        <v>Claims Expense</v>
      </c>
      <c r="AF7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0" spans="18:32" x14ac:dyDescent="0.2">
      <c r="R7570" t="s">
        <v>39</v>
      </c>
      <c r="S7570" t="s">
        <v>231</v>
      </c>
      <c r="T7570" t="s">
        <v>9</v>
      </c>
      <c r="U7570" s="21">
        <v>660.99</v>
      </c>
      <c r="V7570" s="21" t="s">
        <v>368</v>
      </c>
      <c r="W7570" t="str">
        <f>VLOOKUP(Table_Query_from_Actuarial___Production[[#This Row],[Kor1]],$AI$3:$AK$105,3,FALSE)</f>
        <v>Misc. Income for Insolvent Companies</v>
      </c>
      <c r="X7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0"/>
      <c r="Z7570" t="s">
        <v>16</v>
      </c>
      <c r="AA7570" t="s">
        <v>237</v>
      </c>
      <c r="AB7570" t="s">
        <v>8</v>
      </c>
      <c r="AC7570" s="21">
        <v>26184.84</v>
      </c>
      <c r="AD7570" s="21" t="s">
        <v>368</v>
      </c>
      <c r="AE7570" t="str">
        <f>VLOOKUP(Table_Query_from_Actuarial___Production3[[#This Row],[Kor1]],$AI$3:$AK$105,3,FALSE)</f>
        <v>Losses Outstanding</v>
      </c>
      <c r="AF7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1" spans="18:32" x14ac:dyDescent="0.2">
      <c r="R7571" t="s">
        <v>38</v>
      </c>
      <c r="S7571" t="s">
        <v>352</v>
      </c>
      <c r="T7571" t="s">
        <v>351</v>
      </c>
      <c r="U7571" s="21">
        <v>19461.12</v>
      </c>
      <c r="V7571" s="21" t="s">
        <v>369</v>
      </c>
      <c r="W7571" t="str">
        <f>VLOOKUP(Table_Query_from_Actuarial___Production[[#This Row],[Kor1]],$AI$3:$AK$105,3,FALSE)</f>
        <v>Misc. Income</v>
      </c>
      <c r="X7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571"/>
      <c r="Z7571" t="s">
        <v>46</v>
      </c>
      <c r="AA7571" t="s">
        <v>352</v>
      </c>
      <c r="AB7571" t="s">
        <v>8</v>
      </c>
      <c r="AC7571" s="21">
        <v>30.45</v>
      </c>
      <c r="AD7571" s="21" t="s">
        <v>369</v>
      </c>
      <c r="AE7571" t="str">
        <f>VLOOKUP(Table_Query_from_Actuarial___Production3[[#This Row],[Kor1]],$AI$3:$AK$105,3,FALSE)</f>
        <v>Investment Income</v>
      </c>
      <c r="AF7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572" spans="18:32" x14ac:dyDescent="0.2">
      <c r="R7572" t="s">
        <v>38</v>
      </c>
      <c r="S7572" t="s">
        <v>224</v>
      </c>
      <c r="T7572" t="s">
        <v>351</v>
      </c>
      <c r="U7572" s="21">
        <v>3125.7</v>
      </c>
      <c r="V7572" s="21" t="s">
        <v>425</v>
      </c>
      <c r="W7572" t="str">
        <f>VLOOKUP(Table_Query_from_Actuarial___Production[[#This Row],[Kor1]],$AI$3:$AK$105,3,FALSE)</f>
        <v>Misc. Income</v>
      </c>
      <c r="X7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572"/>
      <c r="Z7572" t="s">
        <v>10</v>
      </c>
      <c r="AA7572" t="s">
        <v>228</v>
      </c>
      <c r="AB7572" t="s">
        <v>442</v>
      </c>
      <c r="AC7572" s="21">
        <v>10927.5</v>
      </c>
      <c r="AD7572" s="21" t="s">
        <v>368</v>
      </c>
      <c r="AE7572" t="str">
        <f>VLOOKUP(Table_Query_from_Actuarial___Production3[[#This Row],[Kor1]],$AI$3:$AK$105,3,FALSE)</f>
        <v>Commissions</v>
      </c>
      <c r="AF7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3" spans="18:32" x14ac:dyDescent="0.2">
      <c r="R7573" t="s">
        <v>43</v>
      </c>
      <c r="S7573" t="s">
        <v>224</v>
      </c>
      <c r="T7573" t="s">
        <v>356</v>
      </c>
      <c r="U7573" s="21">
        <v>2.82</v>
      </c>
      <c r="V7573" s="21" t="s">
        <v>369</v>
      </c>
      <c r="W7573" t="str">
        <f>VLOOKUP(Table_Query_from_Actuarial___Production[[#This Row],[Kor1]],$AI$3:$AK$105,3,FALSE)</f>
        <v>Charge-offs</v>
      </c>
      <c r="X7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573"/>
      <c r="Z7573" t="s">
        <v>10</v>
      </c>
      <c r="AA7573" t="s">
        <v>259</v>
      </c>
      <c r="AB7573" t="s">
        <v>7</v>
      </c>
      <c r="AC7573" s="21">
        <v>7134.24</v>
      </c>
      <c r="AD7573" s="21" t="s">
        <v>368</v>
      </c>
      <c r="AE7573" t="str">
        <f>VLOOKUP(Table_Query_from_Actuarial___Production3[[#This Row],[Kor1]],$AI$3:$AK$105,3,FALSE)</f>
        <v>Commissions</v>
      </c>
      <c r="AF7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4" spans="18:32" x14ac:dyDescent="0.2">
      <c r="R7574" t="s">
        <v>75</v>
      </c>
      <c r="S7574" t="s">
        <v>252</v>
      </c>
      <c r="T7574" t="s">
        <v>442</v>
      </c>
      <c r="U7574" s="21">
        <v>2</v>
      </c>
      <c r="V7574" s="21" t="s">
        <v>368</v>
      </c>
      <c r="W7574" t="str">
        <f>VLOOKUP(Table_Query_from_Actuarial___Production[[#This Row],[Kor1]],$AI$3:$AK$105,3,FALSE)</f>
        <v>EBUB</v>
      </c>
      <c r="X7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4"/>
      <c r="Z7574" t="s">
        <v>31</v>
      </c>
      <c r="AA7574" t="s">
        <v>255</v>
      </c>
      <c r="AB7574" t="s">
        <v>427</v>
      </c>
      <c r="AC7574" s="21">
        <v>779.95</v>
      </c>
      <c r="AD7574" s="21" t="s">
        <v>368</v>
      </c>
      <c r="AE7574" t="str">
        <f>VLOOKUP(Table_Query_from_Actuarial___Production3[[#This Row],[Kor1]],$AI$3:$AK$105,3,FALSE)</f>
        <v>Misc. Expense</v>
      </c>
      <c r="AF7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5" spans="18:32" x14ac:dyDescent="0.2">
      <c r="R7575" t="s">
        <v>43</v>
      </c>
      <c r="S7575" t="s">
        <v>260</v>
      </c>
      <c r="T7575" t="s">
        <v>8</v>
      </c>
      <c r="U7575" s="21">
        <v>8.76</v>
      </c>
      <c r="V7575" s="21" t="s">
        <v>368</v>
      </c>
      <c r="W7575" t="str">
        <f>VLOOKUP(Table_Query_from_Actuarial___Production[[#This Row],[Kor1]],$AI$3:$AK$105,3,FALSE)</f>
        <v>Charge-offs</v>
      </c>
      <c r="X7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5"/>
      <c r="Z7575" t="s">
        <v>19</v>
      </c>
      <c r="AA7575" t="s">
        <v>239</v>
      </c>
      <c r="AB7575" t="s">
        <v>351</v>
      </c>
      <c r="AC7575" s="21">
        <v>107</v>
      </c>
      <c r="AD7575" s="21" t="s">
        <v>368</v>
      </c>
      <c r="AE7575" t="str">
        <f>VLOOKUP(Table_Query_from_Actuarial___Production3[[#This Row],[Kor1]],$AI$3:$AK$105,3,FALSE)</f>
        <v>Misc. Expense for Insolvent Companies</v>
      </c>
      <c r="AF7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6" spans="18:32" x14ac:dyDescent="0.2">
      <c r="R7576" t="s">
        <v>40</v>
      </c>
      <c r="S7576" t="s">
        <v>247</v>
      </c>
      <c r="T7576" t="s">
        <v>6</v>
      </c>
      <c r="U7576" s="21">
        <v>42</v>
      </c>
      <c r="V7576" s="21" t="s">
        <v>368</v>
      </c>
      <c r="W7576" t="str">
        <f>VLOOKUP(Table_Query_from_Actuarial___Production[[#This Row],[Kor1]],$AI$3:$AK$105,3,FALSE)</f>
        <v>Misc. Income</v>
      </c>
      <c r="X7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6"/>
      <c r="Z7576" t="s">
        <v>13</v>
      </c>
      <c r="AA7576" t="s">
        <v>225</v>
      </c>
      <c r="AB7576" t="s">
        <v>443</v>
      </c>
      <c r="AC7576" s="21">
        <v>50880.6</v>
      </c>
      <c r="AD7576" s="21" t="s">
        <v>368</v>
      </c>
      <c r="AE7576" t="str">
        <f>VLOOKUP(Table_Query_from_Actuarial___Production3[[#This Row],[Kor1]],$AI$3:$AK$105,3,FALSE)</f>
        <v>Operating Service Fees</v>
      </c>
      <c r="AF7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577" spans="18:32" x14ac:dyDescent="0.2">
      <c r="R7577" t="s">
        <v>31</v>
      </c>
      <c r="S7577" t="s">
        <v>235</v>
      </c>
      <c r="T7577" t="s">
        <v>433</v>
      </c>
      <c r="U7577" s="21">
        <v>930.82</v>
      </c>
      <c r="V7577" s="21" t="s">
        <v>368</v>
      </c>
      <c r="W7577" t="str">
        <f>VLOOKUP(Table_Query_from_Actuarial___Production[[#This Row],[Kor1]],$AI$3:$AK$105,3,FALSE)</f>
        <v>Misc. Expense</v>
      </c>
      <c r="X7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7"/>
      <c r="Z7577" t="s">
        <v>31</v>
      </c>
      <c r="AA7577" t="s">
        <v>248</v>
      </c>
      <c r="AB7577" t="s">
        <v>356</v>
      </c>
      <c r="AC7577" s="21">
        <v>815.12</v>
      </c>
      <c r="AD7577" s="21" t="s">
        <v>368</v>
      </c>
      <c r="AE7577" t="str">
        <f>VLOOKUP(Table_Query_from_Actuarial___Production3[[#This Row],[Kor1]],$AI$3:$AK$105,3,FALSE)</f>
        <v>Misc. Expense</v>
      </c>
      <c r="AF7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8" spans="18:32" x14ac:dyDescent="0.2">
      <c r="R7578" t="s">
        <v>41</v>
      </c>
      <c r="S7578" t="s">
        <v>227</v>
      </c>
      <c r="T7578" t="s">
        <v>9</v>
      </c>
      <c r="U7578" s="21">
        <v>1763.62</v>
      </c>
      <c r="V7578" s="21" t="s">
        <v>368</v>
      </c>
      <c r="W7578" t="str">
        <f>VLOOKUP(Table_Query_from_Actuarial___Production[[#This Row],[Kor1]],$AI$3:$AK$105,3,FALSE)</f>
        <v>Misc. Income</v>
      </c>
      <c r="X7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8"/>
      <c r="Z7578" t="s">
        <v>34</v>
      </c>
      <c r="AA7578" t="s">
        <v>264</v>
      </c>
      <c r="AB7578" t="s">
        <v>7</v>
      </c>
      <c r="AC7578" s="21">
        <v>15.33</v>
      </c>
      <c r="AD7578" s="21" t="s">
        <v>368</v>
      </c>
      <c r="AE7578" t="str">
        <f>VLOOKUP(Table_Query_from_Actuarial___Production3[[#This Row],[Kor1]],$AI$3:$AK$105,3,FALSE)</f>
        <v>Misc. Expense</v>
      </c>
      <c r="AF7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79" spans="18:32" x14ac:dyDescent="0.2">
      <c r="R7579" t="s">
        <v>33</v>
      </c>
      <c r="S7579" t="s">
        <v>267</v>
      </c>
      <c r="T7579" t="s">
        <v>9</v>
      </c>
      <c r="U7579" s="21">
        <v>15646.64</v>
      </c>
      <c r="V7579" s="21" t="s">
        <v>368</v>
      </c>
      <c r="W7579" t="str">
        <f>VLOOKUP(Table_Query_from_Actuarial___Production[[#This Row],[Kor1]],$AI$3:$AK$105,3,FALSE)</f>
        <v>Misc. Expense</v>
      </c>
      <c r="X7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79"/>
      <c r="Z7579" t="s">
        <v>41</v>
      </c>
      <c r="AA7579" t="s">
        <v>266</v>
      </c>
      <c r="AB7579" t="s">
        <v>9</v>
      </c>
      <c r="AC7579" s="21">
        <v>200</v>
      </c>
      <c r="AD7579" s="21" t="s">
        <v>368</v>
      </c>
      <c r="AE7579" t="str">
        <f>VLOOKUP(Table_Query_from_Actuarial___Production3[[#This Row],[Kor1]],$AI$3:$AK$105,3,FALSE)</f>
        <v>Misc. Income</v>
      </c>
      <c r="AF7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0" spans="18:32" x14ac:dyDescent="0.2">
      <c r="R7580" t="s">
        <v>14</v>
      </c>
      <c r="S7580" t="s">
        <v>267</v>
      </c>
      <c r="T7580" t="s">
        <v>7</v>
      </c>
      <c r="U7580" s="21">
        <v>18005.32</v>
      </c>
      <c r="V7580" s="21" t="s">
        <v>368</v>
      </c>
      <c r="W7580" t="str">
        <f>VLOOKUP(Table_Query_from_Actuarial___Production[[#This Row],[Kor1]],$AI$3:$AK$105,3,FALSE)</f>
        <v>Claims Expense</v>
      </c>
      <c r="X7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0"/>
      <c r="Z7580" t="s">
        <v>3</v>
      </c>
      <c r="AA7580" t="s">
        <v>354</v>
      </c>
      <c r="AB7580" t="s">
        <v>427</v>
      </c>
      <c r="AC7580" s="21">
        <v>116292851.05</v>
      </c>
      <c r="AD7580" s="21" t="s">
        <v>368</v>
      </c>
      <c r="AE7580" t="str">
        <f>VLOOKUP(Table_Query_from_Actuarial___Production3[[#This Row],[Kor1]],$AI$3:$AK$105,3,FALSE)</f>
        <v>Premiums Written</v>
      </c>
      <c r="AF7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581" spans="18:32" x14ac:dyDescent="0.2">
      <c r="R7581" t="s">
        <v>46</v>
      </c>
      <c r="S7581" t="s">
        <v>352</v>
      </c>
      <c r="T7581" t="s">
        <v>8</v>
      </c>
      <c r="U7581" s="21">
        <v>30.45</v>
      </c>
      <c r="V7581" s="21" t="s">
        <v>369</v>
      </c>
      <c r="W7581" t="str">
        <f>VLOOKUP(Table_Query_from_Actuarial___Production[[#This Row],[Kor1]],$AI$3:$AK$105,3,FALSE)</f>
        <v>Investment Income</v>
      </c>
      <c r="X7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581"/>
      <c r="Z7581" t="s">
        <v>21</v>
      </c>
      <c r="AA7581" t="s">
        <v>237</v>
      </c>
      <c r="AB7581" t="s">
        <v>9</v>
      </c>
      <c r="AC7581" s="21">
        <v>15817.59</v>
      </c>
      <c r="AD7581" s="21" t="s">
        <v>368</v>
      </c>
      <c r="AE7581" t="str">
        <f>VLOOKUP(Table_Query_from_Actuarial___Production3[[#This Row],[Kor1]],$AI$3:$AK$105,3,FALSE)</f>
        <v>Misc. Expense</v>
      </c>
      <c r="AF7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2" spans="18:32" x14ac:dyDescent="0.2">
      <c r="R7582" t="s">
        <v>10</v>
      </c>
      <c r="S7582" t="s">
        <v>228</v>
      </c>
      <c r="T7582" t="s">
        <v>442</v>
      </c>
      <c r="U7582" s="21">
        <v>11043.8</v>
      </c>
      <c r="V7582" s="21" t="s">
        <v>368</v>
      </c>
      <c r="W7582" t="str">
        <f>VLOOKUP(Table_Query_from_Actuarial___Production[[#This Row],[Kor1]],$AI$3:$AK$105,3,FALSE)</f>
        <v>Commissions</v>
      </c>
      <c r="X7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2"/>
      <c r="Z7582" t="s">
        <v>20</v>
      </c>
      <c r="AA7582" t="s">
        <v>239</v>
      </c>
      <c r="AB7582" t="s">
        <v>7</v>
      </c>
      <c r="AC7582" s="21">
        <v>113.37</v>
      </c>
      <c r="AD7582" s="21" t="s">
        <v>368</v>
      </c>
      <c r="AE7582" t="str">
        <f>VLOOKUP(Table_Query_from_Actuarial___Production3[[#This Row],[Kor1]],$AI$3:$AK$105,3,FALSE)</f>
        <v>Misc. Expense</v>
      </c>
      <c r="AF7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3" spans="18:32" x14ac:dyDescent="0.2">
      <c r="R7583" t="s">
        <v>20</v>
      </c>
      <c r="S7583" t="s">
        <v>228</v>
      </c>
      <c r="T7583" t="s">
        <v>445</v>
      </c>
      <c r="U7583" s="21">
        <v>56.96</v>
      </c>
      <c r="V7583" s="21" t="s">
        <v>368</v>
      </c>
      <c r="W7583" t="str">
        <f>VLOOKUP(Table_Query_from_Actuarial___Production[[#This Row],[Kor1]],$AI$3:$AK$105,3,FALSE)</f>
        <v>Misc. Expense</v>
      </c>
      <c r="X7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3"/>
      <c r="Z7583" t="s">
        <v>33</v>
      </c>
      <c r="AA7583" t="s">
        <v>244</v>
      </c>
      <c r="AB7583" t="s">
        <v>356</v>
      </c>
      <c r="AC7583" s="21">
        <v>14980.6</v>
      </c>
      <c r="AD7583" s="21" t="s">
        <v>368</v>
      </c>
      <c r="AE7583" t="str">
        <f>VLOOKUP(Table_Query_from_Actuarial___Production3[[#This Row],[Kor1]],$AI$3:$AK$105,3,FALSE)</f>
        <v>Misc. Expense</v>
      </c>
      <c r="AF7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4" spans="18:32" x14ac:dyDescent="0.2">
      <c r="R7584" t="s">
        <v>10</v>
      </c>
      <c r="S7584" t="s">
        <v>259</v>
      </c>
      <c r="T7584" t="s">
        <v>7</v>
      </c>
      <c r="U7584" s="21">
        <v>7134.24</v>
      </c>
      <c r="V7584" s="21" t="s">
        <v>368</v>
      </c>
      <c r="W7584" t="str">
        <f>VLOOKUP(Table_Query_from_Actuarial___Production[[#This Row],[Kor1]],$AI$3:$AK$105,3,FALSE)</f>
        <v>Commissions</v>
      </c>
      <c r="X7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4"/>
      <c r="Z7584" t="s">
        <v>47</v>
      </c>
      <c r="AA7584" t="s">
        <v>237</v>
      </c>
      <c r="AB7584" t="s">
        <v>356</v>
      </c>
      <c r="AC7584" s="21">
        <v>46003.13</v>
      </c>
      <c r="AD7584" s="21" t="s">
        <v>368</v>
      </c>
      <c r="AE7584" t="str">
        <f>VLOOKUP(Table_Query_from_Actuarial___Production3[[#This Row],[Kor1]],$AI$3:$AK$105,3,FALSE)</f>
        <v>Investment Income</v>
      </c>
      <c r="AF7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5" spans="18:32" x14ac:dyDescent="0.2">
      <c r="R7585" t="s">
        <v>31</v>
      </c>
      <c r="S7585" t="s">
        <v>255</v>
      </c>
      <c r="T7585" t="s">
        <v>427</v>
      </c>
      <c r="U7585" s="21">
        <v>779.95</v>
      </c>
      <c r="V7585" s="21" t="s">
        <v>368</v>
      </c>
      <c r="W7585" t="str">
        <f>VLOOKUP(Table_Query_from_Actuarial___Production[[#This Row],[Kor1]],$AI$3:$AK$105,3,FALSE)</f>
        <v>Misc. Expense</v>
      </c>
      <c r="X7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5"/>
      <c r="Z7585" t="s">
        <v>77</v>
      </c>
      <c r="AA7585" t="s">
        <v>241</v>
      </c>
      <c r="AB7585" t="s">
        <v>442</v>
      </c>
      <c r="AC7585" s="21">
        <v>18358</v>
      </c>
      <c r="AD7585" s="21" t="s">
        <v>368</v>
      </c>
      <c r="AE7585" t="str">
        <f>VLOOKUP(Table_Query_from_Actuarial___Production3[[#This Row],[Kor1]],$AI$3:$AK$105,3,FALSE)</f>
        <v>PDR</v>
      </c>
      <c r="AF7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6" spans="18:32" x14ac:dyDescent="0.2">
      <c r="R7586" t="s">
        <v>19</v>
      </c>
      <c r="S7586" t="s">
        <v>239</v>
      </c>
      <c r="T7586" t="s">
        <v>351</v>
      </c>
      <c r="U7586" s="21">
        <v>143</v>
      </c>
      <c r="V7586" s="21" t="s">
        <v>368</v>
      </c>
      <c r="W7586" t="str">
        <f>VLOOKUP(Table_Query_from_Actuarial___Production[[#This Row],[Kor1]],$AI$3:$AK$105,3,FALSE)</f>
        <v>Misc. Expense for Insolvent Companies</v>
      </c>
      <c r="X7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6"/>
      <c r="Z7586" t="s">
        <v>41</v>
      </c>
      <c r="AA7586" t="s">
        <v>267</v>
      </c>
      <c r="AB7586" t="s">
        <v>433</v>
      </c>
      <c r="AC7586" s="21">
        <v>850</v>
      </c>
      <c r="AD7586" s="21" t="s">
        <v>368</v>
      </c>
      <c r="AE7586" t="str">
        <f>VLOOKUP(Table_Query_from_Actuarial___Production3[[#This Row],[Kor1]],$AI$3:$AK$105,3,FALSE)</f>
        <v>Misc. Income</v>
      </c>
      <c r="AF7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7" spans="18:32" x14ac:dyDescent="0.2">
      <c r="R7587" t="s">
        <v>13</v>
      </c>
      <c r="S7587" t="s">
        <v>225</v>
      </c>
      <c r="T7587" t="s">
        <v>443</v>
      </c>
      <c r="U7587" s="21">
        <v>136868.23000000001</v>
      </c>
      <c r="V7587" s="21" t="s">
        <v>368</v>
      </c>
      <c r="W7587" t="str">
        <f>VLOOKUP(Table_Query_from_Actuarial___Production[[#This Row],[Kor1]],$AI$3:$AK$105,3,FALSE)</f>
        <v>Operating Service Fees</v>
      </c>
      <c r="X7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587"/>
      <c r="Z7587" t="s">
        <v>13</v>
      </c>
      <c r="AA7587" t="s">
        <v>242</v>
      </c>
      <c r="AB7587" t="s">
        <v>427</v>
      </c>
      <c r="AC7587" s="21">
        <v>113665.62</v>
      </c>
      <c r="AD7587" s="21" t="s">
        <v>368</v>
      </c>
      <c r="AE7587" t="str">
        <f>VLOOKUP(Table_Query_from_Actuarial___Production3[[#This Row],[Kor1]],$AI$3:$AK$105,3,FALSE)</f>
        <v>Operating Service Fees</v>
      </c>
      <c r="AF7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8" spans="18:32" x14ac:dyDescent="0.2">
      <c r="R7588" t="s">
        <v>31</v>
      </c>
      <c r="S7588" t="s">
        <v>248</v>
      </c>
      <c r="T7588" t="s">
        <v>356</v>
      </c>
      <c r="U7588" s="21">
        <v>815.12</v>
      </c>
      <c r="V7588" s="21" t="s">
        <v>368</v>
      </c>
      <c r="W7588" t="str">
        <f>VLOOKUP(Table_Query_from_Actuarial___Production[[#This Row],[Kor1]],$AI$3:$AK$105,3,FALSE)</f>
        <v>Misc. Expense</v>
      </c>
      <c r="X7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8"/>
      <c r="Z7588" t="s">
        <v>16</v>
      </c>
      <c r="AA7588" t="s">
        <v>246</v>
      </c>
      <c r="AB7588" t="s">
        <v>356</v>
      </c>
      <c r="AC7588" s="21">
        <v>502108.96</v>
      </c>
      <c r="AD7588" s="21" t="s">
        <v>368</v>
      </c>
      <c r="AE7588" t="str">
        <f>VLOOKUP(Table_Query_from_Actuarial___Production3[[#This Row],[Kor1]],$AI$3:$AK$105,3,FALSE)</f>
        <v>Losses Outstanding</v>
      </c>
      <c r="AF7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89" spans="18:32" x14ac:dyDescent="0.2">
      <c r="R7589" t="s">
        <v>34</v>
      </c>
      <c r="S7589" t="s">
        <v>264</v>
      </c>
      <c r="T7589" t="s">
        <v>7</v>
      </c>
      <c r="U7589" s="21">
        <v>15.33</v>
      </c>
      <c r="V7589" s="21" t="s">
        <v>368</v>
      </c>
      <c r="W7589" t="str">
        <f>VLOOKUP(Table_Query_from_Actuarial___Production[[#This Row],[Kor1]],$AI$3:$AK$105,3,FALSE)</f>
        <v>Misc. Expense</v>
      </c>
      <c r="X7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89"/>
      <c r="Z7589" t="s">
        <v>11</v>
      </c>
      <c r="AA7589" t="s">
        <v>229</v>
      </c>
      <c r="AB7589" t="s">
        <v>356</v>
      </c>
      <c r="AC7589" s="21">
        <v>179777.27</v>
      </c>
      <c r="AD7589" s="21" t="s">
        <v>368</v>
      </c>
      <c r="AE7589" t="str">
        <f>VLOOKUP(Table_Query_from_Actuarial___Production3[[#This Row],[Kor1]],$AI$3:$AK$105,3,FALSE)</f>
        <v>Losses Paid</v>
      </c>
      <c r="AF7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0" spans="18:32" x14ac:dyDescent="0.2">
      <c r="R7590" t="s">
        <v>41</v>
      </c>
      <c r="S7590" t="s">
        <v>266</v>
      </c>
      <c r="T7590" t="s">
        <v>9</v>
      </c>
      <c r="U7590" s="21">
        <v>200</v>
      </c>
      <c r="V7590" s="21" t="s">
        <v>368</v>
      </c>
      <c r="W7590" t="str">
        <f>VLOOKUP(Table_Query_from_Actuarial___Production[[#This Row],[Kor1]],$AI$3:$AK$105,3,FALSE)</f>
        <v>Misc. Income</v>
      </c>
      <c r="X7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0"/>
      <c r="Z7590" t="s">
        <v>46</v>
      </c>
      <c r="AA7590" t="s">
        <v>354</v>
      </c>
      <c r="AB7590" t="s">
        <v>5</v>
      </c>
      <c r="AC7590" s="21">
        <v>2158191.08</v>
      </c>
      <c r="AD7590" s="21" t="s">
        <v>368</v>
      </c>
      <c r="AE7590" t="str">
        <f>VLOOKUP(Table_Query_from_Actuarial___Production3[[#This Row],[Kor1]],$AI$3:$AK$105,3,FALSE)</f>
        <v>Investment Income</v>
      </c>
      <c r="AF7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591" spans="18:32" x14ac:dyDescent="0.2">
      <c r="R7591" t="s">
        <v>3</v>
      </c>
      <c r="S7591" t="s">
        <v>354</v>
      </c>
      <c r="T7591" t="s">
        <v>427</v>
      </c>
      <c r="U7591" s="21">
        <v>116287560.01000001</v>
      </c>
      <c r="V7591" s="21" t="s">
        <v>368</v>
      </c>
      <c r="W7591" t="str">
        <f>VLOOKUP(Table_Query_from_Actuarial___Production[[#This Row],[Kor1]],$AI$3:$AK$105,3,FALSE)</f>
        <v>Premiums Written</v>
      </c>
      <c r="X7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591"/>
      <c r="Z7591" t="s">
        <v>41</v>
      </c>
      <c r="AA7591" t="s">
        <v>239</v>
      </c>
      <c r="AB7591" t="s">
        <v>351</v>
      </c>
      <c r="AC7591" s="21">
        <v>549.99</v>
      </c>
      <c r="AD7591" s="21" t="s">
        <v>368</v>
      </c>
      <c r="AE7591" t="str">
        <f>VLOOKUP(Table_Query_from_Actuarial___Production3[[#This Row],[Kor1]],$AI$3:$AK$105,3,FALSE)</f>
        <v>Misc. Income</v>
      </c>
      <c r="AF7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2" spans="18:32" x14ac:dyDescent="0.2">
      <c r="R7592" t="s">
        <v>21</v>
      </c>
      <c r="S7592" t="s">
        <v>237</v>
      </c>
      <c r="T7592" t="s">
        <v>9</v>
      </c>
      <c r="U7592" s="21">
        <v>15817.59</v>
      </c>
      <c r="V7592" s="21" t="s">
        <v>368</v>
      </c>
      <c r="W7592" t="str">
        <f>VLOOKUP(Table_Query_from_Actuarial___Production[[#This Row],[Kor1]],$AI$3:$AK$105,3,FALSE)</f>
        <v>Misc. Expense</v>
      </c>
      <c r="X7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2"/>
      <c r="Z7592" t="s">
        <v>10</v>
      </c>
      <c r="AA7592" t="s">
        <v>231</v>
      </c>
      <c r="AB7592" t="s">
        <v>7</v>
      </c>
      <c r="AC7592" s="21">
        <v>6021.4</v>
      </c>
      <c r="AD7592" s="21" t="s">
        <v>368</v>
      </c>
      <c r="AE7592" t="str">
        <f>VLOOKUP(Table_Query_from_Actuarial___Production3[[#This Row],[Kor1]],$AI$3:$AK$105,3,FALSE)</f>
        <v>Commissions</v>
      </c>
      <c r="AF7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3" spans="18:32" x14ac:dyDescent="0.2">
      <c r="R7593" t="s">
        <v>20</v>
      </c>
      <c r="S7593" t="s">
        <v>239</v>
      </c>
      <c r="T7593" t="s">
        <v>7</v>
      </c>
      <c r="U7593" s="21">
        <v>113.37</v>
      </c>
      <c r="V7593" s="21" t="s">
        <v>368</v>
      </c>
      <c r="W7593" t="str">
        <f>VLOOKUP(Table_Query_from_Actuarial___Production[[#This Row],[Kor1]],$AI$3:$AK$105,3,FALSE)</f>
        <v>Misc. Expense</v>
      </c>
      <c r="X7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3"/>
      <c r="Z7593" t="s">
        <v>33</v>
      </c>
      <c r="AA7593" t="s">
        <v>246</v>
      </c>
      <c r="AB7593" t="s">
        <v>442</v>
      </c>
      <c r="AC7593" s="21">
        <v>16432.66</v>
      </c>
      <c r="AD7593" s="21" t="s">
        <v>368</v>
      </c>
      <c r="AE7593" t="str">
        <f>VLOOKUP(Table_Query_from_Actuarial___Production3[[#This Row],[Kor1]],$AI$3:$AK$105,3,FALSE)</f>
        <v>Misc. Expense</v>
      </c>
      <c r="AF7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4" spans="18:32" x14ac:dyDescent="0.2">
      <c r="R7594" t="s">
        <v>33</v>
      </c>
      <c r="S7594" t="s">
        <v>244</v>
      </c>
      <c r="T7594" t="s">
        <v>356</v>
      </c>
      <c r="U7594" s="21">
        <v>14980.6</v>
      </c>
      <c r="V7594" s="21" t="s">
        <v>368</v>
      </c>
      <c r="W7594" t="str">
        <f>VLOOKUP(Table_Query_from_Actuarial___Production[[#This Row],[Kor1]],$AI$3:$AK$105,3,FALSE)</f>
        <v>Misc. Expense</v>
      </c>
      <c r="X7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4"/>
      <c r="Z7594" t="s">
        <v>44</v>
      </c>
      <c r="AA7594" t="s">
        <v>240</v>
      </c>
      <c r="AB7594" t="s">
        <v>441</v>
      </c>
      <c r="AC7594" s="21">
        <v>662991.25</v>
      </c>
      <c r="AD7594" s="21" t="s">
        <v>368</v>
      </c>
      <c r="AE7594" t="str">
        <f>VLOOKUP(Table_Query_from_Actuarial___Production3[[#This Row],[Kor1]],$AI$3:$AK$105,3,FALSE)</f>
        <v>Charge-offs</v>
      </c>
      <c r="AF7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5" spans="18:32" x14ac:dyDescent="0.2">
      <c r="R7595" t="s">
        <v>47</v>
      </c>
      <c r="S7595" t="s">
        <v>237</v>
      </c>
      <c r="T7595" t="s">
        <v>356</v>
      </c>
      <c r="U7595" s="21">
        <v>46003.13</v>
      </c>
      <c r="V7595" s="21" t="s">
        <v>368</v>
      </c>
      <c r="W7595" t="str">
        <f>VLOOKUP(Table_Query_from_Actuarial___Production[[#This Row],[Kor1]],$AI$3:$AK$105,3,FALSE)</f>
        <v>Investment Income</v>
      </c>
      <c r="X7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5"/>
      <c r="Z7595" t="s">
        <v>48</v>
      </c>
      <c r="AA7595" t="s">
        <v>243</v>
      </c>
      <c r="AB7595" t="s">
        <v>443</v>
      </c>
      <c r="AC7595" s="21">
        <v>160.01</v>
      </c>
      <c r="AD7595" s="21" t="s">
        <v>368</v>
      </c>
      <c r="AE7595" t="str">
        <f>VLOOKUP(Table_Query_from_Actuarial___Production3[[#This Row],[Kor1]],$AI$3:$AK$105,3,FALSE)</f>
        <v>Anticipated Salvage</v>
      </c>
      <c r="AF7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6" spans="18:32" x14ac:dyDescent="0.2">
      <c r="R7596" t="s">
        <v>41</v>
      </c>
      <c r="S7596" t="s">
        <v>267</v>
      </c>
      <c r="T7596" t="s">
        <v>433</v>
      </c>
      <c r="U7596" s="21">
        <v>850</v>
      </c>
      <c r="V7596" s="21" t="s">
        <v>368</v>
      </c>
      <c r="W7596" t="str">
        <f>VLOOKUP(Table_Query_from_Actuarial___Production[[#This Row],[Kor1]],$AI$3:$AK$105,3,FALSE)</f>
        <v>Misc. Income</v>
      </c>
      <c r="X7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6"/>
      <c r="Z7596" t="s">
        <v>13</v>
      </c>
      <c r="AA7596" t="s">
        <v>354</v>
      </c>
      <c r="AB7596" t="s">
        <v>8</v>
      </c>
      <c r="AC7596" s="21">
        <v>23410036.870000001</v>
      </c>
      <c r="AD7596" s="21" t="s">
        <v>368</v>
      </c>
      <c r="AE7596" t="str">
        <f>VLOOKUP(Table_Query_from_Actuarial___Production3[[#This Row],[Kor1]],$AI$3:$AK$105,3,FALSE)</f>
        <v>Operating Service Fees</v>
      </c>
      <c r="AF7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597" spans="18:32" x14ac:dyDescent="0.2">
      <c r="R7597" t="s">
        <v>13</v>
      </c>
      <c r="S7597" t="s">
        <v>242</v>
      </c>
      <c r="T7597" t="s">
        <v>427</v>
      </c>
      <c r="U7597" s="21">
        <v>113665.62</v>
      </c>
      <c r="V7597" s="21" t="s">
        <v>368</v>
      </c>
      <c r="W7597" t="str">
        <f>VLOOKUP(Table_Query_from_Actuarial___Production[[#This Row],[Kor1]],$AI$3:$AK$105,3,FALSE)</f>
        <v>Operating Service Fees</v>
      </c>
      <c r="X7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7"/>
      <c r="Z7597" t="s">
        <v>47</v>
      </c>
      <c r="AA7597" t="s">
        <v>236</v>
      </c>
      <c r="AB7597" t="s">
        <v>351</v>
      </c>
      <c r="AC7597" s="21">
        <v>229.86</v>
      </c>
      <c r="AD7597" s="21" t="s">
        <v>368</v>
      </c>
      <c r="AE7597" t="str">
        <f>VLOOKUP(Table_Query_from_Actuarial___Production3[[#This Row],[Kor1]],$AI$3:$AK$105,3,FALSE)</f>
        <v>Investment Income</v>
      </c>
      <c r="AF7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8" spans="18:32" x14ac:dyDescent="0.2">
      <c r="R7598" t="s">
        <v>11</v>
      </c>
      <c r="S7598" t="s">
        <v>229</v>
      </c>
      <c r="T7598" t="s">
        <v>356</v>
      </c>
      <c r="U7598" s="21">
        <v>179777.27</v>
      </c>
      <c r="V7598" s="21" t="s">
        <v>368</v>
      </c>
      <c r="W7598" t="str">
        <f>VLOOKUP(Table_Query_from_Actuarial___Production[[#This Row],[Kor1]],$AI$3:$AK$105,3,FALSE)</f>
        <v>Losses Paid</v>
      </c>
      <c r="X7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8"/>
      <c r="Z7598" t="s">
        <v>11</v>
      </c>
      <c r="AA7598" t="s">
        <v>256</v>
      </c>
      <c r="AB7598" t="s">
        <v>8</v>
      </c>
      <c r="AC7598" s="21">
        <v>18406.73</v>
      </c>
      <c r="AD7598" s="21" t="s">
        <v>368</v>
      </c>
      <c r="AE7598" t="str">
        <f>VLOOKUP(Table_Query_from_Actuarial___Production3[[#This Row],[Kor1]],$AI$3:$AK$105,3,FALSE)</f>
        <v>Losses Paid</v>
      </c>
      <c r="AF7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599" spans="18:32" x14ac:dyDescent="0.2">
      <c r="R7599" t="s">
        <v>41</v>
      </c>
      <c r="S7599" t="s">
        <v>239</v>
      </c>
      <c r="T7599" t="s">
        <v>351</v>
      </c>
      <c r="U7599" s="21">
        <v>549.99</v>
      </c>
      <c r="V7599" s="21" t="s">
        <v>368</v>
      </c>
      <c r="W7599" t="str">
        <f>VLOOKUP(Table_Query_from_Actuarial___Production[[#This Row],[Kor1]],$AI$3:$AK$105,3,FALSE)</f>
        <v>Misc. Income</v>
      </c>
      <c r="X7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599"/>
      <c r="Z7599" t="s">
        <v>16</v>
      </c>
      <c r="AA7599" t="s">
        <v>252</v>
      </c>
      <c r="AB7599" t="s">
        <v>356</v>
      </c>
      <c r="AC7599" s="21">
        <v>6180462.3200000003</v>
      </c>
      <c r="AD7599" s="21" t="s">
        <v>368</v>
      </c>
      <c r="AE7599" t="str">
        <f>VLOOKUP(Table_Query_from_Actuarial___Production3[[#This Row],[Kor1]],$AI$3:$AK$105,3,FALSE)</f>
        <v>Losses Outstanding</v>
      </c>
      <c r="AF7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0" spans="18:32" x14ac:dyDescent="0.2">
      <c r="R7600" t="s">
        <v>10</v>
      </c>
      <c r="S7600" t="s">
        <v>231</v>
      </c>
      <c r="T7600" t="s">
        <v>7</v>
      </c>
      <c r="U7600" s="21">
        <v>6021.4</v>
      </c>
      <c r="V7600" s="21" t="s">
        <v>368</v>
      </c>
      <c r="W7600" t="str">
        <f>VLOOKUP(Table_Query_from_Actuarial___Production[[#This Row],[Kor1]],$AI$3:$AK$105,3,FALSE)</f>
        <v>Commissions</v>
      </c>
      <c r="X7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0"/>
      <c r="Z7600" t="s">
        <v>49</v>
      </c>
      <c r="AA7600" t="s">
        <v>249</v>
      </c>
      <c r="AB7600" t="s">
        <v>433</v>
      </c>
      <c r="AC7600" s="21">
        <v>10257.68</v>
      </c>
      <c r="AD7600" s="21" t="s">
        <v>368</v>
      </c>
      <c r="AE7600" t="str">
        <f>VLOOKUP(Table_Query_from_Actuarial___Production3[[#This Row],[Kor1]],$AI$3:$AK$105,3,FALSE)</f>
        <v>ALAE Paid</v>
      </c>
      <c r="AF7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1" spans="18:32" x14ac:dyDescent="0.2">
      <c r="R7601" t="s">
        <v>33</v>
      </c>
      <c r="S7601" t="s">
        <v>246</v>
      </c>
      <c r="T7601" t="s">
        <v>442</v>
      </c>
      <c r="U7601" s="21">
        <v>16432.66</v>
      </c>
      <c r="V7601" s="21" t="s">
        <v>368</v>
      </c>
      <c r="W7601" t="str">
        <f>VLOOKUP(Table_Query_from_Actuarial___Production[[#This Row],[Kor1]],$AI$3:$AK$105,3,FALSE)</f>
        <v>Misc. Expense</v>
      </c>
      <c r="X7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1"/>
      <c r="Z7601" t="s">
        <v>31</v>
      </c>
      <c r="AA7601" t="s">
        <v>262</v>
      </c>
      <c r="AB7601" t="s">
        <v>427</v>
      </c>
      <c r="AC7601" s="21">
        <v>790.4</v>
      </c>
      <c r="AD7601" s="21" t="s">
        <v>368</v>
      </c>
      <c r="AE7601" t="str">
        <f>VLOOKUP(Table_Query_from_Actuarial___Production3[[#This Row],[Kor1]],$AI$3:$AK$105,3,FALSE)</f>
        <v>Misc. Expense</v>
      </c>
      <c r="AF7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2" spans="18:32" x14ac:dyDescent="0.2">
      <c r="R7602" t="s">
        <v>44</v>
      </c>
      <c r="S7602" t="s">
        <v>240</v>
      </c>
      <c r="T7602" t="s">
        <v>441</v>
      </c>
      <c r="U7602" s="21">
        <v>662991.25</v>
      </c>
      <c r="V7602" s="21" t="s">
        <v>368</v>
      </c>
      <c r="W7602" t="str">
        <f>VLOOKUP(Table_Query_from_Actuarial___Production[[#This Row],[Kor1]],$AI$3:$AK$105,3,FALSE)</f>
        <v>Charge-offs</v>
      </c>
      <c r="X7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2"/>
      <c r="Z7602" t="s">
        <v>17</v>
      </c>
      <c r="AA7602" t="s">
        <v>257</v>
      </c>
      <c r="AB7602" t="s">
        <v>443</v>
      </c>
      <c r="AC7602" s="21">
        <v>152531.4</v>
      </c>
      <c r="AD7602" s="21" t="s">
        <v>368</v>
      </c>
      <c r="AE7602" t="str">
        <f>VLOOKUP(Table_Query_from_Actuarial___Production3[[#This Row],[Kor1]],$AI$3:$AK$105,3,FALSE)</f>
        <v>IBNR</v>
      </c>
      <c r="AF7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3" spans="18:32" x14ac:dyDescent="0.2">
      <c r="R7603" t="s">
        <v>48</v>
      </c>
      <c r="S7603" t="s">
        <v>243</v>
      </c>
      <c r="T7603" t="s">
        <v>443</v>
      </c>
      <c r="U7603" s="21">
        <v>3616.59</v>
      </c>
      <c r="V7603" s="21" t="s">
        <v>368</v>
      </c>
      <c r="W7603" t="str">
        <f>VLOOKUP(Table_Query_from_Actuarial___Production[[#This Row],[Kor1]],$AI$3:$AK$105,3,FALSE)</f>
        <v>Anticipated Salvage</v>
      </c>
      <c r="X7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3"/>
      <c r="Z7603" t="s">
        <v>31</v>
      </c>
      <c r="AA7603" t="s">
        <v>231</v>
      </c>
      <c r="AB7603" t="s">
        <v>443</v>
      </c>
      <c r="AC7603" s="21">
        <v>996.53</v>
      </c>
      <c r="AD7603" s="21" t="s">
        <v>368</v>
      </c>
      <c r="AE7603" t="str">
        <f>VLOOKUP(Table_Query_from_Actuarial___Production3[[#This Row],[Kor1]],$AI$3:$AK$105,3,FALSE)</f>
        <v>Misc. Expense</v>
      </c>
      <c r="AF7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4" spans="18:32" x14ac:dyDescent="0.2">
      <c r="R7604" t="s">
        <v>13</v>
      </c>
      <c r="S7604" t="s">
        <v>354</v>
      </c>
      <c r="T7604" t="s">
        <v>8</v>
      </c>
      <c r="U7604" s="21">
        <v>23410034.989999998</v>
      </c>
      <c r="V7604" s="21" t="s">
        <v>368</v>
      </c>
      <c r="W7604" t="str">
        <f>VLOOKUP(Table_Query_from_Actuarial___Production[[#This Row],[Kor1]],$AI$3:$AK$105,3,FALSE)</f>
        <v>Operating Service Fees</v>
      </c>
      <c r="X7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604"/>
      <c r="Z7604" t="s">
        <v>43</v>
      </c>
      <c r="AA7604" t="s">
        <v>224</v>
      </c>
      <c r="AB7604" t="s">
        <v>433</v>
      </c>
      <c r="AC7604" s="21">
        <v>81</v>
      </c>
      <c r="AD7604" s="21" t="s">
        <v>368</v>
      </c>
      <c r="AE7604" t="str">
        <f>VLOOKUP(Table_Query_from_Actuarial___Production3[[#This Row],[Kor1]],$AI$3:$AK$105,3,FALSE)</f>
        <v>Charge-offs</v>
      </c>
      <c r="AF7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605" spans="18:32" x14ac:dyDescent="0.2">
      <c r="R7605" t="s">
        <v>47</v>
      </c>
      <c r="S7605" t="s">
        <v>236</v>
      </c>
      <c r="T7605" t="s">
        <v>351</v>
      </c>
      <c r="U7605" s="21">
        <v>229.86</v>
      </c>
      <c r="V7605" s="21" t="s">
        <v>368</v>
      </c>
      <c r="W7605" t="str">
        <f>VLOOKUP(Table_Query_from_Actuarial___Production[[#This Row],[Kor1]],$AI$3:$AK$105,3,FALSE)</f>
        <v>Investment Income</v>
      </c>
      <c r="X7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5"/>
      <c r="Z7605" t="s">
        <v>11</v>
      </c>
      <c r="AA7605" t="s">
        <v>266</v>
      </c>
      <c r="AB7605" t="s">
        <v>427</v>
      </c>
      <c r="AC7605" s="21">
        <v>449958.64</v>
      </c>
      <c r="AD7605" s="21" t="s">
        <v>368</v>
      </c>
      <c r="AE7605" t="str">
        <f>VLOOKUP(Table_Query_from_Actuarial___Production3[[#This Row],[Kor1]],$AI$3:$AK$105,3,FALSE)</f>
        <v>Losses Paid</v>
      </c>
      <c r="AF7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6" spans="18:32" x14ac:dyDescent="0.2">
      <c r="R7606" t="s">
        <v>11</v>
      </c>
      <c r="S7606" t="s">
        <v>256</v>
      </c>
      <c r="T7606" t="s">
        <v>8</v>
      </c>
      <c r="U7606" s="21">
        <v>18406.73</v>
      </c>
      <c r="V7606" s="21" t="s">
        <v>368</v>
      </c>
      <c r="W7606" t="str">
        <f>VLOOKUP(Table_Query_from_Actuarial___Production[[#This Row],[Kor1]],$AI$3:$AK$105,3,FALSE)</f>
        <v>Losses Paid</v>
      </c>
      <c r="X7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6"/>
      <c r="Z7606" t="s">
        <v>41</v>
      </c>
      <c r="AA7606" t="s">
        <v>257</v>
      </c>
      <c r="AB7606" t="s">
        <v>6</v>
      </c>
      <c r="AC7606" s="21">
        <v>299.98</v>
      </c>
      <c r="AD7606" s="21" t="s">
        <v>368</v>
      </c>
      <c r="AE7606" t="str">
        <f>VLOOKUP(Table_Query_from_Actuarial___Production3[[#This Row],[Kor1]],$AI$3:$AK$105,3,FALSE)</f>
        <v>Misc. Income</v>
      </c>
      <c r="AF7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7" spans="18:32" x14ac:dyDescent="0.2">
      <c r="R7607" t="s">
        <v>16</v>
      </c>
      <c r="S7607" t="s">
        <v>252</v>
      </c>
      <c r="T7607" t="s">
        <v>356</v>
      </c>
      <c r="U7607" s="21">
        <v>3988674.09</v>
      </c>
      <c r="V7607" s="21" t="s">
        <v>368</v>
      </c>
      <c r="W7607" t="str">
        <f>VLOOKUP(Table_Query_from_Actuarial___Production[[#This Row],[Kor1]],$AI$3:$AK$105,3,FALSE)</f>
        <v>Losses Outstanding</v>
      </c>
      <c r="X7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7"/>
      <c r="Z7607" t="s">
        <v>19</v>
      </c>
      <c r="AA7607" t="s">
        <v>267</v>
      </c>
      <c r="AB7607" t="s">
        <v>356</v>
      </c>
      <c r="AC7607" s="21">
        <v>490</v>
      </c>
      <c r="AD7607" s="21" t="s">
        <v>368</v>
      </c>
      <c r="AE7607" t="str">
        <f>VLOOKUP(Table_Query_from_Actuarial___Production3[[#This Row],[Kor1]],$AI$3:$AK$105,3,FALSE)</f>
        <v>Misc. Expense for Insolvent Companies</v>
      </c>
      <c r="AF7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8" spans="18:32" x14ac:dyDescent="0.2">
      <c r="R7608" t="s">
        <v>49</v>
      </c>
      <c r="S7608" t="s">
        <v>234</v>
      </c>
      <c r="T7608" t="s">
        <v>427</v>
      </c>
      <c r="U7608" s="21">
        <v>37709.5</v>
      </c>
      <c r="V7608" s="21" t="s">
        <v>368</v>
      </c>
      <c r="W7608" t="str">
        <f>VLOOKUP(Table_Query_from_Actuarial___Production[[#This Row],[Kor1]],$AI$3:$AK$105,3,FALSE)</f>
        <v>ALAE Paid</v>
      </c>
      <c r="X7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8"/>
      <c r="Z7608" t="s">
        <v>12</v>
      </c>
      <c r="AA7608" t="s">
        <v>232</v>
      </c>
      <c r="AB7608" t="s">
        <v>9</v>
      </c>
      <c r="AC7608" s="21">
        <v>26681.200000000001</v>
      </c>
      <c r="AD7608" s="21" t="s">
        <v>368</v>
      </c>
      <c r="AE7608" t="str">
        <f>VLOOKUP(Table_Query_from_Actuarial___Production3[[#This Row],[Kor1]],$AI$3:$AK$105,3,FALSE)</f>
        <v>Premium Tax</v>
      </c>
      <c r="AF7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09" spans="18:32" x14ac:dyDescent="0.2">
      <c r="R7609" t="s">
        <v>49</v>
      </c>
      <c r="S7609" t="s">
        <v>249</v>
      </c>
      <c r="T7609" t="s">
        <v>433</v>
      </c>
      <c r="U7609" s="21">
        <v>19221.48</v>
      </c>
      <c r="V7609" s="21" t="s">
        <v>368</v>
      </c>
      <c r="W7609" t="str">
        <f>VLOOKUP(Table_Query_from_Actuarial___Production[[#This Row],[Kor1]],$AI$3:$AK$105,3,FALSE)</f>
        <v>ALAE Paid</v>
      </c>
      <c r="X7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09"/>
      <c r="Z7609" t="s">
        <v>13</v>
      </c>
      <c r="AA7609" t="s">
        <v>250</v>
      </c>
      <c r="AB7609" t="s">
        <v>8</v>
      </c>
      <c r="AC7609" s="21">
        <v>231051.8</v>
      </c>
      <c r="AD7609" s="21" t="s">
        <v>368</v>
      </c>
      <c r="AE7609" t="str">
        <f>VLOOKUP(Table_Query_from_Actuarial___Production3[[#This Row],[Kor1]],$AI$3:$AK$105,3,FALSE)</f>
        <v>Operating Service Fees</v>
      </c>
      <c r="AF7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0" spans="18:32" x14ac:dyDescent="0.2">
      <c r="R7610" t="s">
        <v>31</v>
      </c>
      <c r="S7610" t="s">
        <v>262</v>
      </c>
      <c r="T7610" t="s">
        <v>427</v>
      </c>
      <c r="U7610" s="21">
        <v>790.4</v>
      </c>
      <c r="V7610" s="21" t="s">
        <v>368</v>
      </c>
      <c r="W7610" t="str">
        <f>VLOOKUP(Table_Query_from_Actuarial___Production[[#This Row],[Kor1]],$AI$3:$AK$105,3,FALSE)</f>
        <v>Misc. Expense</v>
      </c>
      <c r="X7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0"/>
      <c r="Z7610" t="s">
        <v>34</v>
      </c>
      <c r="AA7610" t="s">
        <v>241</v>
      </c>
      <c r="AB7610" t="s">
        <v>442</v>
      </c>
      <c r="AC7610" s="21">
        <v>0.94</v>
      </c>
      <c r="AD7610" s="21" t="s">
        <v>368</v>
      </c>
      <c r="AE7610" t="str">
        <f>VLOOKUP(Table_Query_from_Actuarial___Production3[[#This Row],[Kor1]],$AI$3:$AK$105,3,FALSE)</f>
        <v>Misc. Expense</v>
      </c>
      <c r="AF7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1" spans="18:32" x14ac:dyDescent="0.2">
      <c r="R7611" t="s">
        <v>17</v>
      </c>
      <c r="S7611" t="s">
        <v>257</v>
      </c>
      <c r="T7611" t="s">
        <v>443</v>
      </c>
      <c r="U7611" s="21">
        <v>1388235.65</v>
      </c>
      <c r="V7611" s="21" t="s">
        <v>368</v>
      </c>
      <c r="W7611" t="str">
        <f>VLOOKUP(Table_Query_from_Actuarial___Production[[#This Row],[Kor1]],$AI$3:$AK$105,3,FALSE)</f>
        <v>IBNR</v>
      </c>
      <c r="X7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1"/>
      <c r="Z7611" t="s">
        <v>39</v>
      </c>
      <c r="AA7611" t="s">
        <v>260</v>
      </c>
      <c r="AB7611" t="s">
        <v>351</v>
      </c>
      <c r="AC7611" s="21">
        <v>27</v>
      </c>
      <c r="AD7611" s="21" t="s">
        <v>368</v>
      </c>
      <c r="AE7611" t="str">
        <f>VLOOKUP(Table_Query_from_Actuarial___Production3[[#This Row],[Kor1]],$AI$3:$AK$105,3,FALSE)</f>
        <v>Misc. Income for Insolvent Companies</v>
      </c>
      <c r="AF7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2" spans="18:32" x14ac:dyDescent="0.2">
      <c r="R7612" t="s">
        <v>31</v>
      </c>
      <c r="S7612" t="s">
        <v>231</v>
      </c>
      <c r="T7612" t="s">
        <v>443</v>
      </c>
      <c r="U7612" s="21">
        <v>1272.8800000000001</v>
      </c>
      <c r="V7612" s="21" t="s">
        <v>368</v>
      </c>
      <c r="W7612" t="str">
        <f>VLOOKUP(Table_Query_from_Actuarial___Production[[#This Row],[Kor1]],$AI$3:$AK$105,3,FALSE)</f>
        <v>Misc. Expense</v>
      </c>
      <c r="X7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2"/>
      <c r="Z7612" t="s">
        <v>49</v>
      </c>
      <c r="AA7612" t="s">
        <v>244</v>
      </c>
      <c r="AB7612" t="s">
        <v>9</v>
      </c>
      <c r="AC7612" s="21">
        <v>140435.34</v>
      </c>
      <c r="AD7612" s="21" t="s">
        <v>368</v>
      </c>
      <c r="AE7612" t="str">
        <f>VLOOKUP(Table_Query_from_Actuarial___Production3[[#This Row],[Kor1]],$AI$3:$AK$105,3,FALSE)</f>
        <v>ALAE Paid</v>
      </c>
      <c r="AF7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3" spans="18:32" x14ac:dyDescent="0.2">
      <c r="R7613" t="s">
        <v>43</v>
      </c>
      <c r="S7613" t="s">
        <v>224</v>
      </c>
      <c r="T7613" t="s">
        <v>433</v>
      </c>
      <c r="U7613" s="21">
        <v>81</v>
      </c>
      <c r="V7613" s="21" t="s">
        <v>368</v>
      </c>
      <c r="W7613" t="str">
        <f>VLOOKUP(Table_Query_from_Actuarial___Production[[#This Row],[Kor1]],$AI$3:$AK$105,3,FALSE)</f>
        <v>Charge-offs</v>
      </c>
      <c r="X7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613"/>
      <c r="Z7613" t="s">
        <v>18</v>
      </c>
      <c r="AA7613" t="s">
        <v>224</v>
      </c>
      <c r="AB7613" t="s">
        <v>427</v>
      </c>
      <c r="AC7613" s="21">
        <v>1666.26</v>
      </c>
      <c r="AD7613" s="21" t="s">
        <v>425</v>
      </c>
      <c r="AE7613" t="str">
        <f>VLOOKUP(Table_Query_from_Actuarial___Production3[[#This Row],[Kor1]],$AI$3:$AK$105,3,FALSE)</f>
        <v>Misc. Expense</v>
      </c>
      <c r="AF7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614" spans="18:32" x14ac:dyDescent="0.2">
      <c r="R7614" t="s">
        <v>11</v>
      </c>
      <c r="S7614" t="s">
        <v>266</v>
      </c>
      <c r="T7614" t="s">
        <v>427</v>
      </c>
      <c r="U7614" s="21">
        <v>449958.64</v>
      </c>
      <c r="V7614" s="21" t="s">
        <v>368</v>
      </c>
      <c r="W7614" t="str">
        <f>VLOOKUP(Table_Query_from_Actuarial___Production[[#This Row],[Kor1]],$AI$3:$AK$105,3,FALSE)</f>
        <v>Losses Paid</v>
      </c>
      <c r="X7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4"/>
      <c r="Z7614" t="s">
        <v>14</v>
      </c>
      <c r="AA7614" t="s">
        <v>253</v>
      </c>
      <c r="AB7614" t="s">
        <v>9</v>
      </c>
      <c r="AC7614" s="21">
        <v>114.31</v>
      </c>
      <c r="AD7614" s="21" t="s">
        <v>368</v>
      </c>
      <c r="AE7614" t="str">
        <f>VLOOKUP(Table_Query_from_Actuarial___Production3[[#This Row],[Kor1]],$AI$3:$AK$105,3,FALSE)</f>
        <v>Claims Expense</v>
      </c>
      <c r="AF7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5" spans="18:32" x14ac:dyDescent="0.2">
      <c r="R7615" t="s">
        <v>41</v>
      </c>
      <c r="S7615" t="s">
        <v>257</v>
      </c>
      <c r="T7615" t="s">
        <v>6</v>
      </c>
      <c r="U7615" s="21">
        <v>299.98</v>
      </c>
      <c r="V7615" s="21" t="s">
        <v>368</v>
      </c>
      <c r="W7615" t="str">
        <f>VLOOKUP(Table_Query_from_Actuarial___Production[[#This Row],[Kor1]],$AI$3:$AK$105,3,FALSE)</f>
        <v>Misc. Income</v>
      </c>
      <c r="X7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5"/>
      <c r="Z7615" t="s">
        <v>37</v>
      </c>
      <c r="AA7615" t="s">
        <v>233</v>
      </c>
      <c r="AB7615" t="s">
        <v>9</v>
      </c>
      <c r="AC7615" s="21">
        <v>-2644.58</v>
      </c>
      <c r="AD7615" s="21" t="s">
        <v>368</v>
      </c>
      <c r="AE7615" t="str">
        <f>VLOOKUP(Table_Query_from_Actuarial___Production3[[#This Row],[Kor1]],$AI$3:$AK$105,3,FALSE)</f>
        <v>Misc. Expense</v>
      </c>
      <c r="AF7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6" spans="18:32" x14ac:dyDescent="0.2">
      <c r="R7616" t="s">
        <v>19</v>
      </c>
      <c r="S7616" t="s">
        <v>267</v>
      </c>
      <c r="T7616" t="s">
        <v>356</v>
      </c>
      <c r="U7616" s="21">
        <v>490</v>
      </c>
      <c r="V7616" s="21" t="s">
        <v>368</v>
      </c>
      <c r="W7616" t="str">
        <f>VLOOKUP(Table_Query_from_Actuarial___Production[[#This Row],[Kor1]],$AI$3:$AK$105,3,FALSE)</f>
        <v>Misc. Expense for Insolvent Companies</v>
      </c>
      <c r="X7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6"/>
      <c r="Z7616" t="s">
        <v>36</v>
      </c>
      <c r="AA7616" t="s">
        <v>252</v>
      </c>
      <c r="AB7616" t="s">
        <v>351</v>
      </c>
      <c r="AC7616" s="21">
        <v>156455.43</v>
      </c>
      <c r="AD7616" s="21" t="s">
        <v>368</v>
      </c>
      <c r="AE7616" t="str">
        <f>VLOOKUP(Table_Query_from_Actuarial___Production3[[#This Row],[Kor1]],$AI$3:$AK$105,3,FALSE)</f>
        <v>Misc. Expense</v>
      </c>
      <c r="AF7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7" spans="18:32" x14ac:dyDescent="0.2">
      <c r="R7617" t="s">
        <v>12</v>
      </c>
      <c r="S7617" t="s">
        <v>232</v>
      </c>
      <c r="T7617" t="s">
        <v>9</v>
      </c>
      <c r="U7617" s="21">
        <v>26681.200000000001</v>
      </c>
      <c r="V7617" s="21" t="s">
        <v>368</v>
      </c>
      <c r="W7617" t="str">
        <f>VLOOKUP(Table_Query_from_Actuarial___Production[[#This Row],[Kor1]],$AI$3:$AK$105,3,FALSE)</f>
        <v>Premium Tax</v>
      </c>
      <c r="X7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7"/>
      <c r="Z7617" t="s">
        <v>12</v>
      </c>
      <c r="AA7617" t="s">
        <v>246</v>
      </c>
      <c r="AB7617" t="s">
        <v>441</v>
      </c>
      <c r="AC7617" s="21">
        <v>94059.12</v>
      </c>
      <c r="AD7617" s="21" t="s">
        <v>368</v>
      </c>
      <c r="AE7617" t="str">
        <f>VLOOKUP(Table_Query_from_Actuarial___Production3[[#This Row],[Kor1]],$AI$3:$AK$105,3,FALSE)</f>
        <v>Premium Tax</v>
      </c>
      <c r="AF7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8" spans="18:32" x14ac:dyDescent="0.2">
      <c r="R7618" t="s">
        <v>13</v>
      </c>
      <c r="S7618" t="s">
        <v>250</v>
      </c>
      <c r="T7618" t="s">
        <v>8</v>
      </c>
      <c r="U7618" s="21">
        <v>231051.8</v>
      </c>
      <c r="V7618" s="21" t="s">
        <v>368</v>
      </c>
      <c r="W7618" t="str">
        <f>VLOOKUP(Table_Query_from_Actuarial___Production[[#This Row],[Kor1]],$AI$3:$AK$105,3,FALSE)</f>
        <v>Operating Service Fees</v>
      </c>
      <c r="X7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8"/>
      <c r="Z7618" t="s">
        <v>14</v>
      </c>
      <c r="AA7618" t="s">
        <v>236</v>
      </c>
      <c r="AB7618" t="s">
        <v>427</v>
      </c>
      <c r="AC7618" s="21">
        <v>2847.79</v>
      </c>
      <c r="AD7618" s="21" t="s">
        <v>368</v>
      </c>
      <c r="AE7618" t="str">
        <f>VLOOKUP(Table_Query_from_Actuarial___Production3[[#This Row],[Kor1]],$AI$3:$AK$105,3,FALSE)</f>
        <v>Claims Expense</v>
      </c>
      <c r="AF7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19" spans="18:32" x14ac:dyDescent="0.2">
      <c r="R7619" t="s">
        <v>34</v>
      </c>
      <c r="S7619" t="s">
        <v>241</v>
      </c>
      <c r="T7619" t="s">
        <v>442</v>
      </c>
      <c r="U7619" s="21">
        <v>0.94</v>
      </c>
      <c r="V7619" s="21" t="s">
        <v>368</v>
      </c>
      <c r="W7619" t="str">
        <f>VLOOKUP(Table_Query_from_Actuarial___Production[[#This Row],[Kor1]],$AI$3:$AK$105,3,FALSE)</f>
        <v>Misc. Expense</v>
      </c>
      <c r="X7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19"/>
      <c r="Z7619" t="s">
        <v>41</v>
      </c>
      <c r="AA7619" t="s">
        <v>250</v>
      </c>
      <c r="AB7619" t="s">
        <v>442</v>
      </c>
      <c r="AC7619" s="21">
        <v>150</v>
      </c>
      <c r="AD7619" s="21" t="s">
        <v>368</v>
      </c>
      <c r="AE7619" t="str">
        <f>VLOOKUP(Table_Query_from_Actuarial___Production3[[#This Row],[Kor1]],$AI$3:$AK$105,3,FALSE)</f>
        <v>Misc. Income</v>
      </c>
      <c r="AF7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0" spans="18:32" x14ac:dyDescent="0.2">
      <c r="R7620" t="s">
        <v>39</v>
      </c>
      <c r="S7620" t="s">
        <v>260</v>
      </c>
      <c r="T7620" t="s">
        <v>351</v>
      </c>
      <c r="U7620" s="21">
        <v>61</v>
      </c>
      <c r="V7620" s="21" t="s">
        <v>368</v>
      </c>
      <c r="W7620" t="str">
        <f>VLOOKUP(Table_Query_from_Actuarial___Production[[#This Row],[Kor1]],$AI$3:$AK$105,3,FALSE)</f>
        <v>Misc. Income for Insolvent Companies</v>
      </c>
      <c r="X7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0"/>
      <c r="Z7620" t="s">
        <v>18</v>
      </c>
      <c r="AA7620" t="s">
        <v>354</v>
      </c>
      <c r="AB7620" t="s">
        <v>8</v>
      </c>
      <c r="AC7620" s="21">
        <v>488716.59</v>
      </c>
      <c r="AD7620" s="21" t="s">
        <v>368</v>
      </c>
      <c r="AE7620" t="str">
        <f>VLOOKUP(Table_Query_from_Actuarial___Production3[[#This Row],[Kor1]],$AI$3:$AK$105,3,FALSE)</f>
        <v>Misc. Expense</v>
      </c>
      <c r="AF7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621" spans="18:32" x14ac:dyDescent="0.2">
      <c r="R7621" t="s">
        <v>49</v>
      </c>
      <c r="S7621" t="s">
        <v>244</v>
      </c>
      <c r="T7621" t="s">
        <v>9</v>
      </c>
      <c r="U7621" s="21">
        <v>140435.34</v>
      </c>
      <c r="V7621" s="21" t="s">
        <v>368</v>
      </c>
      <c r="W7621" t="str">
        <f>VLOOKUP(Table_Query_from_Actuarial___Production[[#This Row],[Kor1]],$AI$3:$AK$105,3,FALSE)</f>
        <v>ALAE Paid</v>
      </c>
      <c r="X7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1"/>
      <c r="Z7621" t="s">
        <v>13</v>
      </c>
      <c r="AA7621" t="s">
        <v>268</v>
      </c>
      <c r="AB7621" t="s">
        <v>427</v>
      </c>
      <c r="AC7621" s="21">
        <v>264.95999999999998</v>
      </c>
      <c r="AD7621" s="21" t="s">
        <v>368</v>
      </c>
      <c r="AE7621" t="str">
        <f>VLOOKUP(Table_Query_from_Actuarial___Production3[[#This Row],[Kor1]],$AI$3:$AK$105,3,FALSE)</f>
        <v>Operating Service Fees</v>
      </c>
      <c r="AF7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2" spans="18:32" x14ac:dyDescent="0.2">
      <c r="R7622" t="s">
        <v>18</v>
      </c>
      <c r="S7622" t="s">
        <v>224</v>
      </c>
      <c r="T7622" t="s">
        <v>427</v>
      </c>
      <c r="U7622" s="21">
        <v>1666.26</v>
      </c>
      <c r="V7622" s="21" t="s">
        <v>425</v>
      </c>
      <c r="W7622" t="str">
        <f>VLOOKUP(Table_Query_from_Actuarial___Production[[#This Row],[Kor1]],$AI$3:$AK$105,3,FALSE)</f>
        <v>Misc. Expense</v>
      </c>
      <c r="X7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622"/>
      <c r="Z7622" t="s">
        <v>21</v>
      </c>
      <c r="AA7622" t="s">
        <v>249</v>
      </c>
      <c r="AB7622" t="s">
        <v>427</v>
      </c>
      <c r="AC7622" s="21">
        <v>1815.49</v>
      </c>
      <c r="AD7622" s="21" t="s">
        <v>368</v>
      </c>
      <c r="AE7622" t="str">
        <f>VLOOKUP(Table_Query_from_Actuarial___Production3[[#This Row],[Kor1]],$AI$3:$AK$105,3,FALSE)</f>
        <v>Misc. Expense</v>
      </c>
      <c r="AF7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3" spans="18:32" x14ac:dyDescent="0.2">
      <c r="R7623" t="s">
        <v>14</v>
      </c>
      <c r="S7623" t="s">
        <v>253</v>
      </c>
      <c r="T7623" t="s">
        <v>9</v>
      </c>
      <c r="U7623" s="21">
        <v>114.31</v>
      </c>
      <c r="V7623" s="21" t="s">
        <v>368</v>
      </c>
      <c r="W7623" t="str">
        <f>VLOOKUP(Table_Query_from_Actuarial___Production[[#This Row],[Kor1]],$AI$3:$AK$105,3,FALSE)</f>
        <v>Claims Expense</v>
      </c>
      <c r="X7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3"/>
      <c r="Z7623" t="s">
        <v>20</v>
      </c>
      <c r="AA7623" t="s">
        <v>230</v>
      </c>
      <c r="AB7623" t="s">
        <v>9</v>
      </c>
      <c r="AC7623" s="21">
        <v>14035.13</v>
      </c>
      <c r="AD7623" s="21" t="s">
        <v>368</v>
      </c>
      <c r="AE7623" t="str">
        <f>VLOOKUP(Table_Query_from_Actuarial___Production3[[#This Row],[Kor1]],$AI$3:$AK$105,3,FALSE)</f>
        <v>Misc. Expense</v>
      </c>
      <c r="AF7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4" spans="18:32" x14ac:dyDescent="0.2">
      <c r="R7624" t="s">
        <v>37</v>
      </c>
      <c r="S7624" t="s">
        <v>233</v>
      </c>
      <c r="T7624" t="s">
        <v>9</v>
      </c>
      <c r="U7624" s="21">
        <v>-2644.58</v>
      </c>
      <c r="V7624" s="21" t="s">
        <v>368</v>
      </c>
      <c r="W7624" t="str">
        <f>VLOOKUP(Table_Query_from_Actuarial___Production[[#This Row],[Kor1]],$AI$3:$AK$105,3,FALSE)</f>
        <v>Misc. Expense</v>
      </c>
      <c r="X7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4"/>
      <c r="Z7624" t="s">
        <v>21</v>
      </c>
      <c r="AA7624" t="s">
        <v>247</v>
      </c>
      <c r="AB7624" t="s">
        <v>9</v>
      </c>
      <c r="AC7624" s="21">
        <v>345</v>
      </c>
      <c r="AD7624" s="21" t="s">
        <v>368</v>
      </c>
      <c r="AE7624" t="str">
        <f>VLOOKUP(Table_Query_from_Actuarial___Production3[[#This Row],[Kor1]],$AI$3:$AK$105,3,FALSE)</f>
        <v>Misc. Expense</v>
      </c>
      <c r="AF7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5" spans="18:32" x14ac:dyDescent="0.2">
      <c r="R7625" t="s">
        <v>36</v>
      </c>
      <c r="S7625" t="s">
        <v>252</v>
      </c>
      <c r="T7625" t="s">
        <v>351</v>
      </c>
      <c r="U7625" s="21">
        <v>156455.43</v>
      </c>
      <c r="V7625" s="21" t="s">
        <v>368</v>
      </c>
      <c r="W7625" t="str">
        <f>VLOOKUP(Table_Query_from_Actuarial___Production[[#This Row],[Kor1]],$AI$3:$AK$105,3,FALSE)</f>
        <v>Misc. Expense</v>
      </c>
      <c r="X7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5"/>
      <c r="Z7625" t="s">
        <v>44</v>
      </c>
      <c r="AA7625" t="s">
        <v>235</v>
      </c>
      <c r="AB7625" t="s">
        <v>433</v>
      </c>
      <c r="AC7625" s="21">
        <v>6805</v>
      </c>
      <c r="AD7625" s="21" t="s">
        <v>368</v>
      </c>
      <c r="AE7625" t="str">
        <f>VLOOKUP(Table_Query_from_Actuarial___Production3[[#This Row],[Kor1]],$AI$3:$AK$105,3,FALSE)</f>
        <v>Charge-offs</v>
      </c>
      <c r="AF7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6" spans="18:32" x14ac:dyDescent="0.2">
      <c r="R7626" t="s">
        <v>12</v>
      </c>
      <c r="S7626" t="s">
        <v>246</v>
      </c>
      <c r="T7626" t="s">
        <v>441</v>
      </c>
      <c r="U7626" s="21">
        <v>94059.12</v>
      </c>
      <c r="V7626" s="21" t="s">
        <v>368</v>
      </c>
      <c r="W7626" t="str">
        <f>VLOOKUP(Table_Query_from_Actuarial___Production[[#This Row],[Kor1]],$AI$3:$AK$105,3,FALSE)</f>
        <v>Premium Tax</v>
      </c>
      <c r="X7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6"/>
      <c r="Z7626" t="s">
        <v>439</v>
      </c>
      <c r="AA7626" t="s">
        <v>4</v>
      </c>
      <c r="AB7626" t="s">
        <v>443</v>
      </c>
      <c r="AC7626" s="21">
        <v>-1319038.71</v>
      </c>
      <c r="AD7626" s="21" t="s">
        <v>368</v>
      </c>
      <c r="AE7626" t="str">
        <f>VLOOKUP(Table_Query_from_Actuarial___Production3[[#This Row],[Kor1]],$AI$3:$AK$105,3,FALSE)</f>
        <v>Operating Service Fees</v>
      </c>
      <c r="AF7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7" spans="18:32" x14ac:dyDescent="0.2">
      <c r="R7627" t="s">
        <v>14</v>
      </c>
      <c r="S7627" t="s">
        <v>236</v>
      </c>
      <c r="T7627" t="s">
        <v>427</v>
      </c>
      <c r="U7627" s="21">
        <v>2847.79</v>
      </c>
      <c r="V7627" s="21" t="s">
        <v>368</v>
      </c>
      <c r="W7627" t="str">
        <f>VLOOKUP(Table_Query_from_Actuarial___Production[[#This Row],[Kor1]],$AI$3:$AK$105,3,FALSE)</f>
        <v>Claims Expense</v>
      </c>
      <c r="X7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7"/>
      <c r="Z7627" t="s">
        <v>3</v>
      </c>
      <c r="AA7627" t="s">
        <v>228</v>
      </c>
      <c r="AB7627" t="s">
        <v>442</v>
      </c>
      <c r="AC7627" s="21">
        <v>212360</v>
      </c>
      <c r="AD7627" s="21" t="s">
        <v>368</v>
      </c>
      <c r="AE7627" t="str">
        <f>VLOOKUP(Table_Query_from_Actuarial___Production3[[#This Row],[Kor1]],$AI$3:$AK$105,3,FALSE)</f>
        <v>Premiums Written</v>
      </c>
      <c r="AF7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28" spans="18:32" x14ac:dyDescent="0.2">
      <c r="R7628" t="s">
        <v>41</v>
      </c>
      <c r="S7628" t="s">
        <v>250</v>
      </c>
      <c r="T7628" t="s">
        <v>442</v>
      </c>
      <c r="U7628" s="21">
        <v>150</v>
      </c>
      <c r="V7628" s="21" t="s">
        <v>368</v>
      </c>
      <c r="W7628" t="str">
        <f>VLOOKUP(Table_Query_from_Actuarial___Production[[#This Row],[Kor1]],$AI$3:$AK$105,3,FALSE)</f>
        <v>Misc. Income</v>
      </c>
      <c r="X7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28"/>
      <c r="Z7628" t="s">
        <v>14</v>
      </c>
      <c r="AA7628" t="s">
        <v>354</v>
      </c>
      <c r="AB7628" t="s">
        <v>427</v>
      </c>
      <c r="AC7628" s="21">
        <v>15766051.68</v>
      </c>
      <c r="AD7628" s="21" t="s">
        <v>368</v>
      </c>
      <c r="AE7628" t="str">
        <f>VLOOKUP(Table_Query_from_Actuarial___Production3[[#This Row],[Kor1]],$AI$3:$AK$105,3,FALSE)</f>
        <v>Claims Expense</v>
      </c>
      <c r="AF7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629" spans="18:32" x14ac:dyDescent="0.2">
      <c r="R7629" t="s">
        <v>18</v>
      </c>
      <c r="S7629" t="s">
        <v>354</v>
      </c>
      <c r="T7629" t="s">
        <v>8</v>
      </c>
      <c r="U7629" s="21">
        <v>488716.59</v>
      </c>
      <c r="V7629" s="21" t="s">
        <v>368</v>
      </c>
      <c r="W7629" t="str">
        <f>VLOOKUP(Table_Query_from_Actuarial___Production[[#This Row],[Kor1]],$AI$3:$AK$105,3,FALSE)</f>
        <v>Misc. Expense</v>
      </c>
      <c r="X7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629"/>
      <c r="Z7629" t="s">
        <v>47</v>
      </c>
      <c r="AA7629" t="s">
        <v>240</v>
      </c>
      <c r="AB7629" t="s">
        <v>427</v>
      </c>
      <c r="AC7629" s="21">
        <v>10301.89</v>
      </c>
      <c r="AD7629" s="21" t="s">
        <v>368</v>
      </c>
      <c r="AE7629" t="str">
        <f>VLOOKUP(Table_Query_from_Actuarial___Production3[[#This Row],[Kor1]],$AI$3:$AK$105,3,FALSE)</f>
        <v>Investment Income</v>
      </c>
      <c r="AF7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0" spans="18:32" x14ac:dyDescent="0.2">
      <c r="R7630" t="s">
        <v>13</v>
      </c>
      <c r="S7630" t="s">
        <v>268</v>
      </c>
      <c r="T7630" t="s">
        <v>427</v>
      </c>
      <c r="U7630" s="21">
        <v>264.95999999999998</v>
      </c>
      <c r="V7630" s="21" t="s">
        <v>368</v>
      </c>
      <c r="W7630" t="str">
        <f>VLOOKUP(Table_Query_from_Actuarial___Production[[#This Row],[Kor1]],$AI$3:$AK$105,3,FALSE)</f>
        <v>Operating Service Fees</v>
      </c>
      <c r="X7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0"/>
      <c r="Z7630" t="s">
        <v>47</v>
      </c>
      <c r="AA7630" t="s">
        <v>268</v>
      </c>
      <c r="AB7630" t="s">
        <v>441</v>
      </c>
      <c r="AC7630" s="21">
        <v>29.88</v>
      </c>
      <c r="AD7630" s="21" t="s">
        <v>368</v>
      </c>
      <c r="AE7630" t="str">
        <f>VLOOKUP(Table_Query_from_Actuarial___Production3[[#This Row],[Kor1]],$AI$3:$AK$105,3,FALSE)</f>
        <v>Investment Income</v>
      </c>
      <c r="AF7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1" spans="18:32" x14ac:dyDescent="0.2">
      <c r="R7631" t="s">
        <v>21</v>
      </c>
      <c r="S7631" t="s">
        <v>249</v>
      </c>
      <c r="T7631" t="s">
        <v>427</v>
      </c>
      <c r="U7631" s="21">
        <v>1815.49</v>
      </c>
      <c r="V7631" s="21" t="s">
        <v>368</v>
      </c>
      <c r="W7631" t="str">
        <f>VLOOKUP(Table_Query_from_Actuarial___Production[[#This Row],[Kor1]],$AI$3:$AK$105,3,FALSE)</f>
        <v>Misc. Expense</v>
      </c>
      <c r="X7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1"/>
      <c r="Z7631" t="s">
        <v>13</v>
      </c>
      <c r="AA7631" t="s">
        <v>225</v>
      </c>
      <c r="AB7631" t="s">
        <v>7</v>
      </c>
      <c r="AC7631" s="21">
        <v>84508.76</v>
      </c>
      <c r="AD7631" s="21" t="s">
        <v>368</v>
      </c>
      <c r="AE7631" t="str">
        <f>VLOOKUP(Table_Query_from_Actuarial___Production3[[#This Row],[Kor1]],$AI$3:$AK$105,3,FALSE)</f>
        <v>Operating Service Fees</v>
      </c>
      <c r="AF7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632" spans="18:32" x14ac:dyDescent="0.2">
      <c r="R7632" t="s">
        <v>20</v>
      </c>
      <c r="S7632" t="s">
        <v>230</v>
      </c>
      <c r="T7632" t="s">
        <v>9</v>
      </c>
      <c r="U7632" s="21">
        <v>14035.13</v>
      </c>
      <c r="V7632" s="21" t="s">
        <v>368</v>
      </c>
      <c r="W7632" t="str">
        <f>VLOOKUP(Table_Query_from_Actuarial___Production[[#This Row],[Kor1]],$AI$3:$AK$105,3,FALSE)</f>
        <v>Misc. Expense</v>
      </c>
      <c r="X7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2"/>
      <c r="Z7632" t="s">
        <v>3</v>
      </c>
      <c r="AA7632" t="s">
        <v>242</v>
      </c>
      <c r="AB7632" t="s">
        <v>433</v>
      </c>
      <c r="AC7632" s="21">
        <v>396745</v>
      </c>
      <c r="AD7632" s="21" t="s">
        <v>368</v>
      </c>
      <c r="AE7632" t="str">
        <f>VLOOKUP(Table_Query_from_Actuarial___Production3[[#This Row],[Kor1]],$AI$3:$AK$105,3,FALSE)</f>
        <v>Premiums Written</v>
      </c>
      <c r="AF7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3" spans="18:32" x14ac:dyDescent="0.2">
      <c r="R7633" t="s">
        <v>21</v>
      </c>
      <c r="S7633" t="s">
        <v>247</v>
      </c>
      <c r="T7633" t="s">
        <v>9</v>
      </c>
      <c r="U7633" s="21">
        <v>345</v>
      </c>
      <c r="V7633" s="21" t="s">
        <v>368</v>
      </c>
      <c r="W7633" t="str">
        <f>VLOOKUP(Table_Query_from_Actuarial___Production[[#This Row],[Kor1]],$AI$3:$AK$105,3,FALSE)</f>
        <v>Misc. Expense</v>
      </c>
      <c r="X7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3"/>
      <c r="Z7633" t="s">
        <v>43</v>
      </c>
      <c r="AA7633" t="s">
        <v>254</v>
      </c>
      <c r="AB7633" t="s">
        <v>442</v>
      </c>
      <c r="AC7633" s="21">
        <v>10038.969999999999</v>
      </c>
      <c r="AD7633" s="21" t="s">
        <v>368</v>
      </c>
      <c r="AE7633" t="str">
        <f>VLOOKUP(Table_Query_from_Actuarial___Production3[[#This Row],[Kor1]],$AI$3:$AK$105,3,FALSE)</f>
        <v>Charge-offs</v>
      </c>
      <c r="AF7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4" spans="18:32" x14ac:dyDescent="0.2">
      <c r="R7634" t="s">
        <v>44</v>
      </c>
      <c r="S7634" t="s">
        <v>235</v>
      </c>
      <c r="T7634" t="s">
        <v>433</v>
      </c>
      <c r="U7634" s="21">
        <v>6805</v>
      </c>
      <c r="V7634" s="21" t="s">
        <v>368</v>
      </c>
      <c r="W7634" t="str">
        <f>VLOOKUP(Table_Query_from_Actuarial___Production[[#This Row],[Kor1]],$AI$3:$AK$105,3,FALSE)</f>
        <v>Charge-offs</v>
      </c>
      <c r="X7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4"/>
      <c r="Z7634" t="s">
        <v>14</v>
      </c>
      <c r="AA7634" t="s">
        <v>262</v>
      </c>
      <c r="AB7634" t="s">
        <v>9</v>
      </c>
      <c r="AC7634" s="21">
        <v>12232.42</v>
      </c>
      <c r="AD7634" s="21" t="s">
        <v>368</v>
      </c>
      <c r="AE7634" t="str">
        <f>VLOOKUP(Table_Query_from_Actuarial___Production3[[#This Row],[Kor1]],$AI$3:$AK$105,3,FALSE)</f>
        <v>Claims Expense</v>
      </c>
      <c r="AF7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5" spans="18:32" x14ac:dyDescent="0.2">
      <c r="R7635" t="s">
        <v>20</v>
      </c>
      <c r="S7635" t="s">
        <v>236</v>
      </c>
      <c r="T7635" t="s">
        <v>445</v>
      </c>
      <c r="U7635" s="21">
        <v>28.48</v>
      </c>
      <c r="V7635" s="21" t="s">
        <v>368</v>
      </c>
      <c r="W7635" t="str">
        <f>VLOOKUP(Table_Query_from_Actuarial___Production[[#This Row],[Kor1]],$AI$3:$AK$105,3,FALSE)</f>
        <v>Misc. Expense</v>
      </c>
      <c r="X7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5"/>
      <c r="Z7635" t="s">
        <v>31</v>
      </c>
      <c r="AA7635" t="s">
        <v>247</v>
      </c>
      <c r="AB7635" t="s">
        <v>351</v>
      </c>
      <c r="AC7635" s="21">
        <v>729.39</v>
      </c>
      <c r="AD7635" s="21" t="s">
        <v>368</v>
      </c>
      <c r="AE7635" t="str">
        <f>VLOOKUP(Table_Query_from_Actuarial___Production3[[#This Row],[Kor1]],$AI$3:$AK$105,3,FALSE)</f>
        <v>Misc. Expense</v>
      </c>
      <c r="AF7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6" spans="18:32" x14ac:dyDescent="0.2">
      <c r="R7636" t="s">
        <v>439</v>
      </c>
      <c r="S7636" t="s">
        <v>4</v>
      </c>
      <c r="T7636" t="s">
        <v>443</v>
      </c>
      <c r="U7636" s="21">
        <v>-1319038.71</v>
      </c>
      <c r="V7636" s="21" t="s">
        <v>368</v>
      </c>
      <c r="W7636" t="str">
        <f>VLOOKUP(Table_Query_from_Actuarial___Production[[#This Row],[Kor1]],$AI$3:$AK$105,3,FALSE)</f>
        <v>Operating Service Fees</v>
      </c>
      <c r="X7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6"/>
      <c r="Z7636" t="s">
        <v>37</v>
      </c>
      <c r="AA7636" t="s">
        <v>242</v>
      </c>
      <c r="AB7636" t="s">
        <v>7</v>
      </c>
      <c r="AC7636" s="21">
        <v>4374.99</v>
      </c>
      <c r="AD7636" s="21" t="s">
        <v>368</v>
      </c>
      <c r="AE7636" t="str">
        <f>VLOOKUP(Table_Query_from_Actuarial___Production3[[#This Row],[Kor1]],$AI$3:$AK$105,3,FALSE)</f>
        <v>Misc. Expense</v>
      </c>
      <c r="AF7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7" spans="18:32" x14ac:dyDescent="0.2">
      <c r="R7637" t="s">
        <v>3</v>
      </c>
      <c r="S7637" t="s">
        <v>228</v>
      </c>
      <c r="T7637" t="s">
        <v>442</v>
      </c>
      <c r="U7637" s="21">
        <v>187697</v>
      </c>
      <c r="V7637" s="21" t="s">
        <v>368</v>
      </c>
      <c r="W7637" t="str">
        <f>VLOOKUP(Table_Query_from_Actuarial___Production[[#This Row],[Kor1]],$AI$3:$AK$105,3,FALSE)</f>
        <v>Premiums Written</v>
      </c>
      <c r="X7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7"/>
      <c r="Z7637" t="s">
        <v>43</v>
      </c>
      <c r="AA7637" t="s">
        <v>230</v>
      </c>
      <c r="AB7637" t="s">
        <v>6</v>
      </c>
      <c r="AC7637" s="21">
        <v>3946.21</v>
      </c>
      <c r="AD7637" s="21" t="s">
        <v>368</v>
      </c>
      <c r="AE7637" t="str">
        <f>VLOOKUP(Table_Query_from_Actuarial___Production3[[#This Row],[Kor1]],$AI$3:$AK$105,3,FALSE)</f>
        <v>Charge-offs</v>
      </c>
      <c r="AF7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8" spans="18:32" x14ac:dyDescent="0.2">
      <c r="R7638" t="s">
        <v>14</v>
      </c>
      <c r="S7638" t="s">
        <v>354</v>
      </c>
      <c r="T7638" t="s">
        <v>427</v>
      </c>
      <c r="U7638" s="21">
        <v>15765410.83</v>
      </c>
      <c r="V7638" s="21" t="s">
        <v>368</v>
      </c>
      <c r="W7638" t="str">
        <f>VLOOKUP(Table_Query_from_Actuarial___Production[[#This Row],[Kor1]],$AI$3:$AK$105,3,FALSE)</f>
        <v>Claims Expense</v>
      </c>
      <c r="X7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638"/>
      <c r="Z7638" t="s">
        <v>13</v>
      </c>
      <c r="AA7638" t="s">
        <v>266</v>
      </c>
      <c r="AB7638" t="s">
        <v>356</v>
      </c>
      <c r="AC7638" s="21">
        <v>86213.3</v>
      </c>
      <c r="AD7638" s="21" t="s">
        <v>368</v>
      </c>
      <c r="AE7638" t="str">
        <f>VLOOKUP(Table_Query_from_Actuarial___Production3[[#This Row],[Kor1]],$AI$3:$AK$105,3,FALSE)</f>
        <v>Operating Service Fees</v>
      </c>
      <c r="AF7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39" spans="18:32" x14ac:dyDescent="0.2">
      <c r="R7639" t="s">
        <v>32</v>
      </c>
      <c r="S7639" t="s">
        <v>237</v>
      </c>
      <c r="T7639" t="s">
        <v>443</v>
      </c>
      <c r="U7639" s="21">
        <v>82537.36</v>
      </c>
      <c r="V7639" s="21" t="s">
        <v>368</v>
      </c>
      <c r="W7639" t="str">
        <f>VLOOKUP(Table_Query_from_Actuarial___Production[[#This Row],[Kor1]],$AI$3:$AK$105,3,FALSE)</f>
        <v>Misc. Expense</v>
      </c>
      <c r="X7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39"/>
      <c r="Z7639" t="s">
        <v>3</v>
      </c>
      <c r="AA7639" t="s">
        <v>247</v>
      </c>
      <c r="AB7639" t="s">
        <v>5</v>
      </c>
      <c r="AC7639" s="21">
        <v>23387</v>
      </c>
      <c r="AD7639" s="21" t="s">
        <v>368</v>
      </c>
      <c r="AE7639" t="str">
        <f>VLOOKUP(Table_Query_from_Actuarial___Production3[[#This Row],[Kor1]],$AI$3:$AK$105,3,FALSE)</f>
        <v>Premiums Written</v>
      </c>
      <c r="AF7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0" spans="18:32" x14ac:dyDescent="0.2">
      <c r="R7640" t="s">
        <v>47</v>
      </c>
      <c r="S7640" t="s">
        <v>240</v>
      </c>
      <c r="T7640" t="s">
        <v>427</v>
      </c>
      <c r="U7640" s="21">
        <v>10301.89</v>
      </c>
      <c r="V7640" s="21" t="s">
        <v>368</v>
      </c>
      <c r="W7640" t="str">
        <f>VLOOKUP(Table_Query_from_Actuarial___Production[[#This Row],[Kor1]],$AI$3:$AK$105,3,FALSE)</f>
        <v>Investment Income</v>
      </c>
      <c r="X7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0"/>
      <c r="Z7640" t="s">
        <v>12</v>
      </c>
      <c r="AA7640" t="s">
        <v>257</v>
      </c>
      <c r="AB7640" t="s">
        <v>442</v>
      </c>
      <c r="AC7640" s="21">
        <v>53483.82</v>
      </c>
      <c r="AD7640" s="21" t="s">
        <v>368</v>
      </c>
      <c r="AE7640" t="str">
        <f>VLOOKUP(Table_Query_from_Actuarial___Production3[[#This Row],[Kor1]],$AI$3:$AK$105,3,FALSE)</f>
        <v>Premium Tax</v>
      </c>
      <c r="AF7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1" spans="18:32" x14ac:dyDescent="0.2">
      <c r="R7641" t="s">
        <v>47</v>
      </c>
      <c r="S7641" t="s">
        <v>268</v>
      </c>
      <c r="T7641" t="s">
        <v>441</v>
      </c>
      <c r="U7641" s="21">
        <v>29.88</v>
      </c>
      <c r="V7641" s="21" t="s">
        <v>368</v>
      </c>
      <c r="W7641" t="str">
        <f>VLOOKUP(Table_Query_from_Actuarial___Production[[#This Row],[Kor1]],$AI$3:$AK$105,3,FALSE)</f>
        <v>Investment Income</v>
      </c>
      <c r="X7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1"/>
      <c r="Z7641" t="s">
        <v>48</v>
      </c>
      <c r="AA7641" t="s">
        <v>231</v>
      </c>
      <c r="AB7641" t="s">
        <v>442</v>
      </c>
      <c r="AC7641" s="21">
        <v>7271.93</v>
      </c>
      <c r="AD7641" s="21" t="s">
        <v>368</v>
      </c>
      <c r="AE7641" t="str">
        <f>VLOOKUP(Table_Query_from_Actuarial___Production3[[#This Row],[Kor1]],$AI$3:$AK$105,3,FALSE)</f>
        <v>Anticipated Salvage</v>
      </c>
      <c r="AF7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2" spans="18:32" x14ac:dyDescent="0.2">
      <c r="R7642" t="s">
        <v>13</v>
      </c>
      <c r="S7642" t="s">
        <v>225</v>
      </c>
      <c r="T7642" t="s">
        <v>7</v>
      </c>
      <c r="U7642" s="21">
        <v>84508.76</v>
      </c>
      <c r="V7642" s="21" t="s">
        <v>368</v>
      </c>
      <c r="W7642" t="str">
        <f>VLOOKUP(Table_Query_from_Actuarial___Production[[#This Row],[Kor1]],$AI$3:$AK$105,3,FALSE)</f>
        <v>Operating Service Fees</v>
      </c>
      <c r="X7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642"/>
      <c r="Z7642" t="s">
        <v>13</v>
      </c>
      <c r="AA7642" t="s">
        <v>235</v>
      </c>
      <c r="AB7642" t="s">
        <v>7</v>
      </c>
      <c r="AC7642" s="21">
        <v>65576.850000000006</v>
      </c>
      <c r="AD7642" s="21" t="s">
        <v>368</v>
      </c>
      <c r="AE7642" t="str">
        <f>VLOOKUP(Table_Query_from_Actuarial___Production3[[#This Row],[Kor1]],$AI$3:$AK$105,3,FALSE)</f>
        <v>Operating Service Fees</v>
      </c>
      <c r="AF7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3" spans="18:32" x14ac:dyDescent="0.2">
      <c r="R7643" t="s">
        <v>3</v>
      </c>
      <c r="S7643" t="s">
        <v>242</v>
      </c>
      <c r="T7643" t="s">
        <v>433</v>
      </c>
      <c r="U7643" s="21">
        <v>396745</v>
      </c>
      <c r="V7643" s="21" t="s">
        <v>368</v>
      </c>
      <c r="W7643" t="str">
        <f>VLOOKUP(Table_Query_from_Actuarial___Production[[#This Row],[Kor1]],$AI$3:$AK$105,3,FALSE)</f>
        <v>Premiums Written</v>
      </c>
      <c r="X7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3"/>
      <c r="Z7643" t="s">
        <v>46</v>
      </c>
      <c r="AA7643" t="s">
        <v>354</v>
      </c>
      <c r="AB7643" t="s">
        <v>442</v>
      </c>
      <c r="AC7643" s="21">
        <v>16478910.68</v>
      </c>
      <c r="AD7643" s="21" t="s">
        <v>369</v>
      </c>
      <c r="AE7643" t="str">
        <f>VLOOKUP(Table_Query_from_Actuarial___Production3[[#This Row],[Kor1]],$AI$3:$AK$105,3,FALSE)</f>
        <v>Investment Income</v>
      </c>
      <c r="AF7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644" spans="18:32" x14ac:dyDescent="0.2">
      <c r="R7644" t="s">
        <v>43</v>
      </c>
      <c r="S7644" t="s">
        <v>254</v>
      </c>
      <c r="T7644" t="s">
        <v>442</v>
      </c>
      <c r="U7644" s="21">
        <v>19588.07</v>
      </c>
      <c r="V7644" s="21" t="s">
        <v>368</v>
      </c>
      <c r="W7644" t="str">
        <f>VLOOKUP(Table_Query_from_Actuarial___Production[[#This Row],[Kor1]],$AI$3:$AK$105,3,FALSE)</f>
        <v>Charge-offs</v>
      </c>
      <c r="X7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4"/>
      <c r="Z7644" t="s">
        <v>17</v>
      </c>
      <c r="AA7644" t="s">
        <v>237</v>
      </c>
      <c r="AB7644" t="s">
        <v>442</v>
      </c>
      <c r="AC7644" s="21">
        <v>13391114.789999999</v>
      </c>
      <c r="AD7644" s="21" t="s">
        <v>368</v>
      </c>
      <c r="AE7644" t="str">
        <f>VLOOKUP(Table_Query_from_Actuarial___Production3[[#This Row],[Kor1]],$AI$3:$AK$105,3,FALSE)</f>
        <v>IBNR</v>
      </c>
      <c r="AF7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5" spans="18:32" x14ac:dyDescent="0.2">
      <c r="R7645" t="s">
        <v>44</v>
      </c>
      <c r="S7645" t="s">
        <v>243</v>
      </c>
      <c r="T7645" t="s">
        <v>445</v>
      </c>
      <c r="U7645" s="21">
        <v>2186</v>
      </c>
      <c r="V7645" s="21" t="s">
        <v>368</v>
      </c>
      <c r="W7645" t="str">
        <f>VLOOKUP(Table_Query_from_Actuarial___Production[[#This Row],[Kor1]],$AI$3:$AK$105,3,FALSE)</f>
        <v>Charge-offs</v>
      </c>
      <c r="X7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5"/>
      <c r="Z7645" t="s">
        <v>10</v>
      </c>
      <c r="AA7645" t="s">
        <v>239</v>
      </c>
      <c r="AB7645" t="s">
        <v>9</v>
      </c>
      <c r="AC7645" s="21">
        <v>13007.95</v>
      </c>
      <c r="AD7645" s="21" t="s">
        <v>368</v>
      </c>
      <c r="AE7645" t="str">
        <f>VLOOKUP(Table_Query_from_Actuarial___Production3[[#This Row],[Kor1]],$AI$3:$AK$105,3,FALSE)</f>
        <v>Commissions</v>
      </c>
      <c r="AF7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6" spans="18:32" x14ac:dyDescent="0.2">
      <c r="R7646" t="s">
        <v>14</v>
      </c>
      <c r="S7646" t="s">
        <v>262</v>
      </c>
      <c r="T7646" t="s">
        <v>9</v>
      </c>
      <c r="U7646" s="21">
        <v>12232.42</v>
      </c>
      <c r="V7646" s="21" t="s">
        <v>368</v>
      </c>
      <c r="W7646" t="str">
        <f>VLOOKUP(Table_Query_from_Actuarial___Production[[#This Row],[Kor1]],$AI$3:$AK$105,3,FALSE)</f>
        <v>Claims Expense</v>
      </c>
      <c r="X7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6"/>
      <c r="Z7646" t="s">
        <v>14</v>
      </c>
      <c r="AA7646" t="s">
        <v>261</v>
      </c>
      <c r="AB7646" t="s">
        <v>6</v>
      </c>
      <c r="AC7646" s="21">
        <v>105605.8</v>
      </c>
      <c r="AD7646" s="21" t="s">
        <v>368</v>
      </c>
      <c r="AE7646" t="str">
        <f>VLOOKUP(Table_Query_from_Actuarial___Production3[[#This Row],[Kor1]],$AI$3:$AK$105,3,FALSE)</f>
        <v>Claims Expense</v>
      </c>
      <c r="AF7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7" spans="18:32" x14ac:dyDescent="0.2">
      <c r="R7647" t="s">
        <v>31</v>
      </c>
      <c r="S7647" t="s">
        <v>247</v>
      </c>
      <c r="T7647" t="s">
        <v>351</v>
      </c>
      <c r="U7647" s="21">
        <v>729.39</v>
      </c>
      <c r="V7647" s="21" t="s">
        <v>368</v>
      </c>
      <c r="W7647" t="str">
        <f>VLOOKUP(Table_Query_from_Actuarial___Production[[#This Row],[Kor1]],$AI$3:$AK$105,3,FALSE)</f>
        <v>Misc. Expense</v>
      </c>
      <c r="X7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7"/>
      <c r="Z7647" t="s">
        <v>31</v>
      </c>
      <c r="AA7647" t="s">
        <v>233</v>
      </c>
      <c r="AB7647" t="s">
        <v>351</v>
      </c>
      <c r="AC7647" s="21">
        <v>598.87</v>
      </c>
      <c r="AD7647" s="21" t="s">
        <v>368</v>
      </c>
      <c r="AE7647" t="str">
        <f>VLOOKUP(Table_Query_from_Actuarial___Production3[[#This Row],[Kor1]],$AI$3:$AK$105,3,FALSE)</f>
        <v>Misc. Expense</v>
      </c>
      <c r="AF7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8" spans="18:32" x14ac:dyDescent="0.2">
      <c r="R7648" t="s">
        <v>37</v>
      </c>
      <c r="S7648" t="s">
        <v>242</v>
      </c>
      <c r="T7648" t="s">
        <v>7</v>
      </c>
      <c r="U7648" s="21">
        <v>4374.99</v>
      </c>
      <c r="V7648" s="21" t="s">
        <v>368</v>
      </c>
      <c r="W7648" t="str">
        <f>VLOOKUP(Table_Query_from_Actuarial___Production[[#This Row],[Kor1]],$AI$3:$AK$105,3,FALSE)</f>
        <v>Misc. Expense</v>
      </c>
      <c r="X7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8"/>
      <c r="Z7648" t="s">
        <v>44</v>
      </c>
      <c r="AA7648" t="s">
        <v>257</v>
      </c>
      <c r="AB7648" t="s">
        <v>442</v>
      </c>
      <c r="AC7648" s="21">
        <v>12477.94</v>
      </c>
      <c r="AD7648" s="21" t="s">
        <v>368</v>
      </c>
      <c r="AE7648" t="str">
        <f>VLOOKUP(Table_Query_from_Actuarial___Production3[[#This Row],[Kor1]],$AI$3:$AK$105,3,FALSE)</f>
        <v>Charge-offs</v>
      </c>
      <c r="AF7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49" spans="18:32" x14ac:dyDescent="0.2">
      <c r="R7649" t="s">
        <v>43</v>
      </c>
      <c r="S7649" t="s">
        <v>230</v>
      </c>
      <c r="T7649" t="s">
        <v>6</v>
      </c>
      <c r="U7649" s="21">
        <v>3946.21</v>
      </c>
      <c r="V7649" s="21" t="s">
        <v>368</v>
      </c>
      <c r="W7649" t="str">
        <f>VLOOKUP(Table_Query_from_Actuarial___Production[[#This Row],[Kor1]],$AI$3:$AK$105,3,FALSE)</f>
        <v>Charge-offs</v>
      </c>
      <c r="X7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49"/>
      <c r="Z7649" t="s">
        <v>75</v>
      </c>
      <c r="AA7649" t="s">
        <v>250</v>
      </c>
      <c r="AB7649" t="s">
        <v>441</v>
      </c>
      <c r="AC7649" s="21">
        <v>322</v>
      </c>
      <c r="AD7649" s="21" t="s">
        <v>368</v>
      </c>
      <c r="AE7649" t="str">
        <f>VLOOKUP(Table_Query_from_Actuarial___Production3[[#This Row],[Kor1]],$AI$3:$AK$105,3,FALSE)</f>
        <v>EBUB</v>
      </c>
      <c r="AF7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0" spans="18:32" x14ac:dyDescent="0.2">
      <c r="R7650" t="s">
        <v>11</v>
      </c>
      <c r="S7650" t="s">
        <v>266</v>
      </c>
      <c r="T7650" t="s">
        <v>443</v>
      </c>
      <c r="U7650" s="21">
        <v>74111.87</v>
      </c>
      <c r="V7650" s="21" t="s">
        <v>368</v>
      </c>
      <c r="W7650" t="str">
        <f>VLOOKUP(Table_Query_from_Actuarial___Production[[#This Row],[Kor1]],$AI$3:$AK$105,3,FALSE)</f>
        <v>Losses Paid</v>
      </c>
      <c r="X7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0"/>
      <c r="Z7650" t="s">
        <v>3</v>
      </c>
      <c r="AA7650" t="s">
        <v>252</v>
      </c>
      <c r="AB7650" t="s">
        <v>356</v>
      </c>
      <c r="AC7650" s="21">
        <v>28202060</v>
      </c>
      <c r="AD7650" s="21" t="s">
        <v>368</v>
      </c>
      <c r="AE7650" t="str">
        <f>VLOOKUP(Table_Query_from_Actuarial___Production3[[#This Row],[Kor1]],$AI$3:$AK$105,3,FALSE)</f>
        <v>Premiums Written</v>
      </c>
      <c r="AF7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1" spans="18:32" x14ac:dyDescent="0.2">
      <c r="R7651" t="s">
        <v>13</v>
      </c>
      <c r="S7651" t="s">
        <v>266</v>
      </c>
      <c r="T7651" t="s">
        <v>356</v>
      </c>
      <c r="U7651" s="21">
        <v>86213.3</v>
      </c>
      <c r="V7651" s="21" t="s">
        <v>368</v>
      </c>
      <c r="W7651" t="str">
        <f>VLOOKUP(Table_Query_from_Actuarial___Production[[#This Row],[Kor1]],$AI$3:$AK$105,3,FALSE)</f>
        <v>Operating Service Fees</v>
      </c>
      <c r="X7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1"/>
      <c r="Z7651" t="s">
        <v>49</v>
      </c>
      <c r="AA7651" t="s">
        <v>233</v>
      </c>
      <c r="AB7651" t="s">
        <v>433</v>
      </c>
      <c r="AC7651" s="21">
        <v>3227.09</v>
      </c>
      <c r="AD7651" s="21" t="s">
        <v>368</v>
      </c>
      <c r="AE7651" t="str">
        <f>VLOOKUP(Table_Query_from_Actuarial___Production3[[#This Row],[Kor1]],$AI$3:$AK$105,3,FALSE)</f>
        <v>ALAE Paid</v>
      </c>
      <c r="AF7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2" spans="18:32" x14ac:dyDescent="0.2">
      <c r="R7652" t="s">
        <v>12</v>
      </c>
      <c r="S7652" t="s">
        <v>257</v>
      </c>
      <c r="T7652" t="s">
        <v>442</v>
      </c>
      <c r="U7652" s="21">
        <v>52008.44</v>
      </c>
      <c r="V7652" s="21" t="s">
        <v>368</v>
      </c>
      <c r="W7652" t="str">
        <f>VLOOKUP(Table_Query_from_Actuarial___Production[[#This Row],[Kor1]],$AI$3:$AK$105,3,FALSE)</f>
        <v>Premium Tax</v>
      </c>
      <c r="X7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2"/>
      <c r="Z7652" t="s">
        <v>10</v>
      </c>
      <c r="AA7652" t="s">
        <v>4</v>
      </c>
      <c r="AB7652" t="s">
        <v>356</v>
      </c>
      <c r="AC7652" s="21">
        <v>3348439.62</v>
      </c>
      <c r="AD7652" s="21" t="s">
        <v>368</v>
      </c>
      <c r="AE7652" t="str">
        <f>VLOOKUP(Table_Query_from_Actuarial___Production3[[#This Row],[Kor1]],$AI$3:$AK$105,3,FALSE)</f>
        <v>Commissions</v>
      </c>
      <c r="AF7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3" spans="18:32" x14ac:dyDescent="0.2">
      <c r="R7653" t="s">
        <v>15</v>
      </c>
      <c r="S7653" t="s">
        <v>259</v>
      </c>
      <c r="T7653" t="s">
        <v>445</v>
      </c>
      <c r="U7653" s="21">
        <v>20831.52</v>
      </c>
      <c r="V7653" s="21" t="s">
        <v>368</v>
      </c>
      <c r="W7653" t="str">
        <f>VLOOKUP(Table_Query_from_Actuarial___Production[[#This Row],[Kor1]],$AI$3:$AK$105,3,FALSE)</f>
        <v>Unearned Premiums</v>
      </c>
      <c r="X7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3"/>
      <c r="Z7653" t="s">
        <v>11</v>
      </c>
      <c r="AA7653" t="s">
        <v>4</v>
      </c>
      <c r="AB7653" t="s">
        <v>6</v>
      </c>
      <c r="AC7653" s="21">
        <v>2474248.2400000002</v>
      </c>
      <c r="AD7653" s="21" t="s">
        <v>368</v>
      </c>
      <c r="AE7653" t="str">
        <f>VLOOKUP(Table_Query_from_Actuarial___Production3[[#This Row],[Kor1]],$AI$3:$AK$105,3,FALSE)</f>
        <v>Losses Paid</v>
      </c>
      <c r="AF7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4" spans="18:32" x14ac:dyDescent="0.2">
      <c r="R7654" t="s">
        <v>48</v>
      </c>
      <c r="S7654" t="s">
        <v>231</v>
      </c>
      <c r="T7654" t="s">
        <v>442</v>
      </c>
      <c r="U7654" s="21">
        <v>6894.64</v>
      </c>
      <c r="V7654" s="21" t="s">
        <v>368</v>
      </c>
      <c r="W7654" t="str">
        <f>VLOOKUP(Table_Query_from_Actuarial___Production[[#This Row],[Kor1]],$AI$3:$AK$105,3,FALSE)</f>
        <v>Anticipated Salvage</v>
      </c>
      <c r="X7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4"/>
      <c r="Z7654" t="s">
        <v>40</v>
      </c>
      <c r="AA7654" t="s">
        <v>256</v>
      </c>
      <c r="AB7654" t="s">
        <v>9</v>
      </c>
      <c r="AC7654" s="21">
        <v>71</v>
      </c>
      <c r="AD7654" s="21" t="s">
        <v>368</v>
      </c>
      <c r="AE7654" t="str">
        <f>VLOOKUP(Table_Query_from_Actuarial___Production3[[#This Row],[Kor1]],$AI$3:$AK$105,3,FALSE)</f>
        <v>Misc. Income</v>
      </c>
      <c r="AF7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5" spans="18:32" x14ac:dyDescent="0.2">
      <c r="R7655" t="s">
        <v>13</v>
      </c>
      <c r="S7655" t="s">
        <v>235</v>
      </c>
      <c r="T7655" t="s">
        <v>7</v>
      </c>
      <c r="U7655" s="21">
        <v>65576.850000000006</v>
      </c>
      <c r="V7655" s="21" t="s">
        <v>368</v>
      </c>
      <c r="W7655" t="str">
        <f>VLOOKUP(Table_Query_from_Actuarial___Production[[#This Row],[Kor1]],$AI$3:$AK$105,3,FALSE)</f>
        <v>Operating Service Fees</v>
      </c>
      <c r="X7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5"/>
      <c r="Z7655" t="s">
        <v>41</v>
      </c>
      <c r="AA7655" t="s">
        <v>239</v>
      </c>
      <c r="AB7655" t="s">
        <v>441</v>
      </c>
      <c r="AC7655" s="21">
        <v>49.98</v>
      </c>
      <c r="AD7655" s="21" t="s">
        <v>368</v>
      </c>
      <c r="AE7655" t="str">
        <f>VLOOKUP(Table_Query_from_Actuarial___Production3[[#This Row],[Kor1]],$AI$3:$AK$105,3,FALSE)</f>
        <v>Misc. Income</v>
      </c>
      <c r="AF7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6" spans="18:32" x14ac:dyDescent="0.2">
      <c r="R7656" t="s">
        <v>46</v>
      </c>
      <c r="S7656" t="s">
        <v>354</v>
      </c>
      <c r="T7656" t="s">
        <v>442</v>
      </c>
      <c r="U7656" s="21">
        <v>16478910.68</v>
      </c>
      <c r="V7656" s="21" t="s">
        <v>369</v>
      </c>
      <c r="W7656" t="str">
        <f>VLOOKUP(Table_Query_from_Actuarial___Production[[#This Row],[Kor1]],$AI$3:$AK$105,3,FALSE)</f>
        <v>Investment Income</v>
      </c>
      <c r="X7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656"/>
      <c r="Z7656" t="s">
        <v>36</v>
      </c>
      <c r="AA7656" t="s">
        <v>252</v>
      </c>
      <c r="AB7656" t="s">
        <v>441</v>
      </c>
      <c r="AC7656" s="21">
        <v>449252.52</v>
      </c>
      <c r="AD7656" s="21" t="s">
        <v>368</v>
      </c>
      <c r="AE7656" t="str">
        <f>VLOOKUP(Table_Query_from_Actuarial___Production3[[#This Row],[Kor1]],$AI$3:$AK$105,3,FALSE)</f>
        <v>Misc. Expense</v>
      </c>
      <c r="AF7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7" spans="18:32" x14ac:dyDescent="0.2">
      <c r="R7657" t="s">
        <v>17</v>
      </c>
      <c r="S7657" t="s">
        <v>237</v>
      </c>
      <c r="T7657" t="s">
        <v>442</v>
      </c>
      <c r="U7657" s="21">
        <v>7675202.2599999998</v>
      </c>
      <c r="V7657" s="21" t="s">
        <v>368</v>
      </c>
      <c r="W7657" t="str">
        <f>VLOOKUP(Table_Query_from_Actuarial___Production[[#This Row],[Kor1]],$AI$3:$AK$105,3,FALSE)</f>
        <v>IBNR</v>
      </c>
      <c r="X7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7"/>
      <c r="Z7657" t="s">
        <v>33</v>
      </c>
      <c r="AA7657" t="s">
        <v>240</v>
      </c>
      <c r="AB7657" t="s">
        <v>351</v>
      </c>
      <c r="AC7657" s="21">
        <v>16711.55</v>
      </c>
      <c r="AD7657" s="21" t="s">
        <v>368</v>
      </c>
      <c r="AE7657" t="str">
        <f>VLOOKUP(Table_Query_from_Actuarial___Production3[[#This Row],[Kor1]],$AI$3:$AK$105,3,FALSE)</f>
        <v>Misc. Expense</v>
      </c>
      <c r="AF7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8" spans="18:32" x14ac:dyDescent="0.2">
      <c r="R7658" t="s">
        <v>10</v>
      </c>
      <c r="S7658" t="s">
        <v>239</v>
      </c>
      <c r="T7658" t="s">
        <v>9</v>
      </c>
      <c r="U7658" s="21">
        <v>13007.95</v>
      </c>
      <c r="V7658" s="21" t="s">
        <v>368</v>
      </c>
      <c r="W7658" t="str">
        <f>VLOOKUP(Table_Query_from_Actuarial___Production[[#This Row],[Kor1]],$AI$3:$AK$105,3,FALSE)</f>
        <v>Commissions</v>
      </c>
      <c r="X7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8"/>
      <c r="Z7658" t="s">
        <v>48</v>
      </c>
      <c r="AA7658" t="s">
        <v>227</v>
      </c>
      <c r="AB7658" t="s">
        <v>433</v>
      </c>
      <c r="AC7658" s="21">
        <v>4.5199999999999996</v>
      </c>
      <c r="AD7658" s="21" t="s">
        <v>368</v>
      </c>
      <c r="AE7658" t="str">
        <f>VLOOKUP(Table_Query_from_Actuarial___Production3[[#This Row],[Kor1]],$AI$3:$AK$105,3,FALSE)</f>
        <v>Anticipated Salvage</v>
      </c>
      <c r="AF7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59" spans="18:32" x14ac:dyDescent="0.2">
      <c r="R7659" t="s">
        <v>14</v>
      </c>
      <c r="S7659" t="s">
        <v>261</v>
      </c>
      <c r="T7659" t="s">
        <v>6</v>
      </c>
      <c r="U7659" s="21">
        <v>105605.8</v>
      </c>
      <c r="V7659" s="21" t="s">
        <v>368</v>
      </c>
      <c r="W7659" t="str">
        <f>VLOOKUP(Table_Query_from_Actuarial___Production[[#This Row],[Kor1]],$AI$3:$AK$105,3,FALSE)</f>
        <v>Claims Expense</v>
      </c>
      <c r="X7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59"/>
      <c r="Z7659" t="s">
        <v>14</v>
      </c>
      <c r="AA7659" t="s">
        <v>259</v>
      </c>
      <c r="AB7659" t="s">
        <v>442</v>
      </c>
      <c r="AC7659" s="21">
        <v>2900.41</v>
      </c>
      <c r="AD7659" s="21" t="s">
        <v>368</v>
      </c>
      <c r="AE7659" t="str">
        <f>VLOOKUP(Table_Query_from_Actuarial___Production3[[#This Row],[Kor1]],$AI$3:$AK$105,3,FALSE)</f>
        <v>Claims Expense</v>
      </c>
      <c r="AF7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0" spans="18:32" x14ac:dyDescent="0.2">
      <c r="R7660" t="s">
        <v>31</v>
      </c>
      <c r="S7660" t="s">
        <v>233</v>
      </c>
      <c r="T7660" t="s">
        <v>351</v>
      </c>
      <c r="U7660" s="21">
        <v>598.87</v>
      </c>
      <c r="V7660" s="21" t="s">
        <v>368</v>
      </c>
      <c r="W7660" t="str">
        <f>VLOOKUP(Table_Query_from_Actuarial___Production[[#This Row],[Kor1]],$AI$3:$AK$105,3,FALSE)</f>
        <v>Misc. Expense</v>
      </c>
      <c r="X7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0"/>
      <c r="Z7660" t="s">
        <v>40</v>
      </c>
      <c r="AA7660" t="s">
        <v>243</v>
      </c>
      <c r="AB7660" t="s">
        <v>441</v>
      </c>
      <c r="AC7660" s="21">
        <v>17</v>
      </c>
      <c r="AD7660" s="21" t="s">
        <v>368</v>
      </c>
      <c r="AE7660" t="str">
        <f>VLOOKUP(Table_Query_from_Actuarial___Production3[[#This Row],[Kor1]],$AI$3:$AK$105,3,FALSE)</f>
        <v>Misc. Income</v>
      </c>
      <c r="AF7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1" spans="18:32" x14ac:dyDescent="0.2">
      <c r="R7661" t="s">
        <v>44</v>
      </c>
      <c r="S7661" t="s">
        <v>257</v>
      </c>
      <c r="T7661" t="s">
        <v>442</v>
      </c>
      <c r="U7661" s="21">
        <v>122432.94</v>
      </c>
      <c r="V7661" s="21" t="s">
        <v>368</v>
      </c>
      <c r="W7661" t="str">
        <f>VLOOKUP(Table_Query_from_Actuarial___Production[[#This Row],[Kor1]],$AI$3:$AK$105,3,FALSE)</f>
        <v>Charge-offs</v>
      </c>
      <c r="X7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1"/>
      <c r="Z7661" t="s">
        <v>16</v>
      </c>
      <c r="AA7661" t="s">
        <v>354</v>
      </c>
      <c r="AB7661" t="s">
        <v>9</v>
      </c>
      <c r="AC7661" s="21">
        <v>1170356.32</v>
      </c>
      <c r="AD7661" s="21" t="s">
        <v>368</v>
      </c>
      <c r="AE7661" t="str">
        <f>VLOOKUP(Table_Query_from_Actuarial___Production3[[#This Row],[Kor1]],$AI$3:$AK$105,3,FALSE)</f>
        <v>Losses Outstanding</v>
      </c>
      <c r="AF7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662" spans="18:32" x14ac:dyDescent="0.2">
      <c r="R7662" t="s">
        <v>3</v>
      </c>
      <c r="S7662" t="s">
        <v>252</v>
      </c>
      <c r="T7662" t="s">
        <v>356</v>
      </c>
      <c r="U7662" s="21">
        <v>28202060</v>
      </c>
      <c r="V7662" s="21" t="s">
        <v>368</v>
      </c>
      <c r="W7662" t="str">
        <f>VLOOKUP(Table_Query_from_Actuarial___Production[[#This Row],[Kor1]],$AI$3:$AK$105,3,FALSE)</f>
        <v>Premiums Written</v>
      </c>
      <c r="X7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2"/>
      <c r="Z7662" t="s">
        <v>13</v>
      </c>
      <c r="AA7662" t="s">
        <v>232</v>
      </c>
      <c r="AB7662" t="s">
        <v>9</v>
      </c>
      <c r="AC7662" s="21">
        <v>274249.3</v>
      </c>
      <c r="AD7662" s="21" t="s">
        <v>368</v>
      </c>
      <c r="AE7662" t="str">
        <f>VLOOKUP(Table_Query_from_Actuarial___Production3[[#This Row],[Kor1]],$AI$3:$AK$105,3,FALSE)</f>
        <v>Operating Service Fees</v>
      </c>
      <c r="AF7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3" spans="18:32" x14ac:dyDescent="0.2">
      <c r="R7663" t="s">
        <v>49</v>
      </c>
      <c r="S7663" t="s">
        <v>233</v>
      </c>
      <c r="T7663" t="s">
        <v>433</v>
      </c>
      <c r="U7663" s="21">
        <v>3747.09</v>
      </c>
      <c r="V7663" s="21" t="s">
        <v>368</v>
      </c>
      <c r="W7663" t="str">
        <f>VLOOKUP(Table_Query_from_Actuarial___Production[[#This Row],[Kor1]],$AI$3:$AK$105,3,FALSE)</f>
        <v>ALAE Paid</v>
      </c>
      <c r="X7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3"/>
      <c r="Z7663" t="s">
        <v>47</v>
      </c>
      <c r="AA7663" t="s">
        <v>240</v>
      </c>
      <c r="AB7663" t="s">
        <v>443</v>
      </c>
      <c r="AC7663" s="21">
        <v>6072.64</v>
      </c>
      <c r="AD7663" s="21" t="s">
        <v>368</v>
      </c>
      <c r="AE7663" t="str">
        <f>VLOOKUP(Table_Query_from_Actuarial___Production3[[#This Row],[Kor1]],$AI$3:$AK$105,3,FALSE)</f>
        <v>Investment Income</v>
      </c>
      <c r="AF7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4" spans="18:32" x14ac:dyDescent="0.2">
      <c r="R7664" t="s">
        <v>10</v>
      </c>
      <c r="S7664" t="s">
        <v>4</v>
      </c>
      <c r="T7664" t="s">
        <v>356</v>
      </c>
      <c r="U7664" s="21">
        <v>3348935.01</v>
      </c>
      <c r="V7664" s="21" t="s">
        <v>368</v>
      </c>
      <c r="W7664" t="str">
        <f>VLOOKUP(Table_Query_from_Actuarial___Production[[#This Row],[Kor1]],$AI$3:$AK$105,3,FALSE)</f>
        <v>Commissions</v>
      </c>
      <c r="X7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4"/>
      <c r="Z7664" t="s">
        <v>47</v>
      </c>
      <c r="AA7664" t="s">
        <v>268</v>
      </c>
      <c r="AB7664" t="s">
        <v>351</v>
      </c>
      <c r="AC7664" s="21">
        <v>282.07</v>
      </c>
      <c r="AD7664" s="21" t="s">
        <v>368</v>
      </c>
      <c r="AE7664" t="str">
        <f>VLOOKUP(Table_Query_from_Actuarial___Production3[[#This Row],[Kor1]],$AI$3:$AK$105,3,FALSE)</f>
        <v>Investment Income</v>
      </c>
      <c r="AF7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5" spans="18:32" x14ac:dyDescent="0.2">
      <c r="R7665" t="s">
        <v>11</v>
      </c>
      <c r="S7665" t="s">
        <v>4</v>
      </c>
      <c r="T7665" t="s">
        <v>6</v>
      </c>
      <c r="U7665" s="21">
        <v>2709072.1</v>
      </c>
      <c r="V7665" s="21" t="s">
        <v>368</v>
      </c>
      <c r="W7665" t="str">
        <f>VLOOKUP(Table_Query_from_Actuarial___Production[[#This Row],[Kor1]],$AI$3:$AK$105,3,FALSE)</f>
        <v>Losses Paid</v>
      </c>
      <c r="X7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5"/>
      <c r="Z7665" t="s">
        <v>33</v>
      </c>
      <c r="AA7665" t="s">
        <v>258</v>
      </c>
      <c r="AB7665" t="s">
        <v>6</v>
      </c>
      <c r="AC7665" s="21">
        <v>16725.560000000001</v>
      </c>
      <c r="AD7665" s="21" t="s">
        <v>368</v>
      </c>
      <c r="AE7665" t="str">
        <f>VLOOKUP(Table_Query_from_Actuarial___Production3[[#This Row],[Kor1]],$AI$3:$AK$105,3,FALSE)</f>
        <v>Misc. Expense</v>
      </c>
      <c r="AF7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6" spans="18:32" x14ac:dyDescent="0.2">
      <c r="R7666" t="s">
        <v>40</v>
      </c>
      <c r="S7666" t="s">
        <v>256</v>
      </c>
      <c r="T7666" t="s">
        <v>9</v>
      </c>
      <c r="U7666" s="21">
        <v>71</v>
      </c>
      <c r="V7666" s="21" t="s">
        <v>368</v>
      </c>
      <c r="W7666" t="str">
        <f>VLOOKUP(Table_Query_from_Actuarial___Production[[#This Row],[Kor1]],$AI$3:$AK$105,3,FALSE)</f>
        <v>Misc. Income</v>
      </c>
      <c r="X7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6"/>
      <c r="Z7666" t="s">
        <v>36</v>
      </c>
      <c r="AA7666" t="s">
        <v>264</v>
      </c>
      <c r="AB7666" t="s">
        <v>8</v>
      </c>
      <c r="AC7666" s="21">
        <v>-135.75</v>
      </c>
      <c r="AD7666" s="21" t="s">
        <v>368</v>
      </c>
      <c r="AE7666" t="str">
        <f>VLOOKUP(Table_Query_from_Actuarial___Production3[[#This Row],[Kor1]],$AI$3:$AK$105,3,FALSE)</f>
        <v>Misc. Expense</v>
      </c>
      <c r="AF7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7" spans="18:32" x14ac:dyDescent="0.2">
      <c r="R7667" t="s">
        <v>41</v>
      </c>
      <c r="S7667" t="s">
        <v>239</v>
      </c>
      <c r="T7667" t="s">
        <v>441</v>
      </c>
      <c r="U7667" s="21">
        <v>49.98</v>
      </c>
      <c r="V7667" s="21" t="s">
        <v>368</v>
      </c>
      <c r="W7667" t="str">
        <f>VLOOKUP(Table_Query_from_Actuarial___Production[[#This Row],[Kor1]],$AI$3:$AK$105,3,FALSE)</f>
        <v>Misc. Income</v>
      </c>
      <c r="X7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7"/>
      <c r="Z7667" t="s">
        <v>40</v>
      </c>
      <c r="AA7667" t="s">
        <v>235</v>
      </c>
      <c r="AB7667" t="s">
        <v>9</v>
      </c>
      <c r="AC7667" s="21">
        <v>85.99</v>
      </c>
      <c r="AD7667" s="21" t="s">
        <v>368</v>
      </c>
      <c r="AE7667" t="str">
        <f>VLOOKUP(Table_Query_from_Actuarial___Production3[[#This Row],[Kor1]],$AI$3:$AK$105,3,FALSE)</f>
        <v>Misc. Income</v>
      </c>
      <c r="AF7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68" spans="18:32" x14ac:dyDescent="0.2">
      <c r="R7668" t="s">
        <v>47</v>
      </c>
      <c r="S7668" t="s">
        <v>258</v>
      </c>
      <c r="T7668" t="s">
        <v>445</v>
      </c>
      <c r="U7668" s="21">
        <v>77762.16</v>
      </c>
      <c r="V7668" s="21" t="s">
        <v>368</v>
      </c>
      <c r="W7668" t="str">
        <f>VLOOKUP(Table_Query_from_Actuarial___Production[[#This Row],[Kor1]],$AI$3:$AK$105,3,FALSE)</f>
        <v>Investment Income</v>
      </c>
      <c r="X7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8"/>
      <c r="Z7668" t="s">
        <v>43</v>
      </c>
      <c r="AA7668" t="s">
        <v>226</v>
      </c>
      <c r="AB7668" t="s">
        <v>6</v>
      </c>
      <c r="AC7668" s="21">
        <v>-1007.55</v>
      </c>
      <c r="AD7668" s="21" t="s">
        <v>368</v>
      </c>
      <c r="AE7668" t="str">
        <f>VLOOKUP(Table_Query_from_Actuarial___Production3[[#This Row],[Kor1]],$AI$3:$AK$105,3,FALSE)</f>
        <v>Charge-offs</v>
      </c>
      <c r="AF7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669" spans="18:32" x14ac:dyDescent="0.2">
      <c r="R7669" t="s">
        <v>16</v>
      </c>
      <c r="S7669" t="s">
        <v>258</v>
      </c>
      <c r="T7669" t="s">
        <v>445</v>
      </c>
      <c r="U7669" s="21">
        <v>89098.68</v>
      </c>
      <c r="V7669" s="21" t="s">
        <v>368</v>
      </c>
      <c r="W7669" t="str">
        <f>VLOOKUP(Table_Query_from_Actuarial___Production[[#This Row],[Kor1]],$AI$3:$AK$105,3,FALSE)</f>
        <v>Losses Outstanding</v>
      </c>
      <c r="X7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69"/>
      <c r="Z7669" t="s">
        <v>24</v>
      </c>
      <c r="AA7669" t="s">
        <v>259</v>
      </c>
      <c r="AB7669" t="s">
        <v>427</v>
      </c>
      <c r="AC7669" s="21">
        <v>-20.38</v>
      </c>
      <c r="AD7669" s="21" t="s">
        <v>368</v>
      </c>
      <c r="AE7669" t="str">
        <f>VLOOKUP(Table_Query_from_Actuarial___Production3[[#This Row],[Kor1]],$AI$3:$AK$105,3,FALSE)</f>
        <v>Misc. Expense</v>
      </c>
      <c r="AF7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0" spans="18:32" x14ac:dyDescent="0.2">
      <c r="R7670" t="s">
        <v>36</v>
      </c>
      <c r="S7670" t="s">
        <v>252</v>
      </c>
      <c r="T7670" t="s">
        <v>441</v>
      </c>
      <c r="U7670" s="21">
        <v>449252.52</v>
      </c>
      <c r="V7670" s="21" t="s">
        <v>368</v>
      </c>
      <c r="W7670" t="str">
        <f>VLOOKUP(Table_Query_from_Actuarial___Production[[#This Row],[Kor1]],$AI$3:$AK$105,3,FALSE)</f>
        <v>Misc. Expense</v>
      </c>
      <c r="X7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0"/>
      <c r="Z7670" t="s">
        <v>13</v>
      </c>
      <c r="AA7670" t="s">
        <v>224</v>
      </c>
      <c r="AB7670" t="s">
        <v>442</v>
      </c>
      <c r="AC7670" s="21">
        <v>2260.84</v>
      </c>
      <c r="AD7670" s="21" t="s">
        <v>425</v>
      </c>
      <c r="AE7670" t="str">
        <f>VLOOKUP(Table_Query_from_Actuarial___Production3[[#This Row],[Kor1]],$AI$3:$AK$105,3,FALSE)</f>
        <v>Operating Service Fees</v>
      </c>
      <c r="AF7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671" spans="18:32" x14ac:dyDescent="0.2">
      <c r="R7671" t="s">
        <v>33</v>
      </c>
      <c r="S7671" t="s">
        <v>240</v>
      </c>
      <c r="T7671" t="s">
        <v>351</v>
      </c>
      <c r="U7671" s="21">
        <v>16711.55</v>
      </c>
      <c r="V7671" s="21" t="s">
        <v>368</v>
      </c>
      <c r="W7671" t="str">
        <f>VLOOKUP(Table_Query_from_Actuarial___Production[[#This Row],[Kor1]],$AI$3:$AK$105,3,FALSE)</f>
        <v>Misc. Expense</v>
      </c>
      <c r="X7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1"/>
      <c r="Z7671" t="s">
        <v>10</v>
      </c>
      <c r="AA7671" t="s">
        <v>266</v>
      </c>
      <c r="AB7671" t="s">
        <v>8</v>
      </c>
      <c r="AC7671" s="21">
        <v>29511.27</v>
      </c>
      <c r="AD7671" s="21" t="s">
        <v>368</v>
      </c>
      <c r="AE7671" t="str">
        <f>VLOOKUP(Table_Query_from_Actuarial___Production3[[#This Row],[Kor1]],$AI$3:$AK$105,3,FALSE)</f>
        <v>Commissions</v>
      </c>
      <c r="AF7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2" spans="18:32" x14ac:dyDescent="0.2">
      <c r="R7672" t="s">
        <v>48</v>
      </c>
      <c r="S7672" t="s">
        <v>227</v>
      </c>
      <c r="T7672" t="s">
        <v>433</v>
      </c>
      <c r="U7672" s="21">
        <v>4.13</v>
      </c>
      <c r="V7672" s="21" t="s">
        <v>368</v>
      </c>
      <c r="W7672" t="str">
        <f>VLOOKUP(Table_Query_from_Actuarial___Production[[#This Row],[Kor1]],$AI$3:$AK$105,3,FALSE)</f>
        <v>Anticipated Salvage</v>
      </c>
      <c r="X7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2"/>
      <c r="Z7672" t="s">
        <v>43</v>
      </c>
      <c r="AA7672" t="s">
        <v>237</v>
      </c>
      <c r="AB7672" t="s">
        <v>433</v>
      </c>
      <c r="AC7672" s="21">
        <v>-1380.95</v>
      </c>
      <c r="AD7672" s="21" t="s">
        <v>368</v>
      </c>
      <c r="AE7672" t="str">
        <f>VLOOKUP(Table_Query_from_Actuarial___Production3[[#This Row],[Kor1]],$AI$3:$AK$105,3,FALSE)</f>
        <v>Charge-offs</v>
      </c>
      <c r="AF7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3" spans="18:32" x14ac:dyDescent="0.2">
      <c r="R7673" t="s">
        <v>14</v>
      </c>
      <c r="S7673" t="s">
        <v>259</v>
      </c>
      <c r="T7673" t="s">
        <v>442</v>
      </c>
      <c r="U7673" s="21">
        <v>2900.41</v>
      </c>
      <c r="V7673" s="21" t="s">
        <v>368</v>
      </c>
      <c r="W7673" t="str">
        <f>VLOOKUP(Table_Query_from_Actuarial___Production[[#This Row],[Kor1]],$AI$3:$AK$105,3,FALSE)</f>
        <v>Claims Expense</v>
      </c>
      <c r="X7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3"/>
      <c r="Z7673" t="s">
        <v>14</v>
      </c>
      <c r="AA7673" t="s">
        <v>229</v>
      </c>
      <c r="AB7673" t="s">
        <v>6</v>
      </c>
      <c r="AC7673" s="21">
        <v>2050.63</v>
      </c>
      <c r="AD7673" s="21" t="s">
        <v>368</v>
      </c>
      <c r="AE7673" t="str">
        <f>VLOOKUP(Table_Query_from_Actuarial___Production3[[#This Row],[Kor1]],$AI$3:$AK$105,3,FALSE)</f>
        <v>Claims Expense</v>
      </c>
      <c r="AF7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4" spans="18:32" x14ac:dyDescent="0.2">
      <c r="R7674" t="s">
        <v>40</v>
      </c>
      <c r="S7674" t="s">
        <v>243</v>
      </c>
      <c r="T7674" t="s">
        <v>441</v>
      </c>
      <c r="U7674" s="21">
        <v>17</v>
      </c>
      <c r="V7674" s="21" t="s">
        <v>368</v>
      </c>
      <c r="W7674" t="str">
        <f>VLOOKUP(Table_Query_from_Actuarial___Production[[#This Row],[Kor1]],$AI$3:$AK$105,3,FALSE)</f>
        <v>Misc. Income</v>
      </c>
      <c r="X7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4"/>
      <c r="Z7674" t="s">
        <v>14</v>
      </c>
      <c r="AA7674" t="s">
        <v>231</v>
      </c>
      <c r="AB7674" t="s">
        <v>351</v>
      </c>
      <c r="AC7674" s="21">
        <v>8760.2800000000007</v>
      </c>
      <c r="AD7674" s="21" t="s">
        <v>368</v>
      </c>
      <c r="AE7674" t="str">
        <f>VLOOKUP(Table_Query_from_Actuarial___Production3[[#This Row],[Kor1]],$AI$3:$AK$105,3,FALSE)</f>
        <v>Claims Expense</v>
      </c>
      <c r="AF7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5" spans="18:32" x14ac:dyDescent="0.2">
      <c r="R7675" t="s">
        <v>16</v>
      </c>
      <c r="S7675" t="s">
        <v>354</v>
      </c>
      <c r="T7675" t="s">
        <v>9</v>
      </c>
      <c r="U7675" s="21">
        <v>97841</v>
      </c>
      <c r="V7675" s="21" t="s">
        <v>368</v>
      </c>
      <c r="W7675" t="str">
        <f>VLOOKUP(Table_Query_from_Actuarial___Production[[#This Row],[Kor1]],$AI$3:$AK$105,3,FALSE)</f>
        <v>Losses Outstanding</v>
      </c>
      <c r="X7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675"/>
      <c r="Z7675" t="s">
        <v>17</v>
      </c>
      <c r="AA7675" t="s">
        <v>261</v>
      </c>
      <c r="AB7675" t="s">
        <v>443</v>
      </c>
      <c r="AC7675" s="21">
        <v>4239.3999999999996</v>
      </c>
      <c r="AD7675" s="21" t="s">
        <v>368</v>
      </c>
      <c r="AE7675" t="str">
        <f>VLOOKUP(Table_Query_from_Actuarial___Production3[[#This Row],[Kor1]],$AI$3:$AK$105,3,FALSE)</f>
        <v>IBNR</v>
      </c>
      <c r="AF7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6" spans="18:32" x14ac:dyDescent="0.2">
      <c r="R7676" t="s">
        <v>13</v>
      </c>
      <c r="S7676" t="s">
        <v>232</v>
      </c>
      <c r="T7676" t="s">
        <v>9</v>
      </c>
      <c r="U7676" s="21">
        <v>274249.3</v>
      </c>
      <c r="V7676" s="21" t="s">
        <v>368</v>
      </c>
      <c r="W7676" t="str">
        <f>VLOOKUP(Table_Query_from_Actuarial___Production[[#This Row],[Kor1]],$AI$3:$AK$105,3,FALSE)</f>
        <v>Operating Service Fees</v>
      </c>
      <c r="X7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6"/>
      <c r="Z7676" t="s">
        <v>49</v>
      </c>
      <c r="AA7676" t="s">
        <v>230</v>
      </c>
      <c r="AB7676" t="s">
        <v>6</v>
      </c>
      <c r="AC7676" s="21">
        <v>1680734.19</v>
      </c>
      <c r="AD7676" s="21" t="s">
        <v>368</v>
      </c>
      <c r="AE7676" t="str">
        <f>VLOOKUP(Table_Query_from_Actuarial___Production3[[#This Row],[Kor1]],$AI$3:$AK$105,3,FALSE)</f>
        <v>ALAE Paid</v>
      </c>
      <c r="AF7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7" spans="18:32" x14ac:dyDescent="0.2">
      <c r="R7677" t="s">
        <v>47</v>
      </c>
      <c r="S7677" t="s">
        <v>240</v>
      </c>
      <c r="T7677" t="s">
        <v>443</v>
      </c>
      <c r="U7677" s="21">
        <v>18315.36</v>
      </c>
      <c r="V7677" s="21" t="s">
        <v>368</v>
      </c>
      <c r="W7677" t="str">
        <f>VLOOKUP(Table_Query_from_Actuarial___Production[[#This Row],[Kor1]],$AI$3:$AK$105,3,FALSE)</f>
        <v>Investment Income</v>
      </c>
      <c r="X7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7"/>
      <c r="Z7677" t="s">
        <v>12</v>
      </c>
      <c r="AA7677" t="s">
        <v>250</v>
      </c>
      <c r="AB7677" t="s">
        <v>8</v>
      </c>
      <c r="AC7677" s="21">
        <v>21792.720000000001</v>
      </c>
      <c r="AD7677" s="21" t="s">
        <v>368</v>
      </c>
      <c r="AE7677" t="str">
        <f>VLOOKUP(Table_Query_from_Actuarial___Production3[[#This Row],[Kor1]],$AI$3:$AK$105,3,FALSE)</f>
        <v>Premium Tax</v>
      </c>
      <c r="AF7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8" spans="18:32" x14ac:dyDescent="0.2">
      <c r="R7678" t="s">
        <v>47</v>
      </c>
      <c r="S7678" t="s">
        <v>268</v>
      </c>
      <c r="T7678" t="s">
        <v>351</v>
      </c>
      <c r="U7678" s="21">
        <v>282.07</v>
      </c>
      <c r="V7678" s="21" t="s">
        <v>368</v>
      </c>
      <c r="W7678" t="str">
        <f>VLOOKUP(Table_Query_from_Actuarial___Production[[#This Row],[Kor1]],$AI$3:$AK$105,3,FALSE)</f>
        <v>Investment Income</v>
      </c>
      <c r="X7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8"/>
      <c r="Z7678" t="s">
        <v>13</v>
      </c>
      <c r="AA7678" t="s">
        <v>246</v>
      </c>
      <c r="AB7678" t="s">
        <v>356</v>
      </c>
      <c r="AC7678" s="21">
        <v>338203.19</v>
      </c>
      <c r="AD7678" s="21" t="s">
        <v>368</v>
      </c>
      <c r="AE7678" t="str">
        <f>VLOOKUP(Table_Query_from_Actuarial___Production3[[#This Row],[Kor1]],$AI$3:$AK$105,3,FALSE)</f>
        <v>Operating Service Fees</v>
      </c>
      <c r="AF7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79" spans="18:32" x14ac:dyDescent="0.2">
      <c r="R7679" t="s">
        <v>12</v>
      </c>
      <c r="S7679" t="s">
        <v>248</v>
      </c>
      <c r="T7679" t="s">
        <v>445</v>
      </c>
      <c r="U7679" s="21">
        <v>7027.92</v>
      </c>
      <c r="V7679" s="21" t="s">
        <v>368</v>
      </c>
      <c r="W7679" t="str">
        <f>VLOOKUP(Table_Query_from_Actuarial___Production[[#This Row],[Kor1]],$AI$3:$AK$105,3,FALSE)</f>
        <v>Premium Tax</v>
      </c>
      <c r="X7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79"/>
      <c r="Z7679" t="s">
        <v>34</v>
      </c>
      <c r="AA7679" t="s">
        <v>228</v>
      </c>
      <c r="AB7679" t="s">
        <v>6</v>
      </c>
      <c r="AC7679" s="21">
        <v>2.63</v>
      </c>
      <c r="AD7679" s="21" t="s">
        <v>368</v>
      </c>
      <c r="AE7679" t="str">
        <f>VLOOKUP(Table_Query_from_Actuarial___Production3[[#This Row],[Kor1]],$AI$3:$AK$105,3,FALSE)</f>
        <v>Misc. Expense</v>
      </c>
      <c r="AF7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0" spans="18:32" x14ac:dyDescent="0.2">
      <c r="R7680" t="s">
        <v>33</v>
      </c>
      <c r="S7680" t="s">
        <v>258</v>
      </c>
      <c r="T7680" t="s">
        <v>6</v>
      </c>
      <c r="U7680" s="21">
        <v>16725.560000000001</v>
      </c>
      <c r="V7680" s="21" t="s">
        <v>368</v>
      </c>
      <c r="W7680" t="str">
        <f>VLOOKUP(Table_Query_from_Actuarial___Production[[#This Row],[Kor1]],$AI$3:$AK$105,3,FALSE)</f>
        <v>Misc. Expense</v>
      </c>
      <c r="X7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0"/>
      <c r="Z7680" t="s">
        <v>37</v>
      </c>
      <c r="AA7680" t="s">
        <v>241</v>
      </c>
      <c r="AB7680" t="s">
        <v>9</v>
      </c>
      <c r="AC7680" s="21">
        <v>326.31</v>
      </c>
      <c r="AD7680" s="21" t="s">
        <v>368</v>
      </c>
      <c r="AE7680" t="str">
        <f>VLOOKUP(Table_Query_from_Actuarial___Production3[[#This Row],[Kor1]],$AI$3:$AK$105,3,FALSE)</f>
        <v>Misc. Expense</v>
      </c>
      <c r="AF7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1" spans="18:32" x14ac:dyDescent="0.2">
      <c r="R7681" t="s">
        <v>36</v>
      </c>
      <c r="S7681" t="s">
        <v>264</v>
      </c>
      <c r="T7681" t="s">
        <v>8</v>
      </c>
      <c r="U7681" s="21">
        <v>-135.75</v>
      </c>
      <c r="V7681" s="21" t="s">
        <v>368</v>
      </c>
      <c r="W7681" t="str">
        <f>VLOOKUP(Table_Query_from_Actuarial___Production[[#This Row],[Kor1]],$AI$3:$AK$105,3,FALSE)</f>
        <v>Misc. Expense</v>
      </c>
      <c r="X7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1"/>
      <c r="Z7681" t="s">
        <v>49</v>
      </c>
      <c r="AA7681" t="s">
        <v>225</v>
      </c>
      <c r="AB7681" t="s">
        <v>427</v>
      </c>
      <c r="AC7681" s="21">
        <v>332631.83</v>
      </c>
      <c r="AD7681" s="21" t="s">
        <v>368</v>
      </c>
      <c r="AE7681" t="str">
        <f>VLOOKUP(Table_Query_from_Actuarial___Production3[[#This Row],[Kor1]],$AI$3:$AK$105,3,FALSE)</f>
        <v>ALAE Paid</v>
      </c>
      <c r="AF7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682" spans="18:32" x14ac:dyDescent="0.2">
      <c r="R7682" t="s">
        <v>40</v>
      </c>
      <c r="S7682" t="s">
        <v>235</v>
      </c>
      <c r="T7682" t="s">
        <v>9</v>
      </c>
      <c r="U7682" s="21">
        <v>85.99</v>
      </c>
      <c r="V7682" s="21" t="s">
        <v>368</v>
      </c>
      <c r="W7682" t="str">
        <f>VLOOKUP(Table_Query_from_Actuarial___Production[[#This Row],[Kor1]],$AI$3:$AK$105,3,FALSE)</f>
        <v>Misc. Income</v>
      </c>
      <c r="X7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2"/>
      <c r="Z7682" t="s">
        <v>13</v>
      </c>
      <c r="AA7682" t="s">
        <v>265</v>
      </c>
      <c r="AB7682" t="s">
        <v>427</v>
      </c>
      <c r="AC7682" s="21">
        <v>208054.98</v>
      </c>
      <c r="AD7682" s="21" t="s">
        <v>368</v>
      </c>
      <c r="AE7682" t="str">
        <f>VLOOKUP(Table_Query_from_Actuarial___Production3[[#This Row],[Kor1]],$AI$3:$AK$105,3,FALSE)</f>
        <v>Operating Service Fees</v>
      </c>
      <c r="AF7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3" spans="18:32" x14ac:dyDescent="0.2">
      <c r="R7683" t="s">
        <v>43</v>
      </c>
      <c r="S7683" t="s">
        <v>226</v>
      </c>
      <c r="T7683" t="s">
        <v>6</v>
      </c>
      <c r="U7683" s="21">
        <v>-1007.55</v>
      </c>
      <c r="V7683" s="21" t="s">
        <v>368</v>
      </c>
      <c r="W7683" t="str">
        <f>VLOOKUP(Table_Query_from_Actuarial___Production[[#This Row],[Kor1]],$AI$3:$AK$105,3,FALSE)</f>
        <v>Charge-offs</v>
      </c>
      <c r="X7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683"/>
      <c r="Z7683" t="s">
        <v>40</v>
      </c>
      <c r="AA7683" t="s">
        <v>250</v>
      </c>
      <c r="AB7683" t="s">
        <v>441</v>
      </c>
      <c r="AC7683" s="21">
        <v>72.989999999999995</v>
      </c>
      <c r="AD7683" s="21" t="s">
        <v>368</v>
      </c>
      <c r="AE7683" t="str">
        <f>VLOOKUP(Table_Query_from_Actuarial___Production3[[#This Row],[Kor1]],$AI$3:$AK$105,3,FALSE)</f>
        <v>Misc. Income</v>
      </c>
      <c r="AF7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4" spans="18:32" x14ac:dyDescent="0.2">
      <c r="R7684" t="s">
        <v>24</v>
      </c>
      <c r="S7684" t="s">
        <v>259</v>
      </c>
      <c r="T7684" t="s">
        <v>427</v>
      </c>
      <c r="U7684" s="21">
        <v>-20.38</v>
      </c>
      <c r="V7684" s="21" t="s">
        <v>368</v>
      </c>
      <c r="W7684" t="str">
        <f>VLOOKUP(Table_Query_from_Actuarial___Production[[#This Row],[Kor1]],$AI$3:$AK$105,3,FALSE)</f>
        <v>Misc. Expense</v>
      </c>
      <c r="X7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4"/>
      <c r="Z7684" t="s">
        <v>11</v>
      </c>
      <c r="AA7684" t="s">
        <v>250</v>
      </c>
      <c r="AB7684" t="s">
        <v>8</v>
      </c>
      <c r="AC7684" s="21">
        <v>972263.05</v>
      </c>
      <c r="AD7684" s="21" t="s">
        <v>368</v>
      </c>
      <c r="AE7684" t="str">
        <f>VLOOKUP(Table_Query_from_Actuarial___Production3[[#This Row],[Kor1]],$AI$3:$AK$105,3,FALSE)</f>
        <v>Losses Paid</v>
      </c>
      <c r="AF7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5" spans="18:32" x14ac:dyDescent="0.2">
      <c r="R7685" t="s">
        <v>13</v>
      </c>
      <c r="S7685" t="s">
        <v>224</v>
      </c>
      <c r="T7685" t="s">
        <v>442</v>
      </c>
      <c r="U7685" s="21">
        <v>2087.85</v>
      </c>
      <c r="V7685" s="21" t="s">
        <v>425</v>
      </c>
      <c r="W7685" t="str">
        <f>VLOOKUP(Table_Query_from_Actuarial___Production[[#This Row],[Kor1]],$AI$3:$AK$105,3,FALSE)</f>
        <v>Operating Service Fees</v>
      </c>
      <c r="X7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685"/>
      <c r="Z7685" t="s">
        <v>44</v>
      </c>
      <c r="AA7685" t="s">
        <v>235</v>
      </c>
      <c r="AB7685" t="s">
        <v>5</v>
      </c>
      <c r="AC7685" s="21">
        <v>1</v>
      </c>
      <c r="AD7685" s="21" t="s">
        <v>368</v>
      </c>
      <c r="AE7685" t="str">
        <f>VLOOKUP(Table_Query_from_Actuarial___Production3[[#This Row],[Kor1]],$AI$3:$AK$105,3,FALSE)</f>
        <v>Charge-offs</v>
      </c>
      <c r="AF7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6" spans="18:32" x14ac:dyDescent="0.2">
      <c r="R7686" t="s">
        <v>10</v>
      </c>
      <c r="S7686" t="s">
        <v>266</v>
      </c>
      <c r="T7686" t="s">
        <v>8</v>
      </c>
      <c r="U7686" s="21">
        <v>29511.27</v>
      </c>
      <c r="V7686" s="21" t="s">
        <v>368</v>
      </c>
      <c r="W7686" t="str">
        <f>VLOOKUP(Table_Query_from_Actuarial___Production[[#This Row],[Kor1]],$AI$3:$AK$105,3,FALSE)</f>
        <v>Commissions</v>
      </c>
      <c r="X7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6"/>
      <c r="Z7686" t="s">
        <v>47</v>
      </c>
      <c r="AA7686" t="s">
        <v>262</v>
      </c>
      <c r="AB7686" t="s">
        <v>442</v>
      </c>
      <c r="AC7686" s="21">
        <v>2891.66</v>
      </c>
      <c r="AD7686" s="21" t="s">
        <v>368</v>
      </c>
      <c r="AE7686" t="str">
        <f>VLOOKUP(Table_Query_from_Actuarial___Production3[[#This Row],[Kor1]],$AI$3:$AK$105,3,FALSE)</f>
        <v>Investment Income</v>
      </c>
      <c r="AF7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7" spans="18:32" x14ac:dyDescent="0.2">
      <c r="R7687" t="s">
        <v>43</v>
      </c>
      <c r="S7687" t="s">
        <v>237</v>
      </c>
      <c r="T7687" t="s">
        <v>433</v>
      </c>
      <c r="U7687" s="21">
        <v>-1380.95</v>
      </c>
      <c r="V7687" s="21" t="s">
        <v>368</v>
      </c>
      <c r="W7687" t="str">
        <f>VLOOKUP(Table_Query_from_Actuarial___Production[[#This Row],[Kor1]],$AI$3:$AK$105,3,FALSE)</f>
        <v>Charge-offs</v>
      </c>
      <c r="X7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7"/>
      <c r="Z7687" t="s">
        <v>49</v>
      </c>
      <c r="AA7687" t="s">
        <v>240</v>
      </c>
      <c r="AB7687" t="s">
        <v>351</v>
      </c>
      <c r="AC7687" s="21">
        <v>140332.87</v>
      </c>
      <c r="AD7687" s="21" t="s">
        <v>368</v>
      </c>
      <c r="AE7687" t="str">
        <f>VLOOKUP(Table_Query_from_Actuarial___Production3[[#This Row],[Kor1]],$AI$3:$AK$105,3,FALSE)</f>
        <v>ALAE Paid</v>
      </c>
      <c r="AF7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8" spans="18:32" x14ac:dyDescent="0.2">
      <c r="R7688" t="s">
        <v>17</v>
      </c>
      <c r="S7688" t="s">
        <v>225</v>
      </c>
      <c r="T7688" t="s">
        <v>445</v>
      </c>
      <c r="U7688" s="21">
        <v>212284.08</v>
      </c>
      <c r="V7688" s="21" t="s">
        <v>368</v>
      </c>
      <c r="W7688" t="str">
        <f>VLOOKUP(Table_Query_from_Actuarial___Production[[#This Row],[Kor1]],$AI$3:$AK$105,3,FALSE)</f>
        <v>IBNR</v>
      </c>
      <c r="X7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688"/>
      <c r="Z7688" t="s">
        <v>17</v>
      </c>
      <c r="AA7688" t="s">
        <v>251</v>
      </c>
      <c r="AB7688" t="s">
        <v>427</v>
      </c>
      <c r="AC7688" s="21">
        <v>123677.06</v>
      </c>
      <c r="AD7688" s="21" t="s">
        <v>368</v>
      </c>
      <c r="AE7688" t="str">
        <f>VLOOKUP(Table_Query_from_Actuarial___Production3[[#This Row],[Kor1]],$AI$3:$AK$105,3,FALSE)</f>
        <v>IBNR</v>
      </c>
      <c r="AF7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89" spans="18:32" x14ac:dyDescent="0.2">
      <c r="R7689" t="s">
        <v>14</v>
      </c>
      <c r="S7689" t="s">
        <v>229</v>
      </c>
      <c r="T7689" t="s">
        <v>6</v>
      </c>
      <c r="U7689" s="21">
        <v>2050.63</v>
      </c>
      <c r="V7689" s="21" t="s">
        <v>368</v>
      </c>
      <c r="W7689" t="str">
        <f>VLOOKUP(Table_Query_from_Actuarial___Production[[#This Row],[Kor1]],$AI$3:$AK$105,3,FALSE)</f>
        <v>Claims Expense</v>
      </c>
      <c r="X7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89"/>
      <c r="Z7689" t="s">
        <v>47</v>
      </c>
      <c r="AA7689" t="s">
        <v>252</v>
      </c>
      <c r="AB7689" t="s">
        <v>5</v>
      </c>
      <c r="AC7689" s="21">
        <v>11.89</v>
      </c>
      <c r="AD7689" s="21" t="s">
        <v>368</v>
      </c>
      <c r="AE7689" t="str">
        <f>VLOOKUP(Table_Query_from_Actuarial___Production3[[#This Row],[Kor1]],$AI$3:$AK$105,3,FALSE)</f>
        <v>Investment Income</v>
      </c>
      <c r="AF7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0" spans="18:32" x14ac:dyDescent="0.2">
      <c r="R7690" t="s">
        <v>14</v>
      </c>
      <c r="S7690" t="s">
        <v>231</v>
      </c>
      <c r="T7690" t="s">
        <v>351</v>
      </c>
      <c r="U7690" s="21">
        <v>8760.2800000000007</v>
      </c>
      <c r="V7690" s="21" t="s">
        <v>368</v>
      </c>
      <c r="W7690" t="str">
        <f>VLOOKUP(Table_Query_from_Actuarial___Production[[#This Row],[Kor1]],$AI$3:$AK$105,3,FALSE)</f>
        <v>Claims Expense</v>
      </c>
      <c r="X7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0"/>
      <c r="Z7690" t="s">
        <v>21</v>
      </c>
      <c r="AA7690" t="s">
        <v>261</v>
      </c>
      <c r="AB7690" t="s">
        <v>356</v>
      </c>
      <c r="AC7690" s="21">
        <v>2200</v>
      </c>
      <c r="AD7690" s="21" t="s">
        <v>368</v>
      </c>
      <c r="AE7690" t="str">
        <f>VLOOKUP(Table_Query_from_Actuarial___Production3[[#This Row],[Kor1]],$AI$3:$AK$105,3,FALSE)</f>
        <v>Misc. Expense</v>
      </c>
      <c r="AF7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1" spans="18:32" x14ac:dyDescent="0.2">
      <c r="R7691" t="s">
        <v>17</v>
      </c>
      <c r="S7691" t="s">
        <v>261</v>
      </c>
      <c r="T7691" t="s">
        <v>443</v>
      </c>
      <c r="U7691" s="21">
        <v>75967.02</v>
      </c>
      <c r="V7691" s="21" t="s">
        <v>368</v>
      </c>
      <c r="W7691" t="str">
        <f>VLOOKUP(Table_Query_from_Actuarial___Production[[#This Row],[Kor1]],$AI$3:$AK$105,3,FALSE)</f>
        <v>IBNR</v>
      </c>
      <c r="X7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1"/>
      <c r="Z7691" t="s">
        <v>49</v>
      </c>
      <c r="AA7691" t="s">
        <v>261</v>
      </c>
      <c r="AB7691" t="s">
        <v>8</v>
      </c>
      <c r="AC7691" s="21">
        <v>204103.08</v>
      </c>
      <c r="AD7691" s="21" t="s">
        <v>368</v>
      </c>
      <c r="AE7691" t="str">
        <f>VLOOKUP(Table_Query_from_Actuarial___Production3[[#This Row],[Kor1]],$AI$3:$AK$105,3,FALSE)</f>
        <v>ALAE Paid</v>
      </c>
      <c r="AF7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2" spans="18:32" x14ac:dyDescent="0.2">
      <c r="R7692" t="s">
        <v>17</v>
      </c>
      <c r="S7692" t="s">
        <v>4</v>
      </c>
      <c r="T7692" t="s">
        <v>7</v>
      </c>
      <c r="U7692" s="21">
        <v>100000</v>
      </c>
      <c r="V7692" s="21" t="s">
        <v>368</v>
      </c>
      <c r="W7692" t="str">
        <f>VLOOKUP(Table_Query_from_Actuarial___Production[[#This Row],[Kor1]],$AI$3:$AK$105,3,FALSE)</f>
        <v>IBNR</v>
      </c>
      <c r="X7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2"/>
      <c r="Z7692" t="s">
        <v>49</v>
      </c>
      <c r="AA7692" t="s">
        <v>263</v>
      </c>
      <c r="AB7692" t="s">
        <v>427</v>
      </c>
      <c r="AC7692" s="21">
        <v>2343</v>
      </c>
      <c r="AD7692" s="21" t="s">
        <v>368</v>
      </c>
      <c r="AE7692" t="str">
        <f>VLOOKUP(Table_Query_from_Actuarial___Production3[[#This Row],[Kor1]],$AI$3:$AK$105,3,FALSE)</f>
        <v>ALAE Paid</v>
      </c>
      <c r="AF7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3" spans="18:32" x14ac:dyDescent="0.2">
      <c r="R7693" t="s">
        <v>49</v>
      </c>
      <c r="S7693" t="s">
        <v>230</v>
      </c>
      <c r="T7693" t="s">
        <v>6</v>
      </c>
      <c r="U7693" s="21">
        <v>1680734.19</v>
      </c>
      <c r="V7693" s="21" t="s">
        <v>368</v>
      </c>
      <c r="W7693" t="str">
        <f>VLOOKUP(Table_Query_from_Actuarial___Production[[#This Row],[Kor1]],$AI$3:$AK$105,3,FALSE)</f>
        <v>ALAE Paid</v>
      </c>
      <c r="X7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3"/>
      <c r="Z7693" t="s">
        <v>14</v>
      </c>
      <c r="AA7693" t="s">
        <v>235</v>
      </c>
      <c r="AB7693" t="s">
        <v>442</v>
      </c>
      <c r="AC7693" s="21">
        <v>11547.49</v>
      </c>
      <c r="AD7693" s="21" t="s">
        <v>368</v>
      </c>
      <c r="AE7693" t="str">
        <f>VLOOKUP(Table_Query_from_Actuarial___Production3[[#This Row],[Kor1]],$AI$3:$AK$105,3,FALSE)</f>
        <v>Claims Expense</v>
      </c>
      <c r="AF7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4" spans="18:32" x14ac:dyDescent="0.2">
      <c r="R7694" t="s">
        <v>12</v>
      </c>
      <c r="S7694" t="s">
        <v>250</v>
      </c>
      <c r="T7694" t="s">
        <v>8</v>
      </c>
      <c r="U7694" s="21">
        <v>21792.720000000001</v>
      </c>
      <c r="V7694" s="21" t="s">
        <v>368</v>
      </c>
      <c r="W7694" t="str">
        <f>VLOOKUP(Table_Query_from_Actuarial___Production[[#This Row],[Kor1]],$AI$3:$AK$105,3,FALSE)</f>
        <v>Premium Tax</v>
      </c>
      <c r="X7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4"/>
      <c r="Z7694" t="s">
        <v>19</v>
      </c>
      <c r="AA7694" t="s">
        <v>256</v>
      </c>
      <c r="AB7694" t="s">
        <v>8</v>
      </c>
      <c r="AC7694" s="21">
        <v>200</v>
      </c>
      <c r="AD7694" s="21" t="s">
        <v>368</v>
      </c>
      <c r="AE7694" t="str">
        <f>VLOOKUP(Table_Query_from_Actuarial___Production3[[#This Row],[Kor1]],$AI$3:$AK$105,3,FALSE)</f>
        <v>Misc. Expense for Insolvent Companies</v>
      </c>
      <c r="AF7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5" spans="18:32" x14ac:dyDescent="0.2">
      <c r="R7695" t="s">
        <v>13</v>
      </c>
      <c r="S7695" t="s">
        <v>246</v>
      </c>
      <c r="T7695" t="s">
        <v>356</v>
      </c>
      <c r="U7695" s="21">
        <v>338203.19</v>
      </c>
      <c r="V7695" s="21" t="s">
        <v>368</v>
      </c>
      <c r="W7695" t="str">
        <f>VLOOKUP(Table_Query_from_Actuarial___Production[[#This Row],[Kor1]],$AI$3:$AK$105,3,FALSE)</f>
        <v>Operating Service Fees</v>
      </c>
      <c r="X7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5"/>
      <c r="Z7695" t="s">
        <v>40</v>
      </c>
      <c r="AA7695" t="s">
        <v>266</v>
      </c>
      <c r="AB7695" t="s">
        <v>442</v>
      </c>
      <c r="AC7695" s="21">
        <v>1.01</v>
      </c>
      <c r="AD7695" s="21" t="s">
        <v>368</v>
      </c>
      <c r="AE7695" t="str">
        <f>VLOOKUP(Table_Query_from_Actuarial___Production3[[#This Row],[Kor1]],$AI$3:$AK$105,3,FALSE)</f>
        <v>Misc. Income</v>
      </c>
      <c r="AF7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6" spans="18:32" x14ac:dyDescent="0.2">
      <c r="R7696" t="s">
        <v>34</v>
      </c>
      <c r="S7696" t="s">
        <v>228</v>
      </c>
      <c r="T7696" t="s">
        <v>6</v>
      </c>
      <c r="U7696" s="21">
        <v>2.63</v>
      </c>
      <c r="V7696" s="21" t="s">
        <v>368</v>
      </c>
      <c r="W7696" t="str">
        <f>VLOOKUP(Table_Query_from_Actuarial___Production[[#This Row],[Kor1]],$AI$3:$AK$105,3,FALSE)</f>
        <v>Misc. Expense</v>
      </c>
      <c r="X7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6"/>
      <c r="Z7696" t="s">
        <v>44</v>
      </c>
      <c r="AA7696" t="s">
        <v>238</v>
      </c>
      <c r="AB7696" t="s">
        <v>6</v>
      </c>
      <c r="AC7696" s="21">
        <v>1158</v>
      </c>
      <c r="AD7696" s="21" t="s">
        <v>368</v>
      </c>
      <c r="AE7696" t="str">
        <f>VLOOKUP(Table_Query_from_Actuarial___Production3[[#This Row],[Kor1]],$AI$3:$AK$105,3,FALSE)</f>
        <v>Charge-offs</v>
      </c>
      <c r="AF7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7" spans="18:32" x14ac:dyDescent="0.2">
      <c r="R7697" t="s">
        <v>37</v>
      </c>
      <c r="S7697" t="s">
        <v>241</v>
      </c>
      <c r="T7697" t="s">
        <v>9</v>
      </c>
      <c r="U7697" s="21">
        <v>326.31</v>
      </c>
      <c r="V7697" s="21" t="s">
        <v>368</v>
      </c>
      <c r="W7697" t="str">
        <f>VLOOKUP(Table_Query_from_Actuarial___Production[[#This Row],[Kor1]],$AI$3:$AK$105,3,FALSE)</f>
        <v>Misc. Expense</v>
      </c>
      <c r="X7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7"/>
      <c r="Z7697" t="s">
        <v>10</v>
      </c>
      <c r="AA7697" t="s">
        <v>226</v>
      </c>
      <c r="AB7697" t="s">
        <v>442</v>
      </c>
      <c r="AC7697" s="21">
        <v>368514.65</v>
      </c>
      <c r="AD7697" s="21" t="s">
        <v>368</v>
      </c>
      <c r="AE7697" t="str">
        <f>VLOOKUP(Table_Query_from_Actuarial___Production3[[#This Row],[Kor1]],$AI$3:$AK$105,3,FALSE)</f>
        <v>Commissions</v>
      </c>
      <c r="AF7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698" spans="18:32" x14ac:dyDescent="0.2">
      <c r="R7698" t="s">
        <v>49</v>
      </c>
      <c r="S7698" t="s">
        <v>225</v>
      </c>
      <c r="T7698" t="s">
        <v>427</v>
      </c>
      <c r="U7698" s="21">
        <v>454317.87</v>
      </c>
      <c r="V7698" s="21" t="s">
        <v>368</v>
      </c>
      <c r="W7698" t="str">
        <f>VLOOKUP(Table_Query_from_Actuarial___Production[[#This Row],[Kor1]],$AI$3:$AK$105,3,FALSE)</f>
        <v>ALAE Paid</v>
      </c>
      <c r="X7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698"/>
      <c r="Z7698" t="s">
        <v>3</v>
      </c>
      <c r="AA7698" t="s">
        <v>229</v>
      </c>
      <c r="AB7698" t="s">
        <v>443</v>
      </c>
      <c r="AC7698" s="21">
        <v>20713</v>
      </c>
      <c r="AD7698" s="21" t="s">
        <v>368</v>
      </c>
      <c r="AE7698" t="str">
        <f>VLOOKUP(Table_Query_from_Actuarial___Production3[[#This Row],[Kor1]],$AI$3:$AK$105,3,FALSE)</f>
        <v>Premiums Written</v>
      </c>
      <c r="AF7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699" spans="18:32" x14ac:dyDescent="0.2">
      <c r="R7699" t="s">
        <v>13</v>
      </c>
      <c r="S7699" t="s">
        <v>265</v>
      </c>
      <c r="T7699" t="s">
        <v>427</v>
      </c>
      <c r="U7699" s="21">
        <v>208054.98</v>
      </c>
      <c r="V7699" s="21" t="s">
        <v>368</v>
      </c>
      <c r="W7699" t="str">
        <f>VLOOKUP(Table_Query_from_Actuarial___Production[[#This Row],[Kor1]],$AI$3:$AK$105,3,FALSE)</f>
        <v>Operating Service Fees</v>
      </c>
      <c r="X7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699"/>
      <c r="Z7699" t="s">
        <v>21</v>
      </c>
      <c r="AA7699" t="s">
        <v>235</v>
      </c>
      <c r="AB7699" t="s">
        <v>9</v>
      </c>
      <c r="AC7699" s="21">
        <v>1812.01</v>
      </c>
      <c r="AD7699" s="21" t="s">
        <v>368</v>
      </c>
      <c r="AE7699" t="str">
        <f>VLOOKUP(Table_Query_from_Actuarial___Production3[[#This Row],[Kor1]],$AI$3:$AK$105,3,FALSE)</f>
        <v>Misc. Expense</v>
      </c>
      <c r="AF7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0" spans="18:32" x14ac:dyDescent="0.2">
      <c r="R7700" t="s">
        <v>40</v>
      </c>
      <c r="S7700" t="s">
        <v>250</v>
      </c>
      <c r="T7700" t="s">
        <v>441</v>
      </c>
      <c r="U7700" s="21">
        <v>72.989999999999995</v>
      </c>
      <c r="V7700" s="21" t="s">
        <v>368</v>
      </c>
      <c r="W7700" t="str">
        <f>VLOOKUP(Table_Query_from_Actuarial___Production[[#This Row],[Kor1]],$AI$3:$AK$105,3,FALSE)</f>
        <v>Misc. Income</v>
      </c>
      <c r="X7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0"/>
      <c r="Z7700" t="s">
        <v>40</v>
      </c>
      <c r="AA7700" t="s">
        <v>230</v>
      </c>
      <c r="AB7700" t="s">
        <v>7</v>
      </c>
      <c r="AC7700" s="21">
        <v>11347.28</v>
      </c>
      <c r="AD7700" s="21" t="s">
        <v>368</v>
      </c>
      <c r="AE7700" t="str">
        <f>VLOOKUP(Table_Query_from_Actuarial___Production3[[#This Row],[Kor1]],$AI$3:$AK$105,3,FALSE)</f>
        <v>Misc. Income</v>
      </c>
      <c r="AF7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1" spans="18:32" x14ac:dyDescent="0.2">
      <c r="R7701" t="s">
        <v>11</v>
      </c>
      <c r="S7701" t="s">
        <v>250</v>
      </c>
      <c r="T7701" t="s">
        <v>8</v>
      </c>
      <c r="U7701" s="21">
        <v>972263.05</v>
      </c>
      <c r="V7701" s="21" t="s">
        <v>368</v>
      </c>
      <c r="W7701" t="str">
        <f>VLOOKUP(Table_Query_from_Actuarial___Production[[#This Row],[Kor1]],$AI$3:$AK$105,3,FALSE)</f>
        <v>Losses Paid</v>
      </c>
      <c r="X7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1"/>
      <c r="Z7701" t="s">
        <v>14</v>
      </c>
      <c r="AA7701" t="s">
        <v>224</v>
      </c>
      <c r="AB7701" t="s">
        <v>443</v>
      </c>
      <c r="AC7701" s="21">
        <v>29560.98</v>
      </c>
      <c r="AD7701" s="21" t="s">
        <v>368</v>
      </c>
      <c r="AE7701" t="str">
        <f>VLOOKUP(Table_Query_from_Actuarial___Production3[[#This Row],[Kor1]],$AI$3:$AK$105,3,FALSE)</f>
        <v>Claims Expense</v>
      </c>
      <c r="AF7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702" spans="18:32" x14ac:dyDescent="0.2">
      <c r="R7702" t="s">
        <v>47</v>
      </c>
      <c r="S7702" t="s">
        <v>262</v>
      </c>
      <c r="T7702" t="s">
        <v>442</v>
      </c>
      <c r="U7702" s="21">
        <v>2891.66</v>
      </c>
      <c r="V7702" s="21" t="s">
        <v>368</v>
      </c>
      <c r="W7702" t="str">
        <f>VLOOKUP(Table_Query_from_Actuarial___Production[[#This Row],[Kor1]],$AI$3:$AK$105,3,FALSE)</f>
        <v>Investment Income</v>
      </c>
      <c r="X7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2"/>
      <c r="Z7702" t="s">
        <v>31</v>
      </c>
      <c r="AA7702" t="s">
        <v>254</v>
      </c>
      <c r="AB7702" t="s">
        <v>443</v>
      </c>
      <c r="AC7702" s="21">
        <v>5073.2299999999996</v>
      </c>
      <c r="AD7702" s="21" t="s">
        <v>368</v>
      </c>
      <c r="AE7702" t="str">
        <f>VLOOKUP(Table_Query_from_Actuarial___Production3[[#This Row],[Kor1]],$AI$3:$AK$105,3,FALSE)</f>
        <v>Misc. Expense</v>
      </c>
      <c r="AF7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3" spans="18:32" x14ac:dyDescent="0.2">
      <c r="R7703" t="s">
        <v>49</v>
      </c>
      <c r="S7703" t="s">
        <v>240</v>
      </c>
      <c r="T7703" t="s">
        <v>351</v>
      </c>
      <c r="U7703" s="21">
        <v>140332.87</v>
      </c>
      <c r="V7703" s="21" t="s">
        <v>368</v>
      </c>
      <c r="W7703" t="str">
        <f>VLOOKUP(Table_Query_from_Actuarial___Production[[#This Row],[Kor1]],$AI$3:$AK$105,3,FALSE)</f>
        <v>ALAE Paid</v>
      </c>
      <c r="X7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3"/>
      <c r="Z7703" t="s">
        <v>49</v>
      </c>
      <c r="AA7703" t="s">
        <v>237</v>
      </c>
      <c r="AB7703" t="s">
        <v>441</v>
      </c>
      <c r="AC7703" s="21">
        <v>399073.11</v>
      </c>
      <c r="AD7703" s="21" t="s">
        <v>368</v>
      </c>
      <c r="AE7703" t="str">
        <f>VLOOKUP(Table_Query_from_Actuarial___Production3[[#This Row],[Kor1]],$AI$3:$AK$105,3,FALSE)</f>
        <v>ALAE Paid</v>
      </c>
      <c r="AF7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4" spans="18:32" x14ac:dyDescent="0.2">
      <c r="R7704" t="s">
        <v>20</v>
      </c>
      <c r="S7704" t="s">
        <v>238</v>
      </c>
      <c r="T7704" t="s">
        <v>445</v>
      </c>
      <c r="U7704" s="21">
        <v>56.93</v>
      </c>
      <c r="V7704" s="21" t="s">
        <v>368</v>
      </c>
      <c r="W7704" t="str">
        <f>VLOOKUP(Table_Query_from_Actuarial___Production[[#This Row],[Kor1]],$AI$3:$AK$105,3,FALSE)</f>
        <v>Misc. Expense</v>
      </c>
      <c r="X7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4"/>
      <c r="Z7704" t="s">
        <v>10</v>
      </c>
      <c r="AA7704" t="s">
        <v>241</v>
      </c>
      <c r="AB7704" t="s">
        <v>9</v>
      </c>
      <c r="AC7704" s="21">
        <v>57829.87</v>
      </c>
      <c r="AD7704" s="21" t="s">
        <v>368</v>
      </c>
      <c r="AE7704" t="str">
        <f>VLOOKUP(Table_Query_from_Actuarial___Production3[[#This Row],[Kor1]],$AI$3:$AK$105,3,FALSE)</f>
        <v>Commissions</v>
      </c>
      <c r="AF7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5" spans="18:32" x14ac:dyDescent="0.2">
      <c r="R7705" t="s">
        <v>21</v>
      </c>
      <c r="S7705" t="s">
        <v>261</v>
      </c>
      <c r="T7705" t="s">
        <v>356</v>
      </c>
      <c r="U7705" s="21">
        <v>2200</v>
      </c>
      <c r="V7705" s="21" t="s">
        <v>368</v>
      </c>
      <c r="W7705" t="str">
        <f>VLOOKUP(Table_Query_from_Actuarial___Production[[#This Row],[Kor1]],$AI$3:$AK$105,3,FALSE)</f>
        <v>Misc. Expense</v>
      </c>
      <c r="X7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5"/>
      <c r="Z7705" t="s">
        <v>20</v>
      </c>
      <c r="AA7705" t="s">
        <v>257</v>
      </c>
      <c r="AB7705" t="s">
        <v>7</v>
      </c>
      <c r="AC7705" s="21">
        <v>4239.1000000000004</v>
      </c>
      <c r="AD7705" s="21" t="s">
        <v>368</v>
      </c>
      <c r="AE7705" t="str">
        <f>VLOOKUP(Table_Query_from_Actuarial___Production3[[#This Row],[Kor1]],$AI$3:$AK$105,3,FALSE)</f>
        <v>Misc. Expense</v>
      </c>
      <c r="AF7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6" spans="18:32" x14ac:dyDescent="0.2">
      <c r="R7706" t="s">
        <v>49</v>
      </c>
      <c r="S7706" t="s">
        <v>261</v>
      </c>
      <c r="T7706" t="s">
        <v>8</v>
      </c>
      <c r="U7706" s="21">
        <v>204451.49</v>
      </c>
      <c r="V7706" s="21" t="s">
        <v>368</v>
      </c>
      <c r="W7706" t="str">
        <f>VLOOKUP(Table_Query_from_Actuarial___Production[[#This Row],[Kor1]],$AI$3:$AK$105,3,FALSE)</f>
        <v>ALAE Paid</v>
      </c>
      <c r="X7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6"/>
      <c r="Z7706" t="s">
        <v>31</v>
      </c>
      <c r="AA7706" t="s">
        <v>238</v>
      </c>
      <c r="AB7706" t="s">
        <v>443</v>
      </c>
      <c r="AC7706" s="21">
        <v>1263.45</v>
      </c>
      <c r="AD7706" s="21" t="s">
        <v>368</v>
      </c>
      <c r="AE7706" t="str">
        <f>VLOOKUP(Table_Query_from_Actuarial___Production3[[#This Row],[Kor1]],$AI$3:$AK$105,3,FALSE)</f>
        <v>Misc. Expense</v>
      </c>
      <c r="AF7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7" spans="18:32" x14ac:dyDescent="0.2">
      <c r="R7707" t="s">
        <v>49</v>
      </c>
      <c r="S7707" t="s">
        <v>263</v>
      </c>
      <c r="T7707" t="s">
        <v>427</v>
      </c>
      <c r="U7707" s="21">
        <v>2343</v>
      </c>
      <c r="V7707" s="21" t="s">
        <v>368</v>
      </c>
      <c r="W7707" t="str">
        <f>VLOOKUP(Table_Query_from_Actuarial___Production[[#This Row],[Kor1]],$AI$3:$AK$105,3,FALSE)</f>
        <v>ALAE Paid</v>
      </c>
      <c r="X7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7"/>
      <c r="Z7707" t="s">
        <v>31</v>
      </c>
      <c r="AA7707" t="s">
        <v>267</v>
      </c>
      <c r="AB7707" t="s">
        <v>433</v>
      </c>
      <c r="AC7707" s="21">
        <v>887.91</v>
      </c>
      <c r="AD7707" s="21" t="s">
        <v>368</v>
      </c>
      <c r="AE7707" t="str">
        <f>VLOOKUP(Table_Query_from_Actuarial___Production3[[#This Row],[Kor1]],$AI$3:$AK$105,3,FALSE)</f>
        <v>Misc. Expense</v>
      </c>
      <c r="AF7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8" spans="18:32" x14ac:dyDescent="0.2">
      <c r="R7708" t="s">
        <v>3</v>
      </c>
      <c r="S7708" t="s">
        <v>253</v>
      </c>
      <c r="T7708" t="s">
        <v>445</v>
      </c>
      <c r="U7708" s="21">
        <v>20394</v>
      </c>
      <c r="V7708" s="21" t="s">
        <v>368</v>
      </c>
      <c r="W7708" t="str">
        <f>VLOOKUP(Table_Query_from_Actuarial___Production[[#This Row],[Kor1]],$AI$3:$AK$105,3,FALSE)</f>
        <v>Premiums Written</v>
      </c>
      <c r="X7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8"/>
      <c r="Z7708" t="s">
        <v>48</v>
      </c>
      <c r="AA7708" t="s">
        <v>250</v>
      </c>
      <c r="AB7708" t="s">
        <v>442</v>
      </c>
      <c r="AC7708" s="21">
        <v>5403.08</v>
      </c>
      <c r="AD7708" s="21" t="s">
        <v>368</v>
      </c>
      <c r="AE7708" t="str">
        <f>VLOOKUP(Table_Query_from_Actuarial___Production3[[#This Row],[Kor1]],$AI$3:$AK$105,3,FALSE)</f>
        <v>Anticipated Salvage</v>
      </c>
      <c r="AF7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09" spans="18:32" x14ac:dyDescent="0.2">
      <c r="R7709" t="s">
        <v>14</v>
      </c>
      <c r="S7709" t="s">
        <v>235</v>
      </c>
      <c r="T7709" t="s">
        <v>442</v>
      </c>
      <c r="U7709" s="21">
        <v>12774.23</v>
      </c>
      <c r="V7709" s="21" t="s">
        <v>368</v>
      </c>
      <c r="W7709" t="str">
        <f>VLOOKUP(Table_Query_from_Actuarial___Production[[#This Row],[Kor1]],$AI$3:$AK$105,3,FALSE)</f>
        <v>Claims Expense</v>
      </c>
      <c r="X7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09"/>
      <c r="Z7709" t="s">
        <v>47</v>
      </c>
      <c r="AA7709" t="s">
        <v>238</v>
      </c>
      <c r="AB7709" t="s">
        <v>351</v>
      </c>
      <c r="AC7709" s="21">
        <v>557.46</v>
      </c>
      <c r="AD7709" s="21" t="s">
        <v>368</v>
      </c>
      <c r="AE7709" t="str">
        <f>VLOOKUP(Table_Query_from_Actuarial___Production3[[#This Row],[Kor1]],$AI$3:$AK$105,3,FALSE)</f>
        <v>Investment Income</v>
      </c>
      <c r="AF7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0" spans="18:32" x14ac:dyDescent="0.2">
      <c r="R7710" t="s">
        <v>19</v>
      </c>
      <c r="S7710" t="s">
        <v>256</v>
      </c>
      <c r="T7710" t="s">
        <v>8</v>
      </c>
      <c r="U7710" s="21">
        <v>200</v>
      </c>
      <c r="V7710" s="21" t="s">
        <v>368</v>
      </c>
      <c r="W7710" t="str">
        <f>VLOOKUP(Table_Query_from_Actuarial___Production[[#This Row],[Kor1]],$AI$3:$AK$105,3,FALSE)</f>
        <v>Misc. Expense for Insolvent Companies</v>
      </c>
      <c r="X7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0"/>
      <c r="Z7710" t="s">
        <v>43</v>
      </c>
      <c r="AA7710" t="s">
        <v>265</v>
      </c>
      <c r="AB7710" t="s">
        <v>427</v>
      </c>
      <c r="AC7710" s="21">
        <v>2223.92</v>
      </c>
      <c r="AD7710" s="21" t="s">
        <v>368</v>
      </c>
      <c r="AE7710" t="str">
        <f>VLOOKUP(Table_Query_from_Actuarial___Production3[[#This Row],[Kor1]],$AI$3:$AK$105,3,FALSE)</f>
        <v>Charge-offs</v>
      </c>
      <c r="AF7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1" spans="18:32" x14ac:dyDescent="0.2">
      <c r="R7711" t="s">
        <v>40</v>
      </c>
      <c r="S7711" t="s">
        <v>266</v>
      </c>
      <c r="T7711" t="s">
        <v>442</v>
      </c>
      <c r="U7711" s="21">
        <v>1.01</v>
      </c>
      <c r="V7711" s="21" t="s">
        <v>368</v>
      </c>
      <c r="W7711" t="str">
        <f>VLOOKUP(Table_Query_from_Actuarial___Production[[#This Row],[Kor1]],$AI$3:$AK$105,3,FALSE)</f>
        <v>Misc. Income</v>
      </c>
      <c r="X7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1"/>
      <c r="Z7711" t="s">
        <v>3</v>
      </c>
      <c r="AA7711" t="s">
        <v>258</v>
      </c>
      <c r="AB7711" t="s">
        <v>443</v>
      </c>
      <c r="AC7711" s="21">
        <v>1216533</v>
      </c>
      <c r="AD7711" s="21" t="s">
        <v>368</v>
      </c>
      <c r="AE7711" t="str">
        <f>VLOOKUP(Table_Query_from_Actuarial___Production3[[#This Row],[Kor1]],$AI$3:$AK$105,3,FALSE)</f>
        <v>Premiums Written</v>
      </c>
      <c r="AF7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2" spans="18:32" x14ac:dyDescent="0.2">
      <c r="R7712" t="s">
        <v>43</v>
      </c>
      <c r="S7712" t="s">
        <v>239</v>
      </c>
      <c r="T7712" t="s">
        <v>445</v>
      </c>
      <c r="U7712" s="21">
        <v>-149.07</v>
      </c>
      <c r="V7712" s="21" t="s">
        <v>368</v>
      </c>
      <c r="W7712" t="str">
        <f>VLOOKUP(Table_Query_from_Actuarial___Production[[#This Row],[Kor1]],$AI$3:$AK$105,3,FALSE)</f>
        <v>Charge-offs</v>
      </c>
      <c r="X7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2"/>
      <c r="Z7712" t="s">
        <v>12</v>
      </c>
      <c r="AA7712" t="s">
        <v>261</v>
      </c>
      <c r="AB7712" t="s">
        <v>441</v>
      </c>
      <c r="AC7712" s="21">
        <v>4671.59</v>
      </c>
      <c r="AD7712" s="21" t="s">
        <v>368</v>
      </c>
      <c r="AE7712" t="str">
        <f>VLOOKUP(Table_Query_from_Actuarial___Production3[[#This Row],[Kor1]],$AI$3:$AK$105,3,FALSE)</f>
        <v>Premium Tax</v>
      </c>
      <c r="AF7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3" spans="18:32" x14ac:dyDescent="0.2">
      <c r="R7713" t="s">
        <v>44</v>
      </c>
      <c r="S7713" t="s">
        <v>238</v>
      </c>
      <c r="T7713" t="s">
        <v>6</v>
      </c>
      <c r="U7713" s="21">
        <v>1158</v>
      </c>
      <c r="V7713" s="21" t="s">
        <v>368</v>
      </c>
      <c r="W7713" t="str">
        <f>VLOOKUP(Table_Query_from_Actuarial___Production[[#This Row],[Kor1]],$AI$3:$AK$105,3,FALSE)</f>
        <v>Charge-offs</v>
      </c>
      <c r="X7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3"/>
      <c r="Z7713" t="s">
        <v>31</v>
      </c>
      <c r="AA7713" t="s">
        <v>228</v>
      </c>
      <c r="AB7713" t="s">
        <v>5</v>
      </c>
      <c r="AC7713" s="21">
        <v>21</v>
      </c>
      <c r="AD7713" s="21" t="s">
        <v>368</v>
      </c>
      <c r="AE7713" t="str">
        <f>VLOOKUP(Table_Query_from_Actuarial___Production3[[#This Row],[Kor1]],$AI$3:$AK$105,3,FALSE)</f>
        <v>Misc. Expense</v>
      </c>
      <c r="AF7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4" spans="18:32" x14ac:dyDescent="0.2">
      <c r="R7714" t="s">
        <v>10</v>
      </c>
      <c r="S7714" t="s">
        <v>226</v>
      </c>
      <c r="T7714" t="s">
        <v>442</v>
      </c>
      <c r="U7714" s="21">
        <v>368288</v>
      </c>
      <c r="V7714" s="21" t="s">
        <v>368</v>
      </c>
      <c r="W7714" t="str">
        <f>VLOOKUP(Table_Query_from_Actuarial___Production[[#This Row],[Kor1]],$AI$3:$AK$105,3,FALSE)</f>
        <v>Commissions</v>
      </c>
      <c r="X7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714"/>
      <c r="Z7714" t="s">
        <v>32</v>
      </c>
      <c r="AA7714" t="s">
        <v>240</v>
      </c>
      <c r="AB7714" t="s">
        <v>8</v>
      </c>
      <c r="AC7714" s="21">
        <v>50061.05</v>
      </c>
      <c r="AD7714" s="21" t="s">
        <v>368</v>
      </c>
      <c r="AE7714" t="str">
        <f>VLOOKUP(Table_Query_from_Actuarial___Production3[[#This Row],[Kor1]],$AI$3:$AK$105,3,FALSE)</f>
        <v>Misc. Expense</v>
      </c>
      <c r="AF7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5" spans="18:32" x14ac:dyDescent="0.2">
      <c r="R7715" t="s">
        <v>3</v>
      </c>
      <c r="S7715" t="s">
        <v>229</v>
      </c>
      <c r="T7715" t="s">
        <v>443</v>
      </c>
      <c r="U7715" s="21">
        <v>64785</v>
      </c>
      <c r="V7715" s="21" t="s">
        <v>368</v>
      </c>
      <c r="W7715" t="str">
        <f>VLOOKUP(Table_Query_from_Actuarial___Production[[#This Row],[Kor1]],$AI$3:$AK$105,3,FALSE)</f>
        <v>Premiums Written</v>
      </c>
      <c r="X7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5"/>
      <c r="Z7715" t="s">
        <v>40</v>
      </c>
      <c r="AA7715" t="s">
        <v>251</v>
      </c>
      <c r="AB7715" t="s">
        <v>7</v>
      </c>
      <c r="AC7715" s="21">
        <v>27</v>
      </c>
      <c r="AD7715" s="21" t="s">
        <v>368</v>
      </c>
      <c r="AE7715" t="str">
        <f>VLOOKUP(Table_Query_from_Actuarial___Production3[[#This Row],[Kor1]],$AI$3:$AK$105,3,FALSE)</f>
        <v>Misc. Income</v>
      </c>
      <c r="AF7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6" spans="18:32" x14ac:dyDescent="0.2">
      <c r="R7716" t="s">
        <v>21</v>
      </c>
      <c r="S7716" t="s">
        <v>235</v>
      </c>
      <c r="T7716" t="s">
        <v>9</v>
      </c>
      <c r="U7716" s="21">
        <v>1812.01</v>
      </c>
      <c r="V7716" s="21" t="s">
        <v>368</v>
      </c>
      <c r="W7716" t="str">
        <f>VLOOKUP(Table_Query_from_Actuarial___Production[[#This Row],[Kor1]],$AI$3:$AK$105,3,FALSE)</f>
        <v>Misc. Expense</v>
      </c>
      <c r="X7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6"/>
      <c r="Z7716" t="s">
        <v>40</v>
      </c>
      <c r="AA7716" t="s">
        <v>243</v>
      </c>
      <c r="AB7716" t="s">
        <v>351</v>
      </c>
      <c r="AC7716" s="21">
        <v>14</v>
      </c>
      <c r="AD7716" s="21" t="s">
        <v>368</v>
      </c>
      <c r="AE7716" t="str">
        <f>VLOOKUP(Table_Query_from_Actuarial___Production3[[#This Row],[Kor1]],$AI$3:$AK$105,3,FALSE)</f>
        <v>Misc. Income</v>
      </c>
      <c r="AF7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7" spans="18:32" x14ac:dyDescent="0.2">
      <c r="R7717" t="s">
        <v>40</v>
      </c>
      <c r="S7717" t="s">
        <v>230</v>
      </c>
      <c r="T7717" t="s">
        <v>7</v>
      </c>
      <c r="U7717" s="21">
        <v>11347.28</v>
      </c>
      <c r="V7717" s="21" t="s">
        <v>368</v>
      </c>
      <c r="W7717" t="str">
        <f>VLOOKUP(Table_Query_from_Actuarial___Production[[#This Row],[Kor1]],$AI$3:$AK$105,3,FALSE)</f>
        <v>Misc. Income</v>
      </c>
      <c r="X7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17"/>
      <c r="Z7717" t="s">
        <v>22</v>
      </c>
      <c r="AA7717" t="s">
        <v>259</v>
      </c>
      <c r="AB7717" t="s">
        <v>5</v>
      </c>
      <c r="AC7717" s="21">
        <v>7563.46</v>
      </c>
      <c r="AD7717" s="21" t="s">
        <v>368</v>
      </c>
      <c r="AE7717" t="str">
        <f>VLOOKUP(Table_Query_from_Actuarial___Production3[[#This Row],[Kor1]],$AI$3:$AK$105,3,FALSE)</f>
        <v>Misc. Expense</v>
      </c>
      <c r="AF7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8" spans="18:32" x14ac:dyDescent="0.2">
      <c r="R7718" t="s">
        <v>46</v>
      </c>
      <c r="S7718" t="s">
        <v>225</v>
      </c>
      <c r="T7718" t="s">
        <v>445</v>
      </c>
      <c r="U7718" s="21">
        <v>12258.04</v>
      </c>
      <c r="V7718" s="21" t="s">
        <v>368</v>
      </c>
      <c r="W7718" t="str">
        <f>VLOOKUP(Table_Query_from_Actuarial___Production[[#This Row],[Kor1]],$AI$3:$AK$105,3,FALSE)</f>
        <v>Investment Income</v>
      </c>
      <c r="X7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718"/>
      <c r="Z7718" t="s">
        <v>13</v>
      </c>
      <c r="AA7718" t="s">
        <v>255</v>
      </c>
      <c r="AB7718" t="s">
        <v>5</v>
      </c>
      <c r="AC7718" s="21">
        <v>49163.13</v>
      </c>
      <c r="AD7718" s="21" t="s">
        <v>368</v>
      </c>
      <c r="AE7718" t="str">
        <f>VLOOKUP(Table_Query_from_Actuarial___Production3[[#This Row],[Kor1]],$AI$3:$AK$105,3,FALSE)</f>
        <v>Operating Service Fees</v>
      </c>
      <c r="AF7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19" spans="18:32" x14ac:dyDescent="0.2">
      <c r="R7719" t="s">
        <v>14</v>
      </c>
      <c r="S7719" t="s">
        <v>224</v>
      </c>
      <c r="T7719" t="s">
        <v>443</v>
      </c>
      <c r="U7719" s="21">
        <v>205317.38</v>
      </c>
      <c r="V7719" s="21" t="s">
        <v>368</v>
      </c>
      <c r="W7719" t="str">
        <f>VLOOKUP(Table_Query_from_Actuarial___Production[[#This Row],[Kor1]],$AI$3:$AK$105,3,FALSE)</f>
        <v>Claims Expense</v>
      </c>
      <c r="X7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719"/>
      <c r="Z7719" t="s">
        <v>31</v>
      </c>
      <c r="AA7719" t="s">
        <v>242</v>
      </c>
      <c r="AB7719" t="s">
        <v>7</v>
      </c>
      <c r="AC7719" s="21">
        <v>235.12</v>
      </c>
      <c r="AD7719" s="21" t="s">
        <v>368</v>
      </c>
      <c r="AE7719" t="str">
        <f>VLOOKUP(Table_Query_from_Actuarial___Production3[[#This Row],[Kor1]],$AI$3:$AK$105,3,FALSE)</f>
        <v>Misc. Expense</v>
      </c>
      <c r="AF7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0" spans="18:32" x14ac:dyDescent="0.2">
      <c r="R7720" t="s">
        <v>31</v>
      </c>
      <c r="S7720" t="s">
        <v>254</v>
      </c>
      <c r="T7720" t="s">
        <v>443</v>
      </c>
      <c r="U7720" s="21">
        <v>1709.59</v>
      </c>
      <c r="V7720" s="21" t="s">
        <v>368</v>
      </c>
      <c r="W7720" t="str">
        <f>VLOOKUP(Table_Query_from_Actuarial___Production[[#This Row],[Kor1]],$AI$3:$AK$105,3,FALSE)</f>
        <v>Misc. Expense</v>
      </c>
      <c r="X7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0"/>
      <c r="Z7720" t="s">
        <v>31</v>
      </c>
      <c r="AA7720" t="s">
        <v>243</v>
      </c>
      <c r="AB7720" t="s">
        <v>442</v>
      </c>
      <c r="AC7720" s="21">
        <v>1004.81</v>
      </c>
      <c r="AD7720" s="21" t="s">
        <v>368</v>
      </c>
      <c r="AE7720" t="str">
        <f>VLOOKUP(Table_Query_from_Actuarial___Production3[[#This Row],[Kor1]],$AI$3:$AK$105,3,FALSE)</f>
        <v>Misc. Expense</v>
      </c>
      <c r="AF7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1" spans="18:32" x14ac:dyDescent="0.2">
      <c r="R7721" t="s">
        <v>49</v>
      </c>
      <c r="S7721" t="s">
        <v>237</v>
      </c>
      <c r="T7721" t="s">
        <v>441</v>
      </c>
      <c r="U7721" s="21">
        <v>1181611.4099999999</v>
      </c>
      <c r="V7721" s="21" t="s">
        <v>368</v>
      </c>
      <c r="W7721" t="str">
        <f>VLOOKUP(Table_Query_from_Actuarial___Production[[#This Row],[Kor1]],$AI$3:$AK$105,3,FALSE)</f>
        <v>ALAE Paid</v>
      </c>
      <c r="X7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1"/>
      <c r="Z7721" t="s">
        <v>31</v>
      </c>
      <c r="AA7721" t="s">
        <v>235</v>
      </c>
      <c r="AB7721" t="s">
        <v>441</v>
      </c>
      <c r="AC7721" s="21">
        <v>896.69</v>
      </c>
      <c r="AD7721" s="21" t="s">
        <v>368</v>
      </c>
      <c r="AE7721" t="str">
        <f>VLOOKUP(Table_Query_from_Actuarial___Production3[[#This Row],[Kor1]],$AI$3:$AK$105,3,FALSE)</f>
        <v>Misc. Expense</v>
      </c>
      <c r="AF7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2" spans="18:32" x14ac:dyDescent="0.2">
      <c r="R7722" t="s">
        <v>10</v>
      </c>
      <c r="S7722" t="s">
        <v>241</v>
      </c>
      <c r="T7722" t="s">
        <v>9</v>
      </c>
      <c r="U7722" s="21">
        <v>57829.87</v>
      </c>
      <c r="V7722" s="21" t="s">
        <v>368</v>
      </c>
      <c r="W7722" t="str">
        <f>VLOOKUP(Table_Query_from_Actuarial___Production[[#This Row],[Kor1]],$AI$3:$AK$105,3,FALSE)</f>
        <v>Commissions</v>
      </c>
      <c r="X7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2"/>
      <c r="Z7722" t="s">
        <v>18</v>
      </c>
      <c r="AA7722" t="s">
        <v>224</v>
      </c>
      <c r="AB7722" t="s">
        <v>441</v>
      </c>
      <c r="AC7722" s="21">
        <v>7109.65</v>
      </c>
      <c r="AD7722" s="21" t="s">
        <v>369</v>
      </c>
      <c r="AE7722" t="str">
        <f>VLOOKUP(Table_Query_from_Actuarial___Production3[[#This Row],[Kor1]],$AI$3:$AK$105,3,FALSE)</f>
        <v>Misc. Expense</v>
      </c>
      <c r="AF7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723" spans="18:32" x14ac:dyDescent="0.2">
      <c r="R7723" t="s">
        <v>20</v>
      </c>
      <c r="S7723" t="s">
        <v>257</v>
      </c>
      <c r="T7723" t="s">
        <v>7</v>
      </c>
      <c r="U7723" s="21">
        <v>4239.1000000000004</v>
      </c>
      <c r="V7723" s="21" t="s">
        <v>368</v>
      </c>
      <c r="W7723" t="str">
        <f>VLOOKUP(Table_Query_from_Actuarial___Production[[#This Row],[Kor1]],$AI$3:$AK$105,3,FALSE)</f>
        <v>Misc. Expense</v>
      </c>
      <c r="X7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3"/>
      <c r="Z7723" t="s">
        <v>10</v>
      </c>
      <c r="AA7723" t="s">
        <v>224</v>
      </c>
      <c r="AB7723" t="s">
        <v>356</v>
      </c>
      <c r="AC7723" s="21">
        <v>1677.23</v>
      </c>
      <c r="AD7723" s="21" t="s">
        <v>425</v>
      </c>
      <c r="AE7723" t="str">
        <f>VLOOKUP(Table_Query_from_Actuarial___Production3[[#This Row],[Kor1]],$AI$3:$AK$105,3,FALSE)</f>
        <v>Commissions</v>
      </c>
      <c r="AF7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724" spans="18:32" x14ac:dyDescent="0.2">
      <c r="R7724" t="s">
        <v>31</v>
      </c>
      <c r="S7724" t="s">
        <v>238</v>
      </c>
      <c r="T7724" t="s">
        <v>443</v>
      </c>
      <c r="U7724" s="21">
        <v>1056.71</v>
      </c>
      <c r="V7724" s="21" t="s">
        <v>368</v>
      </c>
      <c r="W7724" t="str">
        <f>VLOOKUP(Table_Query_from_Actuarial___Production[[#This Row],[Kor1]],$AI$3:$AK$105,3,FALSE)</f>
        <v>Misc. Expense</v>
      </c>
      <c r="X7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4"/>
      <c r="Z7724" t="s">
        <v>132</v>
      </c>
      <c r="AA7724" t="s">
        <v>354</v>
      </c>
      <c r="AB7724" t="s">
        <v>8</v>
      </c>
      <c r="AC7724" s="21">
        <v>154805441.72</v>
      </c>
      <c r="AD7724" s="21" t="s">
        <v>369</v>
      </c>
      <c r="AE7724" t="str">
        <f>VLOOKUP(Table_Query_from_Actuarial___Production3[[#This Row],[Kor1]],$AI$3:$AK$105,3,FALSE)</f>
        <v>Clean Risk Subsidy</v>
      </c>
      <c r="AF7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725" spans="18:32" x14ac:dyDescent="0.2">
      <c r="R7725" t="s">
        <v>31</v>
      </c>
      <c r="S7725" t="s">
        <v>267</v>
      </c>
      <c r="T7725" t="s">
        <v>433</v>
      </c>
      <c r="U7725" s="21">
        <v>887.91</v>
      </c>
      <c r="V7725" s="21" t="s">
        <v>368</v>
      </c>
      <c r="W7725" t="str">
        <f>VLOOKUP(Table_Query_from_Actuarial___Production[[#This Row],[Kor1]],$AI$3:$AK$105,3,FALSE)</f>
        <v>Misc. Expense</v>
      </c>
      <c r="X7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5"/>
      <c r="Z7725" t="s">
        <v>13</v>
      </c>
      <c r="AA7725" t="s">
        <v>257</v>
      </c>
      <c r="AB7725" t="s">
        <v>356</v>
      </c>
      <c r="AC7725" s="21">
        <v>126866.08</v>
      </c>
      <c r="AD7725" s="21" t="s">
        <v>368</v>
      </c>
      <c r="AE7725" t="str">
        <f>VLOOKUP(Table_Query_from_Actuarial___Production3[[#This Row],[Kor1]],$AI$3:$AK$105,3,FALSE)</f>
        <v>Operating Service Fees</v>
      </c>
      <c r="AF7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6" spans="18:32" x14ac:dyDescent="0.2">
      <c r="R7726" t="s">
        <v>48</v>
      </c>
      <c r="S7726" t="s">
        <v>250</v>
      </c>
      <c r="T7726" t="s">
        <v>442</v>
      </c>
      <c r="U7726" s="21">
        <v>5551.82</v>
      </c>
      <c r="V7726" s="21" t="s">
        <v>368</v>
      </c>
      <c r="W7726" t="str">
        <f>VLOOKUP(Table_Query_from_Actuarial___Production[[#This Row],[Kor1]],$AI$3:$AK$105,3,FALSE)</f>
        <v>Anticipated Salvage</v>
      </c>
      <c r="X7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6"/>
      <c r="Z7726" t="s">
        <v>14</v>
      </c>
      <c r="AA7726" t="s">
        <v>248</v>
      </c>
      <c r="AB7726" t="s">
        <v>351</v>
      </c>
      <c r="AC7726" s="21">
        <v>7103.31</v>
      </c>
      <c r="AD7726" s="21" t="s">
        <v>368</v>
      </c>
      <c r="AE7726" t="str">
        <f>VLOOKUP(Table_Query_from_Actuarial___Production3[[#This Row],[Kor1]],$AI$3:$AK$105,3,FALSE)</f>
        <v>Claims Expense</v>
      </c>
      <c r="AF7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7" spans="18:32" x14ac:dyDescent="0.2">
      <c r="R7727" t="s">
        <v>47</v>
      </c>
      <c r="S7727" t="s">
        <v>238</v>
      </c>
      <c r="T7727" t="s">
        <v>351</v>
      </c>
      <c r="U7727" s="21">
        <v>557.46</v>
      </c>
      <c r="V7727" s="21" t="s">
        <v>368</v>
      </c>
      <c r="W7727" t="str">
        <f>VLOOKUP(Table_Query_from_Actuarial___Production[[#This Row],[Kor1]],$AI$3:$AK$105,3,FALSE)</f>
        <v>Investment Income</v>
      </c>
      <c r="X7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7"/>
      <c r="Z7727" t="s">
        <v>28</v>
      </c>
      <c r="AA7727" t="s">
        <v>250</v>
      </c>
      <c r="AB7727" t="s">
        <v>351</v>
      </c>
      <c r="AC7727" s="21">
        <v>22.78</v>
      </c>
      <c r="AD7727" s="21" t="s">
        <v>368</v>
      </c>
      <c r="AE7727" t="str">
        <f>VLOOKUP(Table_Query_from_Actuarial___Production3[[#This Row],[Kor1]],$AI$3:$AK$105,3,FALSE)</f>
        <v>Misc. Expense</v>
      </c>
      <c r="AF7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8" spans="18:32" x14ac:dyDescent="0.2">
      <c r="R7728" t="s">
        <v>43</v>
      </c>
      <c r="S7728" t="s">
        <v>265</v>
      </c>
      <c r="T7728" t="s">
        <v>427</v>
      </c>
      <c r="U7728" s="21">
        <v>2223.92</v>
      </c>
      <c r="V7728" s="21" t="s">
        <v>368</v>
      </c>
      <c r="W7728" t="str">
        <f>VLOOKUP(Table_Query_from_Actuarial___Production[[#This Row],[Kor1]],$AI$3:$AK$105,3,FALSE)</f>
        <v>Charge-offs</v>
      </c>
      <c r="X7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8"/>
      <c r="Z7728" t="s">
        <v>28</v>
      </c>
      <c r="AA7728" t="s">
        <v>259</v>
      </c>
      <c r="AB7728" t="s">
        <v>356</v>
      </c>
      <c r="AC7728" s="21">
        <v>292.19</v>
      </c>
      <c r="AD7728" s="21" t="s">
        <v>368</v>
      </c>
      <c r="AE7728" t="str">
        <f>VLOOKUP(Table_Query_from_Actuarial___Production3[[#This Row],[Kor1]],$AI$3:$AK$105,3,FALSE)</f>
        <v>Misc. Expense</v>
      </c>
      <c r="AF7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29" spans="18:32" x14ac:dyDescent="0.2">
      <c r="R7729" t="s">
        <v>3</v>
      </c>
      <c r="S7729" t="s">
        <v>258</v>
      </c>
      <c r="T7729" t="s">
        <v>443</v>
      </c>
      <c r="U7729" s="21">
        <v>3428494</v>
      </c>
      <c r="V7729" s="21" t="s">
        <v>368</v>
      </c>
      <c r="W7729" t="str">
        <f>VLOOKUP(Table_Query_from_Actuarial___Production[[#This Row],[Kor1]],$AI$3:$AK$105,3,FALSE)</f>
        <v>Premiums Written</v>
      </c>
      <c r="X7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29"/>
      <c r="Z7729" t="s">
        <v>13</v>
      </c>
      <c r="AA7729" t="s">
        <v>226</v>
      </c>
      <c r="AB7729" t="s">
        <v>6</v>
      </c>
      <c r="AC7729" s="21">
        <v>1131927</v>
      </c>
      <c r="AD7729" s="21" t="s">
        <v>368</v>
      </c>
      <c r="AE7729" t="str">
        <f>VLOOKUP(Table_Query_from_Actuarial___Production3[[#This Row],[Kor1]],$AI$3:$AK$105,3,FALSE)</f>
        <v>Operating Service Fees</v>
      </c>
      <c r="AF7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730" spans="18:32" x14ac:dyDescent="0.2">
      <c r="R7730" t="s">
        <v>12</v>
      </c>
      <c r="S7730" t="s">
        <v>261</v>
      </c>
      <c r="T7730" t="s">
        <v>441</v>
      </c>
      <c r="U7730" s="21">
        <v>4671.59</v>
      </c>
      <c r="V7730" s="21" t="s">
        <v>368</v>
      </c>
      <c r="W7730" t="str">
        <f>VLOOKUP(Table_Query_from_Actuarial___Production[[#This Row],[Kor1]],$AI$3:$AK$105,3,FALSE)</f>
        <v>Premium Tax</v>
      </c>
      <c r="X7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0"/>
      <c r="Z7730" t="s">
        <v>11</v>
      </c>
      <c r="AA7730" t="s">
        <v>224</v>
      </c>
      <c r="AB7730" t="s">
        <v>442</v>
      </c>
      <c r="AC7730" s="21">
        <v>9821.8799999999992</v>
      </c>
      <c r="AD7730" s="21" t="s">
        <v>369</v>
      </c>
      <c r="AE7730" t="str">
        <f>VLOOKUP(Table_Query_from_Actuarial___Production3[[#This Row],[Kor1]],$AI$3:$AK$105,3,FALSE)</f>
        <v>Losses Paid</v>
      </c>
      <c r="AF7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731" spans="18:32" x14ac:dyDescent="0.2">
      <c r="R7731" t="s">
        <v>32</v>
      </c>
      <c r="S7731" t="s">
        <v>240</v>
      </c>
      <c r="T7731" t="s">
        <v>8</v>
      </c>
      <c r="U7731" s="21">
        <v>50061.05</v>
      </c>
      <c r="V7731" s="21" t="s">
        <v>368</v>
      </c>
      <c r="W7731" t="str">
        <f>VLOOKUP(Table_Query_from_Actuarial___Production[[#This Row],[Kor1]],$AI$3:$AK$105,3,FALSE)</f>
        <v>Misc. Expense</v>
      </c>
      <c r="X7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1"/>
      <c r="Z7731" t="s">
        <v>14</v>
      </c>
      <c r="AA7731" t="s">
        <v>224</v>
      </c>
      <c r="AB7731" t="s">
        <v>427</v>
      </c>
      <c r="AC7731" s="21">
        <v>278726.12</v>
      </c>
      <c r="AD7731" s="21" t="s">
        <v>368</v>
      </c>
      <c r="AE7731" t="str">
        <f>VLOOKUP(Table_Query_from_Actuarial___Production3[[#This Row],[Kor1]],$AI$3:$AK$105,3,FALSE)</f>
        <v>Claims Expense</v>
      </c>
      <c r="AF7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732" spans="18:32" x14ac:dyDescent="0.2">
      <c r="R7732" t="s">
        <v>40</v>
      </c>
      <c r="S7732" t="s">
        <v>251</v>
      </c>
      <c r="T7732" t="s">
        <v>7</v>
      </c>
      <c r="U7732" s="21">
        <v>27</v>
      </c>
      <c r="V7732" s="21" t="s">
        <v>368</v>
      </c>
      <c r="W7732" t="str">
        <f>VLOOKUP(Table_Query_from_Actuarial___Production[[#This Row],[Kor1]],$AI$3:$AK$105,3,FALSE)</f>
        <v>Misc. Income</v>
      </c>
      <c r="X7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2"/>
      <c r="Z7732" t="s">
        <v>10</v>
      </c>
      <c r="AA7732" t="s">
        <v>240</v>
      </c>
      <c r="AB7732" t="s">
        <v>9</v>
      </c>
      <c r="AC7732" s="21">
        <v>159370.53</v>
      </c>
      <c r="AD7732" s="21" t="s">
        <v>368</v>
      </c>
      <c r="AE7732" t="str">
        <f>VLOOKUP(Table_Query_from_Actuarial___Production3[[#This Row],[Kor1]],$AI$3:$AK$105,3,FALSE)</f>
        <v>Commissions</v>
      </c>
      <c r="AF7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3" spans="18:32" x14ac:dyDescent="0.2">
      <c r="R7733" t="s">
        <v>48</v>
      </c>
      <c r="S7733" t="s">
        <v>228</v>
      </c>
      <c r="T7733" t="s">
        <v>445</v>
      </c>
      <c r="U7733" s="21">
        <v>4</v>
      </c>
      <c r="V7733" s="21" t="s">
        <v>368</v>
      </c>
      <c r="W7733" t="str">
        <f>VLOOKUP(Table_Query_from_Actuarial___Production[[#This Row],[Kor1]],$AI$3:$AK$105,3,FALSE)</f>
        <v>Anticipated Salvage</v>
      </c>
      <c r="X7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3"/>
      <c r="Z7733" t="s">
        <v>19</v>
      </c>
      <c r="AA7733" t="s">
        <v>236</v>
      </c>
      <c r="AB7733" t="s">
        <v>5</v>
      </c>
      <c r="AC7733" s="21">
        <v>7447</v>
      </c>
      <c r="AD7733" s="21" t="s">
        <v>368</v>
      </c>
      <c r="AE7733" t="str">
        <f>VLOOKUP(Table_Query_from_Actuarial___Production3[[#This Row],[Kor1]],$AI$3:$AK$105,3,FALSE)</f>
        <v>Misc. Expense for Insolvent Companies</v>
      </c>
      <c r="AF7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4" spans="18:32" x14ac:dyDescent="0.2">
      <c r="R7734" t="s">
        <v>3</v>
      </c>
      <c r="S7734" t="s">
        <v>266</v>
      </c>
      <c r="T7734" t="s">
        <v>445</v>
      </c>
      <c r="U7734" s="21">
        <v>598117</v>
      </c>
      <c r="V7734" s="21" t="s">
        <v>368</v>
      </c>
      <c r="W7734" t="str">
        <f>VLOOKUP(Table_Query_from_Actuarial___Production[[#This Row],[Kor1]],$AI$3:$AK$105,3,FALSE)</f>
        <v>Premiums Written</v>
      </c>
      <c r="X7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4"/>
      <c r="Z7734" t="s">
        <v>40</v>
      </c>
      <c r="AA7734" t="s">
        <v>254</v>
      </c>
      <c r="AB7734" t="s">
        <v>5</v>
      </c>
      <c r="AC7734" s="21">
        <v>2</v>
      </c>
      <c r="AD7734" s="21" t="s">
        <v>368</v>
      </c>
      <c r="AE7734" t="str">
        <f>VLOOKUP(Table_Query_from_Actuarial___Production3[[#This Row],[Kor1]],$AI$3:$AK$105,3,FALSE)</f>
        <v>Misc. Income</v>
      </c>
      <c r="AF7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5" spans="18:32" x14ac:dyDescent="0.2">
      <c r="R7735" t="s">
        <v>40</v>
      </c>
      <c r="S7735" t="s">
        <v>243</v>
      </c>
      <c r="T7735" t="s">
        <v>351</v>
      </c>
      <c r="U7735" s="21">
        <v>14</v>
      </c>
      <c r="V7735" s="21" t="s">
        <v>368</v>
      </c>
      <c r="W7735" t="str">
        <f>VLOOKUP(Table_Query_from_Actuarial___Production[[#This Row],[Kor1]],$AI$3:$AK$105,3,FALSE)</f>
        <v>Misc. Income</v>
      </c>
      <c r="X7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5"/>
      <c r="Z7735" t="s">
        <v>12</v>
      </c>
      <c r="AA7735" t="s">
        <v>246</v>
      </c>
      <c r="AB7735" t="s">
        <v>351</v>
      </c>
      <c r="AC7735" s="21">
        <v>18942.3</v>
      </c>
      <c r="AD7735" s="21" t="s">
        <v>368</v>
      </c>
      <c r="AE7735" t="str">
        <f>VLOOKUP(Table_Query_from_Actuarial___Production3[[#This Row],[Kor1]],$AI$3:$AK$105,3,FALSE)</f>
        <v>Premium Tax</v>
      </c>
      <c r="AF7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6" spans="18:32" x14ac:dyDescent="0.2">
      <c r="R7736" t="s">
        <v>31</v>
      </c>
      <c r="S7736" t="s">
        <v>242</v>
      </c>
      <c r="T7736" t="s">
        <v>7</v>
      </c>
      <c r="U7736" s="21">
        <v>235.12</v>
      </c>
      <c r="V7736" s="21" t="s">
        <v>368</v>
      </c>
      <c r="W7736" t="str">
        <f>VLOOKUP(Table_Query_from_Actuarial___Production[[#This Row],[Kor1]],$AI$3:$AK$105,3,FALSE)</f>
        <v>Misc. Expense</v>
      </c>
      <c r="X7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6"/>
      <c r="Z7736" t="s">
        <v>32</v>
      </c>
      <c r="AA7736" t="s">
        <v>258</v>
      </c>
      <c r="AB7736" t="s">
        <v>6</v>
      </c>
      <c r="AC7736" s="21">
        <v>345</v>
      </c>
      <c r="AD7736" s="21" t="s">
        <v>368</v>
      </c>
      <c r="AE7736" t="str">
        <f>VLOOKUP(Table_Query_from_Actuarial___Production3[[#This Row],[Kor1]],$AI$3:$AK$105,3,FALSE)</f>
        <v>Misc. Expense</v>
      </c>
      <c r="AF7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7" spans="18:32" x14ac:dyDescent="0.2">
      <c r="R7737" t="s">
        <v>31</v>
      </c>
      <c r="S7737" t="s">
        <v>243</v>
      </c>
      <c r="T7737" t="s">
        <v>442</v>
      </c>
      <c r="U7737" s="21">
        <v>1004.81</v>
      </c>
      <c r="V7737" s="21" t="s">
        <v>368</v>
      </c>
      <c r="W7737" t="str">
        <f>VLOOKUP(Table_Query_from_Actuarial___Production[[#This Row],[Kor1]],$AI$3:$AK$105,3,FALSE)</f>
        <v>Misc. Expense</v>
      </c>
      <c r="X7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7"/>
      <c r="Z7737" t="s">
        <v>47</v>
      </c>
      <c r="AA7737" t="s">
        <v>232</v>
      </c>
      <c r="AB7737" t="s">
        <v>6</v>
      </c>
      <c r="AC7737" s="21">
        <v>0.08</v>
      </c>
      <c r="AD7737" s="21" t="s">
        <v>368</v>
      </c>
      <c r="AE7737" t="str">
        <f>VLOOKUP(Table_Query_from_Actuarial___Production3[[#This Row],[Kor1]],$AI$3:$AK$105,3,FALSE)</f>
        <v>Investment Income</v>
      </c>
      <c r="AF7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38" spans="18:32" x14ac:dyDescent="0.2">
      <c r="R7738" t="s">
        <v>47</v>
      </c>
      <c r="S7738" t="s">
        <v>260</v>
      </c>
      <c r="T7738" t="s">
        <v>445</v>
      </c>
      <c r="U7738" s="21">
        <v>1928.1</v>
      </c>
      <c r="V7738" s="21" t="s">
        <v>368</v>
      </c>
      <c r="W7738" t="str">
        <f>VLOOKUP(Table_Query_from_Actuarial___Production[[#This Row],[Kor1]],$AI$3:$AK$105,3,FALSE)</f>
        <v>Investment Income</v>
      </c>
      <c r="X7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8"/>
      <c r="Z7738" t="s">
        <v>155</v>
      </c>
      <c r="AA7738" t="s">
        <v>354</v>
      </c>
      <c r="AB7738" t="s">
        <v>443</v>
      </c>
      <c r="AC7738" s="21">
        <v>393533.85</v>
      </c>
      <c r="AD7738" s="21" t="s">
        <v>369</v>
      </c>
      <c r="AE7738" t="str">
        <f>VLOOKUP(Table_Query_from_Actuarial___Production3[[#This Row],[Kor1]],$AI$3:$AK$105,3,FALSE)</f>
        <v>Advance Premium</v>
      </c>
      <c r="AF7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739" spans="18:32" x14ac:dyDescent="0.2">
      <c r="R7739" t="s">
        <v>31</v>
      </c>
      <c r="S7739" t="s">
        <v>235</v>
      </c>
      <c r="T7739" t="s">
        <v>441</v>
      </c>
      <c r="U7739" s="21">
        <v>896.69</v>
      </c>
      <c r="V7739" s="21" t="s">
        <v>368</v>
      </c>
      <c r="W7739" t="str">
        <f>VLOOKUP(Table_Query_from_Actuarial___Production[[#This Row],[Kor1]],$AI$3:$AK$105,3,FALSE)</f>
        <v>Misc. Expense</v>
      </c>
      <c r="X7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39"/>
      <c r="Z7739" t="s">
        <v>13</v>
      </c>
      <c r="AA7739" t="s">
        <v>4</v>
      </c>
      <c r="AB7739" t="s">
        <v>443</v>
      </c>
      <c r="AC7739" s="21">
        <v>2612080.19</v>
      </c>
      <c r="AD7739" s="21" t="s">
        <v>368</v>
      </c>
      <c r="AE7739" t="str">
        <f>VLOOKUP(Table_Query_from_Actuarial___Production3[[#This Row],[Kor1]],$AI$3:$AK$105,3,FALSE)</f>
        <v>Operating Service Fees</v>
      </c>
      <c r="AF7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0" spans="18:32" x14ac:dyDescent="0.2">
      <c r="R7740" t="s">
        <v>18</v>
      </c>
      <c r="S7740" t="s">
        <v>224</v>
      </c>
      <c r="T7740" t="s">
        <v>441</v>
      </c>
      <c r="U7740" s="21">
        <v>7109.65</v>
      </c>
      <c r="V7740" s="21" t="s">
        <v>369</v>
      </c>
      <c r="W7740" t="str">
        <f>VLOOKUP(Table_Query_from_Actuarial___Production[[#This Row],[Kor1]],$AI$3:$AK$105,3,FALSE)</f>
        <v>Misc. Expense</v>
      </c>
      <c r="X7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740"/>
      <c r="Z7740" t="s">
        <v>11</v>
      </c>
      <c r="AA7740" t="s">
        <v>224</v>
      </c>
      <c r="AB7740" t="s">
        <v>443</v>
      </c>
      <c r="AC7740" s="21">
        <v>6377.07</v>
      </c>
      <c r="AD7740" s="21" t="s">
        <v>370</v>
      </c>
      <c r="AE7740" t="str">
        <f>VLOOKUP(Table_Query_from_Actuarial___Production3[[#This Row],[Kor1]],$AI$3:$AK$105,3,FALSE)</f>
        <v>Losses Paid</v>
      </c>
      <c r="AF7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741" spans="18:32" x14ac:dyDescent="0.2">
      <c r="R7741" t="s">
        <v>10</v>
      </c>
      <c r="S7741" t="s">
        <v>224</v>
      </c>
      <c r="T7741" t="s">
        <v>356</v>
      </c>
      <c r="U7741" s="21">
        <v>1677.23</v>
      </c>
      <c r="V7741" s="21" t="s">
        <v>425</v>
      </c>
      <c r="W7741" t="str">
        <f>VLOOKUP(Table_Query_from_Actuarial___Production[[#This Row],[Kor1]],$AI$3:$AK$105,3,FALSE)</f>
        <v>Commissions</v>
      </c>
      <c r="X7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741"/>
      <c r="Z7741" t="s">
        <v>3</v>
      </c>
      <c r="AA7741" t="s">
        <v>233</v>
      </c>
      <c r="AB7741" t="s">
        <v>7</v>
      </c>
      <c r="AC7741" s="21">
        <v>417642</v>
      </c>
      <c r="AD7741" s="21" t="s">
        <v>368</v>
      </c>
      <c r="AE7741" t="str">
        <f>VLOOKUP(Table_Query_from_Actuarial___Production3[[#This Row],[Kor1]],$AI$3:$AK$105,3,FALSE)</f>
        <v>Premiums Written</v>
      </c>
      <c r="AF7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2" spans="18:32" x14ac:dyDescent="0.2">
      <c r="R7742" t="s">
        <v>132</v>
      </c>
      <c r="S7742" t="s">
        <v>354</v>
      </c>
      <c r="T7742" t="s">
        <v>8</v>
      </c>
      <c r="U7742" s="21">
        <v>154805446.49000001</v>
      </c>
      <c r="V7742" s="21" t="s">
        <v>369</v>
      </c>
      <c r="W7742" t="str">
        <f>VLOOKUP(Table_Query_from_Actuarial___Production[[#This Row],[Kor1]],$AI$3:$AK$105,3,FALSE)</f>
        <v>Clean Risk Subsidy</v>
      </c>
      <c r="X7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742"/>
      <c r="Z7742" t="s">
        <v>43</v>
      </c>
      <c r="AA7742" t="s">
        <v>233</v>
      </c>
      <c r="AB7742" t="s">
        <v>351</v>
      </c>
      <c r="AC7742" s="21">
        <v>-209.32</v>
      </c>
      <c r="AD7742" s="21" t="s">
        <v>368</v>
      </c>
      <c r="AE7742" t="str">
        <f>VLOOKUP(Table_Query_from_Actuarial___Production3[[#This Row],[Kor1]],$AI$3:$AK$105,3,FALSE)</f>
        <v>Charge-offs</v>
      </c>
      <c r="AF7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3" spans="18:32" x14ac:dyDescent="0.2">
      <c r="R7743" t="s">
        <v>13</v>
      </c>
      <c r="S7743" t="s">
        <v>257</v>
      </c>
      <c r="T7743" t="s">
        <v>356</v>
      </c>
      <c r="U7743" s="21">
        <v>126866.08</v>
      </c>
      <c r="V7743" s="21" t="s">
        <v>368</v>
      </c>
      <c r="W7743" t="str">
        <f>VLOOKUP(Table_Query_from_Actuarial___Production[[#This Row],[Kor1]],$AI$3:$AK$105,3,FALSE)</f>
        <v>Operating Service Fees</v>
      </c>
      <c r="X7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43"/>
      <c r="Z7743" t="s">
        <v>47</v>
      </c>
      <c r="AA7743" t="s">
        <v>244</v>
      </c>
      <c r="AB7743" t="s">
        <v>8</v>
      </c>
      <c r="AC7743" s="21">
        <v>0.06</v>
      </c>
      <c r="AD7743" s="21" t="s">
        <v>368</v>
      </c>
      <c r="AE7743" t="str">
        <f>VLOOKUP(Table_Query_from_Actuarial___Production3[[#This Row],[Kor1]],$AI$3:$AK$105,3,FALSE)</f>
        <v>Investment Income</v>
      </c>
      <c r="AF7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4" spans="18:32" x14ac:dyDescent="0.2">
      <c r="R7744" t="s">
        <v>14</v>
      </c>
      <c r="S7744" t="s">
        <v>248</v>
      </c>
      <c r="T7744" t="s">
        <v>351</v>
      </c>
      <c r="U7744" s="21">
        <v>7103.31</v>
      </c>
      <c r="V7744" s="21" t="s">
        <v>368</v>
      </c>
      <c r="W7744" t="str">
        <f>VLOOKUP(Table_Query_from_Actuarial___Production[[#This Row],[Kor1]],$AI$3:$AK$105,3,FALSE)</f>
        <v>Claims Expense</v>
      </c>
      <c r="X7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44"/>
      <c r="Z7744" t="s">
        <v>31</v>
      </c>
      <c r="AA7744" t="s">
        <v>228</v>
      </c>
      <c r="AB7744" t="s">
        <v>441</v>
      </c>
      <c r="AC7744" s="21">
        <v>873.34</v>
      </c>
      <c r="AD7744" s="21" t="s">
        <v>368</v>
      </c>
      <c r="AE7744" t="str">
        <f>VLOOKUP(Table_Query_from_Actuarial___Production3[[#This Row],[Kor1]],$AI$3:$AK$105,3,FALSE)</f>
        <v>Misc. Expense</v>
      </c>
      <c r="AF7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5" spans="18:32" x14ac:dyDescent="0.2">
      <c r="R7745" t="s">
        <v>28</v>
      </c>
      <c r="S7745" t="s">
        <v>250</v>
      </c>
      <c r="T7745" t="s">
        <v>351</v>
      </c>
      <c r="U7745" s="21">
        <v>22.78</v>
      </c>
      <c r="V7745" s="21" t="s">
        <v>368</v>
      </c>
      <c r="W7745" t="str">
        <f>VLOOKUP(Table_Query_from_Actuarial___Production[[#This Row],[Kor1]],$AI$3:$AK$105,3,FALSE)</f>
        <v>Misc. Expense</v>
      </c>
      <c r="X7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45"/>
      <c r="Z7745" t="s">
        <v>20</v>
      </c>
      <c r="AA7745" t="s">
        <v>232</v>
      </c>
      <c r="AB7745" t="s">
        <v>7</v>
      </c>
      <c r="AC7745" s="21">
        <v>1804.09</v>
      </c>
      <c r="AD7745" s="21" t="s">
        <v>368</v>
      </c>
      <c r="AE7745" t="str">
        <f>VLOOKUP(Table_Query_from_Actuarial___Production3[[#This Row],[Kor1]],$AI$3:$AK$105,3,FALSE)</f>
        <v>Misc. Expense</v>
      </c>
      <c r="AF7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6" spans="18:32" x14ac:dyDescent="0.2">
      <c r="R7746" t="s">
        <v>28</v>
      </c>
      <c r="S7746" t="s">
        <v>259</v>
      </c>
      <c r="T7746" t="s">
        <v>356</v>
      </c>
      <c r="U7746" s="21">
        <v>292.19</v>
      </c>
      <c r="V7746" s="21" t="s">
        <v>368</v>
      </c>
      <c r="W7746" t="str">
        <f>VLOOKUP(Table_Query_from_Actuarial___Production[[#This Row],[Kor1]],$AI$3:$AK$105,3,FALSE)</f>
        <v>Misc. Expense</v>
      </c>
      <c r="X7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46"/>
      <c r="Z7746" t="s">
        <v>31</v>
      </c>
      <c r="AA7746" t="s">
        <v>230</v>
      </c>
      <c r="AB7746" t="s">
        <v>5</v>
      </c>
      <c r="AC7746" s="21">
        <v>116993.05</v>
      </c>
      <c r="AD7746" s="21" t="s">
        <v>368</v>
      </c>
      <c r="AE7746" t="str">
        <f>VLOOKUP(Table_Query_from_Actuarial___Production3[[#This Row],[Kor1]],$AI$3:$AK$105,3,FALSE)</f>
        <v>Misc. Expense</v>
      </c>
      <c r="AF7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7" spans="18:32" x14ac:dyDescent="0.2">
      <c r="R7747" t="s">
        <v>13</v>
      </c>
      <c r="S7747" t="s">
        <v>226</v>
      </c>
      <c r="T7747" t="s">
        <v>6</v>
      </c>
      <c r="U7747" s="21">
        <v>1131927</v>
      </c>
      <c r="V7747" s="21" t="s">
        <v>368</v>
      </c>
      <c r="W7747" t="str">
        <f>VLOOKUP(Table_Query_from_Actuarial___Production[[#This Row],[Kor1]],$AI$3:$AK$105,3,FALSE)</f>
        <v>Operating Service Fees</v>
      </c>
      <c r="X7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747"/>
      <c r="Z7747" t="s">
        <v>3</v>
      </c>
      <c r="AA7747" t="s">
        <v>258</v>
      </c>
      <c r="AB7747" t="s">
        <v>7</v>
      </c>
      <c r="AC7747" s="21">
        <v>2479507</v>
      </c>
      <c r="AD7747" s="21" t="s">
        <v>368</v>
      </c>
      <c r="AE7747" t="str">
        <f>VLOOKUP(Table_Query_from_Actuarial___Production3[[#This Row],[Kor1]],$AI$3:$AK$105,3,FALSE)</f>
        <v>Premiums Written</v>
      </c>
      <c r="AF7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8" spans="18:32" x14ac:dyDescent="0.2">
      <c r="R7748" t="s">
        <v>11</v>
      </c>
      <c r="S7748" t="s">
        <v>224</v>
      </c>
      <c r="T7748" t="s">
        <v>442</v>
      </c>
      <c r="U7748" s="21">
        <v>11080.9</v>
      </c>
      <c r="V7748" s="21" t="s">
        <v>369</v>
      </c>
      <c r="W7748" t="str">
        <f>VLOOKUP(Table_Query_from_Actuarial___Production[[#This Row],[Kor1]],$AI$3:$AK$105,3,FALSE)</f>
        <v>Losses Paid</v>
      </c>
      <c r="X7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748"/>
      <c r="Z7748" t="s">
        <v>21</v>
      </c>
      <c r="AA7748" t="s">
        <v>262</v>
      </c>
      <c r="AB7748" t="s">
        <v>7</v>
      </c>
      <c r="AC7748" s="21">
        <v>643</v>
      </c>
      <c r="AD7748" s="21" t="s">
        <v>368</v>
      </c>
      <c r="AE7748" t="str">
        <f>VLOOKUP(Table_Query_from_Actuarial___Production3[[#This Row],[Kor1]],$AI$3:$AK$105,3,FALSE)</f>
        <v>Misc. Expense</v>
      </c>
      <c r="AF7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49" spans="18:32" x14ac:dyDescent="0.2">
      <c r="R7749" t="s">
        <v>14</v>
      </c>
      <c r="S7749" t="s">
        <v>224</v>
      </c>
      <c r="T7749" t="s">
        <v>427</v>
      </c>
      <c r="U7749" s="21">
        <v>278726.12</v>
      </c>
      <c r="V7749" s="21" t="s">
        <v>368</v>
      </c>
      <c r="W7749" t="str">
        <f>VLOOKUP(Table_Query_from_Actuarial___Production[[#This Row],[Kor1]],$AI$3:$AK$105,3,FALSE)</f>
        <v>Claims Expense</v>
      </c>
      <c r="X7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749"/>
      <c r="Z7749" t="s">
        <v>49</v>
      </c>
      <c r="AA7749" t="s">
        <v>240</v>
      </c>
      <c r="AB7749" t="s">
        <v>441</v>
      </c>
      <c r="AC7749" s="21">
        <v>41245.86</v>
      </c>
      <c r="AD7749" s="21" t="s">
        <v>368</v>
      </c>
      <c r="AE7749" t="str">
        <f>VLOOKUP(Table_Query_from_Actuarial___Production3[[#This Row],[Kor1]],$AI$3:$AK$105,3,FALSE)</f>
        <v>ALAE Paid</v>
      </c>
      <c r="AF7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0" spans="18:32" x14ac:dyDescent="0.2">
      <c r="R7750" t="s">
        <v>10</v>
      </c>
      <c r="S7750" t="s">
        <v>240</v>
      </c>
      <c r="T7750" t="s">
        <v>9</v>
      </c>
      <c r="U7750" s="21">
        <v>159370.53</v>
      </c>
      <c r="V7750" s="21" t="s">
        <v>368</v>
      </c>
      <c r="W7750" t="str">
        <f>VLOOKUP(Table_Query_from_Actuarial___Production[[#This Row],[Kor1]],$AI$3:$AK$105,3,FALSE)</f>
        <v>Commissions</v>
      </c>
      <c r="X7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0"/>
      <c r="Z7750" t="s">
        <v>11</v>
      </c>
      <c r="AA7750" t="s">
        <v>352</v>
      </c>
      <c r="AB7750" t="s">
        <v>442</v>
      </c>
      <c r="AC7750" s="21">
        <v>31481.71</v>
      </c>
      <c r="AD7750" s="21" t="s">
        <v>369</v>
      </c>
      <c r="AE7750" t="str">
        <f>VLOOKUP(Table_Query_from_Actuarial___Production3[[#This Row],[Kor1]],$AI$3:$AK$105,3,FALSE)</f>
        <v>Losses Paid</v>
      </c>
      <c r="AF7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751" spans="18:32" x14ac:dyDescent="0.2">
      <c r="R7751" t="s">
        <v>12</v>
      </c>
      <c r="S7751" t="s">
        <v>246</v>
      </c>
      <c r="T7751" t="s">
        <v>351</v>
      </c>
      <c r="U7751" s="21">
        <v>18942.3</v>
      </c>
      <c r="V7751" s="21" t="s">
        <v>368</v>
      </c>
      <c r="W7751" t="str">
        <f>VLOOKUP(Table_Query_from_Actuarial___Production[[#This Row],[Kor1]],$AI$3:$AK$105,3,FALSE)</f>
        <v>Premium Tax</v>
      </c>
      <c r="X7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1"/>
      <c r="Z7751" t="s">
        <v>17</v>
      </c>
      <c r="AA7751" t="s">
        <v>262</v>
      </c>
      <c r="AB7751" t="s">
        <v>443</v>
      </c>
      <c r="AC7751" s="21">
        <v>8984.68</v>
      </c>
      <c r="AD7751" s="21" t="s">
        <v>368</v>
      </c>
      <c r="AE7751" t="str">
        <f>VLOOKUP(Table_Query_from_Actuarial___Production3[[#This Row],[Kor1]],$AI$3:$AK$105,3,FALSE)</f>
        <v>IBNR</v>
      </c>
      <c r="AF7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2" spans="18:32" x14ac:dyDescent="0.2">
      <c r="R7752" t="s">
        <v>32</v>
      </c>
      <c r="S7752" t="s">
        <v>258</v>
      </c>
      <c r="T7752" t="s">
        <v>6</v>
      </c>
      <c r="U7752" s="21">
        <v>345</v>
      </c>
      <c r="V7752" s="21" t="s">
        <v>368</v>
      </c>
      <c r="W7752" t="str">
        <f>VLOOKUP(Table_Query_from_Actuarial___Production[[#This Row],[Kor1]],$AI$3:$AK$105,3,FALSE)</f>
        <v>Misc. Expense</v>
      </c>
      <c r="X7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2"/>
      <c r="Z7752" t="s">
        <v>33</v>
      </c>
      <c r="AA7752" t="s">
        <v>252</v>
      </c>
      <c r="AB7752" t="s">
        <v>351</v>
      </c>
      <c r="AC7752" s="21">
        <v>31309.59</v>
      </c>
      <c r="AD7752" s="21" t="s">
        <v>368</v>
      </c>
      <c r="AE7752" t="str">
        <f>VLOOKUP(Table_Query_from_Actuarial___Production3[[#This Row],[Kor1]],$AI$3:$AK$105,3,FALSE)</f>
        <v>Misc. Expense</v>
      </c>
      <c r="AF7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3" spans="18:32" x14ac:dyDescent="0.2">
      <c r="R7753" t="s">
        <v>47</v>
      </c>
      <c r="S7753" t="s">
        <v>232</v>
      </c>
      <c r="T7753" t="s">
        <v>6</v>
      </c>
      <c r="U7753" s="21">
        <v>0.08</v>
      </c>
      <c r="V7753" s="21" t="s">
        <v>368</v>
      </c>
      <c r="W7753" t="str">
        <f>VLOOKUP(Table_Query_from_Actuarial___Production[[#This Row],[Kor1]],$AI$3:$AK$105,3,FALSE)</f>
        <v>Investment Income</v>
      </c>
      <c r="X7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3"/>
      <c r="Z7753" t="s">
        <v>13</v>
      </c>
      <c r="AA7753" t="s">
        <v>224</v>
      </c>
      <c r="AB7753" t="s">
        <v>9</v>
      </c>
      <c r="AC7753" s="21">
        <v>14536.11</v>
      </c>
      <c r="AD7753" s="21" t="s">
        <v>369</v>
      </c>
      <c r="AE7753" t="str">
        <f>VLOOKUP(Table_Query_from_Actuarial___Production3[[#This Row],[Kor1]],$AI$3:$AK$105,3,FALSE)</f>
        <v>Operating Service Fees</v>
      </c>
      <c r="AF7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754" spans="18:32" x14ac:dyDescent="0.2">
      <c r="R7754" t="s">
        <v>13</v>
      </c>
      <c r="S7754" t="s">
        <v>4</v>
      </c>
      <c r="T7754" t="s">
        <v>443</v>
      </c>
      <c r="U7754" s="21">
        <v>6773112.8200000003</v>
      </c>
      <c r="V7754" s="21" t="s">
        <v>368</v>
      </c>
      <c r="W7754" t="str">
        <f>VLOOKUP(Table_Query_from_Actuarial___Production[[#This Row],[Kor1]],$AI$3:$AK$105,3,FALSE)</f>
        <v>Operating Service Fees</v>
      </c>
      <c r="X7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4"/>
      <c r="Z7754" t="s">
        <v>10</v>
      </c>
      <c r="AA7754" t="s">
        <v>263</v>
      </c>
      <c r="AB7754" t="s">
        <v>356</v>
      </c>
      <c r="AC7754" s="21">
        <v>45157.35</v>
      </c>
      <c r="AD7754" s="21" t="s">
        <v>368</v>
      </c>
      <c r="AE7754" t="str">
        <f>VLOOKUP(Table_Query_from_Actuarial___Production3[[#This Row],[Kor1]],$AI$3:$AK$105,3,FALSE)</f>
        <v>Commissions</v>
      </c>
      <c r="AF7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5" spans="18:32" x14ac:dyDescent="0.2">
      <c r="R7755" t="s">
        <v>11</v>
      </c>
      <c r="S7755" t="s">
        <v>224</v>
      </c>
      <c r="T7755" t="s">
        <v>443</v>
      </c>
      <c r="U7755" s="21">
        <v>95747.35</v>
      </c>
      <c r="V7755" s="21" t="s">
        <v>370</v>
      </c>
      <c r="W7755" t="str">
        <f>VLOOKUP(Table_Query_from_Actuarial___Production[[#This Row],[Kor1]],$AI$3:$AK$105,3,FALSE)</f>
        <v>Losses Paid</v>
      </c>
      <c r="X7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755"/>
      <c r="Z7755" t="s">
        <v>12</v>
      </c>
      <c r="AA7755" t="s">
        <v>264</v>
      </c>
      <c r="AB7755" t="s">
        <v>433</v>
      </c>
      <c r="AC7755" s="21">
        <v>101425.39</v>
      </c>
      <c r="AD7755" s="21" t="s">
        <v>368</v>
      </c>
      <c r="AE7755" t="str">
        <f>VLOOKUP(Table_Query_from_Actuarial___Production3[[#This Row],[Kor1]],$AI$3:$AK$105,3,FALSE)</f>
        <v>Premium Tax</v>
      </c>
      <c r="AF7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6" spans="18:32" x14ac:dyDescent="0.2">
      <c r="R7756" t="s">
        <v>3</v>
      </c>
      <c r="S7756" t="s">
        <v>233</v>
      </c>
      <c r="T7756" t="s">
        <v>7</v>
      </c>
      <c r="U7756" s="21">
        <v>417642</v>
      </c>
      <c r="V7756" s="21" t="s">
        <v>368</v>
      </c>
      <c r="W7756" t="str">
        <f>VLOOKUP(Table_Query_from_Actuarial___Production[[#This Row],[Kor1]],$AI$3:$AK$105,3,FALSE)</f>
        <v>Premiums Written</v>
      </c>
      <c r="X7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6"/>
      <c r="Z7756" t="s">
        <v>21</v>
      </c>
      <c r="AA7756" t="s">
        <v>239</v>
      </c>
      <c r="AB7756" t="s">
        <v>8</v>
      </c>
      <c r="AC7756" s="21">
        <v>603.49</v>
      </c>
      <c r="AD7756" s="21" t="s">
        <v>368</v>
      </c>
      <c r="AE7756" t="str">
        <f>VLOOKUP(Table_Query_from_Actuarial___Production3[[#This Row],[Kor1]],$AI$3:$AK$105,3,FALSE)</f>
        <v>Misc. Expense</v>
      </c>
      <c r="AF7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7" spans="18:32" x14ac:dyDescent="0.2">
      <c r="R7757" t="s">
        <v>43</v>
      </c>
      <c r="S7757" t="s">
        <v>233</v>
      </c>
      <c r="T7757" t="s">
        <v>351</v>
      </c>
      <c r="U7757" s="21">
        <v>-209.32</v>
      </c>
      <c r="V7757" s="21" t="s">
        <v>368</v>
      </c>
      <c r="W7757" t="str">
        <f>VLOOKUP(Table_Query_from_Actuarial___Production[[#This Row],[Kor1]],$AI$3:$AK$105,3,FALSE)</f>
        <v>Charge-offs</v>
      </c>
      <c r="X7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7"/>
      <c r="Z7757" t="s">
        <v>439</v>
      </c>
      <c r="AA7757" t="s">
        <v>258</v>
      </c>
      <c r="AB7757" t="s">
        <v>433</v>
      </c>
      <c r="AC7757" s="21">
        <v>65307</v>
      </c>
      <c r="AD7757" s="21" t="s">
        <v>368</v>
      </c>
      <c r="AE7757" t="str">
        <f>VLOOKUP(Table_Query_from_Actuarial___Production3[[#This Row],[Kor1]],$AI$3:$AK$105,3,FALSE)</f>
        <v>Operating Service Fees</v>
      </c>
      <c r="AF7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58" spans="18:32" x14ac:dyDescent="0.2">
      <c r="R7758" t="s">
        <v>47</v>
      </c>
      <c r="S7758" t="s">
        <v>244</v>
      </c>
      <c r="T7758" t="s">
        <v>8</v>
      </c>
      <c r="U7758" s="21">
        <v>0.06</v>
      </c>
      <c r="V7758" s="21" t="s">
        <v>368</v>
      </c>
      <c r="W7758" t="str">
        <f>VLOOKUP(Table_Query_from_Actuarial___Production[[#This Row],[Kor1]],$AI$3:$AK$105,3,FALSE)</f>
        <v>Investment Income</v>
      </c>
      <c r="X7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8"/>
      <c r="Z7758" t="s">
        <v>14</v>
      </c>
      <c r="AA7758" t="s">
        <v>225</v>
      </c>
      <c r="AB7758" t="s">
        <v>7</v>
      </c>
      <c r="AC7758" s="21">
        <v>184607</v>
      </c>
      <c r="AD7758" s="21" t="s">
        <v>368</v>
      </c>
      <c r="AE7758" t="str">
        <f>VLOOKUP(Table_Query_from_Actuarial___Production3[[#This Row],[Kor1]],$AI$3:$AK$105,3,FALSE)</f>
        <v>Claims Expense</v>
      </c>
      <c r="AF7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759" spans="18:32" x14ac:dyDescent="0.2">
      <c r="R7759" t="s">
        <v>31</v>
      </c>
      <c r="S7759" t="s">
        <v>228</v>
      </c>
      <c r="T7759" t="s">
        <v>441</v>
      </c>
      <c r="U7759" s="21">
        <v>873.34</v>
      </c>
      <c r="V7759" s="21" t="s">
        <v>368</v>
      </c>
      <c r="W7759" t="str">
        <f>VLOOKUP(Table_Query_from_Actuarial___Production[[#This Row],[Kor1]],$AI$3:$AK$105,3,FALSE)</f>
        <v>Misc. Expense</v>
      </c>
      <c r="X7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59"/>
      <c r="Z7759" t="s">
        <v>47</v>
      </c>
      <c r="AA7759" t="s">
        <v>242</v>
      </c>
      <c r="AB7759" t="s">
        <v>8</v>
      </c>
      <c r="AC7759" s="21">
        <v>0.22</v>
      </c>
      <c r="AD7759" s="21" t="s">
        <v>368</v>
      </c>
      <c r="AE7759" t="str">
        <f>VLOOKUP(Table_Query_from_Actuarial___Production3[[#This Row],[Kor1]],$AI$3:$AK$105,3,FALSE)</f>
        <v>Investment Income</v>
      </c>
      <c r="AF7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0" spans="18:32" x14ac:dyDescent="0.2">
      <c r="R7760" t="s">
        <v>20</v>
      </c>
      <c r="S7760" t="s">
        <v>232</v>
      </c>
      <c r="T7760" t="s">
        <v>7</v>
      </c>
      <c r="U7760" s="21">
        <v>1804.09</v>
      </c>
      <c r="V7760" s="21" t="s">
        <v>368</v>
      </c>
      <c r="W7760" t="str">
        <f>VLOOKUP(Table_Query_from_Actuarial___Production[[#This Row],[Kor1]],$AI$3:$AK$105,3,FALSE)</f>
        <v>Misc. Expense</v>
      </c>
      <c r="X7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0"/>
      <c r="Z7760" t="s">
        <v>19</v>
      </c>
      <c r="AA7760" t="s">
        <v>252</v>
      </c>
      <c r="AB7760" t="s">
        <v>356</v>
      </c>
      <c r="AC7760" s="21">
        <v>111266</v>
      </c>
      <c r="AD7760" s="21" t="s">
        <v>368</v>
      </c>
      <c r="AE7760" t="str">
        <f>VLOOKUP(Table_Query_from_Actuarial___Production3[[#This Row],[Kor1]],$AI$3:$AK$105,3,FALSE)</f>
        <v>Misc. Expense for Insolvent Companies</v>
      </c>
      <c r="AF7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1" spans="18:32" x14ac:dyDescent="0.2">
      <c r="R7761" t="s">
        <v>3</v>
      </c>
      <c r="S7761" t="s">
        <v>258</v>
      </c>
      <c r="T7761" t="s">
        <v>7</v>
      </c>
      <c r="U7761" s="21">
        <v>2479507</v>
      </c>
      <c r="V7761" s="21" t="s">
        <v>368</v>
      </c>
      <c r="W7761" t="str">
        <f>VLOOKUP(Table_Query_from_Actuarial___Production[[#This Row],[Kor1]],$AI$3:$AK$105,3,FALSE)</f>
        <v>Premiums Written</v>
      </c>
      <c r="X7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1"/>
      <c r="Z7761" t="s">
        <v>38</v>
      </c>
      <c r="AA7761" t="s">
        <v>354</v>
      </c>
      <c r="AB7761" t="s">
        <v>8</v>
      </c>
      <c r="AC7761" s="21">
        <v>11480.72</v>
      </c>
      <c r="AD7761" s="21" t="s">
        <v>368</v>
      </c>
      <c r="AE7761" t="str">
        <f>VLOOKUP(Table_Query_from_Actuarial___Production3[[#This Row],[Kor1]],$AI$3:$AK$105,3,FALSE)</f>
        <v>Misc. Income</v>
      </c>
      <c r="AF7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762" spans="18:32" x14ac:dyDescent="0.2">
      <c r="R7762" t="s">
        <v>21</v>
      </c>
      <c r="S7762" t="s">
        <v>262</v>
      </c>
      <c r="T7762" t="s">
        <v>7</v>
      </c>
      <c r="U7762" s="21">
        <v>643</v>
      </c>
      <c r="V7762" s="21" t="s">
        <v>368</v>
      </c>
      <c r="W7762" t="str">
        <f>VLOOKUP(Table_Query_from_Actuarial___Production[[#This Row],[Kor1]],$AI$3:$AK$105,3,FALSE)</f>
        <v>Misc. Expense</v>
      </c>
      <c r="X7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2"/>
      <c r="Z7762" t="s">
        <v>41</v>
      </c>
      <c r="AA7762" t="s">
        <v>229</v>
      </c>
      <c r="AB7762" t="s">
        <v>9</v>
      </c>
      <c r="AC7762" s="21">
        <v>100</v>
      </c>
      <c r="AD7762" s="21" t="s">
        <v>368</v>
      </c>
      <c r="AE7762" t="str">
        <f>VLOOKUP(Table_Query_from_Actuarial___Production3[[#This Row],[Kor1]],$AI$3:$AK$105,3,FALSE)</f>
        <v>Misc. Income</v>
      </c>
      <c r="AF7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3" spans="18:32" x14ac:dyDescent="0.2">
      <c r="R7763" t="s">
        <v>49</v>
      </c>
      <c r="S7763" t="s">
        <v>240</v>
      </c>
      <c r="T7763" t="s">
        <v>441</v>
      </c>
      <c r="U7763" s="21">
        <v>87180.13</v>
      </c>
      <c r="V7763" s="21" t="s">
        <v>368</v>
      </c>
      <c r="W7763" t="str">
        <f>VLOOKUP(Table_Query_from_Actuarial___Production[[#This Row],[Kor1]],$AI$3:$AK$105,3,FALSE)</f>
        <v>ALAE Paid</v>
      </c>
      <c r="X7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3"/>
      <c r="Z7763" t="s">
        <v>47</v>
      </c>
      <c r="AA7763" t="s">
        <v>238</v>
      </c>
      <c r="AB7763" t="s">
        <v>441</v>
      </c>
      <c r="AC7763" s="21">
        <v>55.22</v>
      </c>
      <c r="AD7763" s="21" t="s">
        <v>368</v>
      </c>
      <c r="AE7763" t="str">
        <f>VLOOKUP(Table_Query_from_Actuarial___Production3[[#This Row],[Kor1]],$AI$3:$AK$105,3,FALSE)</f>
        <v>Investment Income</v>
      </c>
      <c r="AF7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4" spans="18:32" x14ac:dyDescent="0.2">
      <c r="R7764" t="s">
        <v>11</v>
      </c>
      <c r="S7764" t="s">
        <v>352</v>
      </c>
      <c r="T7764" t="s">
        <v>442</v>
      </c>
      <c r="U7764" s="21">
        <v>45961.96</v>
      </c>
      <c r="V7764" s="21" t="s">
        <v>369</v>
      </c>
      <c r="W7764" t="str">
        <f>VLOOKUP(Table_Query_from_Actuarial___Production[[#This Row],[Kor1]],$AI$3:$AK$105,3,FALSE)</f>
        <v>Losses Paid</v>
      </c>
      <c r="X7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764"/>
      <c r="Z7764" t="s">
        <v>144</v>
      </c>
      <c r="AA7764" t="s">
        <v>224</v>
      </c>
      <c r="AB7764" t="s">
        <v>441</v>
      </c>
      <c r="AC7764" s="21">
        <v>-23800</v>
      </c>
      <c r="AD7764" s="21" t="s">
        <v>370</v>
      </c>
      <c r="AE7764" t="str">
        <f>VLOOKUP(Table_Query_from_Actuarial___Production3[[#This Row],[Kor1]],$AI$3:$AK$105,3,FALSE)</f>
        <v>Claims Expense</v>
      </c>
      <c r="AF7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765" spans="18:32" x14ac:dyDescent="0.2">
      <c r="R7765" t="s">
        <v>17</v>
      </c>
      <c r="S7765" t="s">
        <v>262</v>
      </c>
      <c r="T7765" t="s">
        <v>443</v>
      </c>
      <c r="U7765" s="21">
        <v>65228.47</v>
      </c>
      <c r="V7765" s="21" t="s">
        <v>368</v>
      </c>
      <c r="W7765" t="str">
        <f>VLOOKUP(Table_Query_from_Actuarial___Production[[#This Row],[Kor1]],$AI$3:$AK$105,3,FALSE)</f>
        <v>IBNR</v>
      </c>
      <c r="X7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5"/>
      <c r="Z7765" t="s">
        <v>14</v>
      </c>
      <c r="AA7765" t="s">
        <v>266</v>
      </c>
      <c r="AB7765" t="s">
        <v>8</v>
      </c>
      <c r="AC7765" s="21">
        <v>19372.54</v>
      </c>
      <c r="AD7765" s="21" t="s">
        <v>368</v>
      </c>
      <c r="AE7765" t="str">
        <f>VLOOKUP(Table_Query_from_Actuarial___Production3[[#This Row],[Kor1]],$AI$3:$AK$105,3,FALSE)</f>
        <v>Claims Expense</v>
      </c>
      <c r="AF7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6" spans="18:32" x14ac:dyDescent="0.2">
      <c r="R7766" t="s">
        <v>33</v>
      </c>
      <c r="S7766" t="s">
        <v>252</v>
      </c>
      <c r="T7766" t="s">
        <v>351</v>
      </c>
      <c r="U7766" s="21">
        <v>31309.59</v>
      </c>
      <c r="V7766" s="21" t="s">
        <v>368</v>
      </c>
      <c r="W7766" t="str">
        <f>VLOOKUP(Table_Query_from_Actuarial___Production[[#This Row],[Kor1]],$AI$3:$AK$105,3,FALSE)</f>
        <v>Misc. Expense</v>
      </c>
      <c r="X7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6"/>
      <c r="Z7766" t="s">
        <v>10</v>
      </c>
      <c r="AA7766" t="s">
        <v>242</v>
      </c>
      <c r="AB7766" t="s">
        <v>351</v>
      </c>
      <c r="AC7766" s="21">
        <v>28990.400000000001</v>
      </c>
      <c r="AD7766" s="21" t="s">
        <v>368</v>
      </c>
      <c r="AE7766" t="str">
        <f>VLOOKUP(Table_Query_from_Actuarial___Production3[[#This Row],[Kor1]],$AI$3:$AK$105,3,FALSE)</f>
        <v>Commissions</v>
      </c>
      <c r="AF7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7" spans="18:32" x14ac:dyDescent="0.2">
      <c r="R7767" t="s">
        <v>13</v>
      </c>
      <c r="S7767" t="s">
        <v>224</v>
      </c>
      <c r="T7767" t="s">
        <v>9</v>
      </c>
      <c r="U7767" s="21">
        <v>14536.11</v>
      </c>
      <c r="V7767" s="21" t="s">
        <v>369</v>
      </c>
      <c r="W7767" t="str">
        <f>VLOOKUP(Table_Query_from_Actuarial___Production[[#This Row],[Kor1]],$AI$3:$AK$105,3,FALSE)</f>
        <v>Operating Service Fees</v>
      </c>
      <c r="X7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767"/>
      <c r="Z7767" t="s">
        <v>47</v>
      </c>
      <c r="AA7767" t="s">
        <v>259</v>
      </c>
      <c r="AB7767" t="s">
        <v>5</v>
      </c>
      <c r="AC7767" s="21">
        <v>0.54</v>
      </c>
      <c r="AD7767" s="21" t="s">
        <v>368</v>
      </c>
      <c r="AE7767" t="str">
        <f>VLOOKUP(Table_Query_from_Actuarial___Production3[[#This Row],[Kor1]],$AI$3:$AK$105,3,FALSE)</f>
        <v>Investment Income</v>
      </c>
      <c r="AF7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8" spans="18:32" x14ac:dyDescent="0.2">
      <c r="R7768" t="s">
        <v>10</v>
      </c>
      <c r="S7768" t="s">
        <v>263</v>
      </c>
      <c r="T7768" t="s">
        <v>356</v>
      </c>
      <c r="U7768" s="21">
        <v>45157.35</v>
      </c>
      <c r="V7768" s="21" t="s">
        <v>368</v>
      </c>
      <c r="W7768" t="str">
        <f>VLOOKUP(Table_Query_from_Actuarial___Production[[#This Row],[Kor1]],$AI$3:$AK$105,3,FALSE)</f>
        <v>Commissions</v>
      </c>
      <c r="X7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8"/>
      <c r="Z7768" t="s">
        <v>10</v>
      </c>
      <c r="AA7768" t="s">
        <v>237</v>
      </c>
      <c r="AB7768" t="s">
        <v>427</v>
      </c>
      <c r="AC7768" s="21">
        <v>2344629.65</v>
      </c>
      <c r="AD7768" s="21" t="s">
        <v>368</v>
      </c>
      <c r="AE7768" t="str">
        <f>VLOOKUP(Table_Query_from_Actuarial___Production3[[#This Row],[Kor1]],$AI$3:$AK$105,3,FALSE)</f>
        <v>Commissions</v>
      </c>
      <c r="AF7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69" spans="18:32" x14ac:dyDescent="0.2">
      <c r="R7769" t="s">
        <v>12</v>
      </c>
      <c r="S7769" t="s">
        <v>264</v>
      </c>
      <c r="T7769" t="s">
        <v>433</v>
      </c>
      <c r="U7769" s="21">
        <v>101425.39</v>
      </c>
      <c r="V7769" s="21" t="s">
        <v>368</v>
      </c>
      <c r="W7769" t="str">
        <f>VLOOKUP(Table_Query_from_Actuarial___Production[[#This Row],[Kor1]],$AI$3:$AK$105,3,FALSE)</f>
        <v>Premium Tax</v>
      </c>
      <c r="X7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69"/>
      <c r="Z7769" t="s">
        <v>12</v>
      </c>
      <c r="AA7769" t="s">
        <v>248</v>
      </c>
      <c r="AB7769" t="s">
        <v>6</v>
      </c>
      <c r="AC7769" s="21">
        <v>402.25</v>
      </c>
      <c r="AD7769" s="21" t="s">
        <v>368</v>
      </c>
      <c r="AE7769" t="str">
        <f>VLOOKUP(Table_Query_from_Actuarial___Production3[[#This Row],[Kor1]],$AI$3:$AK$105,3,FALSE)</f>
        <v>Premium Tax</v>
      </c>
      <c r="AF7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0" spans="18:32" x14ac:dyDescent="0.2">
      <c r="R7770" t="s">
        <v>21</v>
      </c>
      <c r="S7770" t="s">
        <v>239</v>
      </c>
      <c r="T7770" t="s">
        <v>8</v>
      </c>
      <c r="U7770" s="21">
        <v>603.49</v>
      </c>
      <c r="V7770" s="21" t="s">
        <v>368</v>
      </c>
      <c r="W7770" t="str">
        <f>VLOOKUP(Table_Query_from_Actuarial___Production[[#This Row],[Kor1]],$AI$3:$AK$105,3,FALSE)</f>
        <v>Misc. Expense</v>
      </c>
      <c r="X7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0"/>
      <c r="Z7770" t="s">
        <v>32</v>
      </c>
      <c r="AA7770" t="s">
        <v>237</v>
      </c>
      <c r="AB7770" t="s">
        <v>8</v>
      </c>
      <c r="AC7770" s="21">
        <v>470532.17</v>
      </c>
      <c r="AD7770" s="21" t="s">
        <v>368</v>
      </c>
      <c r="AE7770" t="str">
        <f>VLOOKUP(Table_Query_from_Actuarial___Production3[[#This Row],[Kor1]],$AI$3:$AK$105,3,FALSE)</f>
        <v>Misc. Expense</v>
      </c>
      <c r="AF7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1" spans="18:32" x14ac:dyDescent="0.2">
      <c r="R7771" t="s">
        <v>439</v>
      </c>
      <c r="S7771" t="s">
        <v>258</v>
      </c>
      <c r="T7771" t="s">
        <v>433</v>
      </c>
      <c r="U7771" s="21">
        <v>65307</v>
      </c>
      <c r="V7771" s="21" t="s">
        <v>368</v>
      </c>
      <c r="W7771" t="str">
        <f>VLOOKUP(Table_Query_from_Actuarial___Production[[#This Row],[Kor1]],$AI$3:$AK$105,3,FALSE)</f>
        <v>Operating Service Fees</v>
      </c>
      <c r="X7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1"/>
      <c r="Z7771" t="s">
        <v>11</v>
      </c>
      <c r="AA7771" t="s">
        <v>244</v>
      </c>
      <c r="AB7771" t="s">
        <v>6</v>
      </c>
      <c r="AC7771" s="21">
        <v>953174.63</v>
      </c>
      <c r="AD7771" s="21" t="s">
        <v>368</v>
      </c>
      <c r="AE7771" t="str">
        <f>VLOOKUP(Table_Query_from_Actuarial___Production3[[#This Row],[Kor1]],$AI$3:$AK$105,3,FALSE)</f>
        <v>Losses Paid</v>
      </c>
      <c r="AF7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2" spans="18:32" x14ac:dyDescent="0.2">
      <c r="R7772" t="s">
        <v>14</v>
      </c>
      <c r="S7772" t="s">
        <v>225</v>
      </c>
      <c r="T7772" t="s">
        <v>7</v>
      </c>
      <c r="U7772" s="21">
        <v>184539</v>
      </c>
      <c r="V7772" s="21" t="s">
        <v>368</v>
      </c>
      <c r="W7772" t="str">
        <f>VLOOKUP(Table_Query_from_Actuarial___Production[[#This Row],[Kor1]],$AI$3:$AK$105,3,FALSE)</f>
        <v>Claims Expense</v>
      </c>
      <c r="X7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772"/>
      <c r="Z7772" t="s">
        <v>39</v>
      </c>
      <c r="AA7772" t="s">
        <v>230</v>
      </c>
      <c r="AB7772" t="s">
        <v>433</v>
      </c>
      <c r="AC7772" s="21">
        <v>43402.11</v>
      </c>
      <c r="AD7772" s="21" t="s">
        <v>368</v>
      </c>
      <c r="AE7772" t="str">
        <f>VLOOKUP(Table_Query_from_Actuarial___Production3[[#This Row],[Kor1]],$AI$3:$AK$105,3,FALSE)</f>
        <v>Misc. Income for Insolvent Companies</v>
      </c>
      <c r="AF7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3" spans="18:32" x14ac:dyDescent="0.2">
      <c r="R7773" t="s">
        <v>47</v>
      </c>
      <c r="S7773" t="s">
        <v>242</v>
      </c>
      <c r="T7773" t="s">
        <v>8</v>
      </c>
      <c r="U7773" s="21">
        <v>0.22</v>
      </c>
      <c r="V7773" s="21" t="s">
        <v>368</v>
      </c>
      <c r="W7773" t="str">
        <f>VLOOKUP(Table_Query_from_Actuarial___Production[[#This Row],[Kor1]],$AI$3:$AK$105,3,FALSE)</f>
        <v>Investment Income</v>
      </c>
      <c r="X7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3"/>
      <c r="Z7773" t="s">
        <v>11</v>
      </c>
      <c r="AA7773" t="s">
        <v>251</v>
      </c>
      <c r="AB7773" t="s">
        <v>441</v>
      </c>
      <c r="AC7773" s="21">
        <v>215220.77</v>
      </c>
      <c r="AD7773" s="21" t="s">
        <v>368</v>
      </c>
      <c r="AE7773" t="str">
        <f>VLOOKUP(Table_Query_from_Actuarial___Production3[[#This Row],[Kor1]],$AI$3:$AK$105,3,FALSE)</f>
        <v>Losses Paid</v>
      </c>
      <c r="AF7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4" spans="18:32" x14ac:dyDescent="0.2">
      <c r="R7774" t="s">
        <v>19</v>
      </c>
      <c r="S7774" t="s">
        <v>252</v>
      </c>
      <c r="T7774" t="s">
        <v>356</v>
      </c>
      <c r="U7774" s="21">
        <v>111266</v>
      </c>
      <c r="V7774" s="21" t="s">
        <v>368</v>
      </c>
      <c r="W7774" t="str">
        <f>VLOOKUP(Table_Query_from_Actuarial___Production[[#This Row],[Kor1]],$AI$3:$AK$105,3,FALSE)</f>
        <v>Misc. Expense for Insolvent Companies</v>
      </c>
      <c r="X7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4"/>
      <c r="Z7774" t="s">
        <v>14</v>
      </c>
      <c r="AA7774" t="s">
        <v>263</v>
      </c>
      <c r="AB7774" t="s">
        <v>9</v>
      </c>
      <c r="AC7774" s="21">
        <v>28193.89</v>
      </c>
      <c r="AD7774" s="21" t="s">
        <v>368</v>
      </c>
      <c r="AE7774" t="str">
        <f>VLOOKUP(Table_Query_from_Actuarial___Production3[[#This Row],[Kor1]],$AI$3:$AK$105,3,FALSE)</f>
        <v>Claims Expense</v>
      </c>
      <c r="AF7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5" spans="18:32" x14ac:dyDescent="0.2">
      <c r="R7775" t="s">
        <v>38</v>
      </c>
      <c r="S7775" t="s">
        <v>354</v>
      </c>
      <c r="T7775" t="s">
        <v>8</v>
      </c>
      <c r="U7775" s="21">
        <v>11480.72</v>
      </c>
      <c r="V7775" s="21" t="s">
        <v>368</v>
      </c>
      <c r="W7775" t="str">
        <f>VLOOKUP(Table_Query_from_Actuarial___Production[[#This Row],[Kor1]],$AI$3:$AK$105,3,FALSE)</f>
        <v>Misc. Income</v>
      </c>
      <c r="X7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775"/>
      <c r="Z7775" t="s">
        <v>33</v>
      </c>
      <c r="AA7775" t="s">
        <v>228</v>
      </c>
      <c r="AB7775" t="s">
        <v>8</v>
      </c>
      <c r="AC7775" s="21">
        <v>16215.95</v>
      </c>
      <c r="AD7775" s="21" t="s">
        <v>368</v>
      </c>
      <c r="AE7775" t="str">
        <f>VLOOKUP(Table_Query_from_Actuarial___Production3[[#This Row],[Kor1]],$AI$3:$AK$105,3,FALSE)</f>
        <v>Misc. Expense</v>
      </c>
      <c r="AF7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6" spans="18:32" x14ac:dyDescent="0.2">
      <c r="R7776" t="s">
        <v>41</v>
      </c>
      <c r="S7776" t="s">
        <v>229</v>
      </c>
      <c r="T7776" t="s">
        <v>9</v>
      </c>
      <c r="U7776" s="21">
        <v>100</v>
      </c>
      <c r="V7776" s="21" t="s">
        <v>368</v>
      </c>
      <c r="W7776" t="str">
        <f>VLOOKUP(Table_Query_from_Actuarial___Production[[#This Row],[Kor1]],$AI$3:$AK$105,3,FALSE)</f>
        <v>Misc. Income</v>
      </c>
      <c r="X7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6"/>
      <c r="Z7776" t="s">
        <v>46</v>
      </c>
      <c r="AA7776" t="s">
        <v>225</v>
      </c>
      <c r="AB7776" t="s">
        <v>6</v>
      </c>
      <c r="AC7776" s="21">
        <v>9592.68</v>
      </c>
      <c r="AD7776" s="21" t="s">
        <v>368</v>
      </c>
      <c r="AE7776" t="str">
        <f>VLOOKUP(Table_Query_from_Actuarial___Production3[[#This Row],[Kor1]],$AI$3:$AK$105,3,FALSE)</f>
        <v>Investment Income</v>
      </c>
      <c r="AF7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777" spans="18:32" x14ac:dyDescent="0.2">
      <c r="R7777" t="s">
        <v>47</v>
      </c>
      <c r="S7777" t="s">
        <v>238</v>
      </c>
      <c r="T7777" t="s">
        <v>441</v>
      </c>
      <c r="U7777" s="21">
        <v>55.22</v>
      </c>
      <c r="V7777" s="21" t="s">
        <v>368</v>
      </c>
      <c r="W7777" t="str">
        <f>VLOOKUP(Table_Query_from_Actuarial___Production[[#This Row],[Kor1]],$AI$3:$AK$105,3,FALSE)</f>
        <v>Investment Income</v>
      </c>
      <c r="X7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7"/>
      <c r="Z7777" t="s">
        <v>13</v>
      </c>
      <c r="AA7777" t="s">
        <v>251</v>
      </c>
      <c r="AB7777" t="s">
        <v>9</v>
      </c>
      <c r="AC7777" s="21">
        <v>12920.7</v>
      </c>
      <c r="AD7777" s="21" t="s">
        <v>368</v>
      </c>
      <c r="AE7777" t="str">
        <f>VLOOKUP(Table_Query_from_Actuarial___Production3[[#This Row],[Kor1]],$AI$3:$AK$105,3,FALSE)</f>
        <v>Operating Service Fees</v>
      </c>
      <c r="AF7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8" spans="18:32" x14ac:dyDescent="0.2">
      <c r="R7778" t="s">
        <v>144</v>
      </c>
      <c r="S7778" t="s">
        <v>224</v>
      </c>
      <c r="T7778" t="s">
        <v>441</v>
      </c>
      <c r="U7778" s="21">
        <v>-23800</v>
      </c>
      <c r="V7778" s="21" t="s">
        <v>370</v>
      </c>
      <c r="W7778" t="str">
        <f>VLOOKUP(Table_Query_from_Actuarial___Production[[#This Row],[Kor1]],$AI$3:$AK$105,3,FALSE)</f>
        <v>Claims Expense</v>
      </c>
      <c r="X7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778"/>
      <c r="Z7778" t="s">
        <v>19</v>
      </c>
      <c r="AA7778" t="s">
        <v>251</v>
      </c>
      <c r="AB7778" t="s">
        <v>433</v>
      </c>
      <c r="AC7778" s="21">
        <v>1669</v>
      </c>
      <c r="AD7778" s="21" t="s">
        <v>368</v>
      </c>
      <c r="AE7778" t="str">
        <f>VLOOKUP(Table_Query_from_Actuarial___Production3[[#This Row],[Kor1]],$AI$3:$AK$105,3,FALSE)</f>
        <v>Misc. Expense for Insolvent Companies</v>
      </c>
      <c r="AF7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79" spans="18:32" x14ac:dyDescent="0.2">
      <c r="R7779" t="s">
        <v>14</v>
      </c>
      <c r="S7779" t="s">
        <v>266</v>
      </c>
      <c r="T7779" t="s">
        <v>8</v>
      </c>
      <c r="U7779" s="21">
        <v>19372.54</v>
      </c>
      <c r="V7779" s="21" t="s">
        <v>368</v>
      </c>
      <c r="W7779" t="str">
        <f>VLOOKUP(Table_Query_from_Actuarial___Production[[#This Row],[Kor1]],$AI$3:$AK$105,3,FALSE)</f>
        <v>Claims Expense</v>
      </c>
      <c r="X7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79"/>
      <c r="Z7779" t="s">
        <v>3</v>
      </c>
      <c r="AA7779" t="s">
        <v>254</v>
      </c>
      <c r="AB7779" t="s">
        <v>443</v>
      </c>
      <c r="AC7779" s="21">
        <v>8616341</v>
      </c>
      <c r="AD7779" s="21" t="s">
        <v>368</v>
      </c>
      <c r="AE7779" t="str">
        <f>VLOOKUP(Table_Query_from_Actuarial___Production3[[#This Row],[Kor1]],$AI$3:$AK$105,3,FALSE)</f>
        <v>Premiums Written</v>
      </c>
      <c r="AF7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0" spans="18:32" x14ac:dyDescent="0.2">
      <c r="R7780" t="s">
        <v>10</v>
      </c>
      <c r="S7780" t="s">
        <v>242</v>
      </c>
      <c r="T7780" t="s">
        <v>351</v>
      </c>
      <c r="U7780" s="21">
        <v>28990.400000000001</v>
      </c>
      <c r="V7780" s="21" t="s">
        <v>368</v>
      </c>
      <c r="W7780" t="str">
        <f>VLOOKUP(Table_Query_from_Actuarial___Production[[#This Row],[Kor1]],$AI$3:$AK$105,3,FALSE)</f>
        <v>Commissions</v>
      </c>
      <c r="X7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0"/>
      <c r="Z7780" t="s">
        <v>37</v>
      </c>
      <c r="AA7780" t="s">
        <v>240</v>
      </c>
      <c r="AB7780" t="s">
        <v>441</v>
      </c>
      <c r="AC7780" s="21">
        <v>9560.35</v>
      </c>
      <c r="AD7780" s="21" t="s">
        <v>368</v>
      </c>
      <c r="AE7780" t="str">
        <f>VLOOKUP(Table_Query_from_Actuarial___Production3[[#This Row],[Kor1]],$AI$3:$AK$105,3,FALSE)</f>
        <v>Misc. Expense</v>
      </c>
      <c r="AF7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1" spans="18:32" x14ac:dyDescent="0.2">
      <c r="R7781" t="s">
        <v>10</v>
      </c>
      <c r="S7781" t="s">
        <v>237</v>
      </c>
      <c r="T7781" t="s">
        <v>427</v>
      </c>
      <c r="U7781" s="21">
        <v>2345162.98</v>
      </c>
      <c r="V7781" s="21" t="s">
        <v>368</v>
      </c>
      <c r="W7781" t="str">
        <f>VLOOKUP(Table_Query_from_Actuarial___Production[[#This Row],[Kor1]],$AI$3:$AK$105,3,FALSE)</f>
        <v>Commissions</v>
      </c>
      <c r="X7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1"/>
      <c r="Z7781" t="s">
        <v>3</v>
      </c>
      <c r="AA7781" t="s">
        <v>354</v>
      </c>
      <c r="AB7781" t="s">
        <v>7</v>
      </c>
      <c r="AC7781" s="21">
        <v>67661608.870000005</v>
      </c>
      <c r="AD7781" s="21" t="s">
        <v>368</v>
      </c>
      <c r="AE7781" t="str">
        <f>VLOOKUP(Table_Query_from_Actuarial___Production3[[#This Row],[Kor1]],$AI$3:$AK$105,3,FALSE)</f>
        <v>Premiums Written</v>
      </c>
      <c r="AF7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782" spans="18:32" x14ac:dyDescent="0.2">
      <c r="R7782" t="s">
        <v>12</v>
      </c>
      <c r="S7782" t="s">
        <v>248</v>
      </c>
      <c r="T7782" t="s">
        <v>6</v>
      </c>
      <c r="U7782" s="21">
        <v>402.25</v>
      </c>
      <c r="V7782" s="21" t="s">
        <v>368</v>
      </c>
      <c r="W7782" t="str">
        <f>VLOOKUP(Table_Query_from_Actuarial___Production[[#This Row],[Kor1]],$AI$3:$AK$105,3,FALSE)</f>
        <v>Premium Tax</v>
      </c>
      <c r="X7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2"/>
      <c r="Z7782" t="s">
        <v>40</v>
      </c>
      <c r="AA7782" t="s">
        <v>247</v>
      </c>
      <c r="AB7782" t="s">
        <v>442</v>
      </c>
      <c r="AC7782" s="21">
        <v>154</v>
      </c>
      <c r="AD7782" s="21" t="s">
        <v>368</v>
      </c>
      <c r="AE7782" t="str">
        <f>VLOOKUP(Table_Query_from_Actuarial___Production3[[#This Row],[Kor1]],$AI$3:$AK$105,3,FALSE)</f>
        <v>Misc. Income</v>
      </c>
      <c r="AF7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3" spans="18:32" x14ac:dyDescent="0.2">
      <c r="R7783" t="s">
        <v>32</v>
      </c>
      <c r="S7783" t="s">
        <v>237</v>
      </c>
      <c r="T7783" t="s">
        <v>8</v>
      </c>
      <c r="U7783" s="21">
        <v>470532.17</v>
      </c>
      <c r="V7783" s="21" t="s">
        <v>368</v>
      </c>
      <c r="W7783" t="str">
        <f>VLOOKUP(Table_Query_from_Actuarial___Production[[#This Row],[Kor1]],$AI$3:$AK$105,3,FALSE)</f>
        <v>Misc. Expense</v>
      </c>
      <c r="X7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3"/>
      <c r="Z7783" t="s">
        <v>3</v>
      </c>
      <c r="AA7783" t="s">
        <v>226</v>
      </c>
      <c r="AB7783" t="s">
        <v>433</v>
      </c>
      <c r="AC7783" s="21">
        <v>6878958</v>
      </c>
      <c r="AD7783" s="21" t="s">
        <v>368</v>
      </c>
      <c r="AE7783" t="str">
        <f>VLOOKUP(Table_Query_from_Actuarial___Production3[[#This Row],[Kor1]],$AI$3:$AK$105,3,FALSE)</f>
        <v>Premiums Written</v>
      </c>
      <c r="AF7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784" spans="18:32" x14ac:dyDescent="0.2">
      <c r="R7784" t="s">
        <v>11</v>
      </c>
      <c r="S7784" t="s">
        <v>244</v>
      </c>
      <c r="T7784" t="s">
        <v>6</v>
      </c>
      <c r="U7784" s="21">
        <v>953174.63</v>
      </c>
      <c r="V7784" s="21" t="s">
        <v>368</v>
      </c>
      <c r="W7784" t="str">
        <f>VLOOKUP(Table_Query_from_Actuarial___Production[[#This Row],[Kor1]],$AI$3:$AK$105,3,FALSE)</f>
        <v>Losses Paid</v>
      </c>
      <c r="X7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4"/>
      <c r="Z7784" t="s">
        <v>10</v>
      </c>
      <c r="AA7784" t="s">
        <v>237</v>
      </c>
      <c r="AB7784" t="s">
        <v>9</v>
      </c>
      <c r="AC7784" s="21">
        <v>732092.8</v>
      </c>
      <c r="AD7784" s="21" t="s">
        <v>368</v>
      </c>
      <c r="AE7784" t="str">
        <f>VLOOKUP(Table_Query_from_Actuarial___Production3[[#This Row],[Kor1]],$AI$3:$AK$105,3,FALSE)</f>
        <v>Commissions</v>
      </c>
      <c r="AF7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5" spans="18:32" x14ac:dyDescent="0.2">
      <c r="R7785" t="s">
        <v>39</v>
      </c>
      <c r="S7785" t="s">
        <v>230</v>
      </c>
      <c r="T7785" t="s">
        <v>433</v>
      </c>
      <c r="U7785" s="21">
        <v>43402.11</v>
      </c>
      <c r="V7785" s="21" t="s">
        <v>368</v>
      </c>
      <c r="W7785" t="str">
        <f>VLOOKUP(Table_Query_from_Actuarial___Production[[#This Row],[Kor1]],$AI$3:$AK$105,3,FALSE)</f>
        <v>Misc. Income for Insolvent Companies</v>
      </c>
      <c r="X7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5"/>
      <c r="Z7785" t="s">
        <v>43</v>
      </c>
      <c r="AA7785" t="s">
        <v>233</v>
      </c>
      <c r="AB7785" t="s">
        <v>441</v>
      </c>
      <c r="AC7785" s="21">
        <v>3982.33</v>
      </c>
      <c r="AD7785" s="21" t="s">
        <v>368</v>
      </c>
      <c r="AE7785" t="str">
        <f>VLOOKUP(Table_Query_from_Actuarial___Production3[[#This Row],[Kor1]],$AI$3:$AK$105,3,FALSE)</f>
        <v>Charge-offs</v>
      </c>
      <c r="AF7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6" spans="18:32" x14ac:dyDescent="0.2">
      <c r="R7786" t="s">
        <v>11</v>
      </c>
      <c r="S7786" t="s">
        <v>251</v>
      </c>
      <c r="T7786" t="s">
        <v>441</v>
      </c>
      <c r="U7786" s="21">
        <v>626038.21</v>
      </c>
      <c r="V7786" s="21" t="s">
        <v>368</v>
      </c>
      <c r="W7786" t="str">
        <f>VLOOKUP(Table_Query_from_Actuarial___Production[[#This Row],[Kor1]],$AI$3:$AK$105,3,FALSE)</f>
        <v>Losses Paid</v>
      </c>
      <c r="X7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6"/>
      <c r="Z7786" t="s">
        <v>49</v>
      </c>
      <c r="AA7786" t="s">
        <v>225</v>
      </c>
      <c r="AB7786" t="s">
        <v>9</v>
      </c>
      <c r="AC7786" s="21">
        <v>421156.48</v>
      </c>
      <c r="AD7786" s="21" t="s">
        <v>368</v>
      </c>
      <c r="AE7786" t="str">
        <f>VLOOKUP(Table_Query_from_Actuarial___Production3[[#This Row],[Kor1]],$AI$3:$AK$105,3,FALSE)</f>
        <v>ALAE Paid</v>
      </c>
      <c r="AF7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787" spans="18:32" x14ac:dyDescent="0.2">
      <c r="R7787" t="s">
        <v>14</v>
      </c>
      <c r="S7787" t="s">
        <v>263</v>
      </c>
      <c r="T7787" t="s">
        <v>9</v>
      </c>
      <c r="U7787" s="21">
        <v>28193.89</v>
      </c>
      <c r="V7787" s="21" t="s">
        <v>368</v>
      </c>
      <c r="W7787" t="str">
        <f>VLOOKUP(Table_Query_from_Actuarial___Production[[#This Row],[Kor1]],$AI$3:$AK$105,3,FALSE)</f>
        <v>Claims Expense</v>
      </c>
      <c r="X7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7"/>
      <c r="Z7787" t="s">
        <v>32</v>
      </c>
      <c r="AA7787" t="s">
        <v>258</v>
      </c>
      <c r="AB7787" t="s">
        <v>433</v>
      </c>
      <c r="AC7787" s="21">
        <v>-13652.88</v>
      </c>
      <c r="AD7787" s="21" t="s">
        <v>368</v>
      </c>
      <c r="AE7787" t="str">
        <f>VLOOKUP(Table_Query_from_Actuarial___Production3[[#This Row],[Kor1]],$AI$3:$AK$105,3,FALSE)</f>
        <v>Misc. Expense</v>
      </c>
      <c r="AF7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88" spans="18:32" x14ac:dyDescent="0.2">
      <c r="R7788" t="s">
        <v>33</v>
      </c>
      <c r="S7788" t="s">
        <v>228</v>
      </c>
      <c r="T7788" t="s">
        <v>8</v>
      </c>
      <c r="U7788" s="21">
        <v>16215.95</v>
      </c>
      <c r="V7788" s="21" t="s">
        <v>368</v>
      </c>
      <c r="W7788" t="str">
        <f>VLOOKUP(Table_Query_from_Actuarial___Production[[#This Row],[Kor1]],$AI$3:$AK$105,3,FALSE)</f>
        <v>Misc. Expense</v>
      </c>
      <c r="X7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88"/>
      <c r="Z7788" t="s">
        <v>18</v>
      </c>
      <c r="AA7788" t="s">
        <v>224</v>
      </c>
      <c r="AB7788" t="s">
        <v>5</v>
      </c>
      <c r="AC7788" s="21">
        <v>5459.79</v>
      </c>
      <c r="AD7788" s="21" t="s">
        <v>369</v>
      </c>
      <c r="AE7788" t="str">
        <f>VLOOKUP(Table_Query_from_Actuarial___Production3[[#This Row],[Kor1]],$AI$3:$AK$105,3,FALSE)</f>
        <v>Misc. Expense</v>
      </c>
      <c r="AF7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789" spans="18:32" x14ac:dyDescent="0.2">
      <c r="R7789" t="s">
        <v>46</v>
      </c>
      <c r="S7789" t="s">
        <v>225</v>
      </c>
      <c r="T7789" t="s">
        <v>6</v>
      </c>
      <c r="U7789" s="21">
        <v>9592.68</v>
      </c>
      <c r="V7789" s="21" t="s">
        <v>368</v>
      </c>
      <c r="W7789" t="str">
        <f>VLOOKUP(Table_Query_from_Actuarial___Production[[#This Row],[Kor1]],$AI$3:$AK$105,3,FALSE)</f>
        <v>Investment Income</v>
      </c>
      <c r="X7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789"/>
      <c r="Z7789" t="s">
        <v>49</v>
      </c>
      <c r="AA7789" t="s">
        <v>241</v>
      </c>
      <c r="AB7789" t="s">
        <v>351</v>
      </c>
      <c r="AC7789" s="21">
        <v>26834.41</v>
      </c>
      <c r="AD7789" s="21" t="s">
        <v>368</v>
      </c>
      <c r="AE7789" t="str">
        <f>VLOOKUP(Table_Query_from_Actuarial___Production3[[#This Row],[Kor1]],$AI$3:$AK$105,3,FALSE)</f>
        <v>ALAE Paid</v>
      </c>
      <c r="AF7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0" spans="18:32" x14ac:dyDescent="0.2">
      <c r="R7790" t="s">
        <v>13</v>
      </c>
      <c r="S7790" t="s">
        <v>251</v>
      </c>
      <c r="T7790" t="s">
        <v>9</v>
      </c>
      <c r="U7790" s="21">
        <v>12920.7</v>
      </c>
      <c r="V7790" s="21" t="s">
        <v>368</v>
      </c>
      <c r="W7790" t="str">
        <f>VLOOKUP(Table_Query_from_Actuarial___Production[[#This Row],[Kor1]],$AI$3:$AK$105,3,FALSE)</f>
        <v>Operating Service Fees</v>
      </c>
      <c r="X7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0"/>
      <c r="Z7790" t="s">
        <v>41</v>
      </c>
      <c r="AA7790" t="s">
        <v>242</v>
      </c>
      <c r="AB7790" t="s">
        <v>427</v>
      </c>
      <c r="AC7790" s="21">
        <v>200</v>
      </c>
      <c r="AD7790" s="21" t="s">
        <v>368</v>
      </c>
      <c r="AE7790" t="str">
        <f>VLOOKUP(Table_Query_from_Actuarial___Production3[[#This Row],[Kor1]],$AI$3:$AK$105,3,FALSE)</f>
        <v>Misc. Income</v>
      </c>
      <c r="AF7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1" spans="18:32" x14ac:dyDescent="0.2">
      <c r="R7791" t="s">
        <v>19</v>
      </c>
      <c r="S7791" t="s">
        <v>251</v>
      </c>
      <c r="T7791" t="s">
        <v>433</v>
      </c>
      <c r="U7791" s="21">
        <v>1669</v>
      </c>
      <c r="V7791" s="21" t="s">
        <v>368</v>
      </c>
      <c r="W7791" t="str">
        <f>VLOOKUP(Table_Query_from_Actuarial___Production[[#This Row],[Kor1]],$AI$3:$AK$105,3,FALSE)</f>
        <v>Misc. Expense for Insolvent Companies</v>
      </c>
      <c r="X7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1"/>
      <c r="Z7791" t="s">
        <v>33</v>
      </c>
      <c r="AA7791" t="s">
        <v>245</v>
      </c>
      <c r="AB7791" t="s">
        <v>8</v>
      </c>
      <c r="AC7791" s="21">
        <v>20383.27</v>
      </c>
      <c r="AD7791" s="21" t="s">
        <v>368</v>
      </c>
      <c r="AE7791" t="str">
        <f>VLOOKUP(Table_Query_from_Actuarial___Production3[[#This Row],[Kor1]],$AI$3:$AK$105,3,FALSE)</f>
        <v>Misc. Expense</v>
      </c>
      <c r="AF7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2" spans="18:32" x14ac:dyDescent="0.2">
      <c r="R7792" t="s">
        <v>3</v>
      </c>
      <c r="S7792" t="s">
        <v>254</v>
      </c>
      <c r="T7792" t="s">
        <v>443</v>
      </c>
      <c r="U7792" s="21">
        <v>31061116</v>
      </c>
      <c r="V7792" s="21" t="s">
        <v>368</v>
      </c>
      <c r="W7792" t="str">
        <f>VLOOKUP(Table_Query_from_Actuarial___Production[[#This Row],[Kor1]],$AI$3:$AK$105,3,FALSE)</f>
        <v>Premiums Written</v>
      </c>
      <c r="X7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2"/>
      <c r="Z7792" t="s">
        <v>34</v>
      </c>
      <c r="AA7792" t="s">
        <v>4</v>
      </c>
      <c r="AB7792" t="s">
        <v>9</v>
      </c>
      <c r="AC7792" s="21">
        <v>101.26</v>
      </c>
      <c r="AD7792" s="21" t="s">
        <v>368</v>
      </c>
      <c r="AE7792" t="str">
        <f>VLOOKUP(Table_Query_from_Actuarial___Production3[[#This Row],[Kor1]],$AI$3:$AK$105,3,FALSE)</f>
        <v>Misc. Expense</v>
      </c>
      <c r="AF7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3" spans="18:32" x14ac:dyDescent="0.2">
      <c r="R7793" t="s">
        <v>37</v>
      </c>
      <c r="S7793" t="s">
        <v>240</v>
      </c>
      <c r="T7793" t="s">
        <v>441</v>
      </c>
      <c r="U7793" s="21">
        <v>9560.35</v>
      </c>
      <c r="V7793" s="21" t="s">
        <v>368</v>
      </c>
      <c r="W7793" t="str">
        <f>VLOOKUP(Table_Query_from_Actuarial___Production[[#This Row],[Kor1]],$AI$3:$AK$105,3,FALSE)</f>
        <v>Misc. Expense</v>
      </c>
      <c r="X7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3"/>
      <c r="Z7793" t="s">
        <v>25</v>
      </c>
      <c r="AA7793" t="s">
        <v>250</v>
      </c>
      <c r="AB7793" t="s">
        <v>433</v>
      </c>
      <c r="AC7793" s="21">
        <v>65</v>
      </c>
      <c r="AD7793" s="21" t="s">
        <v>368</v>
      </c>
      <c r="AE7793" t="str">
        <f>VLOOKUP(Table_Query_from_Actuarial___Production3[[#This Row],[Kor1]],$AI$3:$AK$105,3,FALSE)</f>
        <v>Misc. Expense</v>
      </c>
      <c r="AF7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4" spans="18:32" x14ac:dyDescent="0.2">
      <c r="R7794" t="s">
        <v>3</v>
      </c>
      <c r="S7794" t="s">
        <v>354</v>
      </c>
      <c r="T7794" t="s">
        <v>7</v>
      </c>
      <c r="U7794" s="21">
        <v>67661609.510000005</v>
      </c>
      <c r="V7794" s="21" t="s">
        <v>368</v>
      </c>
      <c r="W7794" t="str">
        <f>VLOOKUP(Table_Query_from_Actuarial___Production[[#This Row],[Kor1]],$AI$3:$AK$105,3,FALSE)</f>
        <v>Premiums Written</v>
      </c>
      <c r="X7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7794"/>
      <c r="Z7794" t="s">
        <v>41</v>
      </c>
      <c r="AA7794" t="s">
        <v>259</v>
      </c>
      <c r="AB7794" t="s">
        <v>427</v>
      </c>
      <c r="AC7794" s="21">
        <v>50.02</v>
      </c>
      <c r="AD7794" s="21" t="s">
        <v>368</v>
      </c>
      <c r="AE7794" t="str">
        <f>VLOOKUP(Table_Query_from_Actuarial___Production3[[#This Row],[Kor1]],$AI$3:$AK$105,3,FALSE)</f>
        <v>Misc. Income</v>
      </c>
      <c r="AF7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5" spans="18:32" x14ac:dyDescent="0.2">
      <c r="R7795" t="s">
        <v>40</v>
      </c>
      <c r="S7795" t="s">
        <v>247</v>
      </c>
      <c r="T7795" t="s">
        <v>442</v>
      </c>
      <c r="U7795" s="21">
        <v>154</v>
      </c>
      <c r="V7795" s="21" t="s">
        <v>368</v>
      </c>
      <c r="W7795" t="str">
        <f>VLOOKUP(Table_Query_from_Actuarial___Production[[#This Row],[Kor1]],$AI$3:$AK$105,3,FALSE)</f>
        <v>Misc. Income</v>
      </c>
      <c r="X7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5"/>
      <c r="Z7795" t="s">
        <v>47</v>
      </c>
      <c r="AA7795" t="s">
        <v>252</v>
      </c>
      <c r="AB7795" t="s">
        <v>441</v>
      </c>
      <c r="AC7795" s="21">
        <v>547.17999999999995</v>
      </c>
      <c r="AD7795" s="21" t="s">
        <v>368</v>
      </c>
      <c r="AE7795" t="str">
        <f>VLOOKUP(Table_Query_from_Actuarial___Production3[[#This Row],[Kor1]],$AI$3:$AK$105,3,FALSE)</f>
        <v>Investment Income</v>
      </c>
      <c r="AF7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6" spans="18:32" x14ac:dyDescent="0.2">
      <c r="R7796" t="s">
        <v>3</v>
      </c>
      <c r="S7796" t="s">
        <v>226</v>
      </c>
      <c r="T7796" t="s">
        <v>433</v>
      </c>
      <c r="U7796" s="21">
        <v>6878696</v>
      </c>
      <c r="V7796" s="21" t="s">
        <v>368</v>
      </c>
      <c r="W7796" t="str">
        <f>VLOOKUP(Table_Query_from_Actuarial___Production[[#This Row],[Kor1]],$AI$3:$AK$105,3,FALSE)</f>
        <v>Premiums Written</v>
      </c>
      <c r="X7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796"/>
      <c r="Z7796" t="s">
        <v>31</v>
      </c>
      <c r="AA7796" t="s">
        <v>242</v>
      </c>
      <c r="AB7796" t="s">
        <v>443</v>
      </c>
      <c r="AC7796" s="21">
        <v>986.3</v>
      </c>
      <c r="AD7796" s="21" t="s">
        <v>368</v>
      </c>
      <c r="AE7796" t="str">
        <f>VLOOKUP(Table_Query_from_Actuarial___Production3[[#This Row],[Kor1]],$AI$3:$AK$105,3,FALSE)</f>
        <v>Misc. Expense</v>
      </c>
      <c r="AF7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7" spans="18:32" x14ac:dyDescent="0.2">
      <c r="R7797" t="s">
        <v>10</v>
      </c>
      <c r="S7797" t="s">
        <v>237</v>
      </c>
      <c r="T7797" t="s">
        <v>9</v>
      </c>
      <c r="U7797" s="21">
        <v>732926.14</v>
      </c>
      <c r="V7797" s="21" t="s">
        <v>368</v>
      </c>
      <c r="W7797" t="str">
        <f>VLOOKUP(Table_Query_from_Actuarial___Production[[#This Row],[Kor1]],$AI$3:$AK$105,3,FALSE)</f>
        <v>Commissions</v>
      </c>
      <c r="X7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7"/>
      <c r="Z7797" t="s">
        <v>37</v>
      </c>
      <c r="AA7797" t="s">
        <v>236</v>
      </c>
      <c r="AB7797" t="s">
        <v>356</v>
      </c>
      <c r="AC7797" s="21">
        <v>22.17</v>
      </c>
      <c r="AD7797" s="21" t="s">
        <v>368</v>
      </c>
      <c r="AE7797" t="str">
        <f>VLOOKUP(Table_Query_from_Actuarial___Production3[[#This Row],[Kor1]],$AI$3:$AK$105,3,FALSE)</f>
        <v>Misc. Expense</v>
      </c>
      <c r="AF7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8" spans="18:32" x14ac:dyDescent="0.2">
      <c r="R7798" t="s">
        <v>43</v>
      </c>
      <c r="S7798" t="s">
        <v>233</v>
      </c>
      <c r="T7798" t="s">
        <v>441</v>
      </c>
      <c r="U7798" s="21">
        <v>3982.33</v>
      </c>
      <c r="V7798" s="21" t="s">
        <v>368</v>
      </c>
      <c r="W7798" t="str">
        <f>VLOOKUP(Table_Query_from_Actuarial___Production[[#This Row],[Kor1]],$AI$3:$AK$105,3,FALSE)</f>
        <v>Charge-offs</v>
      </c>
      <c r="X7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798"/>
      <c r="Z7798" t="s">
        <v>39</v>
      </c>
      <c r="AA7798" t="s">
        <v>258</v>
      </c>
      <c r="AB7798" t="s">
        <v>5</v>
      </c>
      <c r="AC7798" s="21">
        <v>5</v>
      </c>
      <c r="AD7798" s="21" t="s">
        <v>368</v>
      </c>
      <c r="AE7798" t="str">
        <f>VLOOKUP(Table_Query_from_Actuarial___Production3[[#This Row],[Kor1]],$AI$3:$AK$105,3,FALSE)</f>
        <v>Misc. Income for Insolvent Companies</v>
      </c>
      <c r="AF7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799" spans="18:32" x14ac:dyDescent="0.2">
      <c r="R7799" t="s">
        <v>49</v>
      </c>
      <c r="S7799" t="s">
        <v>225</v>
      </c>
      <c r="T7799" t="s">
        <v>9</v>
      </c>
      <c r="U7799" s="21">
        <v>421156.48</v>
      </c>
      <c r="V7799" s="21" t="s">
        <v>368</v>
      </c>
      <c r="W7799" t="str">
        <f>VLOOKUP(Table_Query_from_Actuarial___Production[[#This Row],[Kor1]],$AI$3:$AK$105,3,FALSE)</f>
        <v>ALAE Paid</v>
      </c>
      <c r="X7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799"/>
      <c r="Z7799" t="s">
        <v>41</v>
      </c>
      <c r="AA7799" t="s">
        <v>240</v>
      </c>
      <c r="AB7799" t="s">
        <v>356</v>
      </c>
      <c r="AC7799" s="21">
        <v>402.69</v>
      </c>
      <c r="AD7799" s="21" t="s">
        <v>368</v>
      </c>
      <c r="AE7799" t="str">
        <f>VLOOKUP(Table_Query_from_Actuarial___Production3[[#This Row],[Kor1]],$AI$3:$AK$105,3,FALSE)</f>
        <v>Misc. Income</v>
      </c>
      <c r="AF7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0" spans="18:32" x14ac:dyDescent="0.2">
      <c r="R7800" t="s">
        <v>32</v>
      </c>
      <c r="S7800" t="s">
        <v>258</v>
      </c>
      <c r="T7800" t="s">
        <v>433</v>
      </c>
      <c r="U7800" s="21">
        <v>-13652.88</v>
      </c>
      <c r="V7800" s="21" t="s">
        <v>368</v>
      </c>
      <c r="W7800" t="str">
        <f>VLOOKUP(Table_Query_from_Actuarial___Production[[#This Row],[Kor1]],$AI$3:$AK$105,3,FALSE)</f>
        <v>Misc. Expense</v>
      </c>
      <c r="X7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0"/>
      <c r="Z7800" t="s">
        <v>34</v>
      </c>
      <c r="AA7800" t="s">
        <v>264</v>
      </c>
      <c r="AB7800" t="s">
        <v>443</v>
      </c>
      <c r="AC7800" s="21">
        <v>12780.04</v>
      </c>
      <c r="AD7800" s="21" t="s">
        <v>368</v>
      </c>
      <c r="AE7800" t="str">
        <f>VLOOKUP(Table_Query_from_Actuarial___Production3[[#This Row],[Kor1]],$AI$3:$AK$105,3,FALSE)</f>
        <v>Misc. Expense</v>
      </c>
      <c r="AF7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1" spans="18:32" x14ac:dyDescent="0.2">
      <c r="R7801" t="s">
        <v>49</v>
      </c>
      <c r="S7801" t="s">
        <v>241</v>
      </c>
      <c r="T7801" t="s">
        <v>351</v>
      </c>
      <c r="U7801" s="21">
        <v>26834.41</v>
      </c>
      <c r="V7801" s="21" t="s">
        <v>368</v>
      </c>
      <c r="W7801" t="str">
        <f>VLOOKUP(Table_Query_from_Actuarial___Production[[#This Row],[Kor1]],$AI$3:$AK$105,3,FALSE)</f>
        <v>ALAE Paid</v>
      </c>
      <c r="X7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1"/>
      <c r="Z7801" t="s">
        <v>13</v>
      </c>
      <c r="AA7801" t="s">
        <v>255</v>
      </c>
      <c r="AB7801" t="s">
        <v>441</v>
      </c>
      <c r="AC7801" s="21">
        <v>119044.22</v>
      </c>
      <c r="AD7801" s="21" t="s">
        <v>368</v>
      </c>
      <c r="AE7801" t="str">
        <f>VLOOKUP(Table_Query_from_Actuarial___Production3[[#This Row],[Kor1]],$AI$3:$AK$105,3,FALSE)</f>
        <v>Operating Service Fees</v>
      </c>
      <c r="AF7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2" spans="18:32" x14ac:dyDescent="0.2">
      <c r="R7802" t="s">
        <v>41</v>
      </c>
      <c r="S7802" t="s">
        <v>242</v>
      </c>
      <c r="T7802" t="s">
        <v>427</v>
      </c>
      <c r="U7802" s="21">
        <v>200</v>
      </c>
      <c r="V7802" s="21" t="s">
        <v>368</v>
      </c>
      <c r="W7802" t="str">
        <f>VLOOKUP(Table_Query_from_Actuarial___Production[[#This Row],[Kor1]],$AI$3:$AK$105,3,FALSE)</f>
        <v>Misc. Income</v>
      </c>
      <c r="X7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2"/>
      <c r="Z7802" t="s">
        <v>14</v>
      </c>
      <c r="AA7802" t="s">
        <v>233</v>
      </c>
      <c r="AB7802" t="s">
        <v>8</v>
      </c>
      <c r="AC7802" s="21">
        <v>31186.69</v>
      </c>
      <c r="AD7802" s="21" t="s">
        <v>368</v>
      </c>
      <c r="AE7802" t="str">
        <f>VLOOKUP(Table_Query_from_Actuarial___Production3[[#This Row],[Kor1]],$AI$3:$AK$105,3,FALSE)</f>
        <v>Claims Expense</v>
      </c>
      <c r="AF7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3" spans="18:32" x14ac:dyDescent="0.2">
      <c r="R7803" t="s">
        <v>33</v>
      </c>
      <c r="S7803" t="s">
        <v>245</v>
      </c>
      <c r="T7803" t="s">
        <v>8</v>
      </c>
      <c r="U7803" s="21">
        <v>20383.27</v>
      </c>
      <c r="V7803" s="21" t="s">
        <v>368</v>
      </c>
      <c r="W7803" t="str">
        <f>VLOOKUP(Table_Query_from_Actuarial___Production[[#This Row],[Kor1]],$AI$3:$AK$105,3,FALSE)</f>
        <v>Misc. Expense</v>
      </c>
      <c r="X7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3"/>
      <c r="Z7803" t="s">
        <v>16</v>
      </c>
      <c r="AA7803" t="s">
        <v>228</v>
      </c>
      <c r="AB7803" t="s">
        <v>427</v>
      </c>
      <c r="AC7803" s="21">
        <v>1840610.29</v>
      </c>
      <c r="AD7803" s="21" t="s">
        <v>368</v>
      </c>
      <c r="AE7803" t="str">
        <f>VLOOKUP(Table_Query_from_Actuarial___Production3[[#This Row],[Kor1]],$AI$3:$AK$105,3,FALSE)</f>
        <v>Losses Outstanding</v>
      </c>
      <c r="AF7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4" spans="18:32" x14ac:dyDescent="0.2">
      <c r="R7804" t="s">
        <v>34</v>
      </c>
      <c r="S7804" t="s">
        <v>4</v>
      </c>
      <c r="T7804" t="s">
        <v>9</v>
      </c>
      <c r="U7804" s="21">
        <v>101.26</v>
      </c>
      <c r="V7804" s="21" t="s">
        <v>368</v>
      </c>
      <c r="W7804" t="str">
        <f>VLOOKUP(Table_Query_from_Actuarial___Production[[#This Row],[Kor1]],$AI$3:$AK$105,3,FALSE)</f>
        <v>Misc. Expense</v>
      </c>
      <c r="X7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4"/>
      <c r="Z7804" t="s">
        <v>39</v>
      </c>
      <c r="AA7804" t="s">
        <v>256</v>
      </c>
      <c r="AB7804" t="s">
        <v>356</v>
      </c>
      <c r="AC7804" s="21">
        <v>218</v>
      </c>
      <c r="AD7804" s="21" t="s">
        <v>368</v>
      </c>
      <c r="AE7804" t="str">
        <f>VLOOKUP(Table_Query_from_Actuarial___Production3[[#This Row],[Kor1]],$AI$3:$AK$105,3,FALSE)</f>
        <v>Misc. Income for Insolvent Companies</v>
      </c>
      <c r="AF7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5" spans="18:32" x14ac:dyDescent="0.2">
      <c r="R7805" t="s">
        <v>25</v>
      </c>
      <c r="S7805" t="s">
        <v>250</v>
      </c>
      <c r="T7805" t="s">
        <v>433</v>
      </c>
      <c r="U7805" s="21">
        <v>65</v>
      </c>
      <c r="V7805" s="21" t="s">
        <v>368</v>
      </c>
      <c r="W7805" t="str">
        <f>VLOOKUP(Table_Query_from_Actuarial___Production[[#This Row],[Kor1]],$AI$3:$AK$105,3,FALSE)</f>
        <v>Misc. Expense</v>
      </c>
      <c r="X7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5"/>
      <c r="Z7805" t="s">
        <v>49</v>
      </c>
      <c r="AA7805" t="s">
        <v>237</v>
      </c>
      <c r="AB7805" t="s">
        <v>351</v>
      </c>
      <c r="AC7805" s="21">
        <v>417506</v>
      </c>
      <c r="AD7805" s="21" t="s">
        <v>368</v>
      </c>
      <c r="AE7805" t="str">
        <f>VLOOKUP(Table_Query_from_Actuarial___Production3[[#This Row],[Kor1]],$AI$3:$AK$105,3,FALSE)</f>
        <v>ALAE Paid</v>
      </c>
      <c r="AF7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6" spans="18:32" x14ac:dyDescent="0.2">
      <c r="R7806" t="s">
        <v>41</v>
      </c>
      <c r="S7806" t="s">
        <v>259</v>
      </c>
      <c r="T7806" t="s">
        <v>427</v>
      </c>
      <c r="U7806" s="21">
        <v>50.02</v>
      </c>
      <c r="V7806" s="21" t="s">
        <v>368</v>
      </c>
      <c r="W7806" t="str">
        <f>VLOOKUP(Table_Query_from_Actuarial___Production[[#This Row],[Kor1]],$AI$3:$AK$105,3,FALSE)</f>
        <v>Misc. Income</v>
      </c>
      <c r="X7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6"/>
      <c r="Z7806" t="s">
        <v>3</v>
      </c>
      <c r="AA7806" t="s">
        <v>254</v>
      </c>
      <c r="AB7806" t="s">
        <v>427</v>
      </c>
      <c r="AC7806" s="21">
        <v>6070265</v>
      </c>
      <c r="AD7806" s="21" t="s">
        <v>368</v>
      </c>
      <c r="AE7806" t="str">
        <f>VLOOKUP(Table_Query_from_Actuarial___Production3[[#This Row],[Kor1]],$AI$3:$AK$105,3,FALSE)</f>
        <v>Premiums Written</v>
      </c>
      <c r="AF7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7" spans="18:32" x14ac:dyDescent="0.2">
      <c r="R7807" t="s">
        <v>47</v>
      </c>
      <c r="S7807" t="s">
        <v>252</v>
      </c>
      <c r="T7807" t="s">
        <v>441</v>
      </c>
      <c r="U7807" s="21">
        <v>547.17999999999995</v>
      </c>
      <c r="V7807" s="21" t="s">
        <v>368</v>
      </c>
      <c r="W7807" t="str">
        <f>VLOOKUP(Table_Query_from_Actuarial___Production[[#This Row],[Kor1]],$AI$3:$AK$105,3,FALSE)</f>
        <v>Investment Income</v>
      </c>
      <c r="X7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7"/>
      <c r="Z7807" t="s">
        <v>13</v>
      </c>
      <c r="AA7807" t="s">
        <v>263</v>
      </c>
      <c r="AB7807" t="s">
        <v>433</v>
      </c>
      <c r="AC7807" s="21">
        <v>101049.07</v>
      </c>
      <c r="AD7807" s="21" t="s">
        <v>368</v>
      </c>
      <c r="AE7807" t="str">
        <f>VLOOKUP(Table_Query_from_Actuarial___Production3[[#This Row],[Kor1]],$AI$3:$AK$105,3,FALSE)</f>
        <v>Operating Service Fees</v>
      </c>
      <c r="AF7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8" spans="18:32" x14ac:dyDescent="0.2">
      <c r="R7808" t="s">
        <v>31</v>
      </c>
      <c r="S7808" t="s">
        <v>242</v>
      </c>
      <c r="T7808" t="s">
        <v>443</v>
      </c>
      <c r="U7808" s="21">
        <v>665.85</v>
      </c>
      <c r="V7808" s="21" t="s">
        <v>368</v>
      </c>
      <c r="W7808" t="str">
        <f>VLOOKUP(Table_Query_from_Actuarial___Production[[#This Row],[Kor1]],$AI$3:$AK$105,3,FALSE)</f>
        <v>Misc. Expense</v>
      </c>
      <c r="X7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8"/>
      <c r="Z7808" t="s">
        <v>14</v>
      </c>
      <c r="AA7808" t="s">
        <v>239</v>
      </c>
      <c r="AB7808" t="s">
        <v>8</v>
      </c>
      <c r="AC7808" s="21">
        <v>18764.79</v>
      </c>
      <c r="AD7808" s="21" t="s">
        <v>368</v>
      </c>
      <c r="AE7808" t="str">
        <f>VLOOKUP(Table_Query_from_Actuarial___Production3[[#This Row],[Kor1]],$AI$3:$AK$105,3,FALSE)</f>
        <v>Claims Expense</v>
      </c>
      <c r="AF7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09" spans="18:32" x14ac:dyDescent="0.2">
      <c r="R7809" t="s">
        <v>37</v>
      </c>
      <c r="S7809" t="s">
        <v>236</v>
      </c>
      <c r="T7809" t="s">
        <v>356</v>
      </c>
      <c r="U7809" s="21">
        <v>22.17</v>
      </c>
      <c r="V7809" s="21" t="s">
        <v>368</v>
      </c>
      <c r="W7809" t="str">
        <f>VLOOKUP(Table_Query_from_Actuarial___Production[[#This Row],[Kor1]],$AI$3:$AK$105,3,FALSE)</f>
        <v>Misc. Expense</v>
      </c>
      <c r="X7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09"/>
      <c r="Z7809" t="s">
        <v>40</v>
      </c>
      <c r="AA7809" t="s">
        <v>267</v>
      </c>
      <c r="AB7809" t="s">
        <v>8</v>
      </c>
      <c r="AC7809" s="21">
        <v>157</v>
      </c>
      <c r="AD7809" s="21" t="s">
        <v>368</v>
      </c>
      <c r="AE7809" t="str">
        <f>VLOOKUP(Table_Query_from_Actuarial___Production3[[#This Row],[Kor1]],$AI$3:$AK$105,3,FALSE)</f>
        <v>Misc. Income</v>
      </c>
      <c r="AF7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0" spans="18:32" x14ac:dyDescent="0.2">
      <c r="R7810" t="s">
        <v>41</v>
      </c>
      <c r="S7810" t="s">
        <v>240</v>
      </c>
      <c r="T7810" t="s">
        <v>356</v>
      </c>
      <c r="U7810" s="21">
        <v>402.69</v>
      </c>
      <c r="V7810" s="21" t="s">
        <v>368</v>
      </c>
      <c r="W7810" t="str">
        <f>VLOOKUP(Table_Query_from_Actuarial___Production[[#This Row],[Kor1]],$AI$3:$AK$105,3,FALSE)</f>
        <v>Misc. Income</v>
      </c>
      <c r="X7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0"/>
      <c r="Z7810" t="s">
        <v>3</v>
      </c>
      <c r="AA7810" t="s">
        <v>245</v>
      </c>
      <c r="AB7810" t="s">
        <v>356</v>
      </c>
      <c r="AC7810" s="21">
        <v>2166</v>
      </c>
      <c r="AD7810" s="21" t="s">
        <v>368</v>
      </c>
      <c r="AE7810" t="str">
        <f>VLOOKUP(Table_Query_from_Actuarial___Production3[[#This Row],[Kor1]],$AI$3:$AK$105,3,FALSE)</f>
        <v>Premiums Written</v>
      </c>
      <c r="AF7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1" spans="18:32" x14ac:dyDescent="0.2">
      <c r="R7811" t="s">
        <v>34</v>
      </c>
      <c r="S7811" t="s">
        <v>264</v>
      </c>
      <c r="T7811" t="s">
        <v>443</v>
      </c>
      <c r="U7811" s="21">
        <v>28052.59</v>
      </c>
      <c r="V7811" s="21" t="s">
        <v>368</v>
      </c>
      <c r="W7811" t="str">
        <f>VLOOKUP(Table_Query_from_Actuarial___Production[[#This Row],[Kor1]],$AI$3:$AK$105,3,FALSE)</f>
        <v>Misc. Expense</v>
      </c>
      <c r="X7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1"/>
      <c r="Z7811" t="s">
        <v>33</v>
      </c>
      <c r="AA7811" t="s">
        <v>256</v>
      </c>
      <c r="AB7811" t="s">
        <v>442</v>
      </c>
      <c r="AC7811" s="21">
        <v>3820.6</v>
      </c>
      <c r="AD7811" s="21" t="s">
        <v>368</v>
      </c>
      <c r="AE7811" t="str">
        <f>VLOOKUP(Table_Query_from_Actuarial___Production3[[#This Row],[Kor1]],$AI$3:$AK$105,3,FALSE)</f>
        <v>Misc. Expense</v>
      </c>
      <c r="AF7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2" spans="18:32" x14ac:dyDescent="0.2">
      <c r="R7812" t="s">
        <v>13</v>
      </c>
      <c r="S7812" t="s">
        <v>255</v>
      </c>
      <c r="T7812" t="s">
        <v>441</v>
      </c>
      <c r="U7812" s="21">
        <v>119044.22</v>
      </c>
      <c r="V7812" s="21" t="s">
        <v>368</v>
      </c>
      <c r="W7812" t="str">
        <f>VLOOKUP(Table_Query_from_Actuarial___Production[[#This Row],[Kor1]],$AI$3:$AK$105,3,FALSE)</f>
        <v>Operating Service Fees</v>
      </c>
      <c r="X7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2"/>
      <c r="Z7812" t="s">
        <v>39</v>
      </c>
      <c r="AA7812" t="s">
        <v>252</v>
      </c>
      <c r="AB7812" t="s">
        <v>5</v>
      </c>
      <c r="AC7812" s="21">
        <v>316827.05</v>
      </c>
      <c r="AD7812" s="21" t="s">
        <v>368</v>
      </c>
      <c r="AE7812" t="str">
        <f>VLOOKUP(Table_Query_from_Actuarial___Production3[[#This Row],[Kor1]],$AI$3:$AK$105,3,FALSE)</f>
        <v>Misc. Income for Insolvent Companies</v>
      </c>
      <c r="AF7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3" spans="18:32" x14ac:dyDescent="0.2">
      <c r="R7813" t="s">
        <v>14</v>
      </c>
      <c r="S7813" t="s">
        <v>233</v>
      </c>
      <c r="T7813" t="s">
        <v>8</v>
      </c>
      <c r="U7813" s="21">
        <v>31186.69</v>
      </c>
      <c r="V7813" s="21" t="s">
        <v>368</v>
      </c>
      <c r="W7813" t="str">
        <f>VLOOKUP(Table_Query_from_Actuarial___Production[[#This Row],[Kor1]],$AI$3:$AK$105,3,FALSE)</f>
        <v>Claims Expense</v>
      </c>
      <c r="X7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3"/>
      <c r="Z7813" t="s">
        <v>47</v>
      </c>
      <c r="AA7813" t="s">
        <v>259</v>
      </c>
      <c r="AB7813" t="s">
        <v>8</v>
      </c>
      <c r="AC7813" s="21">
        <v>0.03</v>
      </c>
      <c r="AD7813" s="21" t="s">
        <v>368</v>
      </c>
      <c r="AE7813" t="str">
        <f>VLOOKUP(Table_Query_from_Actuarial___Production3[[#This Row],[Kor1]],$AI$3:$AK$105,3,FALSE)</f>
        <v>Investment Income</v>
      </c>
      <c r="AF7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4" spans="18:32" x14ac:dyDescent="0.2">
      <c r="R7814" t="s">
        <v>16</v>
      </c>
      <c r="S7814" t="s">
        <v>228</v>
      </c>
      <c r="T7814" t="s">
        <v>427</v>
      </c>
      <c r="U7814" s="21">
        <v>1210985.6299999999</v>
      </c>
      <c r="V7814" s="21" t="s">
        <v>368</v>
      </c>
      <c r="W7814" t="str">
        <f>VLOOKUP(Table_Query_from_Actuarial___Production[[#This Row],[Kor1]],$AI$3:$AK$105,3,FALSE)</f>
        <v>Losses Outstanding</v>
      </c>
      <c r="X7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4"/>
      <c r="Z7814" t="s">
        <v>47</v>
      </c>
      <c r="AA7814" t="s">
        <v>264</v>
      </c>
      <c r="AB7814" t="s">
        <v>442</v>
      </c>
      <c r="AC7814" s="21">
        <v>4486.79</v>
      </c>
      <c r="AD7814" s="21" t="s">
        <v>368</v>
      </c>
      <c r="AE7814" t="str">
        <f>VLOOKUP(Table_Query_from_Actuarial___Production3[[#This Row],[Kor1]],$AI$3:$AK$105,3,FALSE)</f>
        <v>Investment Income</v>
      </c>
      <c r="AF7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5" spans="18:32" x14ac:dyDescent="0.2">
      <c r="R7815" t="s">
        <v>39</v>
      </c>
      <c r="S7815" t="s">
        <v>256</v>
      </c>
      <c r="T7815" t="s">
        <v>356</v>
      </c>
      <c r="U7815" s="21">
        <v>218</v>
      </c>
      <c r="V7815" s="21" t="s">
        <v>368</v>
      </c>
      <c r="W7815" t="str">
        <f>VLOOKUP(Table_Query_from_Actuarial___Production[[#This Row],[Kor1]],$AI$3:$AK$105,3,FALSE)</f>
        <v>Misc. Income for Insolvent Companies</v>
      </c>
      <c r="X7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5"/>
      <c r="Z7815" t="s">
        <v>14</v>
      </c>
      <c r="AA7815" t="s">
        <v>245</v>
      </c>
      <c r="AB7815" t="s">
        <v>442</v>
      </c>
      <c r="AC7815" s="21">
        <v>881</v>
      </c>
      <c r="AD7815" s="21" t="s">
        <v>368</v>
      </c>
      <c r="AE7815" t="str">
        <f>VLOOKUP(Table_Query_from_Actuarial___Production3[[#This Row],[Kor1]],$AI$3:$AK$105,3,FALSE)</f>
        <v>Claims Expense</v>
      </c>
      <c r="AF7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6" spans="18:32" x14ac:dyDescent="0.2">
      <c r="R7816" t="s">
        <v>49</v>
      </c>
      <c r="S7816" t="s">
        <v>237</v>
      </c>
      <c r="T7816" t="s">
        <v>351</v>
      </c>
      <c r="U7816" s="21">
        <v>652786.06000000006</v>
      </c>
      <c r="V7816" s="21" t="s">
        <v>368</v>
      </c>
      <c r="W7816" t="str">
        <f>VLOOKUP(Table_Query_from_Actuarial___Production[[#This Row],[Kor1]],$AI$3:$AK$105,3,FALSE)</f>
        <v>ALAE Paid</v>
      </c>
      <c r="X7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6"/>
      <c r="Z7816" t="s">
        <v>3</v>
      </c>
      <c r="AA7816" t="s">
        <v>248</v>
      </c>
      <c r="AB7816" t="s">
        <v>356</v>
      </c>
      <c r="AC7816" s="21">
        <v>270150</v>
      </c>
      <c r="AD7816" s="21" t="s">
        <v>368</v>
      </c>
      <c r="AE7816" t="str">
        <f>VLOOKUP(Table_Query_from_Actuarial___Production3[[#This Row],[Kor1]],$AI$3:$AK$105,3,FALSE)</f>
        <v>Premiums Written</v>
      </c>
      <c r="AF7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7" spans="18:32" x14ac:dyDescent="0.2">
      <c r="R7817" t="s">
        <v>3</v>
      </c>
      <c r="S7817" t="s">
        <v>254</v>
      </c>
      <c r="T7817" t="s">
        <v>427</v>
      </c>
      <c r="U7817" s="21">
        <v>6010320</v>
      </c>
      <c r="V7817" s="21" t="s">
        <v>368</v>
      </c>
      <c r="W7817" t="str">
        <f>VLOOKUP(Table_Query_from_Actuarial___Production[[#This Row],[Kor1]],$AI$3:$AK$105,3,FALSE)</f>
        <v>Premiums Written</v>
      </c>
      <c r="X7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7"/>
      <c r="Z7817" t="s">
        <v>11</v>
      </c>
      <c r="AA7817" t="s">
        <v>249</v>
      </c>
      <c r="AB7817" t="s">
        <v>356</v>
      </c>
      <c r="AC7817" s="21">
        <v>506784.82</v>
      </c>
      <c r="AD7817" s="21" t="s">
        <v>368</v>
      </c>
      <c r="AE7817" t="str">
        <f>VLOOKUP(Table_Query_from_Actuarial___Production3[[#This Row],[Kor1]],$AI$3:$AK$105,3,FALSE)</f>
        <v>Losses Paid</v>
      </c>
      <c r="AF7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8" spans="18:32" x14ac:dyDescent="0.2">
      <c r="R7818" t="s">
        <v>13</v>
      </c>
      <c r="S7818" t="s">
        <v>263</v>
      </c>
      <c r="T7818" t="s">
        <v>433</v>
      </c>
      <c r="U7818" s="21">
        <v>101049.07</v>
      </c>
      <c r="V7818" s="21" t="s">
        <v>368</v>
      </c>
      <c r="W7818" t="str">
        <f>VLOOKUP(Table_Query_from_Actuarial___Production[[#This Row],[Kor1]],$AI$3:$AK$105,3,FALSE)</f>
        <v>Operating Service Fees</v>
      </c>
      <c r="X7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8"/>
      <c r="Z7818" t="s">
        <v>16</v>
      </c>
      <c r="AA7818" t="s">
        <v>251</v>
      </c>
      <c r="AB7818" t="s">
        <v>441</v>
      </c>
      <c r="AC7818" s="21">
        <v>158732.85999999999</v>
      </c>
      <c r="AD7818" s="21" t="s">
        <v>368</v>
      </c>
      <c r="AE7818" t="str">
        <f>VLOOKUP(Table_Query_from_Actuarial___Production3[[#This Row],[Kor1]],$AI$3:$AK$105,3,FALSE)</f>
        <v>Losses Outstanding</v>
      </c>
      <c r="AF7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19" spans="18:32" x14ac:dyDescent="0.2">
      <c r="R7819" t="s">
        <v>14</v>
      </c>
      <c r="S7819" t="s">
        <v>239</v>
      </c>
      <c r="T7819" t="s">
        <v>8</v>
      </c>
      <c r="U7819" s="21">
        <v>18764.79</v>
      </c>
      <c r="V7819" s="21" t="s">
        <v>368</v>
      </c>
      <c r="W7819" t="str">
        <f>VLOOKUP(Table_Query_from_Actuarial___Production[[#This Row],[Kor1]],$AI$3:$AK$105,3,FALSE)</f>
        <v>Claims Expense</v>
      </c>
      <c r="X7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19"/>
      <c r="Z7819" t="s">
        <v>41</v>
      </c>
      <c r="AA7819" t="s">
        <v>242</v>
      </c>
      <c r="AB7819" t="s">
        <v>443</v>
      </c>
      <c r="AC7819" s="21">
        <v>550</v>
      </c>
      <c r="AD7819" s="21" t="s">
        <v>368</v>
      </c>
      <c r="AE7819" t="str">
        <f>VLOOKUP(Table_Query_from_Actuarial___Production3[[#This Row],[Kor1]],$AI$3:$AK$105,3,FALSE)</f>
        <v>Misc. Income</v>
      </c>
      <c r="AF7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0" spans="18:32" x14ac:dyDescent="0.2">
      <c r="R7820" t="s">
        <v>40</v>
      </c>
      <c r="S7820" t="s">
        <v>267</v>
      </c>
      <c r="T7820" t="s">
        <v>8</v>
      </c>
      <c r="U7820" s="21">
        <v>157</v>
      </c>
      <c r="V7820" s="21" t="s">
        <v>368</v>
      </c>
      <c r="W7820" t="str">
        <f>VLOOKUP(Table_Query_from_Actuarial___Production[[#This Row],[Kor1]],$AI$3:$AK$105,3,FALSE)</f>
        <v>Misc. Income</v>
      </c>
      <c r="X7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0"/>
      <c r="Z7820" t="s">
        <v>16</v>
      </c>
      <c r="AA7820" t="s">
        <v>231</v>
      </c>
      <c r="AB7820" t="s">
        <v>356</v>
      </c>
      <c r="AC7820" s="21">
        <v>167436.10999999999</v>
      </c>
      <c r="AD7820" s="21" t="s">
        <v>368</v>
      </c>
      <c r="AE7820" t="str">
        <f>VLOOKUP(Table_Query_from_Actuarial___Production3[[#This Row],[Kor1]],$AI$3:$AK$105,3,FALSE)</f>
        <v>Losses Outstanding</v>
      </c>
      <c r="AF7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1" spans="18:32" x14ac:dyDescent="0.2">
      <c r="R7821" t="s">
        <v>3</v>
      </c>
      <c r="S7821" t="s">
        <v>245</v>
      </c>
      <c r="T7821" t="s">
        <v>356</v>
      </c>
      <c r="U7821" s="21">
        <v>2166</v>
      </c>
      <c r="V7821" s="21" t="s">
        <v>368</v>
      </c>
      <c r="W7821" t="str">
        <f>VLOOKUP(Table_Query_from_Actuarial___Production[[#This Row],[Kor1]],$AI$3:$AK$105,3,FALSE)</f>
        <v>Premiums Written</v>
      </c>
      <c r="X7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1"/>
      <c r="Z7821" t="s">
        <v>37</v>
      </c>
      <c r="AA7821" t="s">
        <v>264</v>
      </c>
      <c r="AB7821" t="s">
        <v>441</v>
      </c>
      <c r="AC7821" s="21">
        <v>10425.83</v>
      </c>
      <c r="AD7821" s="21" t="s">
        <v>368</v>
      </c>
      <c r="AE7821" t="str">
        <f>VLOOKUP(Table_Query_from_Actuarial___Production3[[#This Row],[Kor1]],$AI$3:$AK$105,3,FALSE)</f>
        <v>Misc. Expense</v>
      </c>
      <c r="AF7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2" spans="18:32" x14ac:dyDescent="0.2">
      <c r="R7822" t="s">
        <v>33</v>
      </c>
      <c r="S7822" t="s">
        <v>256</v>
      </c>
      <c r="T7822" t="s">
        <v>442</v>
      </c>
      <c r="U7822" s="21">
        <v>3820.6</v>
      </c>
      <c r="V7822" s="21" t="s">
        <v>368</v>
      </c>
      <c r="W7822" t="str">
        <f>VLOOKUP(Table_Query_from_Actuarial___Production[[#This Row],[Kor1]],$AI$3:$AK$105,3,FALSE)</f>
        <v>Misc. Expense</v>
      </c>
      <c r="X7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2"/>
      <c r="Z7822" t="s">
        <v>10</v>
      </c>
      <c r="AA7822" t="s">
        <v>259</v>
      </c>
      <c r="AB7822" t="s">
        <v>351</v>
      </c>
      <c r="AC7822" s="21">
        <v>95945.279999999999</v>
      </c>
      <c r="AD7822" s="21" t="s">
        <v>368</v>
      </c>
      <c r="AE7822" t="str">
        <f>VLOOKUP(Table_Query_from_Actuarial___Production3[[#This Row],[Kor1]],$AI$3:$AK$105,3,FALSE)</f>
        <v>Commissions</v>
      </c>
      <c r="AF7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3" spans="18:32" x14ac:dyDescent="0.2">
      <c r="R7823" t="s">
        <v>47</v>
      </c>
      <c r="S7823" t="s">
        <v>259</v>
      </c>
      <c r="T7823" t="s">
        <v>8</v>
      </c>
      <c r="U7823" s="21">
        <v>0.03</v>
      </c>
      <c r="V7823" s="21" t="s">
        <v>368</v>
      </c>
      <c r="W7823" t="str">
        <f>VLOOKUP(Table_Query_from_Actuarial___Production[[#This Row],[Kor1]],$AI$3:$AK$105,3,FALSE)</f>
        <v>Investment Income</v>
      </c>
      <c r="X7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3"/>
      <c r="Z7823" t="s">
        <v>20</v>
      </c>
      <c r="AA7823" t="s">
        <v>258</v>
      </c>
      <c r="AB7823" t="s">
        <v>427</v>
      </c>
      <c r="AC7823" s="21">
        <v>1113.73</v>
      </c>
      <c r="AD7823" s="21" t="s">
        <v>368</v>
      </c>
      <c r="AE7823" t="str">
        <f>VLOOKUP(Table_Query_from_Actuarial___Production3[[#This Row],[Kor1]],$AI$3:$AK$105,3,FALSE)</f>
        <v>Misc. Expense</v>
      </c>
      <c r="AF7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4" spans="18:32" x14ac:dyDescent="0.2">
      <c r="R7824" t="s">
        <v>47</v>
      </c>
      <c r="S7824" t="s">
        <v>264</v>
      </c>
      <c r="T7824" t="s">
        <v>442</v>
      </c>
      <c r="U7824" s="21">
        <v>4486.79</v>
      </c>
      <c r="V7824" s="21" t="s">
        <v>368</v>
      </c>
      <c r="W7824" t="str">
        <f>VLOOKUP(Table_Query_from_Actuarial___Production[[#This Row],[Kor1]],$AI$3:$AK$105,3,FALSE)</f>
        <v>Investment Income</v>
      </c>
      <c r="X7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4"/>
      <c r="Z7824" t="s">
        <v>34</v>
      </c>
      <c r="AA7824" t="s">
        <v>227</v>
      </c>
      <c r="AB7824" t="s">
        <v>8</v>
      </c>
      <c r="AC7824" s="21">
        <v>0.72</v>
      </c>
      <c r="AD7824" s="21" t="s">
        <v>368</v>
      </c>
      <c r="AE7824" t="str">
        <f>VLOOKUP(Table_Query_from_Actuarial___Production3[[#This Row],[Kor1]],$AI$3:$AK$105,3,FALSE)</f>
        <v>Misc. Expense</v>
      </c>
      <c r="AF7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5" spans="18:32" x14ac:dyDescent="0.2">
      <c r="R7825" t="s">
        <v>14</v>
      </c>
      <c r="S7825" t="s">
        <v>245</v>
      </c>
      <c r="T7825" t="s">
        <v>442</v>
      </c>
      <c r="U7825" s="21">
        <v>987.16</v>
      </c>
      <c r="V7825" s="21" t="s">
        <v>368</v>
      </c>
      <c r="W7825" t="str">
        <f>VLOOKUP(Table_Query_from_Actuarial___Production[[#This Row],[Kor1]],$AI$3:$AK$105,3,FALSE)</f>
        <v>Claims Expense</v>
      </c>
      <c r="X7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5"/>
      <c r="Z7825" t="s">
        <v>33</v>
      </c>
      <c r="AA7825" t="s">
        <v>247</v>
      </c>
      <c r="AB7825" t="s">
        <v>441</v>
      </c>
      <c r="AC7825" s="21">
        <v>14237.8</v>
      </c>
      <c r="AD7825" s="21" t="s">
        <v>368</v>
      </c>
      <c r="AE7825" t="str">
        <f>VLOOKUP(Table_Query_from_Actuarial___Production3[[#This Row],[Kor1]],$AI$3:$AK$105,3,FALSE)</f>
        <v>Misc. Expense</v>
      </c>
      <c r="AF7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6" spans="18:32" x14ac:dyDescent="0.2">
      <c r="R7826" t="s">
        <v>3</v>
      </c>
      <c r="S7826" t="s">
        <v>248</v>
      </c>
      <c r="T7826" t="s">
        <v>356</v>
      </c>
      <c r="U7826" s="21">
        <v>270150</v>
      </c>
      <c r="V7826" s="21" t="s">
        <v>368</v>
      </c>
      <c r="W7826" t="str">
        <f>VLOOKUP(Table_Query_from_Actuarial___Production[[#This Row],[Kor1]],$AI$3:$AK$105,3,FALSE)</f>
        <v>Premiums Written</v>
      </c>
      <c r="X7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6"/>
      <c r="Z7826" t="s">
        <v>31</v>
      </c>
      <c r="AA7826" t="s">
        <v>228</v>
      </c>
      <c r="AB7826" t="s">
        <v>351</v>
      </c>
      <c r="AC7826" s="21">
        <v>904.15</v>
      </c>
      <c r="AD7826" s="21" t="s">
        <v>368</v>
      </c>
      <c r="AE7826" t="str">
        <f>VLOOKUP(Table_Query_from_Actuarial___Production3[[#This Row],[Kor1]],$AI$3:$AK$105,3,FALSE)</f>
        <v>Misc. Expense</v>
      </c>
      <c r="AF7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7" spans="18:32" x14ac:dyDescent="0.2">
      <c r="R7827" t="s">
        <v>11</v>
      </c>
      <c r="S7827" t="s">
        <v>249</v>
      </c>
      <c r="T7827" t="s">
        <v>356</v>
      </c>
      <c r="U7827" s="21">
        <v>506784.82</v>
      </c>
      <c r="V7827" s="21" t="s">
        <v>368</v>
      </c>
      <c r="W7827" t="str">
        <f>VLOOKUP(Table_Query_from_Actuarial___Production[[#This Row],[Kor1]],$AI$3:$AK$105,3,FALSE)</f>
        <v>Losses Paid</v>
      </c>
      <c r="X7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7"/>
      <c r="Z7827" t="s">
        <v>13</v>
      </c>
      <c r="AA7827" t="s">
        <v>225</v>
      </c>
      <c r="AB7827" t="s">
        <v>427</v>
      </c>
      <c r="AC7827" s="21">
        <v>188216.38</v>
      </c>
      <c r="AD7827" s="21" t="s">
        <v>368</v>
      </c>
      <c r="AE7827" t="str">
        <f>VLOOKUP(Table_Query_from_Actuarial___Production3[[#This Row],[Kor1]],$AI$3:$AK$105,3,FALSE)</f>
        <v>Operating Service Fees</v>
      </c>
      <c r="AF7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7828" spans="18:32" x14ac:dyDescent="0.2">
      <c r="R7828" t="s">
        <v>41</v>
      </c>
      <c r="S7828" t="s">
        <v>242</v>
      </c>
      <c r="T7828" t="s">
        <v>443</v>
      </c>
      <c r="U7828" s="21">
        <v>1000</v>
      </c>
      <c r="V7828" s="21" t="s">
        <v>368</v>
      </c>
      <c r="W7828" t="str">
        <f>VLOOKUP(Table_Query_from_Actuarial___Production[[#This Row],[Kor1]],$AI$3:$AK$105,3,FALSE)</f>
        <v>Misc. Income</v>
      </c>
      <c r="X7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8"/>
      <c r="Z7828" t="s">
        <v>13</v>
      </c>
      <c r="AA7828" t="s">
        <v>255</v>
      </c>
      <c r="AB7828" t="s">
        <v>351</v>
      </c>
      <c r="AC7828" s="21">
        <v>29714.55</v>
      </c>
      <c r="AD7828" s="21" t="s">
        <v>368</v>
      </c>
      <c r="AE7828" t="str">
        <f>VLOOKUP(Table_Query_from_Actuarial___Production3[[#This Row],[Kor1]],$AI$3:$AK$105,3,FALSE)</f>
        <v>Operating Service Fees</v>
      </c>
      <c r="AF7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29" spans="18:32" x14ac:dyDescent="0.2">
      <c r="R7829" t="s">
        <v>16</v>
      </c>
      <c r="S7829" t="s">
        <v>231</v>
      </c>
      <c r="T7829" t="s">
        <v>356</v>
      </c>
      <c r="U7829" s="21">
        <v>177832.92</v>
      </c>
      <c r="V7829" s="21" t="s">
        <v>368</v>
      </c>
      <c r="W7829" t="str">
        <f>VLOOKUP(Table_Query_from_Actuarial___Production[[#This Row],[Kor1]],$AI$3:$AK$105,3,FALSE)</f>
        <v>Losses Outstanding</v>
      </c>
      <c r="X7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29"/>
      <c r="Z7829" t="s">
        <v>40</v>
      </c>
      <c r="AA7829" t="s">
        <v>257</v>
      </c>
      <c r="AB7829" t="s">
        <v>6</v>
      </c>
      <c r="AC7829" s="21">
        <v>64.010000000000005</v>
      </c>
      <c r="AD7829" s="21" t="s">
        <v>368</v>
      </c>
      <c r="AE7829" t="str">
        <f>VLOOKUP(Table_Query_from_Actuarial___Production3[[#This Row],[Kor1]],$AI$3:$AK$105,3,FALSE)</f>
        <v>Misc. Income</v>
      </c>
      <c r="AF7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0" spans="18:32" x14ac:dyDescent="0.2">
      <c r="R7830" t="s">
        <v>37</v>
      </c>
      <c r="S7830" t="s">
        <v>264</v>
      </c>
      <c r="T7830" t="s">
        <v>441</v>
      </c>
      <c r="U7830" s="21">
        <v>10425.83</v>
      </c>
      <c r="V7830" s="21" t="s">
        <v>368</v>
      </c>
      <c r="W7830" t="str">
        <f>VLOOKUP(Table_Query_from_Actuarial___Production[[#This Row],[Kor1]],$AI$3:$AK$105,3,FALSE)</f>
        <v>Misc. Expense</v>
      </c>
      <c r="X7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0"/>
      <c r="Z7830" t="s">
        <v>20</v>
      </c>
      <c r="AA7830" t="s">
        <v>243</v>
      </c>
      <c r="AB7830" t="s">
        <v>7</v>
      </c>
      <c r="AC7830" s="21">
        <v>113.37</v>
      </c>
      <c r="AD7830" s="21" t="s">
        <v>368</v>
      </c>
      <c r="AE7830" t="str">
        <f>VLOOKUP(Table_Query_from_Actuarial___Production3[[#This Row],[Kor1]],$AI$3:$AK$105,3,FALSE)</f>
        <v>Misc. Expense</v>
      </c>
      <c r="AF7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1" spans="18:32" x14ac:dyDescent="0.2">
      <c r="R7831" t="s">
        <v>10</v>
      </c>
      <c r="S7831" t="s">
        <v>259</v>
      </c>
      <c r="T7831" t="s">
        <v>351</v>
      </c>
      <c r="U7831" s="21">
        <v>95945.279999999999</v>
      </c>
      <c r="V7831" s="21" t="s">
        <v>368</v>
      </c>
      <c r="W7831" t="str">
        <f>VLOOKUP(Table_Query_from_Actuarial___Production[[#This Row],[Kor1]],$AI$3:$AK$105,3,FALSE)</f>
        <v>Commissions</v>
      </c>
      <c r="X7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1"/>
      <c r="Z7831" t="s">
        <v>37</v>
      </c>
      <c r="AA7831" t="s">
        <v>256</v>
      </c>
      <c r="AB7831" t="s">
        <v>8</v>
      </c>
      <c r="AC7831" s="21">
        <v>0.47</v>
      </c>
      <c r="AD7831" s="21" t="s">
        <v>368</v>
      </c>
      <c r="AE7831" t="str">
        <f>VLOOKUP(Table_Query_from_Actuarial___Production3[[#This Row],[Kor1]],$AI$3:$AK$105,3,FALSE)</f>
        <v>Misc. Expense</v>
      </c>
      <c r="AF7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2" spans="18:32" x14ac:dyDescent="0.2">
      <c r="R7832" t="s">
        <v>20</v>
      </c>
      <c r="S7832" t="s">
        <v>258</v>
      </c>
      <c r="T7832" t="s">
        <v>427</v>
      </c>
      <c r="U7832" s="21">
        <v>1113.73</v>
      </c>
      <c r="V7832" s="21" t="s">
        <v>368</v>
      </c>
      <c r="W7832" t="str">
        <f>VLOOKUP(Table_Query_from_Actuarial___Production[[#This Row],[Kor1]],$AI$3:$AK$105,3,FALSE)</f>
        <v>Misc. Expense</v>
      </c>
      <c r="X7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2"/>
      <c r="Z7832" t="s">
        <v>41</v>
      </c>
      <c r="AA7832" t="s">
        <v>236</v>
      </c>
      <c r="AB7832" t="s">
        <v>356</v>
      </c>
      <c r="AC7832" s="21">
        <v>300</v>
      </c>
      <c r="AD7832" s="21" t="s">
        <v>368</v>
      </c>
      <c r="AE7832" t="str">
        <f>VLOOKUP(Table_Query_from_Actuarial___Production3[[#This Row],[Kor1]],$AI$3:$AK$105,3,FALSE)</f>
        <v>Misc. Income</v>
      </c>
      <c r="AF7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3" spans="18:32" x14ac:dyDescent="0.2">
      <c r="R7833" t="s">
        <v>34</v>
      </c>
      <c r="S7833" t="s">
        <v>227</v>
      </c>
      <c r="T7833" t="s">
        <v>8</v>
      </c>
      <c r="U7833" s="21">
        <v>0.72</v>
      </c>
      <c r="V7833" s="21" t="s">
        <v>368</v>
      </c>
      <c r="W7833" t="str">
        <f>VLOOKUP(Table_Query_from_Actuarial___Production[[#This Row],[Kor1]],$AI$3:$AK$105,3,FALSE)</f>
        <v>Misc. Expense</v>
      </c>
      <c r="X7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3"/>
      <c r="Z7833" t="s">
        <v>47</v>
      </c>
      <c r="AA7833" t="s">
        <v>250</v>
      </c>
      <c r="AB7833" t="s">
        <v>442</v>
      </c>
      <c r="AC7833" s="21">
        <v>2380.64</v>
      </c>
      <c r="AD7833" s="21" t="s">
        <v>368</v>
      </c>
      <c r="AE7833" t="str">
        <f>VLOOKUP(Table_Query_from_Actuarial___Production3[[#This Row],[Kor1]],$AI$3:$AK$105,3,FALSE)</f>
        <v>Investment Income</v>
      </c>
      <c r="AF7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4" spans="18:32" x14ac:dyDescent="0.2">
      <c r="R7834" t="s">
        <v>33</v>
      </c>
      <c r="S7834" t="s">
        <v>247</v>
      </c>
      <c r="T7834" t="s">
        <v>441</v>
      </c>
      <c r="U7834" s="21">
        <v>14237.8</v>
      </c>
      <c r="V7834" s="21" t="s">
        <v>368</v>
      </c>
      <c r="W7834" t="str">
        <f>VLOOKUP(Table_Query_from_Actuarial___Production[[#This Row],[Kor1]],$AI$3:$AK$105,3,FALSE)</f>
        <v>Misc. Expense</v>
      </c>
      <c r="X7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4"/>
      <c r="Z7834" t="s">
        <v>12</v>
      </c>
      <c r="AA7834" t="s">
        <v>233</v>
      </c>
      <c r="AB7834" t="s">
        <v>441</v>
      </c>
      <c r="AC7834" s="21">
        <v>19630.259999999998</v>
      </c>
      <c r="AD7834" s="21" t="s">
        <v>368</v>
      </c>
      <c r="AE7834" t="str">
        <f>VLOOKUP(Table_Query_from_Actuarial___Production3[[#This Row],[Kor1]],$AI$3:$AK$105,3,FALSE)</f>
        <v>Premium Tax</v>
      </c>
      <c r="AF7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5" spans="18:32" x14ac:dyDescent="0.2">
      <c r="R7835" t="s">
        <v>50</v>
      </c>
      <c r="S7835" t="s">
        <v>238</v>
      </c>
      <c r="T7835" t="s">
        <v>443</v>
      </c>
      <c r="U7835" s="21">
        <v>30000</v>
      </c>
      <c r="V7835" s="21" t="s">
        <v>368</v>
      </c>
      <c r="W7835" t="str">
        <f>VLOOKUP(Table_Query_from_Actuarial___Production[[#This Row],[Kor1]],$AI$3:$AK$105,3,FALSE)</f>
        <v>ALAE Reserve</v>
      </c>
      <c r="X7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5"/>
      <c r="Z7835" t="s">
        <v>37</v>
      </c>
      <c r="AA7835" t="s">
        <v>240</v>
      </c>
      <c r="AB7835" t="s">
        <v>5</v>
      </c>
      <c r="AC7835" s="21">
        <v>-777.15</v>
      </c>
      <c r="AD7835" s="21" t="s">
        <v>368</v>
      </c>
      <c r="AE7835" t="str">
        <f>VLOOKUP(Table_Query_from_Actuarial___Production3[[#This Row],[Kor1]],$AI$3:$AK$105,3,FALSE)</f>
        <v>Misc. Expense</v>
      </c>
      <c r="AF7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6" spans="18:32" x14ac:dyDescent="0.2">
      <c r="R7836" t="s">
        <v>31</v>
      </c>
      <c r="S7836" t="s">
        <v>228</v>
      </c>
      <c r="T7836" t="s">
        <v>351</v>
      </c>
      <c r="U7836" s="21">
        <v>904.15</v>
      </c>
      <c r="V7836" s="21" t="s">
        <v>368</v>
      </c>
      <c r="W7836" t="str">
        <f>VLOOKUP(Table_Query_from_Actuarial___Production[[#This Row],[Kor1]],$AI$3:$AK$105,3,FALSE)</f>
        <v>Misc. Expense</v>
      </c>
      <c r="X7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6"/>
      <c r="Z7836" t="s">
        <v>13</v>
      </c>
      <c r="AA7836" t="s">
        <v>237</v>
      </c>
      <c r="AB7836" t="s">
        <v>6</v>
      </c>
      <c r="AC7836" s="21">
        <v>517295.11</v>
      </c>
      <c r="AD7836" s="21" t="s">
        <v>368</v>
      </c>
      <c r="AE7836" t="str">
        <f>VLOOKUP(Table_Query_from_Actuarial___Production3[[#This Row],[Kor1]],$AI$3:$AK$105,3,FALSE)</f>
        <v>Operating Service Fees</v>
      </c>
      <c r="AF7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7" spans="18:32" x14ac:dyDescent="0.2">
      <c r="R7837" t="s">
        <v>13</v>
      </c>
      <c r="S7837" t="s">
        <v>225</v>
      </c>
      <c r="T7837" t="s">
        <v>427</v>
      </c>
      <c r="U7837" s="21">
        <v>188216.38</v>
      </c>
      <c r="V7837" s="21" t="s">
        <v>368</v>
      </c>
      <c r="W7837" t="str">
        <f>VLOOKUP(Table_Query_from_Actuarial___Production[[#This Row],[Kor1]],$AI$3:$AK$105,3,FALSE)</f>
        <v>Operating Service Fees</v>
      </c>
      <c r="X7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837"/>
      <c r="Z7837" t="s">
        <v>20</v>
      </c>
      <c r="AA7837" t="s">
        <v>228</v>
      </c>
      <c r="AB7837" t="s">
        <v>351</v>
      </c>
      <c r="AC7837" s="21">
        <v>114.08</v>
      </c>
      <c r="AD7837" s="21" t="s">
        <v>368</v>
      </c>
      <c r="AE7837" t="str">
        <f>VLOOKUP(Table_Query_from_Actuarial___Production3[[#This Row],[Kor1]],$AI$3:$AK$105,3,FALSE)</f>
        <v>Misc. Expense</v>
      </c>
      <c r="AF7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8" spans="18:32" x14ac:dyDescent="0.2">
      <c r="R7838" t="s">
        <v>13</v>
      </c>
      <c r="S7838" t="s">
        <v>255</v>
      </c>
      <c r="T7838" t="s">
        <v>351</v>
      </c>
      <c r="U7838" s="21">
        <v>29714.55</v>
      </c>
      <c r="V7838" s="21" t="s">
        <v>368</v>
      </c>
      <c r="W7838" t="str">
        <f>VLOOKUP(Table_Query_from_Actuarial___Production[[#This Row],[Kor1]],$AI$3:$AK$105,3,FALSE)</f>
        <v>Operating Service Fees</v>
      </c>
      <c r="X7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8"/>
      <c r="Z7838" t="s">
        <v>37</v>
      </c>
      <c r="AA7838" t="s">
        <v>227</v>
      </c>
      <c r="AB7838" t="s">
        <v>356</v>
      </c>
      <c r="AC7838" s="21">
        <v>101.13</v>
      </c>
      <c r="AD7838" s="21" t="s">
        <v>368</v>
      </c>
      <c r="AE7838" t="str">
        <f>VLOOKUP(Table_Query_from_Actuarial___Production3[[#This Row],[Kor1]],$AI$3:$AK$105,3,FALSE)</f>
        <v>Misc. Expense</v>
      </c>
      <c r="AF7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39" spans="18:32" x14ac:dyDescent="0.2">
      <c r="R7839" t="s">
        <v>40</v>
      </c>
      <c r="S7839" t="s">
        <v>257</v>
      </c>
      <c r="T7839" t="s">
        <v>6</v>
      </c>
      <c r="U7839" s="21">
        <v>64.010000000000005</v>
      </c>
      <c r="V7839" s="21" t="s">
        <v>368</v>
      </c>
      <c r="W7839" t="str">
        <f>VLOOKUP(Table_Query_from_Actuarial___Production[[#This Row],[Kor1]],$AI$3:$AK$105,3,FALSE)</f>
        <v>Misc. Income</v>
      </c>
      <c r="X7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39"/>
      <c r="Z7839" t="s">
        <v>48</v>
      </c>
      <c r="AA7839" t="s">
        <v>229</v>
      </c>
      <c r="AB7839" t="s">
        <v>433</v>
      </c>
      <c r="AC7839" s="21">
        <v>332.72</v>
      </c>
      <c r="AD7839" s="21" t="s">
        <v>368</v>
      </c>
      <c r="AE7839" t="str">
        <f>VLOOKUP(Table_Query_from_Actuarial___Production3[[#This Row],[Kor1]],$AI$3:$AK$105,3,FALSE)</f>
        <v>Anticipated Salvage</v>
      </c>
      <c r="AF7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0" spans="18:32" x14ac:dyDescent="0.2">
      <c r="R7840" t="s">
        <v>20</v>
      </c>
      <c r="S7840" t="s">
        <v>243</v>
      </c>
      <c r="T7840" t="s">
        <v>7</v>
      </c>
      <c r="U7840" s="21">
        <v>113.37</v>
      </c>
      <c r="V7840" s="21" t="s">
        <v>368</v>
      </c>
      <c r="W7840" t="str">
        <f>VLOOKUP(Table_Query_from_Actuarial___Production[[#This Row],[Kor1]],$AI$3:$AK$105,3,FALSE)</f>
        <v>Misc. Expense</v>
      </c>
      <c r="X7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0"/>
      <c r="Z7840" t="s">
        <v>12</v>
      </c>
      <c r="AA7840" t="s">
        <v>258</v>
      </c>
      <c r="AB7840" t="s">
        <v>442</v>
      </c>
      <c r="AC7840" s="21">
        <v>69704.86</v>
      </c>
      <c r="AD7840" s="21" t="s">
        <v>368</v>
      </c>
      <c r="AE7840" t="str">
        <f>VLOOKUP(Table_Query_from_Actuarial___Production3[[#This Row],[Kor1]],$AI$3:$AK$105,3,FALSE)</f>
        <v>Premium Tax</v>
      </c>
      <c r="AF7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1" spans="18:32" x14ac:dyDescent="0.2">
      <c r="R7841" t="s">
        <v>37</v>
      </c>
      <c r="S7841" t="s">
        <v>256</v>
      </c>
      <c r="T7841" t="s">
        <v>8</v>
      </c>
      <c r="U7841" s="21">
        <v>0.47</v>
      </c>
      <c r="V7841" s="21" t="s">
        <v>368</v>
      </c>
      <c r="W7841" t="str">
        <f>VLOOKUP(Table_Query_from_Actuarial___Production[[#This Row],[Kor1]],$AI$3:$AK$105,3,FALSE)</f>
        <v>Misc. Expense</v>
      </c>
      <c r="X7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1"/>
      <c r="Z7841" t="s">
        <v>14</v>
      </c>
      <c r="AA7841" t="s">
        <v>255</v>
      </c>
      <c r="AB7841" t="s">
        <v>9</v>
      </c>
      <c r="AC7841" s="21">
        <v>27685.97</v>
      </c>
      <c r="AD7841" s="21" t="s">
        <v>368</v>
      </c>
      <c r="AE7841" t="str">
        <f>VLOOKUP(Table_Query_from_Actuarial___Production3[[#This Row],[Kor1]],$AI$3:$AK$105,3,FALSE)</f>
        <v>Claims Expense</v>
      </c>
      <c r="AF7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2" spans="18:32" x14ac:dyDescent="0.2">
      <c r="R7842" t="s">
        <v>49</v>
      </c>
      <c r="S7842" t="s">
        <v>241</v>
      </c>
      <c r="T7842" t="s">
        <v>441</v>
      </c>
      <c r="U7842" s="21">
        <v>540.5</v>
      </c>
      <c r="V7842" s="21" t="s">
        <v>368</v>
      </c>
      <c r="W7842" t="str">
        <f>VLOOKUP(Table_Query_from_Actuarial___Production[[#This Row],[Kor1]],$AI$3:$AK$105,3,FALSE)</f>
        <v>ALAE Paid</v>
      </c>
      <c r="X7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2"/>
      <c r="Z7842" t="s">
        <v>15</v>
      </c>
      <c r="AA7842" t="s">
        <v>243</v>
      </c>
      <c r="AB7842" t="s">
        <v>442</v>
      </c>
      <c r="AC7842" s="21">
        <v>91743.4</v>
      </c>
      <c r="AD7842" s="21" t="s">
        <v>368</v>
      </c>
      <c r="AE7842" t="str">
        <f>VLOOKUP(Table_Query_from_Actuarial___Production3[[#This Row],[Kor1]],$AI$3:$AK$105,3,FALSE)</f>
        <v>Unearned Premiums</v>
      </c>
      <c r="AF7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3" spans="18:32" x14ac:dyDescent="0.2">
      <c r="R7843" t="s">
        <v>41</v>
      </c>
      <c r="S7843" t="s">
        <v>236</v>
      </c>
      <c r="T7843" t="s">
        <v>356</v>
      </c>
      <c r="U7843" s="21">
        <v>300</v>
      </c>
      <c r="V7843" s="21" t="s">
        <v>368</v>
      </c>
      <c r="W7843" t="str">
        <f>VLOOKUP(Table_Query_from_Actuarial___Production[[#This Row],[Kor1]],$AI$3:$AK$105,3,FALSE)</f>
        <v>Misc. Income</v>
      </c>
      <c r="X7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3"/>
      <c r="Z7843" t="s">
        <v>47</v>
      </c>
      <c r="AA7843" t="s">
        <v>229</v>
      </c>
      <c r="AB7843" t="s">
        <v>441</v>
      </c>
      <c r="AC7843" s="21">
        <v>17.239999999999998</v>
      </c>
      <c r="AD7843" s="21" t="s">
        <v>368</v>
      </c>
      <c r="AE7843" t="str">
        <f>VLOOKUP(Table_Query_from_Actuarial___Production3[[#This Row],[Kor1]],$AI$3:$AK$105,3,FALSE)</f>
        <v>Investment Income</v>
      </c>
      <c r="AF7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4" spans="18:32" x14ac:dyDescent="0.2">
      <c r="R7844" t="s">
        <v>47</v>
      </c>
      <c r="S7844" t="s">
        <v>250</v>
      </c>
      <c r="T7844" t="s">
        <v>442</v>
      </c>
      <c r="U7844" s="21">
        <v>2380.64</v>
      </c>
      <c r="V7844" s="21" t="s">
        <v>368</v>
      </c>
      <c r="W7844" t="str">
        <f>VLOOKUP(Table_Query_from_Actuarial___Production[[#This Row],[Kor1]],$AI$3:$AK$105,3,FALSE)</f>
        <v>Investment Income</v>
      </c>
      <c r="X7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4"/>
      <c r="Z7844" t="s">
        <v>41</v>
      </c>
      <c r="AA7844" t="s">
        <v>259</v>
      </c>
      <c r="AB7844" t="s">
        <v>443</v>
      </c>
      <c r="AC7844" s="21">
        <v>50</v>
      </c>
      <c r="AD7844" s="21" t="s">
        <v>368</v>
      </c>
      <c r="AE7844" t="str">
        <f>VLOOKUP(Table_Query_from_Actuarial___Production3[[#This Row],[Kor1]],$AI$3:$AK$105,3,FALSE)</f>
        <v>Misc. Income</v>
      </c>
      <c r="AF7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5" spans="18:32" x14ac:dyDescent="0.2">
      <c r="R7845" t="s">
        <v>12</v>
      </c>
      <c r="S7845" t="s">
        <v>233</v>
      </c>
      <c r="T7845" t="s">
        <v>441</v>
      </c>
      <c r="U7845" s="21">
        <v>19630.259999999998</v>
      </c>
      <c r="V7845" s="21" t="s">
        <v>368</v>
      </c>
      <c r="W7845" t="str">
        <f>VLOOKUP(Table_Query_from_Actuarial___Production[[#This Row],[Kor1]],$AI$3:$AK$105,3,FALSE)</f>
        <v>Premium Tax</v>
      </c>
      <c r="X7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5"/>
      <c r="Z7845" t="s">
        <v>13</v>
      </c>
      <c r="AA7845" t="s">
        <v>240</v>
      </c>
      <c r="AB7845" t="s">
        <v>356</v>
      </c>
      <c r="AC7845" s="21">
        <v>764564.34</v>
      </c>
      <c r="AD7845" s="21" t="s">
        <v>368</v>
      </c>
      <c r="AE7845" t="str">
        <f>VLOOKUP(Table_Query_from_Actuarial___Production3[[#This Row],[Kor1]],$AI$3:$AK$105,3,FALSE)</f>
        <v>Operating Service Fees</v>
      </c>
      <c r="AF7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6" spans="18:32" x14ac:dyDescent="0.2">
      <c r="R7846" t="s">
        <v>13</v>
      </c>
      <c r="S7846" t="s">
        <v>237</v>
      </c>
      <c r="T7846" t="s">
        <v>6</v>
      </c>
      <c r="U7846" s="21">
        <v>517295.11</v>
      </c>
      <c r="V7846" s="21" t="s">
        <v>368</v>
      </c>
      <c r="W7846" t="str">
        <f>VLOOKUP(Table_Query_from_Actuarial___Production[[#This Row],[Kor1]],$AI$3:$AK$105,3,FALSE)</f>
        <v>Operating Service Fees</v>
      </c>
      <c r="X7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6"/>
      <c r="Z7846" t="s">
        <v>49</v>
      </c>
      <c r="AA7846" t="s">
        <v>235</v>
      </c>
      <c r="AB7846" t="s">
        <v>351</v>
      </c>
      <c r="AC7846" s="21">
        <v>59223.06</v>
      </c>
      <c r="AD7846" s="21" t="s">
        <v>368</v>
      </c>
      <c r="AE7846" t="str">
        <f>VLOOKUP(Table_Query_from_Actuarial___Production3[[#This Row],[Kor1]],$AI$3:$AK$105,3,FALSE)</f>
        <v>ALAE Paid</v>
      </c>
      <c r="AF7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7" spans="18:32" x14ac:dyDescent="0.2">
      <c r="R7847" t="s">
        <v>20</v>
      </c>
      <c r="S7847" t="s">
        <v>228</v>
      </c>
      <c r="T7847" t="s">
        <v>351</v>
      </c>
      <c r="U7847" s="21">
        <v>114.08</v>
      </c>
      <c r="V7847" s="21" t="s">
        <v>368</v>
      </c>
      <c r="W7847" t="str">
        <f>VLOOKUP(Table_Query_from_Actuarial___Production[[#This Row],[Kor1]],$AI$3:$AK$105,3,FALSE)</f>
        <v>Misc. Expense</v>
      </c>
      <c r="X7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7"/>
      <c r="Z7847" t="s">
        <v>50</v>
      </c>
      <c r="AA7847" t="s">
        <v>234</v>
      </c>
      <c r="AB7847" t="s">
        <v>442</v>
      </c>
      <c r="AC7847" s="21">
        <v>18229.599999999999</v>
      </c>
      <c r="AD7847" s="21" t="s">
        <v>368</v>
      </c>
      <c r="AE7847" t="str">
        <f>VLOOKUP(Table_Query_from_Actuarial___Production3[[#This Row],[Kor1]],$AI$3:$AK$105,3,FALSE)</f>
        <v>ALAE Reserve</v>
      </c>
      <c r="AF7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8" spans="18:32" x14ac:dyDescent="0.2">
      <c r="R7848" t="s">
        <v>37</v>
      </c>
      <c r="S7848" t="s">
        <v>227</v>
      </c>
      <c r="T7848" t="s">
        <v>356</v>
      </c>
      <c r="U7848" s="21">
        <v>101.13</v>
      </c>
      <c r="V7848" s="21" t="s">
        <v>368</v>
      </c>
      <c r="W7848" t="str">
        <f>VLOOKUP(Table_Query_from_Actuarial___Production[[#This Row],[Kor1]],$AI$3:$AK$105,3,FALSE)</f>
        <v>Misc. Expense</v>
      </c>
      <c r="X7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8"/>
      <c r="Z7848" t="s">
        <v>31</v>
      </c>
      <c r="AA7848" t="s">
        <v>256</v>
      </c>
      <c r="AB7848" t="s">
        <v>351</v>
      </c>
      <c r="AC7848" s="21">
        <v>1101.6600000000001</v>
      </c>
      <c r="AD7848" s="21" t="s">
        <v>368</v>
      </c>
      <c r="AE7848" t="str">
        <f>VLOOKUP(Table_Query_from_Actuarial___Production3[[#This Row],[Kor1]],$AI$3:$AK$105,3,FALSE)</f>
        <v>Misc. Expense</v>
      </c>
      <c r="AF7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49" spans="18:32" x14ac:dyDescent="0.2">
      <c r="R7849" t="s">
        <v>48</v>
      </c>
      <c r="S7849" t="s">
        <v>229</v>
      </c>
      <c r="T7849" t="s">
        <v>433</v>
      </c>
      <c r="U7849" s="21">
        <v>181.95</v>
      </c>
      <c r="V7849" s="21" t="s">
        <v>368</v>
      </c>
      <c r="W7849" t="str">
        <f>VLOOKUP(Table_Query_from_Actuarial___Production[[#This Row],[Kor1]],$AI$3:$AK$105,3,FALSE)</f>
        <v>Anticipated Salvage</v>
      </c>
      <c r="X7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49"/>
      <c r="Z7849" t="s">
        <v>43</v>
      </c>
      <c r="AA7849" t="s">
        <v>233</v>
      </c>
      <c r="AB7849" t="s">
        <v>5</v>
      </c>
      <c r="AC7849" s="21">
        <v>-122.57</v>
      </c>
      <c r="AD7849" s="21" t="s">
        <v>368</v>
      </c>
      <c r="AE7849" t="str">
        <f>VLOOKUP(Table_Query_from_Actuarial___Production3[[#This Row],[Kor1]],$AI$3:$AK$105,3,FALSE)</f>
        <v>Charge-offs</v>
      </c>
      <c r="AF7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0" spans="18:32" x14ac:dyDescent="0.2">
      <c r="R7850" t="s">
        <v>12</v>
      </c>
      <c r="S7850" t="s">
        <v>258</v>
      </c>
      <c r="T7850" t="s">
        <v>442</v>
      </c>
      <c r="U7850" s="21">
        <v>68606.52</v>
      </c>
      <c r="V7850" s="21" t="s">
        <v>368</v>
      </c>
      <c r="W7850" t="str">
        <f>VLOOKUP(Table_Query_from_Actuarial___Production[[#This Row],[Kor1]],$AI$3:$AK$105,3,FALSE)</f>
        <v>Premium Tax</v>
      </c>
      <c r="X7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0"/>
      <c r="Z7850" t="s">
        <v>33</v>
      </c>
      <c r="AA7850" t="s">
        <v>249</v>
      </c>
      <c r="AB7850" t="s">
        <v>433</v>
      </c>
      <c r="AC7850" s="21">
        <v>14499.5</v>
      </c>
      <c r="AD7850" s="21" t="s">
        <v>368</v>
      </c>
      <c r="AE7850" t="str">
        <f>VLOOKUP(Table_Query_from_Actuarial___Production3[[#This Row],[Kor1]],$AI$3:$AK$105,3,FALSE)</f>
        <v>Misc. Expense</v>
      </c>
      <c r="AF7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1" spans="18:32" x14ac:dyDescent="0.2">
      <c r="R7851" t="s">
        <v>14</v>
      </c>
      <c r="S7851" t="s">
        <v>255</v>
      </c>
      <c r="T7851" t="s">
        <v>9</v>
      </c>
      <c r="U7851" s="21">
        <v>27685.97</v>
      </c>
      <c r="V7851" s="21" t="s">
        <v>368</v>
      </c>
      <c r="W7851" t="str">
        <f>VLOOKUP(Table_Query_from_Actuarial___Production[[#This Row],[Kor1]],$AI$3:$AK$105,3,FALSE)</f>
        <v>Claims Expense</v>
      </c>
      <c r="X7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1"/>
      <c r="Z7851" t="s">
        <v>43</v>
      </c>
      <c r="AA7851" t="s">
        <v>237</v>
      </c>
      <c r="AB7851" t="s">
        <v>5</v>
      </c>
      <c r="AC7851" s="21">
        <v>13454.3</v>
      </c>
      <c r="AD7851" s="21" t="s">
        <v>368</v>
      </c>
      <c r="AE7851" t="str">
        <f>VLOOKUP(Table_Query_from_Actuarial___Production3[[#This Row],[Kor1]],$AI$3:$AK$105,3,FALSE)</f>
        <v>Charge-offs</v>
      </c>
      <c r="AF7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2" spans="18:32" x14ac:dyDescent="0.2">
      <c r="R7852" t="s">
        <v>47</v>
      </c>
      <c r="S7852" t="s">
        <v>229</v>
      </c>
      <c r="T7852" t="s">
        <v>441</v>
      </c>
      <c r="U7852" s="21">
        <v>17.239999999999998</v>
      </c>
      <c r="V7852" s="21" t="s">
        <v>368</v>
      </c>
      <c r="W7852" t="str">
        <f>VLOOKUP(Table_Query_from_Actuarial___Production[[#This Row],[Kor1]],$AI$3:$AK$105,3,FALSE)</f>
        <v>Investment Income</v>
      </c>
      <c r="X7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2"/>
      <c r="Z7852" t="s">
        <v>77</v>
      </c>
      <c r="AA7852" t="s">
        <v>238</v>
      </c>
      <c r="AB7852" t="s">
        <v>442</v>
      </c>
      <c r="AC7852" s="21">
        <v>176889</v>
      </c>
      <c r="AD7852" s="21" t="s">
        <v>368</v>
      </c>
      <c r="AE7852" t="str">
        <f>VLOOKUP(Table_Query_from_Actuarial___Production3[[#This Row],[Kor1]],$AI$3:$AK$105,3,FALSE)</f>
        <v>PDR</v>
      </c>
      <c r="AF7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3" spans="18:32" x14ac:dyDescent="0.2">
      <c r="R7853" t="s">
        <v>41</v>
      </c>
      <c r="S7853" t="s">
        <v>259</v>
      </c>
      <c r="T7853" t="s">
        <v>443</v>
      </c>
      <c r="U7853" s="21">
        <v>450</v>
      </c>
      <c r="V7853" s="21" t="s">
        <v>368</v>
      </c>
      <c r="W7853" t="str">
        <f>VLOOKUP(Table_Query_from_Actuarial___Production[[#This Row],[Kor1]],$AI$3:$AK$105,3,FALSE)</f>
        <v>Misc. Income</v>
      </c>
      <c r="X7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3"/>
      <c r="Z7853" t="s">
        <v>439</v>
      </c>
      <c r="AA7853" t="s">
        <v>240</v>
      </c>
      <c r="AB7853" t="s">
        <v>433</v>
      </c>
      <c r="AC7853" s="21">
        <v>102129</v>
      </c>
      <c r="AD7853" s="21" t="s">
        <v>368</v>
      </c>
      <c r="AE7853" t="str">
        <f>VLOOKUP(Table_Query_from_Actuarial___Production3[[#This Row],[Kor1]],$AI$3:$AK$105,3,FALSE)</f>
        <v>Operating Service Fees</v>
      </c>
      <c r="AF7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4" spans="18:32" x14ac:dyDescent="0.2">
      <c r="R7854" t="s">
        <v>13</v>
      </c>
      <c r="S7854" t="s">
        <v>240</v>
      </c>
      <c r="T7854" t="s">
        <v>356</v>
      </c>
      <c r="U7854" s="21">
        <v>764564.34</v>
      </c>
      <c r="V7854" s="21" t="s">
        <v>368</v>
      </c>
      <c r="W7854" t="str">
        <f>VLOOKUP(Table_Query_from_Actuarial___Production[[#This Row],[Kor1]],$AI$3:$AK$105,3,FALSE)</f>
        <v>Operating Service Fees</v>
      </c>
      <c r="X7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4"/>
      <c r="Z7854" t="s">
        <v>44</v>
      </c>
      <c r="AA7854" t="s">
        <v>225</v>
      </c>
      <c r="AB7854" t="s">
        <v>6</v>
      </c>
      <c r="AC7854" s="21">
        <v>86998.18</v>
      </c>
      <c r="AD7854" s="21" t="s">
        <v>369</v>
      </c>
      <c r="AE7854" t="str">
        <f>VLOOKUP(Table_Query_from_Actuarial___Production3[[#This Row],[Kor1]],$AI$3:$AK$105,3,FALSE)</f>
        <v>Charge-offs</v>
      </c>
      <c r="AF7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855" spans="18:32" x14ac:dyDescent="0.2">
      <c r="R7855" t="s">
        <v>49</v>
      </c>
      <c r="S7855" t="s">
        <v>235</v>
      </c>
      <c r="T7855" t="s">
        <v>351</v>
      </c>
      <c r="U7855" s="21">
        <v>59223.06</v>
      </c>
      <c r="V7855" s="21" t="s">
        <v>368</v>
      </c>
      <c r="W7855" t="str">
        <f>VLOOKUP(Table_Query_from_Actuarial___Production[[#This Row],[Kor1]],$AI$3:$AK$105,3,FALSE)</f>
        <v>ALAE Paid</v>
      </c>
      <c r="X7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5"/>
      <c r="Z7855" t="s">
        <v>34</v>
      </c>
      <c r="AA7855" t="s">
        <v>254</v>
      </c>
      <c r="AB7855" t="s">
        <v>443</v>
      </c>
      <c r="AC7855" s="21">
        <v>44581.83</v>
      </c>
      <c r="AD7855" s="21" t="s">
        <v>368</v>
      </c>
      <c r="AE7855" t="str">
        <f>VLOOKUP(Table_Query_from_Actuarial___Production3[[#This Row],[Kor1]],$AI$3:$AK$105,3,FALSE)</f>
        <v>Misc. Expense</v>
      </c>
      <c r="AF7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6" spans="18:32" x14ac:dyDescent="0.2">
      <c r="R7856" t="s">
        <v>50</v>
      </c>
      <c r="S7856" t="s">
        <v>234</v>
      </c>
      <c r="T7856" t="s">
        <v>442</v>
      </c>
      <c r="U7856" s="21">
        <v>1861.51</v>
      </c>
      <c r="V7856" s="21" t="s">
        <v>368</v>
      </c>
      <c r="W7856" t="str">
        <f>VLOOKUP(Table_Query_from_Actuarial___Production[[#This Row],[Kor1]],$AI$3:$AK$105,3,FALSE)</f>
        <v>ALAE Reserve</v>
      </c>
      <c r="X7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6"/>
      <c r="Z7856" t="s">
        <v>10</v>
      </c>
      <c r="AA7856" t="s">
        <v>229</v>
      </c>
      <c r="AB7856" t="s">
        <v>7</v>
      </c>
      <c r="AC7856" s="21">
        <v>2623.2</v>
      </c>
      <c r="AD7856" s="21" t="s">
        <v>368</v>
      </c>
      <c r="AE7856" t="str">
        <f>VLOOKUP(Table_Query_from_Actuarial___Production3[[#This Row],[Kor1]],$AI$3:$AK$105,3,FALSE)</f>
        <v>Commissions</v>
      </c>
      <c r="AF7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7" spans="18:32" x14ac:dyDescent="0.2">
      <c r="R7857" t="s">
        <v>31</v>
      </c>
      <c r="S7857" t="s">
        <v>256</v>
      </c>
      <c r="T7857" t="s">
        <v>351</v>
      </c>
      <c r="U7857" s="21">
        <v>1101.6600000000001</v>
      </c>
      <c r="V7857" s="21" t="s">
        <v>368</v>
      </c>
      <c r="W7857" t="str">
        <f>VLOOKUP(Table_Query_from_Actuarial___Production[[#This Row],[Kor1]],$AI$3:$AK$105,3,FALSE)</f>
        <v>Misc. Expense</v>
      </c>
      <c r="X7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7"/>
      <c r="Z7857" t="s">
        <v>11</v>
      </c>
      <c r="AA7857" t="s">
        <v>236</v>
      </c>
      <c r="AB7857" t="s">
        <v>441</v>
      </c>
      <c r="AC7857" s="21">
        <v>25139.25</v>
      </c>
      <c r="AD7857" s="21" t="s">
        <v>368</v>
      </c>
      <c r="AE7857" t="str">
        <f>VLOOKUP(Table_Query_from_Actuarial___Production3[[#This Row],[Kor1]],$AI$3:$AK$105,3,FALSE)</f>
        <v>Losses Paid</v>
      </c>
      <c r="AF7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8" spans="18:32" x14ac:dyDescent="0.2">
      <c r="R7858" t="s">
        <v>33</v>
      </c>
      <c r="S7858" t="s">
        <v>249</v>
      </c>
      <c r="T7858" t="s">
        <v>433</v>
      </c>
      <c r="U7858" s="21">
        <v>14499.5</v>
      </c>
      <c r="V7858" s="21" t="s">
        <v>368</v>
      </c>
      <c r="W7858" t="str">
        <f>VLOOKUP(Table_Query_from_Actuarial___Production[[#This Row],[Kor1]],$AI$3:$AK$105,3,FALSE)</f>
        <v>Misc. Expense</v>
      </c>
      <c r="X7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8"/>
      <c r="Z7858" t="s">
        <v>47</v>
      </c>
      <c r="AA7858" t="s">
        <v>258</v>
      </c>
      <c r="AB7858" t="s">
        <v>351</v>
      </c>
      <c r="AC7858" s="21">
        <v>2533.5300000000002</v>
      </c>
      <c r="AD7858" s="21" t="s">
        <v>368</v>
      </c>
      <c r="AE7858" t="str">
        <f>VLOOKUP(Table_Query_from_Actuarial___Production3[[#This Row],[Kor1]],$AI$3:$AK$105,3,FALSE)</f>
        <v>Investment Income</v>
      </c>
      <c r="AF7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59" spans="18:32" x14ac:dyDescent="0.2">
      <c r="R7859" t="s">
        <v>439</v>
      </c>
      <c r="S7859" t="s">
        <v>240</v>
      </c>
      <c r="T7859" t="s">
        <v>433</v>
      </c>
      <c r="U7859" s="21">
        <v>102129</v>
      </c>
      <c r="V7859" s="21" t="s">
        <v>368</v>
      </c>
      <c r="W7859" t="str">
        <f>VLOOKUP(Table_Query_from_Actuarial___Production[[#This Row],[Kor1]],$AI$3:$AK$105,3,FALSE)</f>
        <v>Operating Service Fees</v>
      </c>
      <c r="X7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59"/>
      <c r="Z7859" t="s">
        <v>37</v>
      </c>
      <c r="AA7859" t="s">
        <v>234</v>
      </c>
      <c r="AB7859" t="s">
        <v>427</v>
      </c>
      <c r="AC7859" s="21">
        <v>742.44</v>
      </c>
      <c r="AD7859" s="21" t="s">
        <v>368</v>
      </c>
      <c r="AE7859" t="str">
        <f>VLOOKUP(Table_Query_from_Actuarial___Production3[[#This Row],[Kor1]],$AI$3:$AK$105,3,FALSE)</f>
        <v>Misc. Expense</v>
      </c>
      <c r="AF7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0" spans="18:32" x14ac:dyDescent="0.2">
      <c r="R7860" t="s">
        <v>44</v>
      </c>
      <c r="S7860" t="s">
        <v>225</v>
      </c>
      <c r="T7860" t="s">
        <v>6</v>
      </c>
      <c r="U7860" s="21">
        <v>86998.18</v>
      </c>
      <c r="V7860" s="21" t="s">
        <v>369</v>
      </c>
      <c r="W7860" t="str">
        <f>VLOOKUP(Table_Query_from_Actuarial___Production[[#This Row],[Kor1]],$AI$3:$AK$105,3,FALSE)</f>
        <v>Charge-offs</v>
      </c>
      <c r="X7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860"/>
      <c r="Z7860" t="s">
        <v>10</v>
      </c>
      <c r="AA7860" t="s">
        <v>267</v>
      </c>
      <c r="AB7860" t="s">
        <v>442</v>
      </c>
      <c r="AC7860" s="21">
        <v>20518.32</v>
      </c>
      <c r="AD7860" s="21" t="s">
        <v>368</v>
      </c>
      <c r="AE7860" t="str">
        <f>VLOOKUP(Table_Query_from_Actuarial___Production3[[#This Row],[Kor1]],$AI$3:$AK$105,3,FALSE)</f>
        <v>Commissions</v>
      </c>
      <c r="AF7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1" spans="18:32" x14ac:dyDescent="0.2">
      <c r="R7861" t="s">
        <v>34</v>
      </c>
      <c r="S7861" t="s">
        <v>254</v>
      </c>
      <c r="T7861" t="s">
        <v>443</v>
      </c>
      <c r="U7861" s="21">
        <v>184171.4</v>
      </c>
      <c r="V7861" s="21" t="s">
        <v>368</v>
      </c>
      <c r="W7861" t="str">
        <f>VLOOKUP(Table_Query_from_Actuarial___Production[[#This Row],[Kor1]],$AI$3:$AK$105,3,FALSE)</f>
        <v>Misc. Expense</v>
      </c>
      <c r="X7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1"/>
      <c r="Z7861" t="s">
        <v>43</v>
      </c>
      <c r="AA7861" t="s">
        <v>264</v>
      </c>
      <c r="AB7861" t="s">
        <v>8</v>
      </c>
      <c r="AC7861" s="21">
        <v>2728.32</v>
      </c>
      <c r="AD7861" s="21" t="s">
        <v>368</v>
      </c>
      <c r="AE7861" t="str">
        <f>VLOOKUP(Table_Query_from_Actuarial___Production3[[#This Row],[Kor1]],$AI$3:$AK$105,3,FALSE)</f>
        <v>Charge-offs</v>
      </c>
      <c r="AF7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2" spans="18:32" x14ac:dyDescent="0.2">
      <c r="R7862" t="s">
        <v>10</v>
      </c>
      <c r="S7862" t="s">
        <v>229</v>
      </c>
      <c r="T7862" t="s">
        <v>7</v>
      </c>
      <c r="U7862" s="21">
        <v>2623.2</v>
      </c>
      <c r="V7862" s="21" t="s">
        <v>368</v>
      </c>
      <c r="W7862" t="str">
        <f>VLOOKUP(Table_Query_from_Actuarial___Production[[#This Row],[Kor1]],$AI$3:$AK$105,3,FALSE)</f>
        <v>Commissions</v>
      </c>
      <c r="X7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2"/>
      <c r="Z7862" t="s">
        <v>16</v>
      </c>
      <c r="AA7862" t="s">
        <v>352</v>
      </c>
      <c r="AB7862" t="s">
        <v>433</v>
      </c>
      <c r="AC7862" s="21">
        <v>5000</v>
      </c>
      <c r="AD7862" s="21" t="s">
        <v>369</v>
      </c>
      <c r="AE7862" t="str">
        <f>VLOOKUP(Table_Query_from_Actuarial___Production3[[#This Row],[Kor1]],$AI$3:$AK$105,3,FALSE)</f>
        <v>Losses Outstanding</v>
      </c>
      <c r="AF7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7863" spans="18:32" x14ac:dyDescent="0.2">
      <c r="R7863" t="s">
        <v>11</v>
      </c>
      <c r="S7863" t="s">
        <v>236</v>
      </c>
      <c r="T7863" t="s">
        <v>441</v>
      </c>
      <c r="U7863" s="21">
        <v>24767.93</v>
      </c>
      <c r="V7863" s="21" t="s">
        <v>368</v>
      </c>
      <c r="W7863" t="str">
        <f>VLOOKUP(Table_Query_from_Actuarial___Production[[#This Row],[Kor1]],$AI$3:$AK$105,3,FALSE)</f>
        <v>Losses Paid</v>
      </c>
      <c r="X7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3"/>
      <c r="Z7863" t="s">
        <v>39</v>
      </c>
      <c r="AA7863" t="s">
        <v>254</v>
      </c>
      <c r="AB7863" t="s">
        <v>433</v>
      </c>
      <c r="AC7863" s="21">
        <v>30853.83</v>
      </c>
      <c r="AD7863" s="21" t="s">
        <v>368</v>
      </c>
      <c r="AE7863" t="str">
        <f>VLOOKUP(Table_Query_from_Actuarial___Production3[[#This Row],[Kor1]],$AI$3:$AK$105,3,FALSE)</f>
        <v>Misc. Income for Insolvent Companies</v>
      </c>
      <c r="AF7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4" spans="18:32" x14ac:dyDescent="0.2">
      <c r="R7864" t="s">
        <v>47</v>
      </c>
      <c r="S7864" t="s">
        <v>258</v>
      </c>
      <c r="T7864" t="s">
        <v>351</v>
      </c>
      <c r="U7864" s="21">
        <v>2533.5300000000002</v>
      </c>
      <c r="V7864" s="21" t="s">
        <v>368</v>
      </c>
      <c r="W7864" t="str">
        <f>VLOOKUP(Table_Query_from_Actuarial___Production[[#This Row],[Kor1]],$AI$3:$AK$105,3,FALSE)</f>
        <v>Investment Income</v>
      </c>
      <c r="X7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4"/>
      <c r="Z7864" t="s">
        <v>14</v>
      </c>
      <c r="AA7864" t="s">
        <v>240</v>
      </c>
      <c r="AB7864" t="s">
        <v>8</v>
      </c>
      <c r="AC7864" s="21">
        <v>101001.71</v>
      </c>
      <c r="AD7864" s="21" t="s">
        <v>368</v>
      </c>
      <c r="AE7864" t="str">
        <f>VLOOKUP(Table_Query_from_Actuarial___Production3[[#This Row],[Kor1]],$AI$3:$AK$105,3,FALSE)</f>
        <v>Claims Expense</v>
      </c>
      <c r="AF7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5" spans="18:32" x14ac:dyDescent="0.2">
      <c r="R7865" t="s">
        <v>37</v>
      </c>
      <c r="S7865" t="s">
        <v>234</v>
      </c>
      <c r="T7865" t="s">
        <v>427</v>
      </c>
      <c r="U7865" s="21">
        <v>742.44</v>
      </c>
      <c r="V7865" s="21" t="s">
        <v>368</v>
      </c>
      <c r="W7865" t="str">
        <f>VLOOKUP(Table_Query_from_Actuarial___Production[[#This Row],[Kor1]],$AI$3:$AK$105,3,FALSE)</f>
        <v>Misc. Expense</v>
      </c>
      <c r="X7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5"/>
      <c r="Z7865" t="s">
        <v>17</v>
      </c>
      <c r="AA7865" t="s">
        <v>268</v>
      </c>
      <c r="AB7865" t="s">
        <v>442</v>
      </c>
      <c r="AC7865" s="21">
        <v>83047.13</v>
      </c>
      <c r="AD7865" s="21" t="s">
        <v>368</v>
      </c>
      <c r="AE7865" t="str">
        <f>VLOOKUP(Table_Query_from_Actuarial___Production3[[#This Row],[Kor1]],$AI$3:$AK$105,3,FALSE)</f>
        <v>IBNR</v>
      </c>
      <c r="AF7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6" spans="18:32" x14ac:dyDescent="0.2">
      <c r="R7866" t="s">
        <v>10</v>
      </c>
      <c r="S7866" t="s">
        <v>267</v>
      </c>
      <c r="T7866" t="s">
        <v>442</v>
      </c>
      <c r="U7866" s="21">
        <v>20931.689999999999</v>
      </c>
      <c r="V7866" s="21" t="s">
        <v>368</v>
      </c>
      <c r="W7866" t="str">
        <f>VLOOKUP(Table_Query_from_Actuarial___Production[[#This Row],[Kor1]],$AI$3:$AK$105,3,FALSE)</f>
        <v>Commissions</v>
      </c>
      <c r="X7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6"/>
      <c r="Z7866" t="s">
        <v>19</v>
      </c>
      <c r="AA7866" t="s">
        <v>243</v>
      </c>
      <c r="AB7866" t="s">
        <v>427</v>
      </c>
      <c r="AC7866" s="21">
        <v>3237</v>
      </c>
      <c r="AD7866" s="21" t="s">
        <v>368</v>
      </c>
      <c r="AE7866" t="str">
        <f>VLOOKUP(Table_Query_from_Actuarial___Production3[[#This Row],[Kor1]],$AI$3:$AK$105,3,FALSE)</f>
        <v>Misc. Expense for Insolvent Companies</v>
      </c>
      <c r="AF7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7" spans="18:32" x14ac:dyDescent="0.2">
      <c r="R7867" t="s">
        <v>43</v>
      </c>
      <c r="S7867" t="s">
        <v>264</v>
      </c>
      <c r="T7867" t="s">
        <v>8</v>
      </c>
      <c r="U7867" s="21">
        <v>2728.32</v>
      </c>
      <c r="V7867" s="21" t="s">
        <v>368</v>
      </c>
      <c r="W7867" t="str">
        <f>VLOOKUP(Table_Query_from_Actuarial___Production[[#This Row],[Kor1]],$AI$3:$AK$105,3,FALSE)</f>
        <v>Charge-offs</v>
      </c>
      <c r="X7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7"/>
      <c r="Z7867" t="s">
        <v>37</v>
      </c>
      <c r="AA7867" t="s">
        <v>261</v>
      </c>
      <c r="AB7867" t="s">
        <v>441</v>
      </c>
      <c r="AC7867" s="21">
        <v>530.42999999999995</v>
      </c>
      <c r="AD7867" s="21" t="s">
        <v>368</v>
      </c>
      <c r="AE7867" t="str">
        <f>VLOOKUP(Table_Query_from_Actuarial___Production3[[#This Row],[Kor1]],$AI$3:$AK$105,3,FALSE)</f>
        <v>Misc. Expense</v>
      </c>
      <c r="AF7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8" spans="18:32" x14ac:dyDescent="0.2">
      <c r="R7868" t="s">
        <v>39</v>
      </c>
      <c r="S7868" t="s">
        <v>254</v>
      </c>
      <c r="T7868" t="s">
        <v>433</v>
      </c>
      <c r="U7868" s="21">
        <v>30853.83</v>
      </c>
      <c r="V7868" s="21" t="s">
        <v>368</v>
      </c>
      <c r="W7868" t="str">
        <f>VLOOKUP(Table_Query_from_Actuarial___Production[[#This Row],[Kor1]],$AI$3:$AK$105,3,FALSE)</f>
        <v>Misc. Income for Insolvent Companies</v>
      </c>
      <c r="X7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8"/>
      <c r="Z7868" t="s">
        <v>48</v>
      </c>
      <c r="AA7868" t="s">
        <v>252</v>
      </c>
      <c r="AB7868" t="s">
        <v>443</v>
      </c>
      <c r="AC7868" s="21">
        <v>19375.3</v>
      </c>
      <c r="AD7868" s="21" t="s">
        <v>368</v>
      </c>
      <c r="AE7868" t="str">
        <f>VLOOKUP(Table_Query_from_Actuarial___Production3[[#This Row],[Kor1]],$AI$3:$AK$105,3,FALSE)</f>
        <v>Anticipated Salvage</v>
      </c>
      <c r="AF7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69" spans="18:32" x14ac:dyDescent="0.2">
      <c r="R7869" t="s">
        <v>14</v>
      </c>
      <c r="S7869" t="s">
        <v>240</v>
      </c>
      <c r="T7869" t="s">
        <v>8</v>
      </c>
      <c r="U7869" s="21">
        <v>101001.71</v>
      </c>
      <c r="V7869" s="21" t="s">
        <v>368</v>
      </c>
      <c r="W7869" t="str">
        <f>VLOOKUP(Table_Query_from_Actuarial___Production[[#This Row],[Kor1]],$AI$3:$AK$105,3,FALSE)</f>
        <v>Claims Expense</v>
      </c>
      <c r="X7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69"/>
      <c r="Z7869" t="s">
        <v>43</v>
      </c>
      <c r="AA7869" t="s">
        <v>224</v>
      </c>
      <c r="AB7869" t="s">
        <v>442</v>
      </c>
      <c r="AC7869" s="21">
        <v>0.98</v>
      </c>
      <c r="AD7869" s="21" t="s">
        <v>425</v>
      </c>
      <c r="AE7869" t="str">
        <f>VLOOKUP(Table_Query_from_Actuarial___Production3[[#This Row],[Kor1]],$AI$3:$AK$105,3,FALSE)</f>
        <v>Charge-offs</v>
      </c>
      <c r="AF7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870" spans="18:32" x14ac:dyDescent="0.2">
      <c r="R7870" t="s">
        <v>17</v>
      </c>
      <c r="S7870" t="s">
        <v>268</v>
      </c>
      <c r="T7870" t="s">
        <v>442</v>
      </c>
      <c r="U7870" s="21">
        <v>42595.42</v>
      </c>
      <c r="V7870" s="21" t="s">
        <v>368</v>
      </c>
      <c r="W7870" t="str">
        <f>VLOOKUP(Table_Query_from_Actuarial___Production[[#This Row],[Kor1]],$AI$3:$AK$105,3,FALSE)</f>
        <v>IBNR</v>
      </c>
      <c r="X7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0"/>
      <c r="Z7870" t="s">
        <v>13</v>
      </c>
      <c r="AA7870" t="s">
        <v>224</v>
      </c>
      <c r="AB7870" t="s">
        <v>8</v>
      </c>
      <c r="AC7870" s="21">
        <v>263726.87</v>
      </c>
      <c r="AD7870" s="21" t="s">
        <v>368</v>
      </c>
      <c r="AE7870" t="str">
        <f>VLOOKUP(Table_Query_from_Actuarial___Production3[[#This Row],[Kor1]],$AI$3:$AK$105,3,FALSE)</f>
        <v>Operating Service Fees</v>
      </c>
      <c r="AF7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871" spans="18:32" x14ac:dyDescent="0.2">
      <c r="R7871" t="s">
        <v>19</v>
      </c>
      <c r="S7871" t="s">
        <v>243</v>
      </c>
      <c r="T7871" t="s">
        <v>427</v>
      </c>
      <c r="U7871" s="21">
        <v>3237</v>
      </c>
      <c r="V7871" s="21" t="s">
        <v>368</v>
      </c>
      <c r="W7871" t="str">
        <f>VLOOKUP(Table_Query_from_Actuarial___Production[[#This Row],[Kor1]],$AI$3:$AK$105,3,FALSE)</f>
        <v>Misc. Expense for Insolvent Companies</v>
      </c>
      <c r="X7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1"/>
      <c r="Z7871" t="s">
        <v>12</v>
      </c>
      <c r="AA7871" t="s">
        <v>261</v>
      </c>
      <c r="AB7871" t="s">
        <v>433</v>
      </c>
      <c r="AC7871" s="21">
        <v>4531.92</v>
      </c>
      <c r="AD7871" s="21" t="s">
        <v>368</v>
      </c>
      <c r="AE7871" t="str">
        <f>VLOOKUP(Table_Query_from_Actuarial___Production3[[#This Row],[Kor1]],$AI$3:$AK$105,3,FALSE)</f>
        <v>Premium Tax</v>
      </c>
      <c r="AF7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2" spans="18:32" x14ac:dyDescent="0.2">
      <c r="R7872" t="s">
        <v>37</v>
      </c>
      <c r="S7872" t="s">
        <v>261</v>
      </c>
      <c r="T7872" t="s">
        <v>441</v>
      </c>
      <c r="U7872" s="21">
        <v>530.42999999999995</v>
      </c>
      <c r="V7872" s="21" t="s">
        <v>368</v>
      </c>
      <c r="W7872" t="str">
        <f>VLOOKUP(Table_Query_from_Actuarial___Production[[#This Row],[Kor1]],$AI$3:$AK$105,3,FALSE)</f>
        <v>Misc. Expense</v>
      </c>
      <c r="X7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2"/>
      <c r="Z7872" t="s">
        <v>19</v>
      </c>
      <c r="AA7872" t="s">
        <v>228</v>
      </c>
      <c r="AB7872" t="s">
        <v>5</v>
      </c>
      <c r="AC7872" s="21">
        <v>8171.99</v>
      </c>
      <c r="AD7872" s="21" t="s">
        <v>368</v>
      </c>
      <c r="AE7872" t="str">
        <f>VLOOKUP(Table_Query_from_Actuarial___Production3[[#This Row],[Kor1]],$AI$3:$AK$105,3,FALSE)</f>
        <v>Misc. Expense for Insolvent Companies</v>
      </c>
      <c r="AF7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3" spans="18:32" x14ac:dyDescent="0.2">
      <c r="R7873" t="s">
        <v>48</v>
      </c>
      <c r="S7873" t="s">
        <v>252</v>
      </c>
      <c r="T7873" t="s">
        <v>443</v>
      </c>
      <c r="U7873" s="21">
        <v>75897.570000000007</v>
      </c>
      <c r="V7873" s="21" t="s">
        <v>368</v>
      </c>
      <c r="W7873" t="str">
        <f>VLOOKUP(Table_Query_from_Actuarial___Production[[#This Row],[Kor1]],$AI$3:$AK$105,3,FALSE)</f>
        <v>Anticipated Salvage</v>
      </c>
      <c r="X7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3"/>
      <c r="Z7873" t="s">
        <v>41</v>
      </c>
      <c r="AA7873" t="s">
        <v>262</v>
      </c>
      <c r="AB7873" t="s">
        <v>8</v>
      </c>
      <c r="AC7873" s="21">
        <v>150</v>
      </c>
      <c r="AD7873" s="21" t="s">
        <v>368</v>
      </c>
      <c r="AE7873" t="str">
        <f>VLOOKUP(Table_Query_from_Actuarial___Production3[[#This Row],[Kor1]],$AI$3:$AK$105,3,FALSE)</f>
        <v>Misc. Income</v>
      </c>
      <c r="AF7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4" spans="18:32" x14ac:dyDescent="0.2">
      <c r="R7874" t="s">
        <v>43</v>
      </c>
      <c r="S7874" t="s">
        <v>224</v>
      </c>
      <c r="T7874" t="s">
        <v>442</v>
      </c>
      <c r="U7874" s="21">
        <v>0.98</v>
      </c>
      <c r="V7874" s="21" t="s">
        <v>425</v>
      </c>
      <c r="W7874" t="str">
        <f>VLOOKUP(Table_Query_from_Actuarial___Production[[#This Row],[Kor1]],$AI$3:$AK$105,3,FALSE)</f>
        <v>Charge-offs</v>
      </c>
      <c r="X7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874"/>
      <c r="Z7874" t="s">
        <v>44</v>
      </c>
      <c r="AA7874" t="s">
        <v>230</v>
      </c>
      <c r="AB7874" t="s">
        <v>9</v>
      </c>
      <c r="AC7874" s="21">
        <v>3291107.07</v>
      </c>
      <c r="AD7874" s="21" t="s">
        <v>368</v>
      </c>
      <c r="AE7874" t="str">
        <f>VLOOKUP(Table_Query_from_Actuarial___Production3[[#This Row],[Kor1]],$AI$3:$AK$105,3,FALSE)</f>
        <v>Charge-offs</v>
      </c>
      <c r="AF7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5" spans="18:32" x14ac:dyDescent="0.2">
      <c r="R7875" t="s">
        <v>13</v>
      </c>
      <c r="S7875" t="s">
        <v>224</v>
      </c>
      <c r="T7875" t="s">
        <v>8</v>
      </c>
      <c r="U7875" s="21">
        <v>263726.87</v>
      </c>
      <c r="V7875" s="21" t="s">
        <v>368</v>
      </c>
      <c r="W7875" t="str">
        <f>VLOOKUP(Table_Query_from_Actuarial___Production[[#This Row],[Kor1]],$AI$3:$AK$105,3,FALSE)</f>
        <v>Operating Service Fees</v>
      </c>
      <c r="X7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875"/>
      <c r="Z7875" t="s">
        <v>3</v>
      </c>
      <c r="AA7875" t="s">
        <v>224</v>
      </c>
      <c r="AB7875" t="s">
        <v>356</v>
      </c>
      <c r="AC7875" s="21">
        <v>57058.720000000001</v>
      </c>
      <c r="AD7875" s="21" t="s">
        <v>425</v>
      </c>
      <c r="AE7875" t="str">
        <f>VLOOKUP(Table_Query_from_Actuarial___Production3[[#This Row],[Kor1]],$AI$3:$AK$105,3,FALSE)</f>
        <v>Premiums Written</v>
      </c>
      <c r="AF7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876" spans="18:32" x14ac:dyDescent="0.2">
      <c r="R7876" t="s">
        <v>12</v>
      </c>
      <c r="S7876" t="s">
        <v>261</v>
      </c>
      <c r="T7876" t="s">
        <v>433</v>
      </c>
      <c r="U7876" s="21">
        <v>4531.92</v>
      </c>
      <c r="V7876" s="21" t="s">
        <v>368</v>
      </c>
      <c r="W7876" t="str">
        <f>VLOOKUP(Table_Query_from_Actuarial___Production[[#This Row],[Kor1]],$AI$3:$AK$105,3,FALSE)</f>
        <v>Premium Tax</v>
      </c>
      <c r="X7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6"/>
      <c r="Z7876" t="s">
        <v>12</v>
      </c>
      <c r="AA7876" t="s">
        <v>239</v>
      </c>
      <c r="AB7876" t="s">
        <v>351</v>
      </c>
      <c r="AC7876" s="21">
        <v>9521.44</v>
      </c>
      <c r="AD7876" s="21" t="s">
        <v>368</v>
      </c>
      <c r="AE7876" t="str">
        <f>VLOOKUP(Table_Query_from_Actuarial___Production3[[#This Row],[Kor1]],$AI$3:$AK$105,3,FALSE)</f>
        <v>Premium Tax</v>
      </c>
      <c r="AF7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7" spans="18:32" x14ac:dyDescent="0.2">
      <c r="R7877" t="s">
        <v>41</v>
      </c>
      <c r="S7877" t="s">
        <v>262</v>
      </c>
      <c r="T7877" t="s">
        <v>8</v>
      </c>
      <c r="U7877" s="21">
        <v>150</v>
      </c>
      <c r="V7877" s="21" t="s">
        <v>368</v>
      </c>
      <c r="W7877" t="str">
        <f>VLOOKUP(Table_Query_from_Actuarial___Production[[#This Row],[Kor1]],$AI$3:$AK$105,3,FALSE)</f>
        <v>Misc. Income</v>
      </c>
      <c r="X7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7"/>
      <c r="Z7877" t="s">
        <v>40</v>
      </c>
      <c r="AA7877" t="s">
        <v>266</v>
      </c>
      <c r="AB7877" t="s">
        <v>427</v>
      </c>
      <c r="AC7877" s="21">
        <v>12</v>
      </c>
      <c r="AD7877" s="21" t="s">
        <v>368</v>
      </c>
      <c r="AE7877" t="str">
        <f>VLOOKUP(Table_Query_from_Actuarial___Production3[[#This Row],[Kor1]],$AI$3:$AK$105,3,FALSE)</f>
        <v>Misc. Income</v>
      </c>
      <c r="AF7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8" spans="18:32" x14ac:dyDescent="0.2">
      <c r="R7878" t="s">
        <v>44</v>
      </c>
      <c r="S7878" t="s">
        <v>230</v>
      </c>
      <c r="T7878" t="s">
        <v>9</v>
      </c>
      <c r="U7878" s="21">
        <v>3291107.07</v>
      </c>
      <c r="V7878" s="21" t="s">
        <v>368</v>
      </c>
      <c r="W7878" t="str">
        <f>VLOOKUP(Table_Query_from_Actuarial___Production[[#This Row],[Kor1]],$AI$3:$AK$105,3,FALSE)</f>
        <v>Charge-offs</v>
      </c>
      <c r="X7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8"/>
      <c r="Z7878" t="s">
        <v>3</v>
      </c>
      <c r="AA7878" t="s">
        <v>264</v>
      </c>
      <c r="AB7878" t="s">
        <v>351</v>
      </c>
      <c r="AC7878" s="21">
        <v>2019694</v>
      </c>
      <c r="AD7878" s="21" t="s">
        <v>368</v>
      </c>
      <c r="AE7878" t="str">
        <f>VLOOKUP(Table_Query_from_Actuarial___Production3[[#This Row],[Kor1]],$AI$3:$AK$105,3,FALSE)</f>
        <v>Premiums Written</v>
      </c>
      <c r="AF7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79" spans="18:32" x14ac:dyDescent="0.2">
      <c r="R7879" t="s">
        <v>10</v>
      </c>
      <c r="S7879" t="s">
        <v>265</v>
      </c>
      <c r="T7879" t="s">
        <v>445</v>
      </c>
      <c r="U7879" s="21">
        <v>27603.75</v>
      </c>
      <c r="V7879" s="21" t="s">
        <v>368</v>
      </c>
      <c r="W7879" t="str">
        <f>VLOOKUP(Table_Query_from_Actuarial___Production[[#This Row],[Kor1]],$AI$3:$AK$105,3,FALSE)</f>
        <v>Commissions</v>
      </c>
      <c r="X7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79"/>
      <c r="Z7879" t="s">
        <v>12</v>
      </c>
      <c r="AA7879" t="s">
        <v>266</v>
      </c>
      <c r="AB7879" t="s">
        <v>442</v>
      </c>
      <c r="AC7879" s="21">
        <v>16530.43</v>
      </c>
      <c r="AD7879" s="21" t="s">
        <v>368</v>
      </c>
      <c r="AE7879" t="str">
        <f>VLOOKUP(Table_Query_from_Actuarial___Production3[[#This Row],[Kor1]],$AI$3:$AK$105,3,FALSE)</f>
        <v>Premium Tax</v>
      </c>
      <c r="AF7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0" spans="18:32" x14ac:dyDescent="0.2">
      <c r="R7880" t="s">
        <v>3</v>
      </c>
      <c r="S7880" t="s">
        <v>224</v>
      </c>
      <c r="T7880" t="s">
        <v>356</v>
      </c>
      <c r="U7880" s="21">
        <v>55227.72</v>
      </c>
      <c r="V7880" s="21" t="s">
        <v>425</v>
      </c>
      <c r="W7880" t="str">
        <f>VLOOKUP(Table_Query_from_Actuarial___Production[[#This Row],[Kor1]],$AI$3:$AK$105,3,FALSE)</f>
        <v>Premiums Written</v>
      </c>
      <c r="X7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880"/>
      <c r="Z7880" t="s">
        <v>14</v>
      </c>
      <c r="AA7880" t="s">
        <v>237</v>
      </c>
      <c r="AB7880" t="s">
        <v>443</v>
      </c>
      <c r="AC7880" s="21">
        <v>625700.46</v>
      </c>
      <c r="AD7880" s="21" t="s">
        <v>368</v>
      </c>
      <c r="AE7880" t="str">
        <f>VLOOKUP(Table_Query_from_Actuarial___Production3[[#This Row],[Kor1]],$AI$3:$AK$105,3,FALSE)</f>
        <v>Claims Expense</v>
      </c>
      <c r="AF7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1" spans="18:32" x14ac:dyDescent="0.2">
      <c r="R7881" t="s">
        <v>12</v>
      </c>
      <c r="S7881" t="s">
        <v>239</v>
      </c>
      <c r="T7881" t="s">
        <v>351</v>
      </c>
      <c r="U7881" s="21">
        <v>9521.44</v>
      </c>
      <c r="V7881" s="21" t="s">
        <v>368</v>
      </c>
      <c r="W7881" t="str">
        <f>VLOOKUP(Table_Query_from_Actuarial___Production[[#This Row],[Kor1]],$AI$3:$AK$105,3,FALSE)</f>
        <v>Premium Tax</v>
      </c>
      <c r="X7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1"/>
      <c r="Z7881" t="s">
        <v>25</v>
      </c>
      <c r="AA7881" t="s">
        <v>250</v>
      </c>
      <c r="AB7881" t="s">
        <v>9</v>
      </c>
      <c r="AC7881" s="21">
        <v>1971.78</v>
      </c>
      <c r="AD7881" s="21" t="s">
        <v>368</v>
      </c>
      <c r="AE7881" t="str">
        <f>VLOOKUP(Table_Query_from_Actuarial___Production3[[#This Row],[Kor1]],$AI$3:$AK$105,3,FALSE)</f>
        <v>Misc. Expense</v>
      </c>
      <c r="AF7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2" spans="18:32" x14ac:dyDescent="0.2">
      <c r="R7882" t="s">
        <v>40</v>
      </c>
      <c r="S7882" t="s">
        <v>266</v>
      </c>
      <c r="T7882" t="s">
        <v>427</v>
      </c>
      <c r="U7882" s="21">
        <v>12</v>
      </c>
      <c r="V7882" s="21" t="s">
        <v>368</v>
      </c>
      <c r="W7882" t="str">
        <f>VLOOKUP(Table_Query_from_Actuarial___Production[[#This Row],[Kor1]],$AI$3:$AK$105,3,FALSE)</f>
        <v>Misc. Income</v>
      </c>
      <c r="X7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2"/>
      <c r="Z7882" t="s">
        <v>33</v>
      </c>
      <c r="AA7882" t="s">
        <v>253</v>
      </c>
      <c r="AB7882" t="s">
        <v>351</v>
      </c>
      <c r="AC7882" s="21">
        <v>11285.83</v>
      </c>
      <c r="AD7882" s="21" t="s">
        <v>368</v>
      </c>
      <c r="AE7882" t="str">
        <f>VLOOKUP(Table_Query_from_Actuarial___Production3[[#This Row],[Kor1]],$AI$3:$AK$105,3,FALSE)</f>
        <v>Misc. Expense</v>
      </c>
      <c r="AF7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3" spans="18:32" x14ac:dyDescent="0.2">
      <c r="R7883" t="s">
        <v>3</v>
      </c>
      <c r="S7883" t="s">
        <v>264</v>
      </c>
      <c r="T7883" t="s">
        <v>351</v>
      </c>
      <c r="U7883" s="21">
        <v>2019694</v>
      </c>
      <c r="V7883" s="21" t="s">
        <v>368</v>
      </c>
      <c r="W7883" t="str">
        <f>VLOOKUP(Table_Query_from_Actuarial___Production[[#This Row],[Kor1]],$AI$3:$AK$105,3,FALSE)</f>
        <v>Premiums Written</v>
      </c>
      <c r="X7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3"/>
      <c r="Z7883" t="s">
        <v>144</v>
      </c>
      <c r="AA7883" t="s">
        <v>224</v>
      </c>
      <c r="AB7883" t="s">
        <v>433</v>
      </c>
      <c r="AC7883" s="21">
        <v>-28100</v>
      </c>
      <c r="AD7883" s="21" t="s">
        <v>370</v>
      </c>
      <c r="AE7883" t="str">
        <f>VLOOKUP(Table_Query_from_Actuarial___Production3[[#This Row],[Kor1]],$AI$3:$AK$105,3,FALSE)</f>
        <v>Claims Expense</v>
      </c>
      <c r="AF7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884" spans="18:32" x14ac:dyDescent="0.2">
      <c r="R7884" t="s">
        <v>12</v>
      </c>
      <c r="S7884" t="s">
        <v>266</v>
      </c>
      <c r="T7884" t="s">
        <v>442</v>
      </c>
      <c r="U7884" s="21">
        <v>16557.59</v>
      </c>
      <c r="V7884" s="21" t="s">
        <v>368</v>
      </c>
      <c r="W7884" t="str">
        <f>VLOOKUP(Table_Query_from_Actuarial___Production[[#This Row],[Kor1]],$AI$3:$AK$105,3,FALSE)</f>
        <v>Premium Tax</v>
      </c>
      <c r="X7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4"/>
      <c r="Z7884" t="s">
        <v>16</v>
      </c>
      <c r="AA7884" t="s">
        <v>249</v>
      </c>
      <c r="AB7884" t="s">
        <v>433</v>
      </c>
      <c r="AC7884" s="21">
        <v>13033.84</v>
      </c>
      <c r="AD7884" s="21" t="s">
        <v>368</v>
      </c>
      <c r="AE7884" t="str">
        <f>VLOOKUP(Table_Query_from_Actuarial___Production3[[#This Row],[Kor1]],$AI$3:$AK$105,3,FALSE)</f>
        <v>Losses Outstanding</v>
      </c>
      <c r="AF7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5" spans="18:32" x14ac:dyDescent="0.2">
      <c r="R7885" t="s">
        <v>14</v>
      </c>
      <c r="S7885" t="s">
        <v>237</v>
      </c>
      <c r="T7885" t="s">
        <v>443</v>
      </c>
      <c r="U7885" s="21">
        <v>4750466.01</v>
      </c>
      <c r="V7885" s="21" t="s">
        <v>368</v>
      </c>
      <c r="W7885" t="str">
        <f>VLOOKUP(Table_Query_from_Actuarial___Production[[#This Row],[Kor1]],$AI$3:$AK$105,3,FALSE)</f>
        <v>Claims Expense</v>
      </c>
      <c r="X7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5"/>
      <c r="Z7885" t="s">
        <v>11</v>
      </c>
      <c r="AA7885" t="s">
        <v>228</v>
      </c>
      <c r="AB7885" t="s">
        <v>5</v>
      </c>
      <c r="AC7885" s="21">
        <v>390801.94</v>
      </c>
      <c r="AD7885" s="21" t="s">
        <v>368</v>
      </c>
      <c r="AE7885" t="str">
        <f>VLOOKUP(Table_Query_from_Actuarial___Production3[[#This Row],[Kor1]],$AI$3:$AK$105,3,FALSE)</f>
        <v>Losses Paid</v>
      </c>
      <c r="AF7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6" spans="18:32" x14ac:dyDescent="0.2">
      <c r="R7886" t="s">
        <v>14</v>
      </c>
      <c r="S7886" t="s">
        <v>251</v>
      </c>
      <c r="T7886" t="s">
        <v>445</v>
      </c>
      <c r="U7886" s="21">
        <v>4506.92</v>
      </c>
      <c r="V7886" s="21" t="s">
        <v>368</v>
      </c>
      <c r="W7886" t="str">
        <f>VLOOKUP(Table_Query_from_Actuarial___Production[[#This Row],[Kor1]],$AI$3:$AK$105,3,FALSE)</f>
        <v>Claims Expense</v>
      </c>
      <c r="X7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6"/>
      <c r="Z7886" t="s">
        <v>22</v>
      </c>
      <c r="AA7886" t="s">
        <v>259</v>
      </c>
      <c r="AB7886" t="s">
        <v>8</v>
      </c>
      <c r="AC7886" s="21">
        <v>15603.88</v>
      </c>
      <c r="AD7886" s="21" t="s">
        <v>368</v>
      </c>
      <c r="AE7886" t="str">
        <f>VLOOKUP(Table_Query_from_Actuarial___Production3[[#This Row],[Kor1]],$AI$3:$AK$105,3,FALSE)</f>
        <v>Misc. Expense</v>
      </c>
      <c r="AF7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7" spans="18:32" x14ac:dyDescent="0.2">
      <c r="R7887" t="s">
        <v>25</v>
      </c>
      <c r="S7887" t="s">
        <v>250</v>
      </c>
      <c r="T7887" t="s">
        <v>9</v>
      </c>
      <c r="U7887" s="21">
        <v>1971.78</v>
      </c>
      <c r="V7887" s="21" t="s">
        <v>368</v>
      </c>
      <c r="W7887" t="str">
        <f>VLOOKUP(Table_Query_from_Actuarial___Production[[#This Row],[Kor1]],$AI$3:$AK$105,3,FALSE)</f>
        <v>Misc. Expense</v>
      </c>
      <c r="X7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7"/>
      <c r="Z7887" t="s">
        <v>43</v>
      </c>
      <c r="AA7887" t="s">
        <v>225</v>
      </c>
      <c r="AB7887" t="s">
        <v>443</v>
      </c>
      <c r="AC7887" s="21">
        <v>-1398.16</v>
      </c>
      <c r="AD7887" s="21" t="s">
        <v>369</v>
      </c>
      <c r="AE7887" t="str">
        <f>VLOOKUP(Table_Query_from_Actuarial___Production3[[#This Row],[Kor1]],$AI$3:$AK$105,3,FALSE)</f>
        <v>Charge-offs</v>
      </c>
      <c r="AF7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888" spans="18:32" x14ac:dyDescent="0.2">
      <c r="R7888" t="s">
        <v>33</v>
      </c>
      <c r="S7888" t="s">
        <v>253</v>
      </c>
      <c r="T7888" t="s">
        <v>351</v>
      </c>
      <c r="U7888" s="21">
        <v>11285.83</v>
      </c>
      <c r="V7888" s="21" t="s">
        <v>368</v>
      </c>
      <c r="W7888" t="str">
        <f>VLOOKUP(Table_Query_from_Actuarial___Production[[#This Row],[Kor1]],$AI$3:$AK$105,3,FALSE)</f>
        <v>Misc. Expense</v>
      </c>
      <c r="X7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88"/>
      <c r="Z7888" t="s">
        <v>10</v>
      </c>
      <c r="AA7888" t="s">
        <v>235</v>
      </c>
      <c r="AB7888" t="s">
        <v>6</v>
      </c>
      <c r="AC7888" s="21">
        <v>32603.05</v>
      </c>
      <c r="AD7888" s="21" t="s">
        <v>368</v>
      </c>
      <c r="AE7888" t="str">
        <f>VLOOKUP(Table_Query_from_Actuarial___Production3[[#This Row],[Kor1]],$AI$3:$AK$105,3,FALSE)</f>
        <v>Commissions</v>
      </c>
      <c r="AF7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89" spans="18:32" x14ac:dyDescent="0.2">
      <c r="R7889" t="s">
        <v>144</v>
      </c>
      <c r="S7889" t="s">
        <v>224</v>
      </c>
      <c r="T7889" t="s">
        <v>433</v>
      </c>
      <c r="U7889" s="21">
        <v>-2600</v>
      </c>
      <c r="V7889" s="21" t="s">
        <v>370</v>
      </c>
      <c r="W7889" t="str">
        <f>VLOOKUP(Table_Query_from_Actuarial___Production[[#This Row],[Kor1]],$AI$3:$AK$105,3,FALSE)</f>
        <v>Claims Expense</v>
      </c>
      <c r="X7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889"/>
      <c r="Z7889" t="s">
        <v>31</v>
      </c>
      <c r="AA7889" t="s">
        <v>244</v>
      </c>
      <c r="AB7889" t="s">
        <v>9</v>
      </c>
      <c r="AC7889" s="21">
        <v>503.49</v>
      </c>
      <c r="AD7889" s="21" t="s">
        <v>368</v>
      </c>
      <c r="AE7889" t="str">
        <f>VLOOKUP(Table_Query_from_Actuarial___Production3[[#This Row],[Kor1]],$AI$3:$AK$105,3,FALSE)</f>
        <v>Misc. Expense</v>
      </c>
      <c r="AF7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0" spans="18:32" x14ac:dyDescent="0.2">
      <c r="R7890" t="s">
        <v>22</v>
      </c>
      <c r="S7890" t="s">
        <v>259</v>
      </c>
      <c r="T7890" t="s">
        <v>8</v>
      </c>
      <c r="U7890" s="21">
        <v>15603.88</v>
      </c>
      <c r="V7890" s="21" t="s">
        <v>368</v>
      </c>
      <c r="W7890" t="str">
        <f>VLOOKUP(Table_Query_from_Actuarial___Production[[#This Row],[Kor1]],$AI$3:$AK$105,3,FALSE)</f>
        <v>Misc. Expense</v>
      </c>
      <c r="X7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0"/>
      <c r="Z7890" t="s">
        <v>40</v>
      </c>
      <c r="AA7890" t="s">
        <v>246</v>
      </c>
      <c r="AB7890" t="s">
        <v>441</v>
      </c>
      <c r="AC7890" s="21">
        <v>605.91999999999996</v>
      </c>
      <c r="AD7890" s="21" t="s">
        <v>368</v>
      </c>
      <c r="AE7890" t="str">
        <f>VLOOKUP(Table_Query_from_Actuarial___Production3[[#This Row],[Kor1]],$AI$3:$AK$105,3,FALSE)</f>
        <v>Misc. Income</v>
      </c>
      <c r="AF7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1" spans="18:32" x14ac:dyDescent="0.2">
      <c r="R7891" t="s">
        <v>43</v>
      </c>
      <c r="S7891" t="s">
        <v>225</v>
      </c>
      <c r="T7891" t="s">
        <v>443</v>
      </c>
      <c r="U7891" s="21">
        <v>-1398.16</v>
      </c>
      <c r="V7891" s="21" t="s">
        <v>369</v>
      </c>
      <c r="W7891" t="str">
        <f>VLOOKUP(Table_Query_from_Actuarial___Production[[#This Row],[Kor1]],$AI$3:$AK$105,3,FALSE)</f>
        <v>Charge-offs</v>
      </c>
      <c r="X7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891"/>
      <c r="Z7891" t="s">
        <v>3</v>
      </c>
      <c r="AA7891" t="s">
        <v>259</v>
      </c>
      <c r="AB7891" t="s">
        <v>356</v>
      </c>
      <c r="AC7891" s="21">
        <v>602204</v>
      </c>
      <c r="AD7891" s="21" t="s">
        <v>368</v>
      </c>
      <c r="AE7891" t="str">
        <f>VLOOKUP(Table_Query_from_Actuarial___Production3[[#This Row],[Kor1]],$AI$3:$AK$105,3,FALSE)</f>
        <v>Premiums Written</v>
      </c>
      <c r="AF7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2" spans="18:32" x14ac:dyDescent="0.2">
      <c r="R7892" t="s">
        <v>10</v>
      </c>
      <c r="S7892" t="s">
        <v>235</v>
      </c>
      <c r="T7892" t="s">
        <v>6</v>
      </c>
      <c r="U7892" s="21">
        <v>32603.05</v>
      </c>
      <c r="V7892" s="21" t="s">
        <v>368</v>
      </c>
      <c r="W7892" t="str">
        <f>VLOOKUP(Table_Query_from_Actuarial___Production[[#This Row],[Kor1]],$AI$3:$AK$105,3,FALSE)</f>
        <v>Commissions</v>
      </c>
      <c r="X7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2"/>
      <c r="Z7892" t="s">
        <v>31</v>
      </c>
      <c r="AA7892" t="s">
        <v>256</v>
      </c>
      <c r="AB7892" t="s">
        <v>441</v>
      </c>
      <c r="AC7892" s="21">
        <v>1434.43</v>
      </c>
      <c r="AD7892" s="21" t="s">
        <v>368</v>
      </c>
      <c r="AE7892" t="str">
        <f>VLOOKUP(Table_Query_from_Actuarial___Production3[[#This Row],[Kor1]],$AI$3:$AK$105,3,FALSE)</f>
        <v>Misc. Expense</v>
      </c>
      <c r="AF7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3" spans="18:32" x14ac:dyDescent="0.2">
      <c r="R7893" t="s">
        <v>31</v>
      </c>
      <c r="S7893" t="s">
        <v>244</v>
      </c>
      <c r="T7893" t="s">
        <v>9</v>
      </c>
      <c r="U7893" s="21">
        <v>503.49</v>
      </c>
      <c r="V7893" s="21" t="s">
        <v>368</v>
      </c>
      <c r="W7893" t="str">
        <f>VLOOKUP(Table_Query_from_Actuarial___Production[[#This Row],[Kor1]],$AI$3:$AK$105,3,FALSE)</f>
        <v>Misc. Expense</v>
      </c>
      <c r="X7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3"/>
      <c r="Z7893" t="s">
        <v>43</v>
      </c>
      <c r="AA7893" t="s">
        <v>240</v>
      </c>
      <c r="AB7893" t="s">
        <v>441</v>
      </c>
      <c r="AC7893" s="21">
        <v>1804.77</v>
      </c>
      <c r="AD7893" s="21" t="s">
        <v>368</v>
      </c>
      <c r="AE7893" t="str">
        <f>VLOOKUP(Table_Query_from_Actuarial___Production3[[#This Row],[Kor1]],$AI$3:$AK$105,3,FALSE)</f>
        <v>Charge-offs</v>
      </c>
      <c r="AF7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4" spans="18:32" x14ac:dyDescent="0.2">
      <c r="R7894" t="s">
        <v>40</v>
      </c>
      <c r="S7894" t="s">
        <v>246</v>
      </c>
      <c r="T7894" t="s">
        <v>441</v>
      </c>
      <c r="U7894" s="21">
        <v>605.91999999999996</v>
      </c>
      <c r="V7894" s="21" t="s">
        <v>368</v>
      </c>
      <c r="W7894" t="str">
        <f>VLOOKUP(Table_Query_from_Actuarial___Production[[#This Row],[Kor1]],$AI$3:$AK$105,3,FALSE)</f>
        <v>Misc. Income</v>
      </c>
      <c r="X7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4"/>
      <c r="Z7894" t="s">
        <v>13</v>
      </c>
      <c r="AA7894" t="s">
        <v>224</v>
      </c>
      <c r="AB7894" t="s">
        <v>441</v>
      </c>
      <c r="AC7894" s="21">
        <v>71508.639999999999</v>
      </c>
      <c r="AD7894" s="21" t="s">
        <v>370</v>
      </c>
      <c r="AE7894" t="str">
        <f>VLOOKUP(Table_Query_from_Actuarial___Production3[[#This Row],[Kor1]],$AI$3:$AK$105,3,FALSE)</f>
        <v>Operating Service Fees</v>
      </c>
      <c r="AF7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895" spans="18:32" x14ac:dyDescent="0.2">
      <c r="R7895" t="s">
        <v>3</v>
      </c>
      <c r="S7895" t="s">
        <v>259</v>
      </c>
      <c r="T7895" t="s">
        <v>356</v>
      </c>
      <c r="U7895" s="21">
        <v>602204</v>
      </c>
      <c r="V7895" s="21" t="s">
        <v>368</v>
      </c>
      <c r="W7895" t="str">
        <f>VLOOKUP(Table_Query_from_Actuarial___Production[[#This Row],[Kor1]],$AI$3:$AK$105,3,FALSE)</f>
        <v>Premiums Written</v>
      </c>
      <c r="X7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5"/>
      <c r="Z7895" t="s">
        <v>23</v>
      </c>
      <c r="AA7895" t="s">
        <v>259</v>
      </c>
      <c r="AB7895" t="s">
        <v>5</v>
      </c>
      <c r="AC7895" s="21">
        <v>2014.31</v>
      </c>
      <c r="AD7895" s="21" t="s">
        <v>368</v>
      </c>
      <c r="AE7895" t="str">
        <f>VLOOKUP(Table_Query_from_Actuarial___Production3[[#This Row],[Kor1]],$AI$3:$AK$105,3,FALSE)</f>
        <v>Misc. Expense</v>
      </c>
      <c r="AF7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6" spans="18:32" x14ac:dyDescent="0.2">
      <c r="R7896" t="s">
        <v>31</v>
      </c>
      <c r="S7896" t="s">
        <v>256</v>
      </c>
      <c r="T7896" t="s">
        <v>441</v>
      </c>
      <c r="U7896" s="21">
        <v>1434.43</v>
      </c>
      <c r="V7896" s="21" t="s">
        <v>368</v>
      </c>
      <c r="W7896" t="str">
        <f>VLOOKUP(Table_Query_from_Actuarial___Production[[#This Row],[Kor1]],$AI$3:$AK$105,3,FALSE)</f>
        <v>Misc. Expense</v>
      </c>
      <c r="X7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6"/>
      <c r="Z7896" t="s">
        <v>14</v>
      </c>
      <c r="AA7896" t="s">
        <v>233</v>
      </c>
      <c r="AB7896" t="s">
        <v>5</v>
      </c>
      <c r="AC7896" s="21">
        <v>13775.34</v>
      </c>
      <c r="AD7896" s="21" t="s">
        <v>368</v>
      </c>
      <c r="AE7896" t="str">
        <f>VLOOKUP(Table_Query_from_Actuarial___Production3[[#This Row],[Kor1]],$AI$3:$AK$105,3,FALSE)</f>
        <v>Claims Expense</v>
      </c>
      <c r="AF7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7" spans="18:32" x14ac:dyDescent="0.2">
      <c r="R7897" t="s">
        <v>43</v>
      </c>
      <c r="S7897" t="s">
        <v>240</v>
      </c>
      <c r="T7897" t="s">
        <v>441</v>
      </c>
      <c r="U7897" s="21">
        <v>1804.77</v>
      </c>
      <c r="V7897" s="21" t="s">
        <v>368</v>
      </c>
      <c r="W7897" t="str">
        <f>VLOOKUP(Table_Query_from_Actuarial___Production[[#This Row],[Kor1]],$AI$3:$AK$105,3,FALSE)</f>
        <v>Charge-offs</v>
      </c>
      <c r="X7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7"/>
      <c r="Z7897" t="s">
        <v>17</v>
      </c>
      <c r="AA7897" t="s">
        <v>242</v>
      </c>
      <c r="AB7897" t="s">
        <v>442</v>
      </c>
      <c r="AC7897" s="21">
        <v>145309.4</v>
      </c>
      <c r="AD7897" s="21" t="s">
        <v>368</v>
      </c>
      <c r="AE7897" t="str">
        <f>VLOOKUP(Table_Query_from_Actuarial___Production3[[#This Row],[Kor1]],$AI$3:$AK$105,3,FALSE)</f>
        <v>IBNR</v>
      </c>
      <c r="AF7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8" spans="18:32" x14ac:dyDescent="0.2">
      <c r="R7898" t="s">
        <v>14</v>
      </c>
      <c r="S7898" t="s">
        <v>247</v>
      </c>
      <c r="T7898" t="s">
        <v>443</v>
      </c>
      <c r="U7898" s="21">
        <v>130.55000000000001</v>
      </c>
      <c r="V7898" s="21" t="s">
        <v>368</v>
      </c>
      <c r="W7898" t="str">
        <f>VLOOKUP(Table_Query_from_Actuarial___Production[[#This Row],[Kor1]],$AI$3:$AK$105,3,FALSE)</f>
        <v>Claims Expense</v>
      </c>
      <c r="X7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898"/>
      <c r="Z7898" t="s">
        <v>40</v>
      </c>
      <c r="AA7898" t="s">
        <v>236</v>
      </c>
      <c r="AB7898" t="s">
        <v>356</v>
      </c>
      <c r="AC7898" s="21">
        <v>123</v>
      </c>
      <c r="AD7898" s="21" t="s">
        <v>368</v>
      </c>
      <c r="AE7898" t="str">
        <f>VLOOKUP(Table_Query_from_Actuarial___Production3[[#This Row],[Kor1]],$AI$3:$AK$105,3,FALSE)</f>
        <v>Misc. Income</v>
      </c>
      <c r="AF7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899" spans="18:32" x14ac:dyDescent="0.2">
      <c r="R7899" t="s">
        <v>13</v>
      </c>
      <c r="S7899" t="s">
        <v>224</v>
      </c>
      <c r="T7899" t="s">
        <v>441</v>
      </c>
      <c r="U7899" s="21">
        <v>71508.639999999999</v>
      </c>
      <c r="V7899" s="21" t="s">
        <v>370</v>
      </c>
      <c r="W7899" t="str">
        <f>VLOOKUP(Table_Query_from_Actuarial___Production[[#This Row],[Kor1]],$AI$3:$AK$105,3,FALSE)</f>
        <v>Operating Service Fees</v>
      </c>
      <c r="X7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899"/>
      <c r="Z7899" t="s">
        <v>13</v>
      </c>
      <c r="AA7899" t="s">
        <v>263</v>
      </c>
      <c r="AB7899" t="s">
        <v>5</v>
      </c>
      <c r="AC7899" s="21">
        <v>68952.399999999994</v>
      </c>
      <c r="AD7899" s="21" t="s">
        <v>368</v>
      </c>
      <c r="AE7899" t="str">
        <f>VLOOKUP(Table_Query_from_Actuarial___Production3[[#This Row],[Kor1]],$AI$3:$AK$105,3,FALSE)</f>
        <v>Operating Service Fees</v>
      </c>
      <c r="AF7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0" spans="18:32" x14ac:dyDescent="0.2">
      <c r="R7900" t="s">
        <v>17</v>
      </c>
      <c r="S7900" t="s">
        <v>242</v>
      </c>
      <c r="T7900" t="s">
        <v>442</v>
      </c>
      <c r="U7900" s="21">
        <v>206572.64</v>
      </c>
      <c r="V7900" s="21" t="s">
        <v>368</v>
      </c>
      <c r="W7900" t="str">
        <f>VLOOKUP(Table_Query_from_Actuarial___Production[[#This Row],[Kor1]],$AI$3:$AK$105,3,FALSE)</f>
        <v>IBNR</v>
      </c>
      <c r="X7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0"/>
      <c r="Z7900" t="s">
        <v>49</v>
      </c>
      <c r="AA7900" t="s">
        <v>241</v>
      </c>
      <c r="AB7900" t="s">
        <v>5</v>
      </c>
      <c r="AC7900" s="21">
        <v>196</v>
      </c>
      <c r="AD7900" s="21" t="s">
        <v>368</v>
      </c>
      <c r="AE7900" t="str">
        <f>VLOOKUP(Table_Query_from_Actuarial___Production3[[#This Row],[Kor1]],$AI$3:$AK$105,3,FALSE)</f>
        <v>ALAE Paid</v>
      </c>
      <c r="AF7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1" spans="18:32" x14ac:dyDescent="0.2">
      <c r="R7901" t="s">
        <v>40</v>
      </c>
      <c r="S7901" t="s">
        <v>236</v>
      </c>
      <c r="T7901" t="s">
        <v>356</v>
      </c>
      <c r="U7901" s="21">
        <v>123</v>
      </c>
      <c r="V7901" s="21" t="s">
        <v>368</v>
      </c>
      <c r="W7901" t="str">
        <f>VLOOKUP(Table_Query_from_Actuarial___Production[[#This Row],[Kor1]],$AI$3:$AK$105,3,FALSE)</f>
        <v>Misc. Income</v>
      </c>
      <c r="X7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1"/>
      <c r="Z7901" t="s">
        <v>12</v>
      </c>
      <c r="AA7901" t="s">
        <v>227</v>
      </c>
      <c r="AB7901" t="s">
        <v>356</v>
      </c>
      <c r="AC7901" s="21">
        <v>1451.51</v>
      </c>
      <c r="AD7901" s="21" t="s">
        <v>368</v>
      </c>
      <c r="AE7901" t="str">
        <f>VLOOKUP(Table_Query_from_Actuarial___Production3[[#This Row],[Kor1]],$AI$3:$AK$105,3,FALSE)</f>
        <v>Premium Tax</v>
      </c>
      <c r="AF7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2" spans="18:32" x14ac:dyDescent="0.2">
      <c r="R7902" t="s">
        <v>12</v>
      </c>
      <c r="S7902" t="s">
        <v>227</v>
      </c>
      <c r="T7902" t="s">
        <v>356</v>
      </c>
      <c r="U7902" s="21">
        <v>1451.51</v>
      </c>
      <c r="V7902" s="21" t="s">
        <v>368</v>
      </c>
      <c r="W7902" t="str">
        <f>VLOOKUP(Table_Query_from_Actuarial___Production[[#This Row],[Kor1]],$AI$3:$AK$105,3,FALSE)</f>
        <v>Premium Tax</v>
      </c>
      <c r="X7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2"/>
      <c r="Z7902" t="s">
        <v>31</v>
      </c>
      <c r="AA7902" t="s">
        <v>242</v>
      </c>
      <c r="AB7902" t="s">
        <v>427</v>
      </c>
      <c r="AC7902" s="21">
        <v>564.17999999999995</v>
      </c>
      <c r="AD7902" s="21" t="s">
        <v>368</v>
      </c>
      <c r="AE7902" t="str">
        <f>VLOOKUP(Table_Query_from_Actuarial___Production3[[#This Row],[Kor1]],$AI$3:$AK$105,3,FALSE)</f>
        <v>Misc. Expense</v>
      </c>
      <c r="AF7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3" spans="18:32" x14ac:dyDescent="0.2">
      <c r="R7903" t="s">
        <v>31</v>
      </c>
      <c r="S7903" t="s">
        <v>242</v>
      </c>
      <c r="T7903" t="s">
        <v>427</v>
      </c>
      <c r="U7903" s="21">
        <v>564.17999999999995</v>
      </c>
      <c r="V7903" s="21" t="s">
        <v>368</v>
      </c>
      <c r="W7903" t="str">
        <f>VLOOKUP(Table_Query_from_Actuarial___Production[[#This Row],[Kor1]],$AI$3:$AK$105,3,FALSE)</f>
        <v>Misc. Expense</v>
      </c>
      <c r="X7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3"/>
      <c r="Z7903" t="s">
        <v>43</v>
      </c>
      <c r="AA7903" t="s">
        <v>263</v>
      </c>
      <c r="AB7903" t="s">
        <v>5</v>
      </c>
      <c r="AC7903" s="21">
        <v>907.9</v>
      </c>
      <c r="AD7903" s="21" t="s">
        <v>368</v>
      </c>
      <c r="AE7903" t="str">
        <f>VLOOKUP(Table_Query_from_Actuarial___Production3[[#This Row],[Kor1]],$AI$3:$AK$105,3,FALSE)</f>
        <v>Charge-offs</v>
      </c>
      <c r="AF7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4" spans="18:32" x14ac:dyDescent="0.2">
      <c r="R7904" t="s">
        <v>11</v>
      </c>
      <c r="S7904" t="s">
        <v>243</v>
      </c>
      <c r="T7904" t="s">
        <v>7</v>
      </c>
      <c r="U7904" s="21">
        <v>45090.57</v>
      </c>
      <c r="V7904" s="21" t="s">
        <v>368</v>
      </c>
      <c r="W7904" t="str">
        <f>VLOOKUP(Table_Query_from_Actuarial___Production[[#This Row],[Kor1]],$AI$3:$AK$105,3,FALSE)</f>
        <v>Losses Paid</v>
      </c>
      <c r="X7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4"/>
      <c r="Z7904" t="s">
        <v>11</v>
      </c>
      <c r="AA7904" t="s">
        <v>243</v>
      </c>
      <c r="AB7904" t="s">
        <v>7</v>
      </c>
      <c r="AC7904" s="21">
        <v>45090.57</v>
      </c>
      <c r="AD7904" s="21" t="s">
        <v>368</v>
      </c>
      <c r="AE7904" t="str">
        <f>VLOOKUP(Table_Query_from_Actuarial___Production3[[#This Row],[Kor1]],$AI$3:$AK$105,3,FALSE)</f>
        <v>Losses Paid</v>
      </c>
      <c r="AF7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5" spans="18:32" x14ac:dyDescent="0.2">
      <c r="R7905" t="s">
        <v>19</v>
      </c>
      <c r="S7905" t="s">
        <v>252</v>
      </c>
      <c r="T7905" t="s">
        <v>442</v>
      </c>
      <c r="U7905" s="21">
        <v>692852.93</v>
      </c>
      <c r="V7905" s="21" t="s">
        <v>368</v>
      </c>
      <c r="W7905" t="str">
        <f>VLOOKUP(Table_Query_from_Actuarial___Production[[#This Row],[Kor1]],$AI$3:$AK$105,3,FALSE)</f>
        <v>Misc. Expense for Insolvent Companies</v>
      </c>
      <c r="X7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5"/>
      <c r="Z7905" t="s">
        <v>19</v>
      </c>
      <c r="AA7905" t="s">
        <v>252</v>
      </c>
      <c r="AB7905" t="s">
        <v>442</v>
      </c>
      <c r="AC7905" s="21">
        <v>692852.93</v>
      </c>
      <c r="AD7905" s="21" t="s">
        <v>368</v>
      </c>
      <c r="AE7905" t="str">
        <f>VLOOKUP(Table_Query_from_Actuarial___Production3[[#This Row],[Kor1]],$AI$3:$AK$105,3,FALSE)</f>
        <v>Misc. Expense for Insolvent Companies</v>
      </c>
      <c r="AF7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6" spans="18:32" x14ac:dyDescent="0.2">
      <c r="R7906" t="s">
        <v>11</v>
      </c>
      <c r="S7906" t="s">
        <v>252</v>
      </c>
      <c r="T7906" t="s">
        <v>356</v>
      </c>
      <c r="U7906" s="21">
        <v>24490123.420000002</v>
      </c>
      <c r="V7906" s="21" t="s">
        <v>368</v>
      </c>
      <c r="W7906" t="str">
        <f>VLOOKUP(Table_Query_from_Actuarial___Production[[#This Row],[Kor1]],$AI$3:$AK$105,3,FALSE)</f>
        <v>Losses Paid</v>
      </c>
      <c r="X7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6"/>
      <c r="Z7906" t="s">
        <v>11</v>
      </c>
      <c r="AA7906" t="s">
        <v>252</v>
      </c>
      <c r="AB7906" t="s">
        <v>356</v>
      </c>
      <c r="AC7906" s="21">
        <v>21431391.960000001</v>
      </c>
      <c r="AD7906" s="21" t="s">
        <v>368</v>
      </c>
      <c r="AE7906" t="str">
        <f>VLOOKUP(Table_Query_from_Actuarial___Production3[[#This Row],[Kor1]],$AI$3:$AK$105,3,FALSE)</f>
        <v>Losses Paid</v>
      </c>
      <c r="AF7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7" spans="18:32" x14ac:dyDescent="0.2">
      <c r="R7907" t="s">
        <v>10</v>
      </c>
      <c r="S7907" t="s">
        <v>262</v>
      </c>
      <c r="T7907" t="s">
        <v>351</v>
      </c>
      <c r="U7907" s="21">
        <v>46442.2</v>
      </c>
      <c r="V7907" s="21" t="s">
        <v>368</v>
      </c>
      <c r="W7907" t="str">
        <f>VLOOKUP(Table_Query_from_Actuarial___Production[[#This Row],[Kor1]],$AI$3:$AK$105,3,FALSE)</f>
        <v>Commissions</v>
      </c>
      <c r="X7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7"/>
      <c r="Z7907" t="s">
        <v>10</v>
      </c>
      <c r="AA7907" t="s">
        <v>262</v>
      </c>
      <c r="AB7907" t="s">
        <v>351</v>
      </c>
      <c r="AC7907" s="21">
        <v>46442.2</v>
      </c>
      <c r="AD7907" s="21" t="s">
        <v>368</v>
      </c>
      <c r="AE7907" t="str">
        <f>VLOOKUP(Table_Query_from_Actuarial___Production3[[#This Row],[Kor1]],$AI$3:$AK$105,3,FALSE)</f>
        <v>Commissions</v>
      </c>
      <c r="AF7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08" spans="18:32" x14ac:dyDescent="0.2">
      <c r="R7908" t="s">
        <v>31</v>
      </c>
      <c r="S7908" t="s">
        <v>253</v>
      </c>
      <c r="T7908" t="s">
        <v>427</v>
      </c>
      <c r="U7908" s="21">
        <v>395.06</v>
      </c>
      <c r="V7908" s="21" t="s">
        <v>368</v>
      </c>
      <c r="W7908" t="str">
        <f>VLOOKUP(Table_Query_from_Actuarial___Production[[#This Row],[Kor1]],$AI$3:$AK$105,3,FALSE)</f>
        <v>Misc. Expense</v>
      </c>
      <c r="X7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08"/>
      <c r="Z7908" t="s">
        <v>140</v>
      </c>
      <c r="AA7908" t="s">
        <v>354</v>
      </c>
      <c r="AB7908" t="s">
        <v>443</v>
      </c>
      <c r="AC7908" s="21">
        <v>10086.799999999999</v>
      </c>
      <c r="AD7908" s="21" t="s">
        <v>368</v>
      </c>
      <c r="AE7908" t="str">
        <f>VLOOKUP(Table_Query_from_Actuarial___Production3[[#This Row],[Kor1]],$AI$3:$AK$105,3,FALSE)</f>
        <v>Advance Claims Expense</v>
      </c>
      <c r="AF7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909" spans="18:32" x14ac:dyDescent="0.2">
      <c r="R7909" t="s">
        <v>38</v>
      </c>
      <c r="S7909" t="s">
        <v>224</v>
      </c>
      <c r="T7909" t="s">
        <v>8</v>
      </c>
      <c r="U7909" s="21">
        <v>16429.22</v>
      </c>
      <c r="V7909" s="21" t="s">
        <v>369</v>
      </c>
      <c r="W7909" t="str">
        <f>VLOOKUP(Table_Query_from_Actuarial___Production[[#This Row],[Kor1]],$AI$3:$AK$105,3,FALSE)</f>
        <v>Misc. Income</v>
      </c>
      <c r="X7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909"/>
      <c r="Z7909" t="s">
        <v>31</v>
      </c>
      <c r="AA7909" t="s">
        <v>253</v>
      </c>
      <c r="AB7909" t="s">
        <v>427</v>
      </c>
      <c r="AC7909" s="21">
        <v>395.06</v>
      </c>
      <c r="AD7909" s="21" t="s">
        <v>368</v>
      </c>
      <c r="AE7909" t="str">
        <f>VLOOKUP(Table_Query_from_Actuarial___Production3[[#This Row],[Kor1]],$AI$3:$AK$105,3,FALSE)</f>
        <v>Misc. Expense</v>
      </c>
      <c r="AF7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0" spans="18:32" x14ac:dyDescent="0.2">
      <c r="R7910" t="s">
        <v>13</v>
      </c>
      <c r="S7910" t="s">
        <v>268</v>
      </c>
      <c r="T7910" t="s">
        <v>442</v>
      </c>
      <c r="U7910" s="21">
        <v>71997.179999999993</v>
      </c>
      <c r="V7910" s="21" t="s">
        <v>368</v>
      </c>
      <c r="W7910" t="str">
        <f>VLOOKUP(Table_Query_from_Actuarial___Production[[#This Row],[Kor1]],$AI$3:$AK$105,3,FALSE)</f>
        <v>Operating Service Fees</v>
      </c>
      <c r="X7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0"/>
      <c r="Z7910" t="s">
        <v>38</v>
      </c>
      <c r="AA7910" t="s">
        <v>224</v>
      </c>
      <c r="AB7910" t="s">
        <v>8</v>
      </c>
      <c r="AC7910" s="21">
        <v>16429.22</v>
      </c>
      <c r="AD7910" s="21" t="s">
        <v>369</v>
      </c>
      <c r="AE7910" t="str">
        <f>VLOOKUP(Table_Query_from_Actuarial___Production3[[#This Row],[Kor1]],$AI$3:$AK$105,3,FALSE)</f>
        <v>Misc. Income</v>
      </c>
      <c r="AF7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911" spans="18:32" x14ac:dyDescent="0.2">
      <c r="R7911" t="s">
        <v>3</v>
      </c>
      <c r="S7911" t="s">
        <v>237</v>
      </c>
      <c r="T7911" t="s">
        <v>427</v>
      </c>
      <c r="U7911" s="21">
        <v>47330294</v>
      </c>
      <c r="V7911" s="21" t="s">
        <v>368</v>
      </c>
      <c r="W7911" t="str">
        <f>VLOOKUP(Table_Query_from_Actuarial___Production[[#This Row],[Kor1]],$AI$3:$AK$105,3,FALSE)</f>
        <v>Premiums Written</v>
      </c>
      <c r="X7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1"/>
      <c r="Z7911" t="s">
        <v>13</v>
      </c>
      <c r="AA7911" t="s">
        <v>268</v>
      </c>
      <c r="AB7911" t="s">
        <v>442</v>
      </c>
      <c r="AC7911" s="21">
        <v>71997.179999999993</v>
      </c>
      <c r="AD7911" s="21" t="s">
        <v>368</v>
      </c>
      <c r="AE7911" t="str">
        <f>VLOOKUP(Table_Query_from_Actuarial___Production3[[#This Row],[Kor1]],$AI$3:$AK$105,3,FALSE)</f>
        <v>Operating Service Fees</v>
      </c>
      <c r="AF7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2" spans="18:32" x14ac:dyDescent="0.2">
      <c r="R7912" t="s">
        <v>31</v>
      </c>
      <c r="S7912" t="s">
        <v>260</v>
      </c>
      <c r="T7912" t="s">
        <v>7</v>
      </c>
      <c r="U7912" s="21">
        <v>471.92</v>
      </c>
      <c r="V7912" s="21" t="s">
        <v>368</v>
      </c>
      <c r="W7912" t="str">
        <f>VLOOKUP(Table_Query_from_Actuarial___Production[[#This Row],[Kor1]],$AI$3:$AK$105,3,FALSE)</f>
        <v>Misc. Expense</v>
      </c>
      <c r="X7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2"/>
      <c r="Z7912" t="s">
        <v>3</v>
      </c>
      <c r="AA7912" t="s">
        <v>237</v>
      </c>
      <c r="AB7912" t="s">
        <v>427</v>
      </c>
      <c r="AC7912" s="21">
        <v>47330294</v>
      </c>
      <c r="AD7912" s="21" t="s">
        <v>368</v>
      </c>
      <c r="AE7912" t="str">
        <f>VLOOKUP(Table_Query_from_Actuarial___Production3[[#This Row],[Kor1]],$AI$3:$AK$105,3,FALSE)</f>
        <v>Premiums Written</v>
      </c>
      <c r="AF7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3" spans="18:32" x14ac:dyDescent="0.2">
      <c r="R7913" t="s">
        <v>40</v>
      </c>
      <c r="S7913" t="s">
        <v>242</v>
      </c>
      <c r="T7913" t="s">
        <v>7</v>
      </c>
      <c r="U7913" s="21">
        <v>682.18</v>
      </c>
      <c r="V7913" s="21" t="s">
        <v>368</v>
      </c>
      <c r="W7913" t="str">
        <f>VLOOKUP(Table_Query_from_Actuarial___Production[[#This Row],[Kor1]],$AI$3:$AK$105,3,FALSE)</f>
        <v>Misc. Income</v>
      </c>
      <c r="X7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3"/>
      <c r="Z7913" t="s">
        <v>31</v>
      </c>
      <c r="AA7913" t="s">
        <v>260</v>
      </c>
      <c r="AB7913" t="s">
        <v>7</v>
      </c>
      <c r="AC7913" s="21">
        <v>471.92</v>
      </c>
      <c r="AD7913" s="21" t="s">
        <v>368</v>
      </c>
      <c r="AE7913" t="str">
        <f>VLOOKUP(Table_Query_from_Actuarial___Production3[[#This Row],[Kor1]],$AI$3:$AK$105,3,FALSE)</f>
        <v>Misc. Expense</v>
      </c>
      <c r="AF7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4" spans="18:32" x14ac:dyDescent="0.2">
      <c r="R7914" t="s">
        <v>20</v>
      </c>
      <c r="S7914" t="s">
        <v>243</v>
      </c>
      <c r="T7914" t="s">
        <v>427</v>
      </c>
      <c r="U7914" s="21">
        <v>344.12</v>
      </c>
      <c r="V7914" s="21" t="s">
        <v>368</v>
      </c>
      <c r="W7914" t="str">
        <f>VLOOKUP(Table_Query_from_Actuarial___Production[[#This Row],[Kor1]],$AI$3:$AK$105,3,FALSE)</f>
        <v>Misc. Expense</v>
      </c>
      <c r="X7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4"/>
      <c r="Z7914" t="s">
        <v>138</v>
      </c>
      <c r="AA7914" t="s">
        <v>354</v>
      </c>
      <c r="AB7914" t="s">
        <v>443</v>
      </c>
      <c r="AC7914" s="21">
        <v>18922.72</v>
      </c>
      <c r="AD7914" s="21" t="s">
        <v>368</v>
      </c>
      <c r="AE7914" t="str">
        <f>VLOOKUP(Table_Query_from_Actuarial___Production3[[#This Row],[Kor1]],$AI$3:$AK$105,3,FALSE)</f>
        <v>Advance Ceding Expense</v>
      </c>
      <c r="AF7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7915" spans="18:32" x14ac:dyDescent="0.2">
      <c r="R7915" t="s">
        <v>41</v>
      </c>
      <c r="S7915" t="s">
        <v>266</v>
      </c>
      <c r="T7915" t="s">
        <v>442</v>
      </c>
      <c r="U7915" s="21">
        <v>200</v>
      </c>
      <c r="V7915" s="21" t="s">
        <v>368</v>
      </c>
      <c r="W7915" t="str">
        <f>VLOOKUP(Table_Query_from_Actuarial___Production[[#This Row],[Kor1]],$AI$3:$AK$105,3,FALSE)</f>
        <v>Misc. Income</v>
      </c>
      <c r="X7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5"/>
      <c r="Z7915" t="s">
        <v>40</v>
      </c>
      <c r="AA7915" t="s">
        <v>242</v>
      </c>
      <c r="AB7915" t="s">
        <v>7</v>
      </c>
      <c r="AC7915" s="21">
        <v>682.18</v>
      </c>
      <c r="AD7915" s="21" t="s">
        <v>368</v>
      </c>
      <c r="AE7915" t="str">
        <f>VLOOKUP(Table_Query_from_Actuarial___Production3[[#This Row],[Kor1]],$AI$3:$AK$105,3,FALSE)</f>
        <v>Misc. Income</v>
      </c>
      <c r="AF7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6" spans="18:32" x14ac:dyDescent="0.2">
      <c r="R7916" t="s">
        <v>14</v>
      </c>
      <c r="S7916" t="s">
        <v>248</v>
      </c>
      <c r="T7916" t="s">
        <v>441</v>
      </c>
      <c r="U7916" s="21">
        <v>79477.33</v>
      </c>
      <c r="V7916" s="21" t="s">
        <v>368</v>
      </c>
      <c r="W7916" t="str">
        <f>VLOOKUP(Table_Query_from_Actuarial___Production[[#This Row],[Kor1]],$AI$3:$AK$105,3,FALSE)</f>
        <v>Claims Expense</v>
      </c>
      <c r="X7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6"/>
      <c r="Z7916" t="s">
        <v>20</v>
      </c>
      <c r="AA7916" t="s">
        <v>243</v>
      </c>
      <c r="AB7916" t="s">
        <v>427</v>
      </c>
      <c r="AC7916" s="21">
        <v>344.12</v>
      </c>
      <c r="AD7916" s="21" t="s">
        <v>368</v>
      </c>
      <c r="AE7916" t="str">
        <f>VLOOKUP(Table_Query_from_Actuarial___Production3[[#This Row],[Kor1]],$AI$3:$AK$105,3,FALSE)</f>
        <v>Misc. Expense</v>
      </c>
      <c r="AF7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7" spans="18:32" x14ac:dyDescent="0.2">
      <c r="R7917" t="s">
        <v>3</v>
      </c>
      <c r="S7917" t="s">
        <v>229</v>
      </c>
      <c r="T7917" t="s">
        <v>7</v>
      </c>
      <c r="U7917" s="21">
        <v>40068</v>
      </c>
      <c r="V7917" s="21" t="s">
        <v>368</v>
      </c>
      <c r="W7917" t="str">
        <f>VLOOKUP(Table_Query_from_Actuarial___Production[[#This Row],[Kor1]],$AI$3:$AK$105,3,FALSE)</f>
        <v>Premiums Written</v>
      </c>
      <c r="X7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7"/>
      <c r="Z7917" t="s">
        <v>41</v>
      </c>
      <c r="AA7917" t="s">
        <v>266</v>
      </c>
      <c r="AB7917" t="s">
        <v>442</v>
      </c>
      <c r="AC7917" s="21">
        <v>200</v>
      </c>
      <c r="AD7917" s="21" t="s">
        <v>368</v>
      </c>
      <c r="AE7917" t="str">
        <f>VLOOKUP(Table_Query_from_Actuarial___Production3[[#This Row],[Kor1]],$AI$3:$AK$105,3,FALSE)</f>
        <v>Misc. Income</v>
      </c>
      <c r="AF7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8" spans="18:32" x14ac:dyDescent="0.2">
      <c r="R7918" t="s">
        <v>13</v>
      </c>
      <c r="S7918" t="s">
        <v>233</v>
      </c>
      <c r="T7918" t="s">
        <v>433</v>
      </c>
      <c r="U7918" s="21">
        <v>180090.07</v>
      </c>
      <c r="V7918" s="21" t="s">
        <v>368</v>
      </c>
      <c r="W7918" t="str">
        <f>VLOOKUP(Table_Query_from_Actuarial___Production[[#This Row],[Kor1]],$AI$3:$AK$105,3,FALSE)</f>
        <v>Operating Service Fees</v>
      </c>
      <c r="X7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8"/>
      <c r="Z7918" t="s">
        <v>14</v>
      </c>
      <c r="AA7918" t="s">
        <v>248</v>
      </c>
      <c r="AB7918" t="s">
        <v>441</v>
      </c>
      <c r="AC7918" s="21">
        <v>79477.33</v>
      </c>
      <c r="AD7918" s="21" t="s">
        <v>368</v>
      </c>
      <c r="AE7918" t="str">
        <f>VLOOKUP(Table_Query_from_Actuarial___Production3[[#This Row],[Kor1]],$AI$3:$AK$105,3,FALSE)</f>
        <v>Claims Expense</v>
      </c>
      <c r="AF7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19" spans="18:32" x14ac:dyDescent="0.2">
      <c r="R7919" t="s">
        <v>34</v>
      </c>
      <c r="S7919" t="s">
        <v>232</v>
      </c>
      <c r="T7919" t="s">
        <v>7</v>
      </c>
      <c r="U7919" s="21">
        <v>2.4</v>
      </c>
      <c r="V7919" s="21" t="s">
        <v>368</v>
      </c>
      <c r="W7919" t="str">
        <f>VLOOKUP(Table_Query_from_Actuarial___Production[[#This Row],[Kor1]],$AI$3:$AK$105,3,FALSE)</f>
        <v>Misc. Expense</v>
      </c>
      <c r="X7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19"/>
      <c r="Z7919" t="s">
        <v>3</v>
      </c>
      <c r="AA7919" t="s">
        <v>229</v>
      </c>
      <c r="AB7919" t="s">
        <v>7</v>
      </c>
      <c r="AC7919" s="21">
        <v>40068</v>
      </c>
      <c r="AD7919" s="21" t="s">
        <v>368</v>
      </c>
      <c r="AE7919" t="str">
        <f>VLOOKUP(Table_Query_from_Actuarial___Production3[[#This Row],[Kor1]],$AI$3:$AK$105,3,FALSE)</f>
        <v>Premiums Written</v>
      </c>
      <c r="AF7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0" spans="18:32" x14ac:dyDescent="0.2">
      <c r="R7920" t="s">
        <v>13</v>
      </c>
      <c r="S7920" t="s">
        <v>258</v>
      </c>
      <c r="T7920" t="s">
        <v>442</v>
      </c>
      <c r="U7920" s="21">
        <v>622002.81999999995</v>
      </c>
      <c r="V7920" s="21" t="s">
        <v>368</v>
      </c>
      <c r="W7920" t="str">
        <f>VLOOKUP(Table_Query_from_Actuarial___Production[[#This Row],[Kor1]],$AI$3:$AK$105,3,FALSE)</f>
        <v>Operating Service Fees</v>
      </c>
      <c r="X7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0"/>
      <c r="Z7920" t="s">
        <v>13</v>
      </c>
      <c r="AA7920" t="s">
        <v>233</v>
      </c>
      <c r="AB7920" t="s">
        <v>433</v>
      </c>
      <c r="AC7920" s="21">
        <v>180090.07</v>
      </c>
      <c r="AD7920" s="21" t="s">
        <v>368</v>
      </c>
      <c r="AE7920" t="str">
        <f>VLOOKUP(Table_Query_from_Actuarial___Production3[[#This Row],[Kor1]],$AI$3:$AK$105,3,FALSE)</f>
        <v>Operating Service Fees</v>
      </c>
      <c r="AF7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1" spans="18:32" x14ac:dyDescent="0.2">
      <c r="R7921" t="s">
        <v>3</v>
      </c>
      <c r="S7921" t="s">
        <v>241</v>
      </c>
      <c r="T7921" t="s">
        <v>443</v>
      </c>
      <c r="U7921" s="21">
        <v>382989</v>
      </c>
      <c r="V7921" s="21" t="s">
        <v>368</v>
      </c>
      <c r="W7921" t="str">
        <f>VLOOKUP(Table_Query_from_Actuarial___Production[[#This Row],[Kor1]],$AI$3:$AK$105,3,FALSE)</f>
        <v>Premiums Written</v>
      </c>
      <c r="X7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1"/>
      <c r="Z7921" t="s">
        <v>49</v>
      </c>
      <c r="AA7921" t="s">
        <v>237</v>
      </c>
      <c r="AB7921" t="s">
        <v>5</v>
      </c>
      <c r="AC7921" s="21">
        <v>109247.81</v>
      </c>
      <c r="AD7921" s="21" t="s">
        <v>368</v>
      </c>
      <c r="AE7921" t="str">
        <f>VLOOKUP(Table_Query_from_Actuarial___Production3[[#This Row],[Kor1]],$AI$3:$AK$105,3,FALSE)</f>
        <v>ALAE Paid</v>
      </c>
      <c r="AF7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2" spans="18:32" x14ac:dyDescent="0.2">
      <c r="R7922" t="s">
        <v>39</v>
      </c>
      <c r="S7922" t="s">
        <v>232</v>
      </c>
      <c r="T7922" t="s">
        <v>442</v>
      </c>
      <c r="U7922" s="21">
        <v>2312</v>
      </c>
      <c r="V7922" s="21" t="s">
        <v>368</v>
      </c>
      <c r="W7922" t="str">
        <f>VLOOKUP(Table_Query_from_Actuarial___Production[[#This Row],[Kor1]],$AI$3:$AK$105,3,FALSE)</f>
        <v>Misc. Income for Insolvent Companies</v>
      </c>
      <c r="X7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2"/>
      <c r="Z7922" t="s">
        <v>34</v>
      </c>
      <c r="AA7922" t="s">
        <v>232</v>
      </c>
      <c r="AB7922" t="s">
        <v>7</v>
      </c>
      <c r="AC7922" s="21">
        <v>2.4</v>
      </c>
      <c r="AD7922" s="21" t="s">
        <v>368</v>
      </c>
      <c r="AE7922" t="str">
        <f>VLOOKUP(Table_Query_from_Actuarial___Production3[[#This Row],[Kor1]],$AI$3:$AK$105,3,FALSE)</f>
        <v>Misc. Expense</v>
      </c>
      <c r="AF7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3" spans="18:32" x14ac:dyDescent="0.2">
      <c r="R7923" t="s">
        <v>19</v>
      </c>
      <c r="S7923" t="s">
        <v>236</v>
      </c>
      <c r="T7923" t="s">
        <v>351</v>
      </c>
      <c r="U7923" s="21">
        <v>21</v>
      </c>
      <c r="V7923" s="21" t="s">
        <v>368</v>
      </c>
      <c r="W7923" t="str">
        <f>VLOOKUP(Table_Query_from_Actuarial___Production[[#This Row],[Kor1]],$AI$3:$AK$105,3,FALSE)</f>
        <v>Misc. Expense for Insolvent Companies</v>
      </c>
      <c r="X7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3"/>
      <c r="Z7923" t="s">
        <v>13</v>
      </c>
      <c r="AA7923" t="s">
        <v>258</v>
      </c>
      <c r="AB7923" t="s">
        <v>442</v>
      </c>
      <c r="AC7923" s="21">
        <v>631887.87</v>
      </c>
      <c r="AD7923" s="21" t="s">
        <v>368</v>
      </c>
      <c r="AE7923" t="str">
        <f>VLOOKUP(Table_Query_from_Actuarial___Production3[[#This Row],[Kor1]],$AI$3:$AK$105,3,FALSE)</f>
        <v>Operating Service Fees</v>
      </c>
      <c r="AF7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4" spans="18:32" x14ac:dyDescent="0.2">
      <c r="R7924" t="s">
        <v>37</v>
      </c>
      <c r="S7924" t="s">
        <v>235</v>
      </c>
      <c r="T7924" t="s">
        <v>9</v>
      </c>
      <c r="U7924" s="21">
        <v>-26.48</v>
      </c>
      <c r="V7924" s="21" t="s">
        <v>368</v>
      </c>
      <c r="W7924" t="str">
        <f>VLOOKUP(Table_Query_from_Actuarial___Production[[#This Row],[Kor1]],$AI$3:$AK$105,3,FALSE)</f>
        <v>Misc. Expense</v>
      </c>
      <c r="X7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4"/>
      <c r="Z7924" t="s">
        <v>3</v>
      </c>
      <c r="AA7924" t="s">
        <v>241</v>
      </c>
      <c r="AB7924" t="s">
        <v>443</v>
      </c>
      <c r="AC7924" s="21">
        <v>123141</v>
      </c>
      <c r="AD7924" s="21" t="s">
        <v>368</v>
      </c>
      <c r="AE7924" t="str">
        <f>VLOOKUP(Table_Query_from_Actuarial___Production3[[#This Row],[Kor1]],$AI$3:$AK$105,3,FALSE)</f>
        <v>Premiums Written</v>
      </c>
      <c r="AF7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5" spans="18:32" x14ac:dyDescent="0.2">
      <c r="R7925" t="s">
        <v>11</v>
      </c>
      <c r="S7925" t="s">
        <v>251</v>
      </c>
      <c r="T7925" t="s">
        <v>433</v>
      </c>
      <c r="U7925" s="21">
        <v>55950.29</v>
      </c>
      <c r="V7925" s="21" t="s">
        <v>368</v>
      </c>
      <c r="W7925" t="str">
        <f>VLOOKUP(Table_Query_from_Actuarial___Production[[#This Row],[Kor1]],$AI$3:$AK$105,3,FALSE)</f>
        <v>Losses Paid</v>
      </c>
      <c r="X7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5"/>
      <c r="Z7925" t="s">
        <v>11</v>
      </c>
      <c r="AA7925" t="s">
        <v>236</v>
      </c>
      <c r="AB7925" t="s">
        <v>5</v>
      </c>
      <c r="AC7925" s="21">
        <v>3160.31</v>
      </c>
      <c r="AD7925" s="21" t="s">
        <v>368</v>
      </c>
      <c r="AE7925" t="str">
        <f>VLOOKUP(Table_Query_from_Actuarial___Production3[[#This Row],[Kor1]],$AI$3:$AK$105,3,FALSE)</f>
        <v>Losses Paid</v>
      </c>
      <c r="AF7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6" spans="18:32" x14ac:dyDescent="0.2">
      <c r="R7926" t="s">
        <v>40</v>
      </c>
      <c r="S7926" t="s">
        <v>235</v>
      </c>
      <c r="T7926" t="s">
        <v>442</v>
      </c>
      <c r="U7926" s="21">
        <v>1465</v>
      </c>
      <c r="V7926" s="21" t="s">
        <v>368</v>
      </c>
      <c r="W7926" t="str">
        <f>VLOOKUP(Table_Query_from_Actuarial___Production[[#This Row],[Kor1]],$AI$3:$AK$105,3,FALSE)</f>
        <v>Misc. Income</v>
      </c>
      <c r="X7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6"/>
      <c r="Z7926" t="s">
        <v>39</v>
      </c>
      <c r="AA7926" t="s">
        <v>232</v>
      </c>
      <c r="AB7926" t="s">
        <v>442</v>
      </c>
      <c r="AC7926" s="21">
        <v>2312</v>
      </c>
      <c r="AD7926" s="21" t="s">
        <v>368</v>
      </c>
      <c r="AE7926" t="str">
        <f>VLOOKUP(Table_Query_from_Actuarial___Production3[[#This Row],[Kor1]],$AI$3:$AK$105,3,FALSE)</f>
        <v>Misc. Income for Insolvent Companies</v>
      </c>
      <c r="AF7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7" spans="18:32" x14ac:dyDescent="0.2">
      <c r="R7927" t="s">
        <v>49</v>
      </c>
      <c r="S7927" t="s">
        <v>265</v>
      </c>
      <c r="T7927" t="s">
        <v>356</v>
      </c>
      <c r="U7927" s="21">
        <v>160.87</v>
      </c>
      <c r="V7927" s="21" t="s">
        <v>368</v>
      </c>
      <c r="W7927" t="str">
        <f>VLOOKUP(Table_Query_from_Actuarial___Production[[#This Row],[Kor1]],$AI$3:$AK$105,3,FALSE)</f>
        <v>ALAE Paid</v>
      </c>
      <c r="X7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7"/>
      <c r="Z7927" t="s">
        <v>19</v>
      </c>
      <c r="AA7927" t="s">
        <v>236</v>
      </c>
      <c r="AB7927" t="s">
        <v>351</v>
      </c>
      <c r="AC7927" s="21">
        <v>21</v>
      </c>
      <c r="AD7927" s="21" t="s">
        <v>368</v>
      </c>
      <c r="AE7927" t="str">
        <f>VLOOKUP(Table_Query_from_Actuarial___Production3[[#This Row],[Kor1]],$AI$3:$AK$105,3,FALSE)</f>
        <v>Misc. Expense for Insolvent Companies</v>
      </c>
      <c r="AF7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8" spans="18:32" x14ac:dyDescent="0.2">
      <c r="R7928" t="s">
        <v>11</v>
      </c>
      <c r="S7928" t="s">
        <v>224</v>
      </c>
      <c r="T7928" t="s">
        <v>427</v>
      </c>
      <c r="U7928" s="21">
        <v>441026.65</v>
      </c>
      <c r="V7928" s="21" t="s">
        <v>370</v>
      </c>
      <c r="W7928" t="str">
        <f>VLOOKUP(Table_Query_from_Actuarial___Production[[#This Row],[Kor1]],$AI$3:$AK$105,3,FALSE)</f>
        <v>Losses Paid</v>
      </c>
      <c r="X7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928"/>
      <c r="Z7928" t="s">
        <v>37</v>
      </c>
      <c r="AA7928" t="s">
        <v>235</v>
      </c>
      <c r="AB7928" t="s">
        <v>9</v>
      </c>
      <c r="AC7928" s="21">
        <v>-26.48</v>
      </c>
      <c r="AD7928" s="21" t="s">
        <v>368</v>
      </c>
      <c r="AE7928" t="str">
        <f>VLOOKUP(Table_Query_from_Actuarial___Production3[[#This Row],[Kor1]],$AI$3:$AK$105,3,FALSE)</f>
        <v>Misc. Expense</v>
      </c>
      <c r="AF7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29" spans="18:32" x14ac:dyDescent="0.2">
      <c r="R7929" t="s">
        <v>13</v>
      </c>
      <c r="S7929" t="s">
        <v>237</v>
      </c>
      <c r="T7929" t="s">
        <v>445</v>
      </c>
      <c r="U7929" s="21">
        <v>4704466.25</v>
      </c>
      <c r="V7929" s="21" t="s">
        <v>368</v>
      </c>
      <c r="W7929" t="str">
        <f>VLOOKUP(Table_Query_from_Actuarial___Production[[#This Row],[Kor1]],$AI$3:$AK$105,3,FALSE)</f>
        <v>Operating Service Fees</v>
      </c>
      <c r="X7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29"/>
      <c r="Z7929" t="s">
        <v>11</v>
      </c>
      <c r="AA7929" t="s">
        <v>251</v>
      </c>
      <c r="AB7929" t="s">
        <v>433</v>
      </c>
      <c r="AC7929" s="21">
        <v>54257.41</v>
      </c>
      <c r="AD7929" s="21" t="s">
        <v>368</v>
      </c>
      <c r="AE7929" t="str">
        <f>VLOOKUP(Table_Query_from_Actuarial___Production3[[#This Row],[Kor1]],$AI$3:$AK$105,3,FALSE)</f>
        <v>Losses Paid</v>
      </c>
      <c r="AF7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0" spans="18:32" x14ac:dyDescent="0.2">
      <c r="R7930" t="s">
        <v>3</v>
      </c>
      <c r="S7930" t="s">
        <v>244</v>
      </c>
      <c r="T7930" t="s">
        <v>442</v>
      </c>
      <c r="U7930" s="21">
        <v>3037858</v>
      </c>
      <c r="V7930" s="21" t="s">
        <v>368</v>
      </c>
      <c r="W7930" t="str">
        <f>VLOOKUP(Table_Query_from_Actuarial___Production[[#This Row],[Kor1]],$AI$3:$AK$105,3,FALSE)</f>
        <v>Premiums Written</v>
      </c>
      <c r="X7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0"/>
      <c r="Z7930" t="s">
        <v>40</v>
      </c>
      <c r="AA7930" t="s">
        <v>235</v>
      </c>
      <c r="AB7930" t="s">
        <v>442</v>
      </c>
      <c r="AC7930" s="21">
        <v>1465</v>
      </c>
      <c r="AD7930" s="21" t="s">
        <v>368</v>
      </c>
      <c r="AE7930" t="str">
        <f>VLOOKUP(Table_Query_from_Actuarial___Production3[[#This Row],[Kor1]],$AI$3:$AK$105,3,FALSE)</f>
        <v>Misc. Income</v>
      </c>
      <c r="AF7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1" spans="18:32" x14ac:dyDescent="0.2">
      <c r="R7931" t="s">
        <v>19</v>
      </c>
      <c r="S7931" t="s">
        <v>249</v>
      </c>
      <c r="T7931" t="s">
        <v>356</v>
      </c>
      <c r="U7931" s="21">
        <v>7249</v>
      </c>
      <c r="V7931" s="21" t="s">
        <v>368</v>
      </c>
      <c r="W7931" t="str">
        <f>VLOOKUP(Table_Query_from_Actuarial___Production[[#This Row],[Kor1]],$AI$3:$AK$105,3,FALSE)</f>
        <v>Misc. Expense for Insolvent Companies</v>
      </c>
      <c r="X7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1"/>
      <c r="Z7931" t="s">
        <v>3</v>
      </c>
      <c r="AA7931" t="s">
        <v>264</v>
      </c>
      <c r="AB7931" t="s">
        <v>5</v>
      </c>
      <c r="AC7931" s="21">
        <v>1849597</v>
      </c>
      <c r="AD7931" s="21" t="s">
        <v>368</v>
      </c>
      <c r="AE7931" t="str">
        <f>VLOOKUP(Table_Query_from_Actuarial___Production3[[#This Row],[Kor1]],$AI$3:$AK$105,3,FALSE)</f>
        <v>Premiums Written</v>
      </c>
      <c r="AF7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2" spans="18:32" x14ac:dyDescent="0.2">
      <c r="R7932" t="s">
        <v>14</v>
      </c>
      <c r="S7932" t="s">
        <v>4</v>
      </c>
      <c r="T7932" t="s">
        <v>442</v>
      </c>
      <c r="U7932" s="21">
        <v>5045447.34</v>
      </c>
      <c r="V7932" s="21" t="s">
        <v>368</v>
      </c>
      <c r="W7932" t="str">
        <f>VLOOKUP(Table_Query_from_Actuarial___Production[[#This Row],[Kor1]],$AI$3:$AK$105,3,FALSE)</f>
        <v>Claims Expense</v>
      </c>
      <c r="X7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2"/>
      <c r="Z7932" t="s">
        <v>49</v>
      </c>
      <c r="AA7932" t="s">
        <v>265</v>
      </c>
      <c r="AB7932" t="s">
        <v>356</v>
      </c>
      <c r="AC7932" s="21">
        <v>160.87</v>
      </c>
      <c r="AD7932" s="21" t="s">
        <v>368</v>
      </c>
      <c r="AE7932" t="str">
        <f>VLOOKUP(Table_Query_from_Actuarial___Production3[[#This Row],[Kor1]],$AI$3:$AK$105,3,FALSE)</f>
        <v>ALAE Paid</v>
      </c>
      <c r="AF7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3" spans="18:32" x14ac:dyDescent="0.2">
      <c r="R7933" t="s">
        <v>32</v>
      </c>
      <c r="S7933" t="s">
        <v>264</v>
      </c>
      <c r="T7933" t="s">
        <v>433</v>
      </c>
      <c r="U7933" s="21">
        <v>1246.97</v>
      </c>
      <c r="V7933" s="21" t="s">
        <v>368</v>
      </c>
      <c r="W7933" t="str">
        <f>VLOOKUP(Table_Query_from_Actuarial___Production[[#This Row],[Kor1]],$AI$3:$AK$105,3,FALSE)</f>
        <v>Misc. Expense</v>
      </c>
      <c r="X7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3"/>
      <c r="Z7933" t="s">
        <v>11</v>
      </c>
      <c r="AA7933" t="s">
        <v>224</v>
      </c>
      <c r="AB7933" t="s">
        <v>427</v>
      </c>
      <c r="AC7933" s="21">
        <v>441026.65</v>
      </c>
      <c r="AD7933" s="21" t="s">
        <v>370</v>
      </c>
      <c r="AE7933" t="str">
        <f>VLOOKUP(Table_Query_from_Actuarial___Production3[[#This Row],[Kor1]],$AI$3:$AK$105,3,FALSE)</f>
        <v>Losses Paid</v>
      </c>
      <c r="AF7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934" spans="18:32" x14ac:dyDescent="0.2">
      <c r="R7934" t="s">
        <v>13</v>
      </c>
      <c r="S7934" t="s">
        <v>261</v>
      </c>
      <c r="T7934" t="s">
        <v>433</v>
      </c>
      <c r="U7934" s="21">
        <v>33934.269999999997</v>
      </c>
      <c r="V7934" s="21" t="s">
        <v>368</v>
      </c>
      <c r="W7934" t="str">
        <f>VLOOKUP(Table_Query_from_Actuarial___Production[[#This Row],[Kor1]],$AI$3:$AK$105,3,FALSE)</f>
        <v>Operating Service Fees</v>
      </c>
      <c r="X7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4"/>
      <c r="Z7934" t="s">
        <v>3</v>
      </c>
      <c r="AA7934" t="s">
        <v>244</v>
      </c>
      <c r="AB7934" t="s">
        <v>442</v>
      </c>
      <c r="AC7934" s="21">
        <v>3228427</v>
      </c>
      <c r="AD7934" s="21" t="s">
        <v>368</v>
      </c>
      <c r="AE7934" t="str">
        <f>VLOOKUP(Table_Query_from_Actuarial___Production3[[#This Row],[Kor1]],$AI$3:$AK$105,3,FALSE)</f>
        <v>Premiums Written</v>
      </c>
      <c r="AF7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5" spans="18:32" x14ac:dyDescent="0.2">
      <c r="R7935" t="s">
        <v>3</v>
      </c>
      <c r="S7935" t="s">
        <v>233</v>
      </c>
      <c r="T7935" t="s">
        <v>427</v>
      </c>
      <c r="U7935" s="21">
        <v>748707</v>
      </c>
      <c r="V7935" s="21" t="s">
        <v>368</v>
      </c>
      <c r="W7935" t="str">
        <f>VLOOKUP(Table_Query_from_Actuarial___Production[[#This Row],[Kor1]],$AI$3:$AK$105,3,FALSE)</f>
        <v>Premiums Written</v>
      </c>
      <c r="X7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5"/>
      <c r="Z7935" t="s">
        <v>19</v>
      </c>
      <c r="AA7935" t="s">
        <v>249</v>
      </c>
      <c r="AB7935" t="s">
        <v>356</v>
      </c>
      <c r="AC7935" s="21">
        <v>7249</v>
      </c>
      <c r="AD7935" s="21" t="s">
        <v>368</v>
      </c>
      <c r="AE7935" t="str">
        <f>VLOOKUP(Table_Query_from_Actuarial___Production3[[#This Row],[Kor1]],$AI$3:$AK$105,3,FALSE)</f>
        <v>Misc. Expense for Insolvent Companies</v>
      </c>
      <c r="AF7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6" spans="18:32" x14ac:dyDescent="0.2">
      <c r="R7936" t="s">
        <v>31</v>
      </c>
      <c r="S7936" t="s">
        <v>234</v>
      </c>
      <c r="T7936" t="s">
        <v>356</v>
      </c>
      <c r="U7936" s="21">
        <v>751.8</v>
      </c>
      <c r="V7936" s="21" t="s">
        <v>368</v>
      </c>
      <c r="W7936" t="str">
        <f>VLOOKUP(Table_Query_from_Actuarial___Production[[#This Row],[Kor1]],$AI$3:$AK$105,3,FALSE)</f>
        <v>Misc. Expense</v>
      </c>
      <c r="X7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6"/>
      <c r="Z7936" t="s">
        <v>14</v>
      </c>
      <c r="AA7936" t="s">
        <v>4</v>
      </c>
      <c r="AB7936" t="s">
        <v>442</v>
      </c>
      <c r="AC7936" s="21">
        <v>4409532.62</v>
      </c>
      <c r="AD7936" s="21" t="s">
        <v>368</v>
      </c>
      <c r="AE7936" t="str">
        <f>VLOOKUP(Table_Query_from_Actuarial___Production3[[#This Row],[Kor1]],$AI$3:$AK$105,3,FALSE)</f>
        <v>Claims Expense</v>
      </c>
      <c r="AF7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7" spans="18:32" x14ac:dyDescent="0.2">
      <c r="R7937" t="s">
        <v>14</v>
      </c>
      <c r="S7937" t="s">
        <v>244</v>
      </c>
      <c r="T7937" t="s">
        <v>443</v>
      </c>
      <c r="U7937" s="21">
        <v>131125.41</v>
      </c>
      <c r="V7937" s="21" t="s">
        <v>368</v>
      </c>
      <c r="W7937" t="str">
        <f>VLOOKUP(Table_Query_from_Actuarial___Production[[#This Row],[Kor1]],$AI$3:$AK$105,3,FALSE)</f>
        <v>Claims Expense</v>
      </c>
      <c r="X7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37"/>
      <c r="Z7937" t="s">
        <v>32</v>
      </c>
      <c r="AA7937" t="s">
        <v>264</v>
      </c>
      <c r="AB7937" t="s">
        <v>433</v>
      </c>
      <c r="AC7937" s="21">
        <v>1246.97</v>
      </c>
      <c r="AD7937" s="21" t="s">
        <v>368</v>
      </c>
      <c r="AE7937" t="str">
        <f>VLOOKUP(Table_Query_from_Actuarial___Production3[[#This Row],[Kor1]],$AI$3:$AK$105,3,FALSE)</f>
        <v>Misc. Expense</v>
      </c>
      <c r="AF7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8" spans="18:32" x14ac:dyDescent="0.2">
      <c r="R7938" t="s">
        <v>13</v>
      </c>
      <c r="S7938" t="s">
        <v>226</v>
      </c>
      <c r="T7938" t="s">
        <v>445</v>
      </c>
      <c r="U7938" s="21">
        <v>1396039.65</v>
      </c>
      <c r="V7938" s="21" t="s">
        <v>368</v>
      </c>
      <c r="W7938" t="str">
        <f>VLOOKUP(Table_Query_from_Actuarial___Production[[#This Row],[Kor1]],$AI$3:$AK$105,3,FALSE)</f>
        <v>Operating Service Fees</v>
      </c>
      <c r="X7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938"/>
      <c r="Z7938" t="s">
        <v>13</v>
      </c>
      <c r="AA7938" t="s">
        <v>261</v>
      </c>
      <c r="AB7938" t="s">
        <v>433</v>
      </c>
      <c r="AC7938" s="21">
        <v>33934.269999999997</v>
      </c>
      <c r="AD7938" s="21" t="s">
        <v>368</v>
      </c>
      <c r="AE7938" t="str">
        <f>VLOOKUP(Table_Query_from_Actuarial___Production3[[#This Row],[Kor1]],$AI$3:$AK$105,3,FALSE)</f>
        <v>Operating Service Fees</v>
      </c>
      <c r="AF7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39" spans="18:32" x14ac:dyDescent="0.2">
      <c r="R7939" t="s">
        <v>11</v>
      </c>
      <c r="S7939" t="s">
        <v>225</v>
      </c>
      <c r="T7939" t="s">
        <v>9</v>
      </c>
      <c r="U7939" s="21">
        <v>468241.64</v>
      </c>
      <c r="V7939" s="21" t="s">
        <v>369</v>
      </c>
      <c r="W7939" t="str">
        <f>VLOOKUP(Table_Query_from_Actuarial___Production[[#This Row],[Kor1]],$AI$3:$AK$105,3,FALSE)</f>
        <v>Losses Paid</v>
      </c>
      <c r="X7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7939"/>
      <c r="Z7939" t="s">
        <v>3</v>
      </c>
      <c r="AA7939" t="s">
        <v>233</v>
      </c>
      <c r="AB7939" t="s">
        <v>427</v>
      </c>
      <c r="AC7939" s="21">
        <v>748707</v>
      </c>
      <c r="AD7939" s="21" t="s">
        <v>368</v>
      </c>
      <c r="AE7939" t="str">
        <f>VLOOKUP(Table_Query_from_Actuarial___Production3[[#This Row],[Kor1]],$AI$3:$AK$105,3,FALSE)</f>
        <v>Premiums Written</v>
      </c>
      <c r="AF7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0" spans="18:32" x14ac:dyDescent="0.2">
      <c r="R7940" t="s">
        <v>12</v>
      </c>
      <c r="S7940" t="s">
        <v>235</v>
      </c>
      <c r="T7940" t="s">
        <v>8</v>
      </c>
      <c r="U7940" s="21">
        <v>31426.84</v>
      </c>
      <c r="V7940" s="21" t="s">
        <v>368</v>
      </c>
      <c r="W7940" t="str">
        <f>VLOOKUP(Table_Query_from_Actuarial___Production[[#This Row],[Kor1]],$AI$3:$AK$105,3,FALSE)</f>
        <v>Premium Tax</v>
      </c>
      <c r="X7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0"/>
      <c r="Z7940" t="s">
        <v>31</v>
      </c>
      <c r="AA7940" t="s">
        <v>234</v>
      </c>
      <c r="AB7940" t="s">
        <v>356</v>
      </c>
      <c r="AC7940" s="21">
        <v>751.8</v>
      </c>
      <c r="AD7940" s="21" t="s">
        <v>368</v>
      </c>
      <c r="AE7940" t="str">
        <f>VLOOKUP(Table_Query_from_Actuarial___Production3[[#This Row],[Kor1]],$AI$3:$AK$105,3,FALSE)</f>
        <v>Misc. Expense</v>
      </c>
      <c r="AF7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1" spans="18:32" x14ac:dyDescent="0.2">
      <c r="R7941" t="s">
        <v>13</v>
      </c>
      <c r="S7941" t="s">
        <v>245</v>
      </c>
      <c r="T7941" t="s">
        <v>9</v>
      </c>
      <c r="U7941" s="21">
        <v>1865.19</v>
      </c>
      <c r="V7941" s="21" t="s">
        <v>368</v>
      </c>
      <c r="W7941" t="str">
        <f>VLOOKUP(Table_Query_from_Actuarial___Production[[#This Row],[Kor1]],$AI$3:$AK$105,3,FALSE)</f>
        <v>Operating Service Fees</v>
      </c>
      <c r="X7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1"/>
      <c r="Z7941" t="s">
        <v>14</v>
      </c>
      <c r="AA7941" t="s">
        <v>244</v>
      </c>
      <c r="AB7941" t="s">
        <v>443</v>
      </c>
      <c r="AC7941" s="21">
        <v>11899.02</v>
      </c>
      <c r="AD7941" s="21" t="s">
        <v>368</v>
      </c>
      <c r="AE7941" t="str">
        <f>VLOOKUP(Table_Query_from_Actuarial___Production3[[#This Row],[Kor1]],$AI$3:$AK$105,3,FALSE)</f>
        <v>Claims Expense</v>
      </c>
      <c r="AF7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2" spans="18:32" x14ac:dyDescent="0.2">
      <c r="R7942" t="s">
        <v>32</v>
      </c>
      <c r="S7942" t="s">
        <v>258</v>
      </c>
      <c r="T7942" t="s">
        <v>441</v>
      </c>
      <c r="U7942" s="21">
        <v>-7302.46</v>
      </c>
      <c r="V7942" s="21" t="s">
        <v>368</v>
      </c>
      <c r="W7942" t="str">
        <f>VLOOKUP(Table_Query_from_Actuarial___Production[[#This Row],[Kor1]],$AI$3:$AK$105,3,FALSE)</f>
        <v>Misc. Expense</v>
      </c>
      <c r="X7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2"/>
      <c r="Z7942" t="s">
        <v>15</v>
      </c>
      <c r="AA7942" t="s">
        <v>265</v>
      </c>
      <c r="AB7942" t="s">
        <v>442</v>
      </c>
      <c r="AC7942" s="21">
        <v>149673.10999999999</v>
      </c>
      <c r="AD7942" s="21" t="s">
        <v>368</v>
      </c>
      <c r="AE7942" t="str">
        <f>VLOOKUP(Table_Query_from_Actuarial___Production3[[#This Row],[Kor1]],$AI$3:$AK$105,3,FALSE)</f>
        <v>Unearned Premiums</v>
      </c>
      <c r="AF7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3" spans="18:32" x14ac:dyDescent="0.2">
      <c r="R7943" t="s">
        <v>43</v>
      </c>
      <c r="S7943" t="s">
        <v>241</v>
      </c>
      <c r="T7943" t="s">
        <v>8</v>
      </c>
      <c r="U7943" s="21">
        <v>1458.08</v>
      </c>
      <c r="V7943" s="21" t="s">
        <v>368</v>
      </c>
      <c r="W7943" t="str">
        <f>VLOOKUP(Table_Query_from_Actuarial___Production[[#This Row],[Kor1]],$AI$3:$AK$105,3,FALSE)</f>
        <v>Charge-offs</v>
      </c>
      <c r="X7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3"/>
      <c r="Z7943" t="s">
        <v>11</v>
      </c>
      <c r="AA7943" t="s">
        <v>225</v>
      </c>
      <c r="AB7943" t="s">
        <v>9</v>
      </c>
      <c r="AC7943" s="21">
        <v>468241.64</v>
      </c>
      <c r="AD7943" s="21" t="s">
        <v>369</v>
      </c>
      <c r="AE7943" t="str">
        <f>VLOOKUP(Table_Query_from_Actuarial___Production3[[#This Row],[Kor1]],$AI$3:$AK$105,3,FALSE)</f>
        <v>Losses Paid</v>
      </c>
      <c r="AF7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7944" spans="18:32" x14ac:dyDescent="0.2">
      <c r="R7944" t="s">
        <v>18</v>
      </c>
      <c r="S7944" t="s">
        <v>224</v>
      </c>
      <c r="T7944" t="s">
        <v>433</v>
      </c>
      <c r="U7944" s="21">
        <v>12693.77</v>
      </c>
      <c r="V7944" s="21" t="s">
        <v>369</v>
      </c>
      <c r="W7944" t="str">
        <f>VLOOKUP(Table_Query_from_Actuarial___Production[[#This Row],[Kor1]],$AI$3:$AK$105,3,FALSE)</f>
        <v>Misc. Expense</v>
      </c>
      <c r="X7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7944"/>
      <c r="Z7944" t="s">
        <v>12</v>
      </c>
      <c r="AA7944" t="s">
        <v>235</v>
      </c>
      <c r="AB7944" t="s">
        <v>8</v>
      </c>
      <c r="AC7944" s="21">
        <v>31426.84</v>
      </c>
      <c r="AD7944" s="21" t="s">
        <v>368</v>
      </c>
      <c r="AE7944" t="str">
        <f>VLOOKUP(Table_Query_from_Actuarial___Production3[[#This Row],[Kor1]],$AI$3:$AK$105,3,FALSE)</f>
        <v>Premium Tax</v>
      </c>
      <c r="AF7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5" spans="18:32" x14ac:dyDescent="0.2">
      <c r="R7945" t="s">
        <v>48</v>
      </c>
      <c r="S7945" t="s">
        <v>4</v>
      </c>
      <c r="T7945" t="s">
        <v>427</v>
      </c>
      <c r="U7945" s="21">
        <v>48174.66</v>
      </c>
      <c r="V7945" s="21" t="s">
        <v>368</v>
      </c>
      <c r="W7945" t="str">
        <f>VLOOKUP(Table_Query_from_Actuarial___Production[[#This Row],[Kor1]],$AI$3:$AK$105,3,FALSE)</f>
        <v>Anticipated Salvage</v>
      </c>
      <c r="X7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5"/>
      <c r="Z7945" t="s">
        <v>13</v>
      </c>
      <c r="AA7945" t="s">
        <v>245</v>
      </c>
      <c r="AB7945" t="s">
        <v>9</v>
      </c>
      <c r="AC7945" s="21">
        <v>1865.19</v>
      </c>
      <c r="AD7945" s="21" t="s">
        <v>368</v>
      </c>
      <c r="AE7945" t="str">
        <f>VLOOKUP(Table_Query_from_Actuarial___Production3[[#This Row],[Kor1]],$AI$3:$AK$105,3,FALSE)</f>
        <v>Operating Service Fees</v>
      </c>
      <c r="AF7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6" spans="18:32" x14ac:dyDescent="0.2">
      <c r="R7946" t="s">
        <v>18</v>
      </c>
      <c r="S7946" t="s">
        <v>224</v>
      </c>
      <c r="T7946" t="s">
        <v>442</v>
      </c>
      <c r="U7946" s="21">
        <v>94356.83</v>
      </c>
      <c r="V7946" s="21" t="s">
        <v>370</v>
      </c>
      <c r="W7946" t="str">
        <f>VLOOKUP(Table_Query_from_Actuarial___Production[[#This Row],[Kor1]],$AI$3:$AK$105,3,FALSE)</f>
        <v>Misc. Expense</v>
      </c>
      <c r="X7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7946"/>
      <c r="Z7946" t="s">
        <v>32</v>
      </c>
      <c r="AA7946" t="s">
        <v>258</v>
      </c>
      <c r="AB7946" t="s">
        <v>441</v>
      </c>
      <c r="AC7946" s="21">
        <v>-7302.46</v>
      </c>
      <c r="AD7946" s="21" t="s">
        <v>368</v>
      </c>
      <c r="AE7946" t="str">
        <f>VLOOKUP(Table_Query_from_Actuarial___Production3[[#This Row],[Kor1]],$AI$3:$AK$105,3,FALSE)</f>
        <v>Misc. Expense</v>
      </c>
      <c r="AF7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7" spans="18:32" x14ac:dyDescent="0.2">
      <c r="R7947" t="s">
        <v>37</v>
      </c>
      <c r="S7947" t="s">
        <v>239</v>
      </c>
      <c r="T7947" t="s">
        <v>356</v>
      </c>
      <c r="U7947" s="21">
        <v>-1.61</v>
      </c>
      <c r="V7947" s="21" t="s">
        <v>368</v>
      </c>
      <c r="W7947" t="str">
        <f>VLOOKUP(Table_Query_from_Actuarial___Production[[#This Row],[Kor1]],$AI$3:$AK$105,3,FALSE)</f>
        <v>Misc. Expense</v>
      </c>
      <c r="X7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7"/>
      <c r="Z7947" t="s">
        <v>43</v>
      </c>
      <c r="AA7947" t="s">
        <v>256</v>
      </c>
      <c r="AB7947" t="s">
        <v>5</v>
      </c>
      <c r="AC7947" s="21">
        <v>20.81</v>
      </c>
      <c r="AD7947" s="21" t="s">
        <v>368</v>
      </c>
      <c r="AE7947" t="str">
        <f>VLOOKUP(Table_Query_from_Actuarial___Production3[[#This Row],[Kor1]],$AI$3:$AK$105,3,FALSE)</f>
        <v>Charge-offs</v>
      </c>
      <c r="AF7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8" spans="18:32" x14ac:dyDescent="0.2">
      <c r="R7948" t="s">
        <v>10</v>
      </c>
      <c r="S7948" t="s">
        <v>255</v>
      </c>
      <c r="T7948" t="s">
        <v>8</v>
      </c>
      <c r="U7948" s="21">
        <v>32512.15</v>
      </c>
      <c r="V7948" s="21" t="s">
        <v>368</v>
      </c>
      <c r="W7948" t="str">
        <f>VLOOKUP(Table_Query_from_Actuarial___Production[[#This Row],[Kor1]],$AI$3:$AK$105,3,FALSE)</f>
        <v>Commissions</v>
      </c>
      <c r="X7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8"/>
      <c r="Z7948" t="s">
        <v>43</v>
      </c>
      <c r="AA7948" t="s">
        <v>241</v>
      </c>
      <c r="AB7948" t="s">
        <v>8</v>
      </c>
      <c r="AC7948" s="21">
        <v>1458.08</v>
      </c>
      <c r="AD7948" s="21" t="s">
        <v>368</v>
      </c>
      <c r="AE7948" t="str">
        <f>VLOOKUP(Table_Query_from_Actuarial___Production3[[#This Row],[Kor1]],$AI$3:$AK$105,3,FALSE)</f>
        <v>Charge-offs</v>
      </c>
      <c r="AF7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49" spans="18:32" x14ac:dyDescent="0.2">
      <c r="R7949" t="s">
        <v>10</v>
      </c>
      <c r="S7949" t="s">
        <v>265</v>
      </c>
      <c r="T7949" t="s">
        <v>6</v>
      </c>
      <c r="U7949" s="21">
        <v>16113.35</v>
      </c>
      <c r="V7949" s="21" t="s">
        <v>368</v>
      </c>
      <c r="W7949" t="str">
        <f>VLOOKUP(Table_Query_from_Actuarial___Production[[#This Row],[Kor1]],$AI$3:$AK$105,3,FALSE)</f>
        <v>Commissions</v>
      </c>
      <c r="X7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49"/>
      <c r="Z7949" t="s">
        <v>47</v>
      </c>
      <c r="AA7949" t="s">
        <v>242</v>
      </c>
      <c r="AB7949" t="s">
        <v>5</v>
      </c>
      <c r="AC7949" s="21">
        <v>5.07</v>
      </c>
      <c r="AD7949" s="21" t="s">
        <v>368</v>
      </c>
      <c r="AE7949" t="str">
        <f>VLOOKUP(Table_Query_from_Actuarial___Production3[[#This Row],[Kor1]],$AI$3:$AK$105,3,FALSE)</f>
        <v>Investment Income</v>
      </c>
      <c r="AF7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0" spans="18:32" x14ac:dyDescent="0.2">
      <c r="R7950" t="s">
        <v>12</v>
      </c>
      <c r="S7950" t="s">
        <v>245</v>
      </c>
      <c r="T7950" t="s">
        <v>9</v>
      </c>
      <c r="U7950" s="21">
        <v>275.64</v>
      </c>
      <c r="V7950" s="21" t="s">
        <v>368</v>
      </c>
      <c r="W7950" t="str">
        <f>VLOOKUP(Table_Query_from_Actuarial___Production[[#This Row],[Kor1]],$AI$3:$AK$105,3,FALSE)</f>
        <v>Premium Tax</v>
      </c>
      <c r="X7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0"/>
      <c r="Z7950" t="s">
        <v>18</v>
      </c>
      <c r="AA7950" t="s">
        <v>224</v>
      </c>
      <c r="AB7950" t="s">
        <v>433</v>
      </c>
      <c r="AC7950" s="21">
        <v>12693.77</v>
      </c>
      <c r="AD7950" s="21" t="s">
        <v>369</v>
      </c>
      <c r="AE7950" t="str">
        <f>VLOOKUP(Table_Query_from_Actuarial___Production3[[#This Row],[Kor1]],$AI$3:$AK$105,3,FALSE)</f>
        <v>Misc. Expense</v>
      </c>
      <c r="AF7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7951" spans="18:32" x14ac:dyDescent="0.2">
      <c r="R7951" t="s">
        <v>43</v>
      </c>
      <c r="S7951" t="s">
        <v>255</v>
      </c>
      <c r="T7951" t="s">
        <v>442</v>
      </c>
      <c r="U7951" s="21">
        <v>16.46</v>
      </c>
      <c r="V7951" s="21" t="s">
        <v>368</v>
      </c>
      <c r="W7951" t="str">
        <f>VLOOKUP(Table_Query_from_Actuarial___Production[[#This Row],[Kor1]],$AI$3:$AK$105,3,FALSE)</f>
        <v>Charge-offs</v>
      </c>
      <c r="X7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1"/>
      <c r="Z7951" t="s">
        <v>31</v>
      </c>
      <c r="AA7951" t="s">
        <v>256</v>
      </c>
      <c r="AB7951" t="s">
        <v>5</v>
      </c>
      <c r="AC7951" s="21">
        <v>-3799</v>
      </c>
      <c r="AD7951" s="21" t="s">
        <v>368</v>
      </c>
      <c r="AE7951" t="str">
        <f>VLOOKUP(Table_Query_from_Actuarial___Production3[[#This Row],[Kor1]],$AI$3:$AK$105,3,FALSE)</f>
        <v>Misc. Expense</v>
      </c>
      <c r="AF7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2" spans="18:32" x14ac:dyDescent="0.2">
      <c r="R7952" t="s">
        <v>43</v>
      </c>
      <c r="S7952" t="s">
        <v>263</v>
      </c>
      <c r="T7952" t="s">
        <v>8</v>
      </c>
      <c r="U7952" s="21">
        <v>-26.92</v>
      </c>
      <c r="V7952" s="21" t="s">
        <v>368</v>
      </c>
      <c r="W7952" t="str">
        <f>VLOOKUP(Table_Query_from_Actuarial___Production[[#This Row],[Kor1]],$AI$3:$AK$105,3,FALSE)</f>
        <v>Charge-offs</v>
      </c>
      <c r="X7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2"/>
      <c r="Z7952" t="s">
        <v>48</v>
      </c>
      <c r="AA7952" t="s">
        <v>4</v>
      </c>
      <c r="AB7952" t="s">
        <v>427</v>
      </c>
      <c r="AC7952" s="21">
        <v>104440.56</v>
      </c>
      <c r="AD7952" s="21" t="s">
        <v>368</v>
      </c>
      <c r="AE7952" t="str">
        <f>VLOOKUP(Table_Query_from_Actuarial___Production3[[#This Row],[Kor1]],$AI$3:$AK$105,3,FALSE)</f>
        <v>Anticipated Salvage</v>
      </c>
      <c r="AF7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3" spans="18:32" x14ac:dyDescent="0.2">
      <c r="R7953" t="s">
        <v>11</v>
      </c>
      <c r="S7953" t="s">
        <v>257</v>
      </c>
      <c r="T7953" t="s">
        <v>7</v>
      </c>
      <c r="U7953" s="21">
        <v>942001.74</v>
      </c>
      <c r="V7953" s="21" t="s">
        <v>368</v>
      </c>
      <c r="W7953" t="str">
        <f>VLOOKUP(Table_Query_from_Actuarial___Production[[#This Row],[Kor1]],$AI$3:$AK$105,3,FALSE)</f>
        <v>Losses Paid</v>
      </c>
      <c r="X7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3"/>
      <c r="Z7953" t="s">
        <v>18</v>
      </c>
      <c r="AA7953" t="s">
        <v>224</v>
      </c>
      <c r="AB7953" t="s">
        <v>442</v>
      </c>
      <c r="AC7953" s="21">
        <v>94356.83</v>
      </c>
      <c r="AD7953" s="21" t="s">
        <v>370</v>
      </c>
      <c r="AE7953" t="str">
        <f>VLOOKUP(Table_Query_from_Actuarial___Production3[[#This Row],[Kor1]],$AI$3:$AK$105,3,FALSE)</f>
        <v>Misc. Expense</v>
      </c>
      <c r="AF7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954" spans="18:32" x14ac:dyDescent="0.2">
      <c r="R7954" t="s">
        <v>40</v>
      </c>
      <c r="S7954" t="s">
        <v>229</v>
      </c>
      <c r="T7954" t="s">
        <v>9</v>
      </c>
      <c r="U7954" s="21">
        <v>16</v>
      </c>
      <c r="V7954" s="21" t="s">
        <v>368</v>
      </c>
      <c r="W7954" t="str">
        <f>VLOOKUP(Table_Query_from_Actuarial___Production[[#This Row],[Kor1]],$AI$3:$AK$105,3,FALSE)</f>
        <v>Misc. Income</v>
      </c>
      <c r="X7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4"/>
      <c r="Z7954" t="s">
        <v>37</v>
      </c>
      <c r="AA7954" t="s">
        <v>239</v>
      </c>
      <c r="AB7954" t="s">
        <v>356</v>
      </c>
      <c r="AC7954" s="21">
        <v>-1.61</v>
      </c>
      <c r="AD7954" s="21" t="s">
        <v>368</v>
      </c>
      <c r="AE7954" t="str">
        <f>VLOOKUP(Table_Query_from_Actuarial___Production3[[#This Row],[Kor1]],$AI$3:$AK$105,3,FALSE)</f>
        <v>Misc. Expense</v>
      </c>
      <c r="AF7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5" spans="18:32" x14ac:dyDescent="0.2">
      <c r="R7955" t="s">
        <v>41</v>
      </c>
      <c r="S7955" t="s">
        <v>251</v>
      </c>
      <c r="T7955" t="s">
        <v>7</v>
      </c>
      <c r="U7955" s="21">
        <v>50</v>
      </c>
      <c r="V7955" s="21" t="s">
        <v>368</v>
      </c>
      <c r="W7955" t="str">
        <f>VLOOKUP(Table_Query_from_Actuarial___Production[[#This Row],[Kor1]],$AI$3:$AK$105,3,FALSE)</f>
        <v>Misc. Income</v>
      </c>
      <c r="X7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5"/>
      <c r="Z7955" t="s">
        <v>13</v>
      </c>
      <c r="AA7955" t="s">
        <v>224</v>
      </c>
      <c r="AB7955" t="s">
        <v>5</v>
      </c>
      <c r="AC7955" s="21">
        <v>204254.76</v>
      </c>
      <c r="AD7955" s="21" t="s">
        <v>370</v>
      </c>
      <c r="AE7955" t="str">
        <f>VLOOKUP(Table_Query_from_Actuarial___Production3[[#This Row],[Kor1]],$AI$3:$AK$105,3,FALSE)</f>
        <v>Operating Service Fees</v>
      </c>
      <c r="AF7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7956" spans="18:32" x14ac:dyDescent="0.2">
      <c r="R7956" t="s">
        <v>37</v>
      </c>
      <c r="S7956" t="s">
        <v>246</v>
      </c>
      <c r="T7956" t="s">
        <v>443</v>
      </c>
      <c r="U7956" s="21">
        <v>199.76</v>
      </c>
      <c r="V7956" s="21" t="s">
        <v>368</v>
      </c>
      <c r="W7956" t="str">
        <f>VLOOKUP(Table_Query_from_Actuarial___Production[[#This Row],[Kor1]],$AI$3:$AK$105,3,FALSE)</f>
        <v>Misc. Expense</v>
      </c>
      <c r="X7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6"/>
      <c r="Z7956" t="s">
        <v>10</v>
      </c>
      <c r="AA7956" t="s">
        <v>255</v>
      </c>
      <c r="AB7956" t="s">
        <v>8</v>
      </c>
      <c r="AC7956" s="21">
        <v>32512.15</v>
      </c>
      <c r="AD7956" s="21" t="s">
        <v>368</v>
      </c>
      <c r="AE7956" t="str">
        <f>VLOOKUP(Table_Query_from_Actuarial___Production3[[#This Row],[Kor1]],$AI$3:$AK$105,3,FALSE)</f>
        <v>Commissions</v>
      </c>
      <c r="AF7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7" spans="18:32" x14ac:dyDescent="0.2">
      <c r="R7957" t="s">
        <v>49</v>
      </c>
      <c r="S7957" t="s">
        <v>235</v>
      </c>
      <c r="T7957" t="s">
        <v>433</v>
      </c>
      <c r="U7957" s="21">
        <v>19702.689999999999</v>
      </c>
      <c r="V7957" s="21" t="s">
        <v>368</v>
      </c>
      <c r="W7957" t="str">
        <f>VLOOKUP(Table_Query_from_Actuarial___Production[[#This Row],[Kor1]],$AI$3:$AK$105,3,FALSE)</f>
        <v>ALAE Paid</v>
      </c>
      <c r="X7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7"/>
      <c r="Z7957" t="s">
        <v>10</v>
      </c>
      <c r="AA7957" t="s">
        <v>265</v>
      </c>
      <c r="AB7957" t="s">
        <v>6</v>
      </c>
      <c r="AC7957" s="21">
        <v>16113.35</v>
      </c>
      <c r="AD7957" s="21" t="s">
        <v>368</v>
      </c>
      <c r="AE7957" t="str">
        <f>VLOOKUP(Table_Query_from_Actuarial___Production3[[#This Row],[Kor1]],$AI$3:$AK$105,3,FALSE)</f>
        <v>Commissions</v>
      </c>
      <c r="AF7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8" spans="18:32" x14ac:dyDescent="0.2">
      <c r="R7958" t="s">
        <v>50</v>
      </c>
      <c r="S7958" t="s">
        <v>239</v>
      </c>
      <c r="T7958" t="s">
        <v>441</v>
      </c>
      <c r="U7958" s="21">
        <v>218011.5</v>
      </c>
      <c r="V7958" s="21" t="s">
        <v>368</v>
      </c>
      <c r="W7958" t="str">
        <f>VLOOKUP(Table_Query_from_Actuarial___Production[[#This Row],[Kor1]],$AI$3:$AK$105,3,FALSE)</f>
        <v>ALAE Reserve</v>
      </c>
      <c r="X7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8"/>
      <c r="Z7958" t="s">
        <v>12</v>
      </c>
      <c r="AA7958" t="s">
        <v>245</v>
      </c>
      <c r="AB7958" t="s">
        <v>9</v>
      </c>
      <c r="AC7958" s="21">
        <v>275.64</v>
      </c>
      <c r="AD7958" s="21" t="s">
        <v>368</v>
      </c>
      <c r="AE7958" t="str">
        <f>VLOOKUP(Table_Query_from_Actuarial___Production3[[#This Row],[Kor1]],$AI$3:$AK$105,3,FALSE)</f>
        <v>Premium Tax</v>
      </c>
      <c r="AF7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59" spans="18:32" x14ac:dyDescent="0.2">
      <c r="R7959" t="s">
        <v>47</v>
      </c>
      <c r="S7959" t="s">
        <v>228</v>
      </c>
      <c r="T7959" t="s">
        <v>8</v>
      </c>
      <c r="U7959" s="21">
        <v>0.2</v>
      </c>
      <c r="V7959" s="21" t="s">
        <v>368</v>
      </c>
      <c r="W7959" t="str">
        <f>VLOOKUP(Table_Query_from_Actuarial___Production[[#This Row],[Kor1]],$AI$3:$AK$105,3,FALSE)</f>
        <v>Investment Income</v>
      </c>
      <c r="X7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59"/>
      <c r="Z7959" t="s">
        <v>43</v>
      </c>
      <c r="AA7959" t="s">
        <v>263</v>
      </c>
      <c r="AB7959" t="s">
        <v>8</v>
      </c>
      <c r="AC7959" s="21">
        <v>-26.92</v>
      </c>
      <c r="AD7959" s="21" t="s">
        <v>368</v>
      </c>
      <c r="AE7959" t="str">
        <f>VLOOKUP(Table_Query_from_Actuarial___Production3[[#This Row],[Kor1]],$AI$3:$AK$105,3,FALSE)</f>
        <v>Charge-offs</v>
      </c>
      <c r="AF7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0" spans="18:32" x14ac:dyDescent="0.2">
      <c r="R7960" t="s">
        <v>48</v>
      </c>
      <c r="S7960" t="s">
        <v>253</v>
      </c>
      <c r="T7960" t="s">
        <v>442</v>
      </c>
      <c r="U7960" s="21">
        <v>5.2</v>
      </c>
      <c r="V7960" s="21" t="s">
        <v>368</v>
      </c>
      <c r="W7960" t="str">
        <f>VLOOKUP(Table_Query_from_Actuarial___Production[[#This Row],[Kor1]],$AI$3:$AK$105,3,FALSE)</f>
        <v>Anticipated Salvage</v>
      </c>
      <c r="X7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0"/>
      <c r="Z7960" t="s">
        <v>11</v>
      </c>
      <c r="AA7960" t="s">
        <v>257</v>
      </c>
      <c r="AB7960" t="s">
        <v>7</v>
      </c>
      <c r="AC7960" s="21">
        <v>942001.74</v>
      </c>
      <c r="AD7960" s="21" t="s">
        <v>368</v>
      </c>
      <c r="AE7960" t="str">
        <f>VLOOKUP(Table_Query_from_Actuarial___Production3[[#This Row],[Kor1]],$AI$3:$AK$105,3,FALSE)</f>
        <v>Losses Paid</v>
      </c>
      <c r="AF7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1" spans="18:32" x14ac:dyDescent="0.2">
      <c r="R7961" t="s">
        <v>47</v>
      </c>
      <c r="S7961" t="s">
        <v>230</v>
      </c>
      <c r="T7961" t="s">
        <v>9</v>
      </c>
      <c r="U7961" s="21">
        <v>7170.76</v>
      </c>
      <c r="V7961" s="21" t="s">
        <v>368</v>
      </c>
      <c r="W7961" t="str">
        <f>VLOOKUP(Table_Query_from_Actuarial___Production[[#This Row],[Kor1]],$AI$3:$AK$105,3,FALSE)</f>
        <v>Investment Income</v>
      </c>
      <c r="X7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1"/>
      <c r="Z7961" t="s">
        <v>40</v>
      </c>
      <c r="AA7961" t="s">
        <v>229</v>
      </c>
      <c r="AB7961" t="s">
        <v>9</v>
      </c>
      <c r="AC7961" s="21">
        <v>16</v>
      </c>
      <c r="AD7961" s="21" t="s">
        <v>368</v>
      </c>
      <c r="AE7961" t="str">
        <f>VLOOKUP(Table_Query_from_Actuarial___Production3[[#This Row],[Kor1]],$AI$3:$AK$105,3,FALSE)</f>
        <v>Misc. Income</v>
      </c>
      <c r="AF7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2" spans="18:32" x14ac:dyDescent="0.2">
      <c r="R7962" t="s">
        <v>13</v>
      </c>
      <c r="S7962" t="s">
        <v>265</v>
      </c>
      <c r="T7962" t="s">
        <v>9</v>
      </c>
      <c r="U7962" s="21">
        <v>126947.87</v>
      </c>
      <c r="V7962" s="21" t="s">
        <v>368</v>
      </c>
      <c r="W7962" t="str">
        <f>VLOOKUP(Table_Query_from_Actuarial___Production[[#This Row],[Kor1]],$AI$3:$AK$105,3,FALSE)</f>
        <v>Operating Service Fees</v>
      </c>
      <c r="X7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2"/>
      <c r="Z7962" t="s">
        <v>41</v>
      </c>
      <c r="AA7962" t="s">
        <v>251</v>
      </c>
      <c r="AB7962" t="s">
        <v>7</v>
      </c>
      <c r="AC7962" s="21">
        <v>50</v>
      </c>
      <c r="AD7962" s="21" t="s">
        <v>368</v>
      </c>
      <c r="AE7962" t="str">
        <f>VLOOKUP(Table_Query_from_Actuarial___Production3[[#This Row],[Kor1]],$AI$3:$AK$105,3,FALSE)</f>
        <v>Misc. Income</v>
      </c>
      <c r="AF7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3" spans="18:32" x14ac:dyDescent="0.2">
      <c r="R7963" t="s">
        <v>147</v>
      </c>
      <c r="S7963" t="s">
        <v>354</v>
      </c>
      <c r="T7963" t="s">
        <v>356</v>
      </c>
      <c r="U7963" s="21">
        <v>1387422.47</v>
      </c>
      <c r="V7963" s="21" t="s">
        <v>369</v>
      </c>
      <c r="W7963" t="str">
        <f>VLOOKUP(Table_Query_from_Actuarial___Production[[#This Row],[Kor1]],$AI$3:$AK$105,3,FALSE)</f>
        <v>Investment Impairments</v>
      </c>
      <c r="X7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7963"/>
      <c r="Z7963" t="s">
        <v>49</v>
      </c>
      <c r="AA7963" t="s">
        <v>235</v>
      </c>
      <c r="AB7963" t="s">
        <v>433</v>
      </c>
      <c r="AC7963" s="21">
        <v>3028.5</v>
      </c>
      <c r="AD7963" s="21" t="s">
        <v>368</v>
      </c>
      <c r="AE7963" t="str">
        <f>VLOOKUP(Table_Query_from_Actuarial___Production3[[#This Row],[Kor1]],$AI$3:$AK$105,3,FALSE)</f>
        <v>ALAE Paid</v>
      </c>
      <c r="AF7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4" spans="18:32" x14ac:dyDescent="0.2">
      <c r="R7964" t="s">
        <v>13</v>
      </c>
      <c r="S7964" t="s">
        <v>244</v>
      </c>
      <c r="T7964" t="s">
        <v>445</v>
      </c>
      <c r="U7964" s="21">
        <v>380339.04</v>
      </c>
      <c r="V7964" s="21" t="s">
        <v>368</v>
      </c>
      <c r="W7964" t="str">
        <f>VLOOKUP(Table_Query_from_Actuarial___Production[[#This Row],[Kor1]],$AI$3:$AK$105,3,FALSE)</f>
        <v>Operating Service Fees</v>
      </c>
      <c r="X7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4"/>
      <c r="Z7964" t="s">
        <v>50</v>
      </c>
      <c r="AA7964" t="s">
        <v>239</v>
      </c>
      <c r="AB7964" t="s">
        <v>441</v>
      </c>
      <c r="AC7964" s="21">
        <v>364030.85</v>
      </c>
      <c r="AD7964" s="21" t="s">
        <v>368</v>
      </c>
      <c r="AE7964" t="str">
        <f>VLOOKUP(Table_Query_from_Actuarial___Production3[[#This Row],[Kor1]],$AI$3:$AK$105,3,FALSE)</f>
        <v>ALAE Reserve</v>
      </c>
      <c r="AF7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5" spans="18:32" x14ac:dyDescent="0.2">
      <c r="R7965" t="s">
        <v>17</v>
      </c>
      <c r="S7965" t="s">
        <v>267</v>
      </c>
      <c r="T7965" t="s">
        <v>443</v>
      </c>
      <c r="U7965" s="21">
        <v>312018.51</v>
      </c>
      <c r="V7965" s="21" t="s">
        <v>368</v>
      </c>
      <c r="W7965" t="str">
        <f>VLOOKUP(Table_Query_from_Actuarial___Production[[#This Row],[Kor1]],$AI$3:$AK$105,3,FALSE)</f>
        <v>IBNR</v>
      </c>
      <c r="X7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5"/>
      <c r="Z7965" t="s">
        <v>47</v>
      </c>
      <c r="AA7965" t="s">
        <v>228</v>
      </c>
      <c r="AB7965" t="s">
        <v>8</v>
      </c>
      <c r="AC7965" s="21">
        <v>0.2</v>
      </c>
      <c r="AD7965" s="21" t="s">
        <v>368</v>
      </c>
      <c r="AE7965" t="str">
        <f>VLOOKUP(Table_Query_from_Actuarial___Production3[[#This Row],[Kor1]],$AI$3:$AK$105,3,FALSE)</f>
        <v>Investment Income</v>
      </c>
      <c r="AF7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6" spans="18:32" x14ac:dyDescent="0.2">
      <c r="R7966" t="s">
        <v>48</v>
      </c>
      <c r="S7966" t="s">
        <v>252</v>
      </c>
      <c r="T7966" t="s">
        <v>427</v>
      </c>
      <c r="U7966" s="21">
        <v>12492.26</v>
      </c>
      <c r="V7966" s="21" t="s">
        <v>368</v>
      </c>
      <c r="W7966" t="str">
        <f>VLOOKUP(Table_Query_from_Actuarial___Production[[#This Row],[Kor1]],$AI$3:$AK$105,3,FALSE)</f>
        <v>Anticipated Salvage</v>
      </c>
      <c r="X7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6"/>
      <c r="Z7966" t="s">
        <v>48</v>
      </c>
      <c r="AA7966" t="s">
        <v>253</v>
      </c>
      <c r="AB7966" t="s">
        <v>442</v>
      </c>
      <c r="AC7966" s="21">
        <v>10.14</v>
      </c>
      <c r="AD7966" s="21" t="s">
        <v>368</v>
      </c>
      <c r="AE7966" t="str">
        <f>VLOOKUP(Table_Query_from_Actuarial___Production3[[#This Row],[Kor1]],$AI$3:$AK$105,3,FALSE)</f>
        <v>Anticipated Salvage</v>
      </c>
      <c r="AF7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7" spans="18:32" x14ac:dyDescent="0.2">
      <c r="R7967" t="s">
        <v>40</v>
      </c>
      <c r="S7967" t="s">
        <v>259</v>
      </c>
      <c r="T7967" t="s">
        <v>442</v>
      </c>
      <c r="U7967" s="21">
        <v>51</v>
      </c>
      <c r="V7967" s="21" t="s">
        <v>368</v>
      </c>
      <c r="W7967" t="str">
        <f>VLOOKUP(Table_Query_from_Actuarial___Production[[#This Row],[Kor1]],$AI$3:$AK$105,3,FALSE)</f>
        <v>Misc. Income</v>
      </c>
      <c r="X7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7"/>
      <c r="Z7967" t="s">
        <v>47</v>
      </c>
      <c r="AA7967" t="s">
        <v>230</v>
      </c>
      <c r="AB7967" t="s">
        <v>9</v>
      </c>
      <c r="AC7967" s="21">
        <v>7170.76</v>
      </c>
      <c r="AD7967" s="21" t="s">
        <v>368</v>
      </c>
      <c r="AE7967" t="str">
        <f>VLOOKUP(Table_Query_from_Actuarial___Production3[[#This Row],[Kor1]],$AI$3:$AK$105,3,FALSE)</f>
        <v>Investment Income</v>
      </c>
      <c r="AF7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8" spans="18:32" x14ac:dyDescent="0.2">
      <c r="R7968" t="s">
        <v>3</v>
      </c>
      <c r="S7968" t="s">
        <v>233</v>
      </c>
      <c r="T7968" t="s">
        <v>443</v>
      </c>
      <c r="U7968" s="21">
        <v>1371328</v>
      </c>
      <c r="V7968" s="21" t="s">
        <v>368</v>
      </c>
      <c r="W7968" t="str">
        <f>VLOOKUP(Table_Query_from_Actuarial___Production[[#This Row],[Kor1]],$AI$3:$AK$105,3,FALSE)</f>
        <v>Premiums Written</v>
      </c>
      <c r="X7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8"/>
      <c r="Z7968" t="s">
        <v>13</v>
      </c>
      <c r="AA7968" t="s">
        <v>265</v>
      </c>
      <c r="AB7968" t="s">
        <v>9</v>
      </c>
      <c r="AC7968" s="21">
        <v>126947.87</v>
      </c>
      <c r="AD7968" s="21" t="s">
        <v>368</v>
      </c>
      <c r="AE7968" t="str">
        <f>VLOOKUP(Table_Query_from_Actuarial___Production3[[#This Row],[Kor1]],$AI$3:$AK$105,3,FALSE)</f>
        <v>Operating Service Fees</v>
      </c>
      <c r="AF7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69" spans="18:32" x14ac:dyDescent="0.2">
      <c r="R7969" t="s">
        <v>20</v>
      </c>
      <c r="S7969" t="s">
        <v>257</v>
      </c>
      <c r="T7969" t="s">
        <v>427</v>
      </c>
      <c r="U7969" s="21">
        <v>599.44000000000005</v>
      </c>
      <c r="V7969" s="21" t="s">
        <v>368</v>
      </c>
      <c r="W7969" t="str">
        <f>VLOOKUP(Table_Query_from_Actuarial___Production[[#This Row],[Kor1]],$AI$3:$AK$105,3,FALSE)</f>
        <v>Misc. Expense</v>
      </c>
      <c r="X7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69"/>
      <c r="Z7969" t="s">
        <v>43</v>
      </c>
      <c r="AA7969" t="s">
        <v>246</v>
      </c>
      <c r="AB7969" t="s">
        <v>5</v>
      </c>
      <c r="AC7969" s="21">
        <v>8.9</v>
      </c>
      <c r="AD7969" s="21" t="s">
        <v>368</v>
      </c>
      <c r="AE7969" t="str">
        <f>VLOOKUP(Table_Query_from_Actuarial___Production3[[#This Row],[Kor1]],$AI$3:$AK$105,3,FALSE)</f>
        <v>Charge-offs</v>
      </c>
      <c r="AF7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0" spans="18:32" x14ac:dyDescent="0.2">
      <c r="R7970" t="s">
        <v>107</v>
      </c>
      <c r="S7970" t="s">
        <v>250</v>
      </c>
      <c r="T7970" t="s">
        <v>351</v>
      </c>
      <c r="U7970" s="21">
        <v>-0.4</v>
      </c>
      <c r="V7970" s="21" t="s">
        <v>368</v>
      </c>
      <c r="W7970" t="str">
        <f>VLOOKUP(Table_Query_from_Actuarial___Production[[#This Row],[Kor1]],$AI$3:$AK$105,3,FALSE)</f>
        <v>Misc. Expense</v>
      </c>
      <c r="X7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0"/>
      <c r="Z7970" t="s">
        <v>147</v>
      </c>
      <c r="AA7970" t="s">
        <v>354</v>
      </c>
      <c r="AB7970" t="s">
        <v>356</v>
      </c>
      <c r="AC7970" s="21">
        <v>1387422.47</v>
      </c>
      <c r="AD7970" s="21" t="s">
        <v>369</v>
      </c>
      <c r="AE7970" t="str">
        <f>VLOOKUP(Table_Query_from_Actuarial___Production3[[#This Row],[Kor1]],$AI$3:$AK$105,3,FALSE)</f>
        <v>Investment Impairments</v>
      </c>
      <c r="AF7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7971" spans="18:32" x14ac:dyDescent="0.2">
      <c r="R7971" t="s">
        <v>43</v>
      </c>
      <c r="S7971" t="s">
        <v>265</v>
      </c>
      <c r="T7971" t="s">
        <v>443</v>
      </c>
      <c r="U7971" s="21">
        <v>-1697.15</v>
      </c>
      <c r="V7971" s="21" t="s">
        <v>368</v>
      </c>
      <c r="W7971" t="str">
        <f>VLOOKUP(Table_Query_from_Actuarial___Production[[#This Row],[Kor1]],$AI$3:$AK$105,3,FALSE)</f>
        <v>Charge-offs</v>
      </c>
      <c r="X7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1"/>
      <c r="Z7971" t="s">
        <v>17</v>
      </c>
      <c r="AA7971" t="s">
        <v>267</v>
      </c>
      <c r="AB7971" t="s">
        <v>443</v>
      </c>
      <c r="AC7971" s="21">
        <v>302705.06</v>
      </c>
      <c r="AD7971" s="21" t="s">
        <v>368</v>
      </c>
      <c r="AE7971" t="str">
        <f>VLOOKUP(Table_Query_from_Actuarial___Production3[[#This Row],[Kor1]],$AI$3:$AK$105,3,FALSE)</f>
        <v>IBNR</v>
      </c>
      <c r="AF7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2" spans="18:32" x14ac:dyDescent="0.2">
      <c r="R7972" t="s">
        <v>14</v>
      </c>
      <c r="S7972" t="s">
        <v>237</v>
      </c>
      <c r="T7972" t="s">
        <v>7</v>
      </c>
      <c r="U7972" s="21">
        <v>541333.07999999996</v>
      </c>
      <c r="V7972" s="21" t="s">
        <v>368</v>
      </c>
      <c r="W7972" t="str">
        <f>VLOOKUP(Table_Query_from_Actuarial___Production[[#This Row],[Kor1]],$AI$3:$AK$105,3,FALSE)</f>
        <v>Claims Expense</v>
      </c>
      <c r="X7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2"/>
      <c r="Z7972" t="s">
        <v>48</v>
      </c>
      <c r="AA7972" t="s">
        <v>252</v>
      </c>
      <c r="AB7972" t="s">
        <v>427</v>
      </c>
      <c r="AC7972" s="21">
        <v>33313.839999999997</v>
      </c>
      <c r="AD7972" s="21" t="s">
        <v>368</v>
      </c>
      <c r="AE7972" t="str">
        <f>VLOOKUP(Table_Query_from_Actuarial___Production3[[#This Row],[Kor1]],$AI$3:$AK$105,3,FALSE)</f>
        <v>Anticipated Salvage</v>
      </c>
      <c r="AF7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3" spans="18:32" x14ac:dyDescent="0.2">
      <c r="R7973" t="s">
        <v>47</v>
      </c>
      <c r="S7973" t="s">
        <v>234</v>
      </c>
      <c r="T7973" t="s">
        <v>8</v>
      </c>
      <c r="U7973" s="21">
        <v>0.08</v>
      </c>
      <c r="V7973" s="21" t="s">
        <v>368</v>
      </c>
      <c r="W7973" t="str">
        <f>VLOOKUP(Table_Query_from_Actuarial___Production[[#This Row],[Kor1]],$AI$3:$AK$105,3,FALSE)</f>
        <v>Investment Income</v>
      </c>
      <c r="X7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3"/>
      <c r="Z7973" t="s">
        <v>40</v>
      </c>
      <c r="AA7973" t="s">
        <v>259</v>
      </c>
      <c r="AB7973" t="s">
        <v>442</v>
      </c>
      <c r="AC7973" s="21">
        <v>51</v>
      </c>
      <c r="AD7973" s="21" t="s">
        <v>368</v>
      </c>
      <c r="AE7973" t="str">
        <f>VLOOKUP(Table_Query_from_Actuarial___Production3[[#This Row],[Kor1]],$AI$3:$AK$105,3,FALSE)</f>
        <v>Misc. Income</v>
      </c>
      <c r="AF7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4" spans="18:32" x14ac:dyDescent="0.2">
      <c r="R7974" t="s">
        <v>17</v>
      </c>
      <c r="S7974" t="s">
        <v>259</v>
      </c>
      <c r="T7974" t="s">
        <v>441</v>
      </c>
      <c r="U7974" s="21">
        <v>3372.43</v>
      </c>
      <c r="V7974" s="21" t="s">
        <v>368</v>
      </c>
      <c r="W7974" t="str">
        <f>VLOOKUP(Table_Query_from_Actuarial___Production[[#This Row],[Kor1]],$AI$3:$AK$105,3,FALSE)</f>
        <v>IBNR</v>
      </c>
      <c r="X7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4"/>
      <c r="Z7974" t="s">
        <v>3</v>
      </c>
      <c r="AA7974" t="s">
        <v>233</v>
      </c>
      <c r="AB7974" t="s">
        <v>443</v>
      </c>
      <c r="AC7974" s="21">
        <v>397634</v>
      </c>
      <c r="AD7974" s="21" t="s">
        <v>368</v>
      </c>
      <c r="AE7974" t="str">
        <f>VLOOKUP(Table_Query_from_Actuarial___Production3[[#This Row],[Kor1]],$AI$3:$AK$105,3,FALSE)</f>
        <v>Premiums Written</v>
      </c>
      <c r="AF7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5" spans="18:32" x14ac:dyDescent="0.2">
      <c r="R7975" t="s">
        <v>13</v>
      </c>
      <c r="S7975" t="s">
        <v>263</v>
      </c>
      <c r="T7975" t="s">
        <v>441</v>
      </c>
      <c r="U7975" s="21">
        <v>98404.54</v>
      </c>
      <c r="V7975" s="21" t="s">
        <v>368</v>
      </c>
      <c r="W7975" t="str">
        <f>VLOOKUP(Table_Query_from_Actuarial___Production[[#This Row],[Kor1]],$AI$3:$AK$105,3,FALSE)</f>
        <v>Operating Service Fees</v>
      </c>
      <c r="X7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5"/>
      <c r="Z7975" t="s">
        <v>20</v>
      </c>
      <c r="AA7975" t="s">
        <v>257</v>
      </c>
      <c r="AB7975" t="s">
        <v>427</v>
      </c>
      <c r="AC7975" s="21">
        <v>599.44000000000005</v>
      </c>
      <c r="AD7975" s="21" t="s">
        <v>368</v>
      </c>
      <c r="AE7975" t="str">
        <f>VLOOKUP(Table_Query_from_Actuarial___Production3[[#This Row],[Kor1]],$AI$3:$AK$105,3,FALSE)</f>
        <v>Misc. Expense</v>
      </c>
      <c r="AF7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6" spans="18:32" x14ac:dyDescent="0.2">
      <c r="R7976" t="s">
        <v>19</v>
      </c>
      <c r="S7976" t="s">
        <v>228</v>
      </c>
      <c r="T7976" t="s">
        <v>351</v>
      </c>
      <c r="U7976" s="21">
        <v>851.01</v>
      </c>
      <c r="V7976" s="21" t="s">
        <v>368</v>
      </c>
      <c r="W7976" t="str">
        <f>VLOOKUP(Table_Query_from_Actuarial___Production[[#This Row],[Kor1]],$AI$3:$AK$105,3,FALSE)</f>
        <v>Misc. Expense for Insolvent Companies</v>
      </c>
      <c r="X7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6"/>
      <c r="Z7976" t="s">
        <v>107</v>
      </c>
      <c r="AA7976" t="s">
        <v>250</v>
      </c>
      <c r="AB7976" t="s">
        <v>351</v>
      </c>
      <c r="AC7976" s="21">
        <v>-0.4</v>
      </c>
      <c r="AD7976" s="21" t="s">
        <v>368</v>
      </c>
      <c r="AE7976" t="str">
        <f>VLOOKUP(Table_Query_from_Actuarial___Production3[[#This Row],[Kor1]],$AI$3:$AK$105,3,FALSE)</f>
        <v>Misc. Expense</v>
      </c>
      <c r="AF7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7" spans="18:32" x14ac:dyDescent="0.2">
      <c r="R7977" t="s">
        <v>19</v>
      </c>
      <c r="S7977" t="s">
        <v>238</v>
      </c>
      <c r="T7977" t="s">
        <v>6</v>
      </c>
      <c r="U7977" s="21">
        <v>87</v>
      </c>
      <c r="V7977" s="21" t="s">
        <v>368</v>
      </c>
      <c r="W7977" t="str">
        <f>VLOOKUP(Table_Query_from_Actuarial___Production[[#This Row],[Kor1]],$AI$3:$AK$105,3,FALSE)</f>
        <v>Misc. Expense for Insolvent Companies</v>
      </c>
      <c r="X7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7"/>
      <c r="Z7977" t="s">
        <v>43</v>
      </c>
      <c r="AA7977" t="s">
        <v>265</v>
      </c>
      <c r="AB7977" t="s">
        <v>443</v>
      </c>
      <c r="AC7977" s="21">
        <v>1458.67</v>
      </c>
      <c r="AD7977" s="21" t="s">
        <v>368</v>
      </c>
      <c r="AE7977" t="str">
        <f>VLOOKUP(Table_Query_from_Actuarial___Production3[[#This Row],[Kor1]],$AI$3:$AK$105,3,FALSE)</f>
        <v>Charge-offs</v>
      </c>
      <c r="AF7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8" spans="18:32" x14ac:dyDescent="0.2">
      <c r="R7978" t="s">
        <v>20</v>
      </c>
      <c r="S7978" t="s">
        <v>252</v>
      </c>
      <c r="T7978" t="s">
        <v>442</v>
      </c>
      <c r="U7978" s="21">
        <v>3211.58</v>
      </c>
      <c r="V7978" s="21" t="s">
        <v>368</v>
      </c>
      <c r="W7978" t="str">
        <f>VLOOKUP(Table_Query_from_Actuarial___Production[[#This Row],[Kor1]],$AI$3:$AK$105,3,FALSE)</f>
        <v>Misc. Expense</v>
      </c>
      <c r="X7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8"/>
      <c r="Z7978" t="s">
        <v>14</v>
      </c>
      <c r="AA7978" t="s">
        <v>237</v>
      </c>
      <c r="AB7978" t="s">
        <v>7</v>
      </c>
      <c r="AC7978" s="21">
        <v>541333.07999999996</v>
      </c>
      <c r="AD7978" s="21" t="s">
        <v>368</v>
      </c>
      <c r="AE7978" t="str">
        <f>VLOOKUP(Table_Query_from_Actuarial___Production3[[#This Row],[Kor1]],$AI$3:$AK$105,3,FALSE)</f>
        <v>Claims Expense</v>
      </c>
      <c r="AF7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79" spans="18:32" x14ac:dyDescent="0.2">
      <c r="R7979" t="s">
        <v>33</v>
      </c>
      <c r="S7979" t="s">
        <v>247</v>
      </c>
      <c r="T7979" t="s">
        <v>433</v>
      </c>
      <c r="U7979" s="21">
        <v>10658.15</v>
      </c>
      <c r="V7979" s="21" t="s">
        <v>368</v>
      </c>
      <c r="W7979" t="str">
        <f>VLOOKUP(Table_Query_from_Actuarial___Production[[#This Row],[Kor1]],$AI$3:$AK$105,3,FALSE)</f>
        <v>Misc. Expense</v>
      </c>
      <c r="X7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79"/>
      <c r="Z7979" t="s">
        <v>47</v>
      </c>
      <c r="AA7979" t="s">
        <v>234</v>
      </c>
      <c r="AB7979" t="s">
        <v>8</v>
      </c>
      <c r="AC7979" s="21">
        <v>0.08</v>
      </c>
      <c r="AD7979" s="21" t="s">
        <v>368</v>
      </c>
      <c r="AE7979" t="str">
        <f>VLOOKUP(Table_Query_from_Actuarial___Production3[[#This Row],[Kor1]],$AI$3:$AK$105,3,FALSE)</f>
        <v>Investment Income</v>
      </c>
      <c r="AF7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0" spans="18:32" x14ac:dyDescent="0.2">
      <c r="R7980" t="s">
        <v>14</v>
      </c>
      <c r="S7980" t="s">
        <v>226</v>
      </c>
      <c r="T7980" t="s">
        <v>443</v>
      </c>
      <c r="U7980" s="21">
        <v>498969.45</v>
      </c>
      <c r="V7980" s="21" t="s">
        <v>368</v>
      </c>
      <c r="W7980" t="str">
        <f>VLOOKUP(Table_Query_from_Actuarial___Production[[#This Row],[Kor1]],$AI$3:$AK$105,3,FALSE)</f>
        <v>Claims Expense</v>
      </c>
      <c r="X7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7980"/>
      <c r="Z7980" t="s">
        <v>17</v>
      </c>
      <c r="AA7980" t="s">
        <v>259</v>
      </c>
      <c r="AB7980" t="s">
        <v>441</v>
      </c>
      <c r="AC7980" s="21">
        <v>4487.74</v>
      </c>
      <c r="AD7980" s="21" t="s">
        <v>368</v>
      </c>
      <c r="AE7980" t="str">
        <f>VLOOKUP(Table_Query_from_Actuarial___Production3[[#This Row],[Kor1]],$AI$3:$AK$105,3,FALSE)</f>
        <v>IBNR</v>
      </c>
      <c r="AF7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1" spans="18:32" x14ac:dyDescent="0.2">
      <c r="R7981" t="s">
        <v>11</v>
      </c>
      <c r="S7981" t="s">
        <v>243</v>
      </c>
      <c r="T7981" t="s">
        <v>443</v>
      </c>
      <c r="U7981" s="21">
        <v>24225.96</v>
      </c>
      <c r="V7981" s="21" t="s">
        <v>368</v>
      </c>
      <c r="W7981" t="str">
        <f>VLOOKUP(Table_Query_from_Actuarial___Production[[#This Row],[Kor1]],$AI$3:$AK$105,3,FALSE)</f>
        <v>Losses Paid</v>
      </c>
      <c r="X7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1"/>
      <c r="Z7981" t="s">
        <v>12</v>
      </c>
      <c r="AA7981" t="s">
        <v>239</v>
      </c>
      <c r="AB7981" t="s">
        <v>5</v>
      </c>
      <c r="AC7981" s="21">
        <v>325.51</v>
      </c>
      <c r="AD7981" s="21" t="s">
        <v>368</v>
      </c>
      <c r="AE7981" t="str">
        <f>VLOOKUP(Table_Query_from_Actuarial___Production3[[#This Row],[Kor1]],$AI$3:$AK$105,3,FALSE)</f>
        <v>Premium Tax</v>
      </c>
      <c r="AF7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2" spans="18:32" x14ac:dyDescent="0.2">
      <c r="R7982" t="s">
        <v>47</v>
      </c>
      <c r="S7982" t="s">
        <v>4</v>
      </c>
      <c r="T7982" t="s">
        <v>9</v>
      </c>
      <c r="U7982" s="21">
        <v>8398.75</v>
      </c>
      <c r="V7982" s="21" t="s">
        <v>368</v>
      </c>
      <c r="W7982" t="str">
        <f>VLOOKUP(Table_Query_from_Actuarial___Production[[#This Row],[Kor1]],$AI$3:$AK$105,3,FALSE)</f>
        <v>Investment Income</v>
      </c>
      <c r="X7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2"/>
      <c r="Z7982" t="s">
        <v>13</v>
      </c>
      <c r="AA7982" t="s">
        <v>263</v>
      </c>
      <c r="AB7982" t="s">
        <v>441</v>
      </c>
      <c r="AC7982" s="21">
        <v>98404.54</v>
      </c>
      <c r="AD7982" s="21" t="s">
        <v>368</v>
      </c>
      <c r="AE7982" t="str">
        <f>VLOOKUP(Table_Query_from_Actuarial___Production3[[#This Row],[Kor1]],$AI$3:$AK$105,3,FALSE)</f>
        <v>Operating Service Fees</v>
      </c>
      <c r="AF7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3" spans="18:32" x14ac:dyDescent="0.2">
      <c r="R7983" t="s">
        <v>12</v>
      </c>
      <c r="S7983" t="s">
        <v>233</v>
      </c>
      <c r="T7983" t="s">
        <v>433</v>
      </c>
      <c r="U7983" s="21">
        <v>19129.080000000002</v>
      </c>
      <c r="V7983" s="21" t="s">
        <v>368</v>
      </c>
      <c r="W7983" t="str">
        <f>VLOOKUP(Table_Query_from_Actuarial___Production[[#This Row],[Kor1]],$AI$3:$AK$105,3,FALSE)</f>
        <v>Premium Tax</v>
      </c>
      <c r="X7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3"/>
      <c r="Z7983" t="s">
        <v>19</v>
      </c>
      <c r="AA7983" t="s">
        <v>228</v>
      </c>
      <c r="AB7983" t="s">
        <v>351</v>
      </c>
      <c r="AC7983" s="21">
        <v>851.01</v>
      </c>
      <c r="AD7983" s="21" t="s">
        <v>368</v>
      </c>
      <c r="AE7983" t="str">
        <f>VLOOKUP(Table_Query_from_Actuarial___Production3[[#This Row],[Kor1]],$AI$3:$AK$105,3,FALSE)</f>
        <v>Misc. Expense for Insolvent Companies</v>
      </c>
      <c r="AF7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4" spans="18:32" x14ac:dyDescent="0.2">
      <c r="R7984" t="s">
        <v>40</v>
      </c>
      <c r="S7984" t="s">
        <v>261</v>
      </c>
      <c r="T7984" t="s">
        <v>9</v>
      </c>
      <c r="U7984" s="21">
        <v>102</v>
      </c>
      <c r="V7984" s="21" t="s">
        <v>368</v>
      </c>
      <c r="W7984" t="str">
        <f>VLOOKUP(Table_Query_from_Actuarial___Production[[#This Row],[Kor1]],$AI$3:$AK$105,3,FALSE)</f>
        <v>Misc. Income</v>
      </c>
      <c r="X7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4"/>
      <c r="Z7984" t="s">
        <v>19</v>
      </c>
      <c r="AA7984" t="s">
        <v>238</v>
      </c>
      <c r="AB7984" t="s">
        <v>6</v>
      </c>
      <c r="AC7984" s="21">
        <v>87</v>
      </c>
      <c r="AD7984" s="21" t="s">
        <v>368</v>
      </c>
      <c r="AE7984" t="str">
        <f>VLOOKUP(Table_Query_from_Actuarial___Production3[[#This Row],[Kor1]],$AI$3:$AK$105,3,FALSE)</f>
        <v>Misc. Expense for Insolvent Companies</v>
      </c>
      <c r="AF7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5" spans="18:32" x14ac:dyDescent="0.2">
      <c r="R7985" t="s">
        <v>43</v>
      </c>
      <c r="S7985" t="s">
        <v>249</v>
      </c>
      <c r="T7985" t="s">
        <v>9</v>
      </c>
      <c r="U7985" s="21">
        <v>353.88</v>
      </c>
      <c r="V7985" s="21" t="s">
        <v>368</v>
      </c>
      <c r="W7985" t="str">
        <f>VLOOKUP(Table_Query_from_Actuarial___Production[[#This Row],[Kor1]],$AI$3:$AK$105,3,FALSE)</f>
        <v>Charge-offs</v>
      </c>
      <c r="X7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5"/>
      <c r="Z7985" t="s">
        <v>20</v>
      </c>
      <c r="AA7985" t="s">
        <v>252</v>
      </c>
      <c r="AB7985" t="s">
        <v>442</v>
      </c>
      <c r="AC7985" s="21">
        <v>3211.58</v>
      </c>
      <c r="AD7985" s="21" t="s">
        <v>368</v>
      </c>
      <c r="AE7985" t="str">
        <f>VLOOKUP(Table_Query_from_Actuarial___Production3[[#This Row],[Kor1]],$AI$3:$AK$105,3,FALSE)</f>
        <v>Misc. Expense</v>
      </c>
      <c r="AF7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6" spans="18:32" x14ac:dyDescent="0.2">
      <c r="R7986" t="s">
        <v>46</v>
      </c>
      <c r="S7986" t="s">
        <v>224</v>
      </c>
      <c r="T7986" t="s">
        <v>442</v>
      </c>
      <c r="U7986" s="21">
        <v>28084.75</v>
      </c>
      <c r="V7986" s="21" t="s">
        <v>368</v>
      </c>
      <c r="W7986" t="str">
        <f>VLOOKUP(Table_Query_from_Actuarial___Production[[#This Row],[Kor1]],$AI$3:$AK$105,3,FALSE)</f>
        <v>Investment Income</v>
      </c>
      <c r="X7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7986"/>
      <c r="Z7986" t="s">
        <v>41</v>
      </c>
      <c r="AA7986" t="s">
        <v>267</v>
      </c>
      <c r="AB7986" t="s">
        <v>5</v>
      </c>
      <c r="AC7986" s="21">
        <v>339.54</v>
      </c>
      <c r="AD7986" s="21" t="s">
        <v>368</v>
      </c>
      <c r="AE7986" t="str">
        <f>VLOOKUP(Table_Query_from_Actuarial___Production3[[#This Row],[Kor1]],$AI$3:$AK$105,3,FALSE)</f>
        <v>Misc. Income</v>
      </c>
      <c r="AF7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7" spans="18:32" x14ac:dyDescent="0.2">
      <c r="R7987" t="s">
        <v>10</v>
      </c>
      <c r="S7987" t="s">
        <v>4</v>
      </c>
      <c r="T7987" t="s">
        <v>8</v>
      </c>
      <c r="U7987" s="21">
        <v>1512901.43</v>
      </c>
      <c r="V7987" s="21" t="s">
        <v>368</v>
      </c>
      <c r="W7987" t="str">
        <f>VLOOKUP(Table_Query_from_Actuarial___Production[[#This Row],[Kor1]],$AI$3:$AK$105,3,FALSE)</f>
        <v>Commissions</v>
      </c>
      <c r="X7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7"/>
      <c r="Z7987" t="s">
        <v>33</v>
      </c>
      <c r="AA7987" t="s">
        <v>247</v>
      </c>
      <c r="AB7987" t="s">
        <v>433</v>
      </c>
      <c r="AC7987" s="21">
        <v>10658.15</v>
      </c>
      <c r="AD7987" s="21" t="s">
        <v>368</v>
      </c>
      <c r="AE7987" t="str">
        <f>VLOOKUP(Table_Query_from_Actuarial___Production3[[#This Row],[Kor1]],$AI$3:$AK$105,3,FALSE)</f>
        <v>Misc. Expense</v>
      </c>
      <c r="AF7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88" spans="18:32" x14ac:dyDescent="0.2">
      <c r="R7988" t="s">
        <v>50</v>
      </c>
      <c r="S7988" t="s">
        <v>240</v>
      </c>
      <c r="T7988" t="s">
        <v>356</v>
      </c>
      <c r="U7988" s="21">
        <v>22888.91</v>
      </c>
      <c r="V7988" s="21" t="s">
        <v>368</v>
      </c>
      <c r="W7988" t="str">
        <f>VLOOKUP(Table_Query_from_Actuarial___Production[[#This Row],[Kor1]],$AI$3:$AK$105,3,FALSE)</f>
        <v>ALAE Reserve</v>
      </c>
      <c r="X7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88"/>
      <c r="Z7988" t="s">
        <v>14</v>
      </c>
      <c r="AA7988" t="s">
        <v>226</v>
      </c>
      <c r="AB7988" t="s">
        <v>443</v>
      </c>
      <c r="AC7988" s="21">
        <v>175451.54</v>
      </c>
      <c r="AD7988" s="21" t="s">
        <v>368</v>
      </c>
      <c r="AE7988" t="str">
        <f>VLOOKUP(Table_Query_from_Actuarial___Production3[[#This Row],[Kor1]],$AI$3:$AK$105,3,FALSE)</f>
        <v>Claims Expense</v>
      </c>
      <c r="AF7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7989" spans="18:32" x14ac:dyDescent="0.2">
      <c r="R7989" t="s">
        <v>15</v>
      </c>
      <c r="S7989" t="s">
        <v>225</v>
      </c>
      <c r="T7989" t="s">
        <v>445</v>
      </c>
      <c r="U7989" s="21">
        <v>414697.61</v>
      </c>
      <c r="V7989" s="21" t="s">
        <v>368</v>
      </c>
      <c r="W7989" t="str">
        <f>VLOOKUP(Table_Query_from_Actuarial___Production[[#This Row],[Kor1]],$AI$3:$AK$105,3,FALSE)</f>
        <v>Unearned Premiums</v>
      </c>
      <c r="X7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7989"/>
      <c r="Z7989" t="s">
        <v>47</v>
      </c>
      <c r="AA7989" t="s">
        <v>4</v>
      </c>
      <c r="AB7989" t="s">
        <v>9</v>
      </c>
      <c r="AC7989" s="21">
        <v>8398.75</v>
      </c>
      <c r="AD7989" s="21" t="s">
        <v>368</v>
      </c>
      <c r="AE7989" t="str">
        <f>VLOOKUP(Table_Query_from_Actuarial___Production3[[#This Row],[Kor1]],$AI$3:$AK$105,3,FALSE)</f>
        <v>Investment Income</v>
      </c>
      <c r="AF7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0" spans="18:32" x14ac:dyDescent="0.2">
      <c r="R7990" t="s">
        <v>10</v>
      </c>
      <c r="S7990" t="s">
        <v>264</v>
      </c>
      <c r="T7990" t="s">
        <v>356</v>
      </c>
      <c r="U7990" s="21">
        <v>76595.25</v>
      </c>
      <c r="V7990" s="21" t="s">
        <v>368</v>
      </c>
      <c r="W7990" t="str">
        <f>VLOOKUP(Table_Query_from_Actuarial___Production[[#This Row],[Kor1]],$AI$3:$AK$105,3,FALSE)</f>
        <v>Commissions</v>
      </c>
      <c r="X7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0"/>
      <c r="Z7990" t="s">
        <v>12</v>
      </c>
      <c r="AA7990" t="s">
        <v>233</v>
      </c>
      <c r="AB7990" t="s">
        <v>433</v>
      </c>
      <c r="AC7990" s="21">
        <v>19129.080000000002</v>
      </c>
      <c r="AD7990" s="21" t="s">
        <v>368</v>
      </c>
      <c r="AE7990" t="str">
        <f>VLOOKUP(Table_Query_from_Actuarial___Production3[[#This Row],[Kor1]],$AI$3:$AK$105,3,FALSE)</f>
        <v>Premium Tax</v>
      </c>
      <c r="AF7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1" spans="18:32" x14ac:dyDescent="0.2">
      <c r="R7991" t="s">
        <v>47</v>
      </c>
      <c r="S7991" t="s">
        <v>237</v>
      </c>
      <c r="T7991" t="s">
        <v>8</v>
      </c>
      <c r="U7991" s="21">
        <v>0.16</v>
      </c>
      <c r="V7991" s="21" t="s">
        <v>368</v>
      </c>
      <c r="W7991" t="str">
        <f>VLOOKUP(Table_Query_from_Actuarial___Production[[#This Row],[Kor1]],$AI$3:$AK$105,3,FALSE)</f>
        <v>Investment Income</v>
      </c>
      <c r="X7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1"/>
      <c r="Z7991" t="s">
        <v>40</v>
      </c>
      <c r="AA7991" t="s">
        <v>261</v>
      </c>
      <c r="AB7991" t="s">
        <v>9</v>
      </c>
      <c r="AC7991" s="21">
        <v>102</v>
      </c>
      <c r="AD7991" s="21" t="s">
        <v>368</v>
      </c>
      <c r="AE7991" t="str">
        <f>VLOOKUP(Table_Query_from_Actuarial___Production3[[#This Row],[Kor1]],$AI$3:$AK$105,3,FALSE)</f>
        <v>Misc. Income</v>
      </c>
      <c r="AF7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2" spans="18:32" x14ac:dyDescent="0.2">
      <c r="R7992" t="s">
        <v>40</v>
      </c>
      <c r="S7992" t="s">
        <v>231</v>
      </c>
      <c r="T7992" t="s">
        <v>442</v>
      </c>
      <c r="U7992" s="21">
        <v>469.01</v>
      </c>
      <c r="V7992" s="21" t="s">
        <v>368</v>
      </c>
      <c r="W7992" t="str">
        <f>VLOOKUP(Table_Query_from_Actuarial___Production[[#This Row],[Kor1]],$AI$3:$AK$105,3,FALSE)</f>
        <v>Misc. Income</v>
      </c>
      <c r="X7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2"/>
      <c r="Z7992" t="s">
        <v>43</v>
      </c>
      <c r="AA7992" t="s">
        <v>249</v>
      </c>
      <c r="AB7992" t="s">
        <v>9</v>
      </c>
      <c r="AC7992" s="21">
        <v>353.88</v>
      </c>
      <c r="AD7992" s="21" t="s">
        <v>368</v>
      </c>
      <c r="AE7992" t="str">
        <f>VLOOKUP(Table_Query_from_Actuarial___Production3[[#This Row],[Kor1]],$AI$3:$AK$105,3,FALSE)</f>
        <v>Charge-offs</v>
      </c>
      <c r="AF7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3" spans="18:32" x14ac:dyDescent="0.2">
      <c r="R7993" t="s">
        <v>13</v>
      </c>
      <c r="S7993" t="s">
        <v>352</v>
      </c>
      <c r="T7993" t="s">
        <v>7</v>
      </c>
      <c r="U7993" s="21">
        <v>41958.28</v>
      </c>
      <c r="V7993" s="21" t="s">
        <v>369</v>
      </c>
      <c r="W7993" t="str">
        <f>VLOOKUP(Table_Query_from_Actuarial___Production[[#This Row],[Kor1]],$AI$3:$AK$105,3,FALSE)</f>
        <v>Operating Service Fees</v>
      </c>
      <c r="X7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7993"/>
      <c r="Z7993" t="s">
        <v>47</v>
      </c>
      <c r="AA7993" t="s">
        <v>238</v>
      </c>
      <c r="AB7993" t="s">
        <v>5</v>
      </c>
      <c r="AC7993" s="21">
        <v>6.52</v>
      </c>
      <c r="AD7993" s="21" t="s">
        <v>368</v>
      </c>
      <c r="AE7993" t="str">
        <f>VLOOKUP(Table_Query_from_Actuarial___Production3[[#This Row],[Kor1]],$AI$3:$AK$105,3,FALSE)</f>
        <v>Investment Income</v>
      </c>
      <c r="AF7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4" spans="18:32" x14ac:dyDescent="0.2">
      <c r="R7994" t="s">
        <v>16</v>
      </c>
      <c r="S7994" t="s">
        <v>237</v>
      </c>
      <c r="T7994" t="s">
        <v>356</v>
      </c>
      <c r="U7994" s="21">
        <v>1594920.82</v>
      </c>
      <c r="V7994" s="21" t="s">
        <v>368</v>
      </c>
      <c r="W7994" t="str">
        <f>VLOOKUP(Table_Query_from_Actuarial___Production[[#This Row],[Kor1]],$AI$3:$AK$105,3,FALSE)</f>
        <v>Losses Outstanding</v>
      </c>
      <c r="X7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4"/>
      <c r="Z7994" t="s">
        <v>46</v>
      </c>
      <c r="AA7994" t="s">
        <v>224</v>
      </c>
      <c r="AB7994" t="s">
        <v>442</v>
      </c>
      <c r="AC7994" s="21">
        <v>28084.75</v>
      </c>
      <c r="AD7994" s="21" t="s">
        <v>368</v>
      </c>
      <c r="AE7994" t="str">
        <f>VLOOKUP(Table_Query_from_Actuarial___Production3[[#This Row],[Kor1]],$AI$3:$AK$105,3,FALSE)</f>
        <v>Investment Income</v>
      </c>
      <c r="AF7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7995" spans="18:32" x14ac:dyDescent="0.2">
      <c r="R7995" t="s">
        <v>30</v>
      </c>
      <c r="S7995" t="s">
        <v>259</v>
      </c>
      <c r="T7995" t="s">
        <v>433</v>
      </c>
      <c r="U7995" s="21">
        <v>138.35</v>
      </c>
      <c r="V7995" s="21" t="s">
        <v>368</v>
      </c>
      <c r="W7995" t="str">
        <f>VLOOKUP(Table_Query_from_Actuarial___Production[[#This Row],[Kor1]],$AI$3:$AK$105,3,FALSE)</f>
        <v>Misc. Expense</v>
      </c>
      <c r="X7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5"/>
      <c r="Z7995" t="s">
        <v>10</v>
      </c>
      <c r="AA7995" t="s">
        <v>4</v>
      </c>
      <c r="AB7995" t="s">
        <v>8</v>
      </c>
      <c r="AC7995" s="21">
        <v>1512901.43</v>
      </c>
      <c r="AD7995" s="21" t="s">
        <v>368</v>
      </c>
      <c r="AE7995" t="str">
        <f>VLOOKUP(Table_Query_from_Actuarial___Production3[[#This Row],[Kor1]],$AI$3:$AK$105,3,FALSE)</f>
        <v>Commissions</v>
      </c>
      <c r="AF7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6" spans="18:32" x14ac:dyDescent="0.2">
      <c r="R7996" t="s">
        <v>37</v>
      </c>
      <c r="S7996" t="s">
        <v>244</v>
      </c>
      <c r="T7996" t="s">
        <v>351</v>
      </c>
      <c r="U7996" s="21">
        <v>1253.7</v>
      </c>
      <c r="V7996" s="21" t="s">
        <v>368</v>
      </c>
      <c r="W7996" t="str">
        <f>VLOOKUP(Table_Query_from_Actuarial___Production[[#This Row],[Kor1]],$AI$3:$AK$105,3,FALSE)</f>
        <v>Misc. Expense</v>
      </c>
      <c r="X7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6"/>
      <c r="Z7996" t="s">
        <v>50</v>
      </c>
      <c r="AA7996" t="s">
        <v>240</v>
      </c>
      <c r="AB7996" t="s">
        <v>356</v>
      </c>
      <c r="AC7996" s="21">
        <v>32379.46</v>
      </c>
      <c r="AD7996" s="21" t="s">
        <v>368</v>
      </c>
      <c r="AE7996" t="str">
        <f>VLOOKUP(Table_Query_from_Actuarial___Production3[[#This Row],[Kor1]],$AI$3:$AK$105,3,FALSE)</f>
        <v>ALAE Reserve</v>
      </c>
      <c r="AF7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7" spans="18:32" x14ac:dyDescent="0.2">
      <c r="R7997" t="s">
        <v>43</v>
      </c>
      <c r="S7997" t="s">
        <v>267</v>
      </c>
      <c r="T7997" t="s">
        <v>9</v>
      </c>
      <c r="U7997" s="21">
        <v>191.57</v>
      </c>
      <c r="V7997" s="21" t="s">
        <v>368</v>
      </c>
      <c r="W7997" t="str">
        <f>VLOOKUP(Table_Query_from_Actuarial___Production[[#This Row],[Kor1]],$AI$3:$AK$105,3,FALSE)</f>
        <v>Charge-offs</v>
      </c>
      <c r="X7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7"/>
      <c r="Z7997" t="s">
        <v>10</v>
      </c>
      <c r="AA7997" t="s">
        <v>264</v>
      </c>
      <c r="AB7997" t="s">
        <v>356</v>
      </c>
      <c r="AC7997" s="21">
        <v>76595.25</v>
      </c>
      <c r="AD7997" s="21" t="s">
        <v>368</v>
      </c>
      <c r="AE7997" t="str">
        <f>VLOOKUP(Table_Query_from_Actuarial___Production3[[#This Row],[Kor1]],$AI$3:$AK$105,3,FALSE)</f>
        <v>Commissions</v>
      </c>
      <c r="AF7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8" spans="18:32" x14ac:dyDescent="0.2">
      <c r="R7998" t="s">
        <v>33</v>
      </c>
      <c r="S7998" t="s">
        <v>268</v>
      </c>
      <c r="T7998" t="s">
        <v>6</v>
      </c>
      <c r="U7998" s="21">
        <v>15060.31</v>
      </c>
      <c r="V7998" s="21" t="s">
        <v>368</v>
      </c>
      <c r="W7998" t="str">
        <f>VLOOKUP(Table_Query_from_Actuarial___Production[[#This Row],[Kor1]],$AI$3:$AK$105,3,FALSE)</f>
        <v>Misc. Expense</v>
      </c>
      <c r="X7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8"/>
      <c r="Z7998" t="s">
        <v>12</v>
      </c>
      <c r="AA7998" t="s">
        <v>245</v>
      </c>
      <c r="AB7998" t="s">
        <v>5</v>
      </c>
      <c r="AC7998" s="21">
        <v>869.76</v>
      </c>
      <c r="AD7998" s="21" t="s">
        <v>368</v>
      </c>
      <c r="AE7998" t="str">
        <f>VLOOKUP(Table_Query_from_Actuarial___Production3[[#This Row],[Kor1]],$AI$3:$AK$105,3,FALSE)</f>
        <v>Premium Tax</v>
      </c>
      <c r="AF7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7999" spans="18:32" x14ac:dyDescent="0.2">
      <c r="R7999" t="s">
        <v>11</v>
      </c>
      <c r="S7999" t="s">
        <v>261</v>
      </c>
      <c r="T7999" t="s">
        <v>442</v>
      </c>
      <c r="U7999" s="21">
        <v>18168.37</v>
      </c>
      <c r="V7999" s="21" t="s">
        <v>368</v>
      </c>
      <c r="W7999" t="str">
        <f>VLOOKUP(Table_Query_from_Actuarial___Production[[#This Row],[Kor1]],$AI$3:$AK$105,3,FALSE)</f>
        <v>Losses Paid</v>
      </c>
      <c r="X7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7999"/>
      <c r="Z7999" t="s">
        <v>47</v>
      </c>
      <c r="AA7999" t="s">
        <v>237</v>
      </c>
      <c r="AB7999" t="s">
        <v>8</v>
      </c>
      <c r="AC7999" s="21">
        <v>0.16</v>
      </c>
      <c r="AD7999" s="21" t="s">
        <v>368</v>
      </c>
      <c r="AE7999" t="str">
        <f>VLOOKUP(Table_Query_from_Actuarial___Production3[[#This Row],[Kor1]],$AI$3:$AK$105,3,FALSE)</f>
        <v>Investment Income</v>
      </c>
      <c r="AF7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0" spans="18:32" x14ac:dyDescent="0.2">
      <c r="R8000" t="s">
        <v>34</v>
      </c>
      <c r="S8000" t="s">
        <v>230</v>
      </c>
      <c r="T8000" t="s">
        <v>441</v>
      </c>
      <c r="U8000" s="21">
        <v>43.87</v>
      </c>
      <c r="V8000" s="21" t="s">
        <v>368</v>
      </c>
      <c r="W8000" t="str">
        <f>VLOOKUP(Table_Query_from_Actuarial___Production[[#This Row],[Kor1]],$AI$3:$AK$105,3,FALSE)</f>
        <v>Misc. Expense</v>
      </c>
      <c r="X8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0"/>
      <c r="Z8000" t="s">
        <v>40</v>
      </c>
      <c r="AA8000" t="s">
        <v>231</v>
      </c>
      <c r="AB8000" t="s">
        <v>442</v>
      </c>
      <c r="AC8000" s="21">
        <v>469.01</v>
      </c>
      <c r="AD8000" s="21" t="s">
        <v>368</v>
      </c>
      <c r="AE8000" t="str">
        <f>VLOOKUP(Table_Query_from_Actuarial___Production3[[#This Row],[Kor1]],$AI$3:$AK$105,3,FALSE)</f>
        <v>Misc. Income</v>
      </c>
      <c r="AF8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1" spans="18:32" x14ac:dyDescent="0.2">
      <c r="R8001" t="s">
        <v>39</v>
      </c>
      <c r="S8001" t="s">
        <v>262</v>
      </c>
      <c r="T8001" t="s">
        <v>8</v>
      </c>
      <c r="U8001" s="21">
        <v>42</v>
      </c>
      <c r="V8001" s="21" t="s">
        <v>368</v>
      </c>
      <c r="W8001" t="str">
        <f>VLOOKUP(Table_Query_from_Actuarial___Production[[#This Row],[Kor1]],$AI$3:$AK$105,3,FALSE)</f>
        <v>Misc. Income for Insolvent Companies</v>
      </c>
      <c r="X8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1"/>
      <c r="Z8001" t="s">
        <v>13</v>
      </c>
      <c r="AA8001" t="s">
        <v>352</v>
      </c>
      <c r="AB8001" t="s">
        <v>7</v>
      </c>
      <c r="AC8001" s="21">
        <v>41958.28</v>
      </c>
      <c r="AD8001" s="21" t="s">
        <v>369</v>
      </c>
      <c r="AE8001" t="str">
        <f>VLOOKUP(Table_Query_from_Actuarial___Production3[[#This Row],[Kor1]],$AI$3:$AK$105,3,FALSE)</f>
        <v>Operating Service Fees</v>
      </c>
      <c r="AF8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002" spans="18:32" x14ac:dyDescent="0.2">
      <c r="R8002" t="s">
        <v>31</v>
      </c>
      <c r="S8002" t="s">
        <v>254</v>
      </c>
      <c r="T8002" t="s">
        <v>356</v>
      </c>
      <c r="U8002" s="21">
        <v>427.11</v>
      </c>
      <c r="V8002" s="21" t="s">
        <v>368</v>
      </c>
      <c r="W8002" t="str">
        <f>VLOOKUP(Table_Query_from_Actuarial___Production[[#This Row],[Kor1]],$AI$3:$AK$105,3,FALSE)</f>
        <v>Misc. Expense</v>
      </c>
      <c r="X8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2"/>
      <c r="Z8002" t="s">
        <v>16</v>
      </c>
      <c r="AA8002" t="s">
        <v>237</v>
      </c>
      <c r="AB8002" t="s">
        <v>356</v>
      </c>
      <c r="AC8002" s="21">
        <v>3039512.59</v>
      </c>
      <c r="AD8002" s="21" t="s">
        <v>368</v>
      </c>
      <c r="AE8002" t="str">
        <f>VLOOKUP(Table_Query_from_Actuarial___Production3[[#This Row],[Kor1]],$AI$3:$AK$105,3,FALSE)</f>
        <v>Losses Outstanding</v>
      </c>
      <c r="AF8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3" spans="18:32" x14ac:dyDescent="0.2">
      <c r="R8003" t="s">
        <v>10</v>
      </c>
      <c r="S8003" t="s">
        <v>256</v>
      </c>
      <c r="T8003" t="s">
        <v>427</v>
      </c>
      <c r="U8003" s="21">
        <v>3346.5</v>
      </c>
      <c r="V8003" s="21" t="s">
        <v>368</v>
      </c>
      <c r="W8003" t="str">
        <f>VLOOKUP(Table_Query_from_Actuarial___Production[[#This Row],[Kor1]],$AI$3:$AK$105,3,FALSE)</f>
        <v>Commissions</v>
      </c>
      <c r="X8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3"/>
      <c r="Z8003" t="s">
        <v>30</v>
      </c>
      <c r="AA8003" t="s">
        <v>259</v>
      </c>
      <c r="AB8003" t="s">
        <v>433</v>
      </c>
      <c r="AC8003" s="21">
        <v>138.35</v>
      </c>
      <c r="AD8003" s="21" t="s">
        <v>368</v>
      </c>
      <c r="AE8003" t="str">
        <f>VLOOKUP(Table_Query_from_Actuarial___Production3[[#This Row],[Kor1]],$AI$3:$AK$105,3,FALSE)</f>
        <v>Misc. Expense</v>
      </c>
      <c r="AF8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4" spans="18:32" x14ac:dyDescent="0.2">
      <c r="R8004" t="s">
        <v>14</v>
      </c>
      <c r="S8004" t="s">
        <v>253</v>
      </c>
      <c r="T8004" t="s">
        <v>6</v>
      </c>
      <c r="U8004" s="21">
        <v>942.96</v>
      </c>
      <c r="V8004" s="21" t="s">
        <v>368</v>
      </c>
      <c r="W8004" t="str">
        <f>VLOOKUP(Table_Query_from_Actuarial___Production[[#This Row],[Kor1]],$AI$3:$AK$105,3,FALSE)</f>
        <v>Claims Expense</v>
      </c>
      <c r="X8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4"/>
      <c r="Z8004" t="s">
        <v>37</v>
      </c>
      <c r="AA8004" t="s">
        <v>244</v>
      </c>
      <c r="AB8004" t="s">
        <v>351</v>
      </c>
      <c r="AC8004" s="21">
        <v>1253.7</v>
      </c>
      <c r="AD8004" s="21" t="s">
        <v>368</v>
      </c>
      <c r="AE8004" t="str">
        <f>VLOOKUP(Table_Query_from_Actuarial___Production3[[#This Row],[Kor1]],$AI$3:$AK$105,3,FALSE)</f>
        <v>Misc. Expense</v>
      </c>
      <c r="AF8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5" spans="18:32" x14ac:dyDescent="0.2">
      <c r="R8005" t="s">
        <v>41</v>
      </c>
      <c r="S8005" t="s">
        <v>241</v>
      </c>
      <c r="T8005" t="s">
        <v>8</v>
      </c>
      <c r="U8005" s="21">
        <v>595.17999999999995</v>
      </c>
      <c r="V8005" s="21" t="s">
        <v>368</v>
      </c>
      <c r="W8005" t="str">
        <f>VLOOKUP(Table_Query_from_Actuarial___Production[[#This Row],[Kor1]],$AI$3:$AK$105,3,FALSE)</f>
        <v>Misc. Income</v>
      </c>
      <c r="X8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5"/>
      <c r="Z8005" t="s">
        <v>43</v>
      </c>
      <c r="AA8005" t="s">
        <v>267</v>
      </c>
      <c r="AB8005" t="s">
        <v>9</v>
      </c>
      <c r="AC8005" s="21">
        <v>191.57</v>
      </c>
      <c r="AD8005" s="21" t="s">
        <v>368</v>
      </c>
      <c r="AE8005" t="str">
        <f>VLOOKUP(Table_Query_from_Actuarial___Production3[[#This Row],[Kor1]],$AI$3:$AK$105,3,FALSE)</f>
        <v>Charge-offs</v>
      </c>
      <c r="AF8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6" spans="18:32" x14ac:dyDescent="0.2">
      <c r="R8006" t="s">
        <v>41</v>
      </c>
      <c r="S8006" t="s">
        <v>268</v>
      </c>
      <c r="T8006" t="s">
        <v>441</v>
      </c>
      <c r="U8006" s="21">
        <v>250</v>
      </c>
      <c r="V8006" s="21" t="s">
        <v>368</v>
      </c>
      <c r="W8006" t="str">
        <f>VLOOKUP(Table_Query_from_Actuarial___Production[[#This Row],[Kor1]],$AI$3:$AK$105,3,FALSE)</f>
        <v>Misc. Income</v>
      </c>
      <c r="X8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6"/>
      <c r="Z8006" t="s">
        <v>33</v>
      </c>
      <c r="AA8006" t="s">
        <v>268</v>
      </c>
      <c r="AB8006" t="s">
        <v>6</v>
      </c>
      <c r="AC8006" s="21">
        <v>15060.31</v>
      </c>
      <c r="AD8006" s="21" t="s">
        <v>368</v>
      </c>
      <c r="AE8006" t="str">
        <f>VLOOKUP(Table_Query_from_Actuarial___Production3[[#This Row],[Kor1]],$AI$3:$AK$105,3,FALSE)</f>
        <v>Misc. Expense</v>
      </c>
      <c r="AF8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7" spans="18:32" x14ac:dyDescent="0.2">
      <c r="R8007" t="s">
        <v>10</v>
      </c>
      <c r="S8007" t="s">
        <v>352</v>
      </c>
      <c r="T8007" t="s">
        <v>6</v>
      </c>
      <c r="U8007" s="21">
        <v>1098.25</v>
      </c>
      <c r="V8007" s="21" t="s">
        <v>368</v>
      </c>
      <c r="W8007" t="str">
        <f>VLOOKUP(Table_Query_from_Actuarial___Production[[#This Row],[Kor1]],$AI$3:$AK$105,3,FALSE)</f>
        <v>Commissions</v>
      </c>
      <c r="X8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007"/>
      <c r="Z8007" t="s">
        <v>11</v>
      </c>
      <c r="AA8007" t="s">
        <v>261</v>
      </c>
      <c r="AB8007" t="s">
        <v>442</v>
      </c>
      <c r="AC8007" s="21">
        <v>18168.37</v>
      </c>
      <c r="AD8007" s="21" t="s">
        <v>368</v>
      </c>
      <c r="AE8007" t="str">
        <f>VLOOKUP(Table_Query_from_Actuarial___Production3[[#This Row],[Kor1]],$AI$3:$AK$105,3,FALSE)</f>
        <v>Losses Paid</v>
      </c>
      <c r="AF8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8" spans="18:32" x14ac:dyDescent="0.2">
      <c r="R8008" t="s">
        <v>19</v>
      </c>
      <c r="S8008" t="s">
        <v>267</v>
      </c>
      <c r="T8008" t="s">
        <v>7</v>
      </c>
      <c r="U8008" s="21">
        <v>1586</v>
      </c>
      <c r="V8008" s="21" t="s">
        <v>368</v>
      </c>
      <c r="W8008" t="str">
        <f>VLOOKUP(Table_Query_from_Actuarial___Production[[#This Row],[Kor1]],$AI$3:$AK$105,3,FALSE)</f>
        <v>Misc. Expense for Insolvent Companies</v>
      </c>
      <c r="X8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8"/>
      <c r="Z8008" t="s">
        <v>34</v>
      </c>
      <c r="AA8008" t="s">
        <v>230</v>
      </c>
      <c r="AB8008" t="s">
        <v>441</v>
      </c>
      <c r="AC8008" s="21">
        <v>43.87</v>
      </c>
      <c r="AD8008" s="21" t="s">
        <v>368</v>
      </c>
      <c r="AE8008" t="str">
        <f>VLOOKUP(Table_Query_from_Actuarial___Production3[[#This Row],[Kor1]],$AI$3:$AK$105,3,FALSE)</f>
        <v>Misc. Expense</v>
      </c>
      <c r="AF8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09" spans="18:32" x14ac:dyDescent="0.2">
      <c r="R8009" t="s">
        <v>31</v>
      </c>
      <c r="S8009" t="s">
        <v>264</v>
      </c>
      <c r="T8009" t="s">
        <v>7</v>
      </c>
      <c r="U8009" s="21">
        <v>2398.41</v>
      </c>
      <c r="V8009" s="21" t="s">
        <v>368</v>
      </c>
      <c r="W8009" t="str">
        <f>VLOOKUP(Table_Query_from_Actuarial___Production[[#This Row],[Kor1]],$AI$3:$AK$105,3,FALSE)</f>
        <v>Misc. Expense</v>
      </c>
      <c r="X8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09"/>
      <c r="Z8009" t="s">
        <v>39</v>
      </c>
      <c r="AA8009" t="s">
        <v>262</v>
      </c>
      <c r="AB8009" t="s">
        <v>8</v>
      </c>
      <c r="AC8009" s="21">
        <v>42</v>
      </c>
      <c r="AD8009" s="21" t="s">
        <v>368</v>
      </c>
      <c r="AE8009" t="str">
        <f>VLOOKUP(Table_Query_from_Actuarial___Production3[[#This Row],[Kor1]],$AI$3:$AK$105,3,FALSE)</f>
        <v>Misc. Income for Insolvent Companies</v>
      </c>
      <c r="AF8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0" spans="18:32" x14ac:dyDescent="0.2">
      <c r="R8010" t="s">
        <v>49</v>
      </c>
      <c r="S8010" t="s">
        <v>230</v>
      </c>
      <c r="T8010" t="s">
        <v>9</v>
      </c>
      <c r="U8010" s="21">
        <v>1022503.89</v>
      </c>
      <c r="V8010" s="21" t="s">
        <v>368</v>
      </c>
      <c r="W8010" t="str">
        <f>VLOOKUP(Table_Query_from_Actuarial___Production[[#This Row],[Kor1]],$AI$3:$AK$105,3,FALSE)</f>
        <v>ALAE Paid</v>
      </c>
      <c r="X8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0"/>
      <c r="Z8010" t="s">
        <v>31</v>
      </c>
      <c r="AA8010" t="s">
        <v>254</v>
      </c>
      <c r="AB8010" t="s">
        <v>356</v>
      </c>
      <c r="AC8010" s="21">
        <v>427.11</v>
      </c>
      <c r="AD8010" s="21" t="s">
        <v>368</v>
      </c>
      <c r="AE8010" t="str">
        <f>VLOOKUP(Table_Query_from_Actuarial___Production3[[#This Row],[Kor1]],$AI$3:$AK$105,3,FALSE)</f>
        <v>Misc. Expense</v>
      </c>
      <c r="AF8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1" spans="18:32" x14ac:dyDescent="0.2">
      <c r="R8011" t="s">
        <v>12</v>
      </c>
      <c r="S8011" t="s">
        <v>260</v>
      </c>
      <c r="T8011" t="s">
        <v>351</v>
      </c>
      <c r="U8011" s="21">
        <v>104.7</v>
      </c>
      <c r="V8011" s="21" t="s">
        <v>368</v>
      </c>
      <c r="W8011" t="str">
        <f>VLOOKUP(Table_Query_from_Actuarial___Production[[#This Row],[Kor1]],$AI$3:$AK$105,3,FALSE)</f>
        <v>Premium Tax</v>
      </c>
      <c r="X8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1"/>
      <c r="Z8011" t="s">
        <v>10</v>
      </c>
      <c r="AA8011" t="s">
        <v>256</v>
      </c>
      <c r="AB8011" t="s">
        <v>427</v>
      </c>
      <c r="AC8011" s="21">
        <v>3346.5</v>
      </c>
      <c r="AD8011" s="21" t="s">
        <v>368</v>
      </c>
      <c r="AE8011" t="str">
        <f>VLOOKUP(Table_Query_from_Actuarial___Production3[[#This Row],[Kor1]],$AI$3:$AK$105,3,FALSE)</f>
        <v>Commissions</v>
      </c>
      <c r="AF8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2" spans="18:32" x14ac:dyDescent="0.2">
      <c r="R8012" t="s">
        <v>36</v>
      </c>
      <c r="S8012" t="s">
        <v>263</v>
      </c>
      <c r="T8012" t="s">
        <v>445</v>
      </c>
      <c r="U8012" s="21">
        <v>470</v>
      </c>
      <c r="V8012" s="21" t="s">
        <v>368</v>
      </c>
      <c r="W8012" t="str">
        <f>VLOOKUP(Table_Query_from_Actuarial___Production[[#This Row],[Kor1]],$AI$3:$AK$105,3,FALSE)</f>
        <v>Misc. Expense</v>
      </c>
      <c r="X8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2"/>
      <c r="Z8012" t="s">
        <v>48</v>
      </c>
      <c r="AA8012" t="s">
        <v>267</v>
      </c>
      <c r="AB8012" t="s">
        <v>427</v>
      </c>
      <c r="AC8012" s="21">
        <v>159.41999999999999</v>
      </c>
      <c r="AD8012" s="21" t="s">
        <v>368</v>
      </c>
      <c r="AE8012" t="str">
        <f>VLOOKUP(Table_Query_from_Actuarial___Production3[[#This Row],[Kor1]],$AI$3:$AK$105,3,FALSE)</f>
        <v>Anticipated Salvage</v>
      </c>
      <c r="AF8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3" spans="18:32" x14ac:dyDescent="0.2">
      <c r="R8013" t="s">
        <v>27</v>
      </c>
      <c r="S8013" t="s">
        <v>259</v>
      </c>
      <c r="T8013" t="s">
        <v>7</v>
      </c>
      <c r="U8013" s="21">
        <v>726.41</v>
      </c>
      <c r="V8013" s="21" t="s">
        <v>368</v>
      </c>
      <c r="W8013" t="str">
        <f>VLOOKUP(Table_Query_from_Actuarial___Production[[#This Row],[Kor1]],$AI$3:$AK$105,3,FALSE)</f>
        <v>Misc. Expense</v>
      </c>
      <c r="X8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3"/>
      <c r="Z8013" t="s">
        <v>14</v>
      </c>
      <c r="AA8013" t="s">
        <v>253</v>
      </c>
      <c r="AB8013" t="s">
        <v>6</v>
      </c>
      <c r="AC8013" s="21">
        <v>942.96</v>
      </c>
      <c r="AD8013" s="21" t="s">
        <v>368</v>
      </c>
      <c r="AE8013" t="str">
        <f>VLOOKUP(Table_Query_from_Actuarial___Production3[[#This Row],[Kor1]],$AI$3:$AK$105,3,FALSE)</f>
        <v>Claims Expense</v>
      </c>
      <c r="AF8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4" spans="18:32" x14ac:dyDescent="0.2">
      <c r="R8014" t="s">
        <v>31</v>
      </c>
      <c r="S8014" t="s">
        <v>241</v>
      </c>
      <c r="T8014" t="s">
        <v>6</v>
      </c>
      <c r="U8014" s="21">
        <v>40.01</v>
      </c>
      <c r="V8014" s="21" t="s">
        <v>368</v>
      </c>
      <c r="W8014" t="str">
        <f>VLOOKUP(Table_Query_from_Actuarial___Production[[#This Row],[Kor1]],$AI$3:$AK$105,3,FALSE)</f>
        <v>Misc. Expense</v>
      </c>
      <c r="X8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4"/>
      <c r="Z8014" t="s">
        <v>17</v>
      </c>
      <c r="AA8014" t="s">
        <v>263</v>
      </c>
      <c r="AB8014" t="s">
        <v>427</v>
      </c>
      <c r="AC8014" s="21">
        <v>38376.5</v>
      </c>
      <c r="AD8014" s="21" t="s">
        <v>368</v>
      </c>
      <c r="AE8014" t="str">
        <f>VLOOKUP(Table_Query_from_Actuarial___Production3[[#This Row],[Kor1]],$AI$3:$AK$105,3,FALSE)</f>
        <v>IBNR</v>
      </c>
      <c r="AF8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5" spans="18:32" x14ac:dyDescent="0.2">
      <c r="R8015" t="s">
        <v>37</v>
      </c>
      <c r="S8015" t="s">
        <v>237</v>
      </c>
      <c r="T8015" t="s">
        <v>427</v>
      </c>
      <c r="U8015" s="21">
        <v>60794.33</v>
      </c>
      <c r="V8015" s="21" t="s">
        <v>368</v>
      </c>
      <c r="W8015" t="str">
        <f>VLOOKUP(Table_Query_from_Actuarial___Production[[#This Row],[Kor1]],$AI$3:$AK$105,3,FALSE)</f>
        <v>Misc. Expense</v>
      </c>
      <c r="X8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5"/>
      <c r="Z8015" t="s">
        <v>41</v>
      </c>
      <c r="AA8015" t="s">
        <v>241</v>
      </c>
      <c r="AB8015" t="s">
        <v>8</v>
      </c>
      <c r="AC8015" s="21">
        <v>595.17999999999995</v>
      </c>
      <c r="AD8015" s="21" t="s">
        <v>368</v>
      </c>
      <c r="AE8015" t="str">
        <f>VLOOKUP(Table_Query_from_Actuarial___Production3[[#This Row],[Kor1]],$AI$3:$AK$105,3,FALSE)</f>
        <v>Misc. Income</v>
      </c>
      <c r="AF8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6" spans="18:32" x14ac:dyDescent="0.2">
      <c r="R8016" t="s">
        <v>13</v>
      </c>
      <c r="S8016" t="s">
        <v>263</v>
      </c>
      <c r="T8016" t="s">
        <v>9</v>
      </c>
      <c r="U8016" s="21">
        <v>80586.31</v>
      </c>
      <c r="V8016" s="21" t="s">
        <v>368</v>
      </c>
      <c r="W8016" t="str">
        <f>VLOOKUP(Table_Query_from_Actuarial___Production[[#This Row],[Kor1]],$AI$3:$AK$105,3,FALSE)</f>
        <v>Operating Service Fees</v>
      </c>
      <c r="X8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6"/>
      <c r="Z8016" t="s">
        <v>11</v>
      </c>
      <c r="AA8016" t="s">
        <v>243</v>
      </c>
      <c r="AB8016" t="s">
        <v>5</v>
      </c>
      <c r="AC8016" s="21">
        <v>9784.0400000000009</v>
      </c>
      <c r="AD8016" s="21" t="s">
        <v>368</v>
      </c>
      <c r="AE8016" t="str">
        <f>VLOOKUP(Table_Query_from_Actuarial___Production3[[#This Row],[Kor1]],$AI$3:$AK$105,3,FALSE)</f>
        <v>Losses Paid</v>
      </c>
      <c r="AF8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7" spans="18:32" x14ac:dyDescent="0.2">
      <c r="R8017" t="s">
        <v>33</v>
      </c>
      <c r="S8017" t="s">
        <v>264</v>
      </c>
      <c r="T8017" t="s">
        <v>441</v>
      </c>
      <c r="U8017" s="21">
        <v>14260.7</v>
      </c>
      <c r="V8017" s="21" t="s">
        <v>368</v>
      </c>
      <c r="W8017" t="str">
        <f>VLOOKUP(Table_Query_from_Actuarial___Production[[#This Row],[Kor1]],$AI$3:$AK$105,3,FALSE)</f>
        <v>Misc. Expense</v>
      </c>
      <c r="X8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7"/>
      <c r="Z8017" t="s">
        <v>41</v>
      </c>
      <c r="AA8017" t="s">
        <v>268</v>
      </c>
      <c r="AB8017" t="s">
        <v>441</v>
      </c>
      <c r="AC8017" s="21">
        <v>250</v>
      </c>
      <c r="AD8017" s="21" t="s">
        <v>368</v>
      </c>
      <c r="AE8017" t="str">
        <f>VLOOKUP(Table_Query_from_Actuarial___Production3[[#This Row],[Kor1]],$AI$3:$AK$105,3,FALSE)</f>
        <v>Misc. Income</v>
      </c>
      <c r="AF8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8" spans="18:32" x14ac:dyDescent="0.2">
      <c r="R8018" t="s">
        <v>12</v>
      </c>
      <c r="S8018" t="s">
        <v>4</v>
      </c>
      <c r="T8018" t="s">
        <v>8</v>
      </c>
      <c r="U8018" s="21">
        <v>260709.94</v>
      </c>
      <c r="V8018" s="21" t="s">
        <v>368</v>
      </c>
      <c r="W8018" t="str">
        <f>VLOOKUP(Table_Query_from_Actuarial___Production[[#This Row],[Kor1]],$AI$3:$AK$105,3,FALSE)</f>
        <v>Premium Tax</v>
      </c>
      <c r="X8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8"/>
      <c r="Z8018" t="s">
        <v>11</v>
      </c>
      <c r="AA8018" t="s">
        <v>232</v>
      </c>
      <c r="AB8018" t="s">
        <v>5</v>
      </c>
      <c r="AC8018" s="21">
        <v>511851.14</v>
      </c>
      <c r="AD8018" s="21" t="s">
        <v>368</v>
      </c>
      <c r="AE8018" t="str">
        <f>VLOOKUP(Table_Query_from_Actuarial___Production3[[#This Row],[Kor1]],$AI$3:$AK$105,3,FALSE)</f>
        <v>Losses Paid</v>
      </c>
      <c r="AF8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19" spans="18:32" x14ac:dyDescent="0.2">
      <c r="R8019" t="s">
        <v>39</v>
      </c>
      <c r="S8019" t="s">
        <v>267</v>
      </c>
      <c r="T8019" t="s">
        <v>433</v>
      </c>
      <c r="U8019" s="21">
        <v>1133</v>
      </c>
      <c r="V8019" s="21" t="s">
        <v>368</v>
      </c>
      <c r="W8019" t="str">
        <f>VLOOKUP(Table_Query_from_Actuarial___Production[[#This Row],[Kor1]],$AI$3:$AK$105,3,FALSE)</f>
        <v>Misc. Income for Insolvent Companies</v>
      </c>
      <c r="X8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19"/>
      <c r="Z8019" t="s">
        <v>10</v>
      </c>
      <c r="AA8019" t="s">
        <v>352</v>
      </c>
      <c r="AB8019" t="s">
        <v>6</v>
      </c>
      <c r="AC8019" s="21">
        <v>1098.25</v>
      </c>
      <c r="AD8019" s="21" t="s">
        <v>368</v>
      </c>
      <c r="AE8019" t="str">
        <f>VLOOKUP(Table_Query_from_Actuarial___Production3[[#This Row],[Kor1]],$AI$3:$AK$105,3,FALSE)</f>
        <v>Commissions</v>
      </c>
      <c r="AF8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020" spans="18:32" x14ac:dyDescent="0.2">
      <c r="R8020" t="s">
        <v>31</v>
      </c>
      <c r="S8020" t="s">
        <v>227</v>
      </c>
      <c r="T8020" t="s">
        <v>7</v>
      </c>
      <c r="U8020" s="21">
        <v>1068.82</v>
      </c>
      <c r="V8020" s="21" t="s">
        <v>368</v>
      </c>
      <c r="W8020" t="str">
        <f>VLOOKUP(Table_Query_from_Actuarial___Production[[#This Row],[Kor1]],$AI$3:$AK$105,3,FALSE)</f>
        <v>Misc. Expense</v>
      </c>
      <c r="X8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0"/>
      <c r="Z8020" t="s">
        <v>15</v>
      </c>
      <c r="AA8020" t="s">
        <v>246</v>
      </c>
      <c r="AB8020" t="s">
        <v>442</v>
      </c>
      <c r="AC8020" s="21">
        <v>364059.43</v>
      </c>
      <c r="AD8020" s="21" t="s">
        <v>368</v>
      </c>
      <c r="AE8020" t="str">
        <f>VLOOKUP(Table_Query_from_Actuarial___Production3[[#This Row],[Kor1]],$AI$3:$AK$105,3,FALSE)</f>
        <v>Unearned Premiums</v>
      </c>
      <c r="AF8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1" spans="18:32" x14ac:dyDescent="0.2">
      <c r="R8021" t="s">
        <v>47</v>
      </c>
      <c r="S8021" t="s">
        <v>232</v>
      </c>
      <c r="T8021" t="s">
        <v>356</v>
      </c>
      <c r="U8021" s="21">
        <v>4283.91</v>
      </c>
      <c r="V8021" s="21" t="s">
        <v>368</v>
      </c>
      <c r="W8021" t="str">
        <f>VLOOKUP(Table_Query_from_Actuarial___Production[[#This Row],[Kor1]],$AI$3:$AK$105,3,FALSE)</f>
        <v>Investment Income</v>
      </c>
      <c r="X8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1"/>
      <c r="Z8021" t="s">
        <v>19</v>
      </c>
      <c r="AA8021" t="s">
        <v>267</v>
      </c>
      <c r="AB8021" t="s">
        <v>7</v>
      </c>
      <c r="AC8021" s="21">
        <v>1185</v>
      </c>
      <c r="AD8021" s="21" t="s">
        <v>368</v>
      </c>
      <c r="AE8021" t="str">
        <f>VLOOKUP(Table_Query_from_Actuarial___Production3[[#This Row],[Kor1]],$AI$3:$AK$105,3,FALSE)</f>
        <v>Misc. Expense for Insolvent Companies</v>
      </c>
      <c r="AF8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2" spans="18:32" x14ac:dyDescent="0.2">
      <c r="R8022" t="s">
        <v>46</v>
      </c>
      <c r="S8022" t="s">
        <v>225</v>
      </c>
      <c r="T8022" t="s">
        <v>8</v>
      </c>
      <c r="U8022" s="21">
        <v>16560.599999999999</v>
      </c>
      <c r="V8022" s="21" t="s">
        <v>369</v>
      </c>
      <c r="W8022" t="str">
        <f>VLOOKUP(Table_Query_from_Actuarial___Production[[#This Row],[Kor1]],$AI$3:$AK$105,3,FALSE)</f>
        <v>Investment Income</v>
      </c>
      <c r="X8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022"/>
      <c r="Z8022" t="s">
        <v>31</v>
      </c>
      <c r="AA8022" t="s">
        <v>264</v>
      </c>
      <c r="AB8022" t="s">
        <v>7</v>
      </c>
      <c r="AC8022" s="21">
        <v>2398.41</v>
      </c>
      <c r="AD8022" s="21" t="s">
        <v>368</v>
      </c>
      <c r="AE8022" t="str">
        <f>VLOOKUP(Table_Query_from_Actuarial___Production3[[#This Row],[Kor1]],$AI$3:$AK$105,3,FALSE)</f>
        <v>Misc. Expense</v>
      </c>
      <c r="AF8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3" spans="18:32" x14ac:dyDescent="0.2">
      <c r="R8023" t="s">
        <v>39</v>
      </c>
      <c r="S8023" t="s">
        <v>232</v>
      </c>
      <c r="T8023" t="s">
        <v>7</v>
      </c>
      <c r="U8023" s="21">
        <v>8.01</v>
      </c>
      <c r="V8023" s="21" t="s">
        <v>368</v>
      </c>
      <c r="W8023" t="str">
        <f>VLOOKUP(Table_Query_from_Actuarial___Production[[#This Row],[Kor1]],$AI$3:$AK$105,3,FALSE)</f>
        <v>Misc. Income for Insolvent Companies</v>
      </c>
      <c r="X8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3"/>
      <c r="Z8023" t="s">
        <v>49</v>
      </c>
      <c r="AA8023" t="s">
        <v>230</v>
      </c>
      <c r="AB8023" t="s">
        <v>9</v>
      </c>
      <c r="AC8023" s="21">
        <v>1014180.84</v>
      </c>
      <c r="AD8023" s="21" t="s">
        <v>368</v>
      </c>
      <c r="AE8023" t="str">
        <f>VLOOKUP(Table_Query_from_Actuarial___Production3[[#This Row],[Kor1]],$AI$3:$AK$105,3,FALSE)</f>
        <v>ALAE Paid</v>
      </c>
      <c r="AF8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4" spans="18:32" x14ac:dyDescent="0.2">
      <c r="R8024" t="s">
        <v>33</v>
      </c>
      <c r="S8024" t="s">
        <v>238</v>
      </c>
      <c r="T8024" t="s">
        <v>8</v>
      </c>
      <c r="U8024" s="21">
        <v>14917.2</v>
      </c>
      <c r="V8024" s="21" t="s">
        <v>368</v>
      </c>
      <c r="W8024" t="str">
        <f>VLOOKUP(Table_Query_from_Actuarial___Production[[#This Row],[Kor1]],$AI$3:$AK$105,3,FALSE)</f>
        <v>Misc. Expense</v>
      </c>
      <c r="X8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4"/>
      <c r="Z8024" t="s">
        <v>12</v>
      </c>
      <c r="AA8024" t="s">
        <v>260</v>
      </c>
      <c r="AB8024" t="s">
        <v>351</v>
      </c>
      <c r="AC8024" s="21">
        <v>104.7</v>
      </c>
      <c r="AD8024" s="21" t="s">
        <v>368</v>
      </c>
      <c r="AE8024" t="str">
        <f>VLOOKUP(Table_Query_from_Actuarial___Production3[[#This Row],[Kor1]],$AI$3:$AK$105,3,FALSE)</f>
        <v>Premium Tax</v>
      </c>
      <c r="AF8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5" spans="18:32" x14ac:dyDescent="0.2">
      <c r="R8025" t="s">
        <v>14</v>
      </c>
      <c r="S8025" t="s">
        <v>231</v>
      </c>
      <c r="T8025" t="s">
        <v>356</v>
      </c>
      <c r="U8025" s="21">
        <v>22502.58</v>
      </c>
      <c r="V8025" s="21" t="s">
        <v>368</v>
      </c>
      <c r="W8025" t="str">
        <f>VLOOKUP(Table_Query_from_Actuarial___Production[[#This Row],[Kor1]],$AI$3:$AK$105,3,FALSE)</f>
        <v>Claims Expense</v>
      </c>
      <c r="X8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5"/>
      <c r="Z8025" t="s">
        <v>27</v>
      </c>
      <c r="AA8025" t="s">
        <v>259</v>
      </c>
      <c r="AB8025" t="s">
        <v>7</v>
      </c>
      <c r="AC8025" s="21">
        <v>726.41</v>
      </c>
      <c r="AD8025" s="21" t="s">
        <v>368</v>
      </c>
      <c r="AE8025" t="str">
        <f>VLOOKUP(Table_Query_from_Actuarial___Production3[[#This Row],[Kor1]],$AI$3:$AK$105,3,FALSE)</f>
        <v>Misc. Expense</v>
      </c>
      <c r="AF8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6" spans="18:32" x14ac:dyDescent="0.2">
      <c r="R8026" t="s">
        <v>20</v>
      </c>
      <c r="S8026" t="s">
        <v>244</v>
      </c>
      <c r="T8026" t="s">
        <v>356</v>
      </c>
      <c r="U8026" s="21">
        <v>472.73</v>
      </c>
      <c r="V8026" s="21" t="s">
        <v>368</v>
      </c>
      <c r="W8026" t="str">
        <f>VLOOKUP(Table_Query_from_Actuarial___Production[[#This Row],[Kor1]],$AI$3:$AK$105,3,FALSE)</f>
        <v>Misc. Expense</v>
      </c>
      <c r="X8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6"/>
      <c r="Z8026" t="s">
        <v>31</v>
      </c>
      <c r="AA8026" t="s">
        <v>241</v>
      </c>
      <c r="AB8026" t="s">
        <v>6</v>
      </c>
      <c r="AC8026" s="21">
        <v>40.01</v>
      </c>
      <c r="AD8026" s="21" t="s">
        <v>368</v>
      </c>
      <c r="AE8026" t="str">
        <f>VLOOKUP(Table_Query_from_Actuarial___Production3[[#This Row],[Kor1]],$AI$3:$AK$105,3,FALSE)</f>
        <v>Misc. Expense</v>
      </c>
      <c r="AF8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7" spans="18:32" x14ac:dyDescent="0.2">
      <c r="R8027" t="s">
        <v>37</v>
      </c>
      <c r="S8027" t="s">
        <v>240</v>
      </c>
      <c r="T8027" t="s">
        <v>9</v>
      </c>
      <c r="U8027" s="21">
        <v>139.19</v>
      </c>
      <c r="V8027" s="21" t="s">
        <v>368</v>
      </c>
      <c r="W8027" t="str">
        <f>VLOOKUP(Table_Query_from_Actuarial___Production[[#This Row],[Kor1]],$AI$3:$AK$105,3,FALSE)</f>
        <v>Misc. Expense</v>
      </c>
      <c r="X8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7"/>
      <c r="Z8027" t="s">
        <v>37</v>
      </c>
      <c r="AA8027" t="s">
        <v>237</v>
      </c>
      <c r="AB8027" t="s">
        <v>427</v>
      </c>
      <c r="AC8027" s="21">
        <v>60794.33</v>
      </c>
      <c r="AD8027" s="21" t="s">
        <v>368</v>
      </c>
      <c r="AE8027" t="str">
        <f>VLOOKUP(Table_Query_from_Actuarial___Production3[[#This Row],[Kor1]],$AI$3:$AK$105,3,FALSE)</f>
        <v>Misc. Expense</v>
      </c>
      <c r="AF8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8" spans="18:32" x14ac:dyDescent="0.2">
      <c r="R8028" t="s">
        <v>10</v>
      </c>
      <c r="S8028" t="s">
        <v>243</v>
      </c>
      <c r="T8028" t="s">
        <v>9</v>
      </c>
      <c r="U8028" s="21">
        <v>22352.58</v>
      </c>
      <c r="V8028" s="21" t="s">
        <v>368</v>
      </c>
      <c r="W8028" t="str">
        <f>VLOOKUP(Table_Query_from_Actuarial___Production[[#This Row],[Kor1]],$AI$3:$AK$105,3,FALSE)</f>
        <v>Commissions</v>
      </c>
      <c r="X8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8"/>
      <c r="Z8028" t="s">
        <v>13</v>
      </c>
      <c r="AA8028" t="s">
        <v>263</v>
      </c>
      <c r="AB8028" t="s">
        <v>9</v>
      </c>
      <c r="AC8028" s="21">
        <v>80586.31</v>
      </c>
      <c r="AD8028" s="21" t="s">
        <v>368</v>
      </c>
      <c r="AE8028" t="str">
        <f>VLOOKUP(Table_Query_from_Actuarial___Production3[[#This Row],[Kor1]],$AI$3:$AK$105,3,FALSE)</f>
        <v>Operating Service Fees</v>
      </c>
      <c r="AF8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29" spans="18:32" x14ac:dyDescent="0.2">
      <c r="R8029" t="s">
        <v>17</v>
      </c>
      <c r="S8029" t="s">
        <v>260</v>
      </c>
      <c r="T8029" t="s">
        <v>443</v>
      </c>
      <c r="U8029" s="21">
        <v>39970.58</v>
      </c>
      <c r="V8029" s="21" t="s">
        <v>368</v>
      </c>
      <c r="W8029" t="str">
        <f>VLOOKUP(Table_Query_from_Actuarial___Production[[#This Row],[Kor1]],$AI$3:$AK$105,3,FALSE)</f>
        <v>IBNR</v>
      </c>
      <c r="X8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29"/>
      <c r="Z8029" t="s">
        <v>33</v>
      </c>
      <c r="AA8029" t="s">
        <v>264</v>
      </c>
      <c r="AB8029" t="s">
        <v>441</v>
      </c>
      <c r="AC8029" s="21">
        <v>14260.7</v>
      </c>
      <c r="AD8029" s="21" t="s">
        <v>368</v>
      </c>
      <c r="AE8029" t="str">
        <f>VLOOKUP(Table_Query_from_Actuarial___Production3[[#This Row],[Kor1]],$AI$3:$AK$105,3,FALSE)</f>
        <v>Misc. Expense</v>
      </c>
      <c r="AF8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0" spans="18:32" x14ac:dyDescent="0.2">
      <c r="R8030" t="s">
        <v>13</v>
      </c>
      <c r="S8030" t="s">
        <v>234</v>
      </c>
      <c r="T8030" t="s">
        <v>8</v>
      </c>
      <c r="U8030" s="21">
        <v>163906.39000000001</v>
      </c>
      <c r="V8030" s="21" t="s">
        <v>368</v>
      </c>
      <c r="W8030" t="str">
        <f>VLOOKUP(Table_Query_from_Actuarial___Production[[#This Row],[Kor1]],$AI$3:$AK$105,3,FALSE)</f>
        <v>Operating Service Fees</v>
      </c>
      <c r="X8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0"/>
      <c r="Z8030" t="s">
        <v>12</v>
      </c>
      <c r="AA8030" t="s">
        <v>4</v>
      </c>
      <c r="AB8030" t="s">
        <v>8</v>
      </c>
      <c r="AC8030" s="21">
        <v>260709.94</v>
      </c>
      <c r="AD8030" s="21" t="s">
        <v>368</v>
      </c>
      <c r="AE8030" t="str">
        <f>VLOOKUP(Table_Query_from_Actuarial___Production3[[#This Row],[Kor1]],$AI$3:$AK$105,3,FALSE)</f>
        <v>Premium Tax</v>
      </c>
      <c r="AF8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1" spans="18:32" x14ac:dyDescent="0.2">
      <c r="R8031" t="s">
        <v>14</v>
      </c>
      <c r="S8031" t="s">
        <v>239</v>
      </c>
      <c r="T8031" t="s">
        <v>442</v>
      </c>
      <c r="U8031" s="21">
        <v>1139315.72</v>
      </c>
      <c r="V8031" s="21" t="s">
        <v>368</v>
      </c>
      <c r="W8031" t="str">
        <f>VLOOKUP(Table_Query_from_Actuarial___Production[[#This Row],[Kor1]],$AI$3:$AK$105,3,FALSE)</f>
        <v>Claims Expense</v>
      </c>
      <c r="X8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1"/>
      <c r="Z8031" t="s">
        <v>39</v>
      </c>
      <c r="AA8031" t="s">
        <v>267</v>
      </c>
      <c r="AB8031" t="s">
        <v>433</v>
      </c>
      <c r="AC8031" s="21">
        <v>1004</v>
      </c>
      <c r="AD8031" s="21" t="s">
        <v>368</v>
      </c>
      <c r="AE8031" t="str">
        <f>VLOOKUP(Table_Query_from_Actuarial___Production3[[#This Row],[Kor1]],$AI$3:$AK$105,3,FALSE)</f>
        <v>Misc. Income for Insolvent Companies</v>
      </c>
      <c r="AF8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2" spans="18:32" x14ac:dyDescent="0.2">
      <c r="R8032" t="s">
        <v>21</v>
      </c>
      <c r="S8032" t="s">
        <v>231</v>
      </c>
      <c r="T8032" t="s">
        <v>433</v>
      </c>
      <c r="U8032" s="21">
        <v>2642.75</v>
      </c>
      <c r="V8032" s="21" t="s">
        <v>368</v>
      </c>
      <c r="W8032" t="str">
        <f>VLOOKUP(Table_Query_from_Actuarial___Production[[#This Row],[Kor1]],$AI$3:$AK$105,3,FALSE)</f>
        <v>Misc. Expense</v>
      </c>
      <c r="X8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2"/>
      <c r="Z8032" t="s">
        <v>31</v>
      </c>
      <c r="AA8032" t="s">
        <v>227</v>
      </c>
      <c r="AB8032" t="s">
        <v>7</v>
      </c>
      <c r="AC8032" s="21">
        <v>1068.82</v>
      </c>
      <c r="AD8032" s="21" t="s">
        <v>368</v>
      </c>
      <c r="AE8032" t="str">
        <f>VLOOKUP(Table_Query_from_Actuarial___Production3[[#This Row],[Kor1]],$AI$3:$AK$105,3,FALSE)</f>
        <v>Misc. Expense</v>
      </c>
      <c r="AF8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3" spans="18:32" x14ac:dyDescent="0.2">
      <c r="R8033" t="s">
        <v>40</v>
      </c>
      <c r="S8033" t="s">
        <v>237</v>
      </c>
      <c r="T8033" t="s">
        <v>356</v>
      </c>
      <c r="U8033" s="21">
        <v>608.84</v>
      </c>
      <c r="V8033" s="21" t="s">
        <v>368</v>
      </c>
      <c r="W8033" t="str">
        <f>VLOOKUP(Table_Query_from_Actuarial___Production[[#This Row],[Kor1]],$AI$3:$AK$105,3,FALSE)</f>
        <v>Misc. Income</v>
      </c>
      <c r="X8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3"/>
      <c r="Z8033" t="s">
        <v>47</v>
      </c>
      <c r="AA8033" t="s">
        <v>232</v>
      </c>
      <c r="AB8033" t="s">
        <v>356</v>
      </c>
      <c r="AC8033" s="21">
        <v>4283.91</v>
      </c>
      <c r="AD8033" s="21" t="s">
        <v>368</v>
      </c>
      <c r="AE8033" t="str">
        <f>VLOOKUP(Table_Query_from_Actuarial___Production3[[#This Row],[Kor1]],$AI$3:$AK$105,3,FALSE)</f>
        <v>Investment Income</v>
      </c>
      <c r="AF8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4" spans="18:32" x14ac:dyDescent="0.2">
      <c r="R8034" t="s">
        <v>48</v>
      </c>
      <c r="S8034" t="s">
        <v>248</v>
      </c>
      <c r="T8034" t="s">
        <v>442</v>
      </c>
      <c r="U8034" s="21">
        <v>5879.37</v>
      </c>
      <c r="V8034" s="21" t="s">
        <v>368</v>
      </c>
      <c r="W8034" t="str">
        <f>VLOOKUP(Table_Query_from_Actuarial___Production[[#This Row],[Kor1]],$AI$3:$AK$105,3,FALSE)</f>
        <v>Anticipated Salvage</v>
      </c>
      <c r="X8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4"/>
      <c r="Z8034" t="s">
        <v>46</v>
      </c>
      <c r="AA8034" t="s">
        <v>225</v>
      </c>
      <c r="AB8034" t="s">
        <v>8</v>
      </c>
      <c r="AC8034" s="21">
        <v>16560.599999999999</v>
      </c>
      <c r="AD8034" s="21" t="s">
        <v>369</v>
      </c>
      <c r="AE8034" t="str">
        <f>VLOOKUP(Table_Query_from_Actuarial___Production3[[#This Row],[Kor1]],$AI$3:$AK$105,3,FALSE)</f>
        <v>Investment Income</v>
      </c>
      <c r="AF8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035" spans="18:32" x14ac:dyDescent="0.2">
      <c r="R8035" t="s">
        <v>439</v>
      </c>
      <c r="S8035" t="s">
        <v>257</v>
      </c>
      <c r="T8035" t="s">
        <v>443</v>
      </c>
      <c r="U8035" s="21">
        <v>-38798.42</v>
      </c>
      <c r="V8035" s="21" t="s">
        <v>368</v>
      </c>
      <c r="W8035" t="str">
        <f>VLOOKUP(Table_Query_from_Actuarial___Production[[#This Row],[Kor1]],$AI$3:$AK$105,3,FALSE)</f>
        <v>Operating Service Fees</v>
      </c>
      <c r="X8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5"/>
      <c r="Z8035" t="s">
        <v>39</v>
      </c>
      <c r="AA8035" t="s">
        <v>232</v>
      </c>
      <c r="AB8035" t="s">
        <v>7</v>
      </c>
      <c r="AC8035" s="21">
        <v>8.01</v>
      </c>
      <c r="AD8035" s="21" t="s">
        <v>368</v>
      </c>
      <c r="AE8035" t="str">
        <f>VLOOKUP(Table_Query_from_Actuarial___Production3[[#This Row],[Kor1]],$AI$3:$AK$105,3,FALSE)</f>
        <v>Misc. Income for Insolvent Companies</v>
      </c>
      <c r="AF8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6" spans="18:32" x14ac:dyDescent="0.2">
      <c r="R8036" t="s">
        <v>12</v>
      </c>
      <c r="S8036" t="s">
        <v>252</v>
      </c>
      <c r="T8036" t="s">
        <v>6</v>
      </c>
      <c r="U8036" s="21">
        <v>205776.92</v>
      </c>
      <c r="V8036" s="21" t="s">
        <v>368</v>
      </c>
      <c r="W8036" t="str">
        <f>VLOOKUP(Table_Query_from_Actuarial___Production[[#This Row],[Kor1]],$AI$3:$AK$105,3,FALSE)</f>
        <v>Premium Tax</v>
      </c>
      <c r="X8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6"/>
      <c r="Z8036" t="s">
        <v>33</v>
      </c>
      <c r="AA8036" t="s">
        <v>238</v>
      </c>
      <c r="AB8036" t="s">
        <v>8</v>
      </c>
      <c r="AC8036" s="21">
        <v>14917.2</v>
      </c>
      <c r="AD8036" s="21" t="s">
        <v>368</v>
      </c>
      <c r="AE8036" t="str">
        <f>VLOOKUP(Table_Query_from_Actuarial___Production3[[#This Row],[Kor1]],$AI$3:$AK$105,3,FALSE)</f>
        <v>Misc. Expense</v>
      </c>
      <c r="AF8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7" spans="18:32" x14ac:dyDescent="0.2">
      <c r="R8037" t="s">
        <v>37</v>
      </c>
      <c r="S8037" t="s">
        <v>254</v>
      </c>
      <c r="T8037" t="s">
        <v>433</v>
      </c>
      <c r="U8037" s="21">
        <v>19917.54</v>
      </c>
      <c r="V8037" s="21" t="s">
        <v>368</v>
      </c>
      <c r="W8037" t="str">
        <f>VLOOKUP(Table_Query_from_Actuarial___Production[[#This Row],[Kor1]],$AI$3:$AK$105,3,FALSE)</f>
        <v>Misc. Expense</v>
      </c>
      <c r="X8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7"/>
      <c r="Z8037" t="s">
        <v>14</v>
      </c>
      <c r="AA8037" t="s">
        <v>231</v>
      </c>
      <c r="AB8037" t="s">
        <v>356</v>
      </c>
      <c r="AC8037" s="21">
        <v>22502.58</v>
      </c>
      <c r="AD8037" s="21" t="s">
        <v>368</v>
      </c>
      <c r="AE8037" t="str">
        <f>VLOOKUP(Table_Query_from_Actuarial___Production3[[#This Row],[Kor1]],$AI$3:$AK$105,3,FALSE)</f>
        <v>Claims Expense</v>
      </c>
      <c r="AF8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8" spans="18:32" x14ac:dyDescent="0.2">
      <c r="R8038" t="s">
        <v>44</v>
      </c>
      <c r="S8038" t="s">
        <v>249</v>
      </c>
      <c r="T8038" t="s">
        <v>433</v>
      </c>
      <c r="U8038" s="21">
        <v>4389</v>
      </c>
      <c r="V8038" s="21" t="s">
        <v>368</v>
      </c>
      <c r="W8038" t="str">
        <f>VLOOKUP(Table_Query_from_Actuarial___Production[[#This Row],[Kor1]],$AI$3:$AK$105,3,FALSE)</f>
        <v>Charge-offs</v>
      </c>
      <c r="X8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38"/>
      <c r="Z8038" t="s">
        <v>20</v>
      </c>
      <c r="AA8038" t="s">
        <v>244</v>
      </c>
      <c r="AB8038" t="s">
        <v>356</v>
      </c>
      <c r="AC8038" s="21">
        <v>472.73</v>
      </c>
      <c r="AD8038" s="21" t="s">
        <v>368</v>
      </c>
      <c r="AE8038" t="str">
        <f>VLOOKUP(Table_Query_from_Actuarial___Production3[[#This Row],[Kor1]],$AI$3:$AK$105,3,FALSE)</f>
        <v>Misc. Expense</v>
      </c>
      <c r="AF8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39" spans="18:32" x14ac:dyDescent="0.2">
      <c r="R8039" t="s">
        <v>48</v>
      </c>
      <c r="S8039" t="s">
        <v>224</v>
      </c>
      <c r="T8039" t="s">
        <v>427</v>
      </c>
      <c r="U8039" s="21">
        <v>2582.56</v>
      </c>
      <c r="V8039" s="21" t="s">
        <v>368</v>
      </c>
      <c r="W8039" t="str">
        <f>VLOOKUP(Table_Query_from_Actuarial___Production[[#This Row],[Kor1]],$AI$3:$AK$105,3,FALSE)</f>
        <v>Anticipated Salvage</v>
      </c>
      <c r="X8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039"/>
      <c r="Z8039" t="s">
        <v>37</v>
      </c>
      <c r="AA8039" t="s">
        <v>240</v>
      </c>
      <c r="AB8039" t="s">
        <v>9</v>
      </c>
      <c r="AC8039" s="21">
        <v>139.19</v>
      </c>
      <c r="AD8039" s="21" t="s">
        <v>368</v>
      </c>
      <c r="AE8039" t="str">
        <f>VLOOKUP(Table_Query_from_Actuarial___Production3[[#This Row],[Kor1]],$AI$3:$AK$105,3,FALSE)</f>
        <v>Misc. Expense</v>
      </c>
      <c r="AF8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0" spans="18:32" x14ac:dyDescent="0.2">
      <c r="R8040" t="s">
        <v>14</v>
      </c>
      <c r="S8040" t="s">
        <v>253</v>
      </c>
      <c r="T8040" t="s">
        <v>445</v>
      </c>
      <c r="U8040" s="21">
        <v>168.89</v>
      </c>
      <c r="V8040" s="21" t="s">
        <v>368</v>
      </c>
      <c r="W8040" t="str">
        <f>VLOOKUP(Table_Query_from_Actuarial___Production[[#This Row],[Kor1]],$AI$3:$AK$105,3,FALSE)</f>
        <v>Claims Expense</v>
      </c>
      <c r="X8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0"/>
      <c r="Z8040" t="s">
        <v>10</v>
      </c>
      <c r="AA8040" t="s">
        <v>243</v>
      </c>
      <c r="AB8040" t="s">
        <v>9</v>
      </c>
      <c r="AC8040" s="21">
        <v>22352.58</v>
      </c>
      <c r="AD8040" s="21" t="s">
        <v>368</v>
      </c>
      <c r="AE8040" t="str">
        <f>VLOOKUP(Table_Query_from_Actuarial___Production3[[#This Row],[Kor1]],$AI$3:$AK$105,3,FALSE)</f>
        <v>Commissions</v>
      </c>
      <c r="AF8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1" spans="18:32" x14ac:dyDescent="0.2">
      <c r="R8041" t="s">
        <v>33</v>
      </c>
      <c r="S8041" t="s">
        <v>251</v>
      </c>
      <c r="T8041" t="s">
        <v>8</v>
      </c>
      <c r="U8041" s="21">
        <v>14970.45</v>
      </c>
      <c r="V8041" s="21" t="s">
        <v>368</v>
      </c>
      <c r="W8041" t="str">
        <f>VLOOKUP(Table_Query_from_Actuarial___Production[[#This Row],[Kor1]],$AI$3:$AK$105,3,FALSE)</f>
        <v>Misc. Expense</v>
      </c>
      <c r="X8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1"/>
      <c r="Z8041" t="s">
        <v>17</v>
      </c>
      <c r="AA8041" t="s">
        <v>260</v>
      </c>
      <c r="AB8041" t="s">
        <v>443</v>
      </c>
      <c r="AC8041" s="21">
        <v>7854.67</v>
      </c>
      <c r="AD8041" s="21" t="s">
        <v>368</v>
      </c>
      <c r="AE8041" t="str">
        <f>VLOOKUP(Table_Query_from_Actuarial___Production3[[#This Row],[Kor1]],$AI$3:$AK$105,3,FALSE)</f>
        <v>IBNR</v>
      </c>
      <c r="AF8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2" spans="18:32" x14ac:dyDescent="0.2">
      <c r="R8042" t="s">
        <v>10</v>
      </c>
      <c r="S8042" t="s">
        <v>261</v>
      </c>
      <c r="T8042" t="s">
        <v>9</v>
      </c>
      <c r="U8042" s="21">
        <v>38743.599999999999</v>
      </c>
      <c r="V8042" s="21" t="s">
        <v>368</v>
      </c>
      <c r="W8042" t="str">
        <f>VLOOKUP(Table_Query_from_Actuarial___Production[[#This Row],[Kor1]],$AI$3:$AK$105,3,FALSE)</f>
        <v>Commissions</v>
      </c>
      <c r="X8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2"/>
      <c r="Z8042" t="s">
        <v>13</v>
      </c>
      <c r="AA8042" t="s">
        <v>234</v>
      </c>
      <c r="AB8042" t="s">
        <v>8</v>
      </c>
      <c r="AC8042" s="21">
        <v>163906.39000000001</v>
      </c>
      <c r="AD8042" s="21" t="s">
        <v>368</v>
      </c>
      <c r="AE8042" t="str">
        <f>VLOOKUP(Table_Query_from_Actuarial___Production3[[#This Row],[Kor1]],$AI$3:$AK$105,3,FALSE)</f>
        <v>Operating Service Fees</v>
      </c>
      <c r="AF8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3" spans="18:32" x14ac:dyDescent="0.2">
      <c r="R8043" t="s">
        <v>11</v>
      </c>
      <c r="S8043" t="s">
        <v>243</v>
      </c>
      <c r="T8043" t="s">
        <v>441</v>
      </c>
      <c r="U8043" s="21">
        <v>159570.35</v>
      </c>
      <c r="V8043" s="21" t="s">
        <v>368</v>
      </c>
      <c r="W8043" t="str">
        <f>VLOOKUP(Table_Query_from_Actuarial___Production[[#This Row],[Kor1]],$AI$3:$AK$105,3,FALSE)</f>
        <v>Losses Paid</v>
      </c>
      <c r="X8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3"/>
      <c r="Z8043" t="s">
        <v>14</v>
      </c>
      <c r="AA8043" t="s">
        <v>239</v>
      </c>
      <c r="AB8043" t="s">
        <v>442</v>
      </c>
      <c r="AC8043" s="21">
        <v>1095638.67</v>
      </c>
      <c r="AD8043" s="21" t="s">
        <v>368</v>
      </c>
      <c r="AE8043" t="str">
        <f>VLOOKUP(Table_Query_from_Actuarial___Production3[[#This Row],[Kor1]],$AI$3:$AK$105,3,FALSE)</f>
        <v>Claims Expense</v>
      </c>
      <c r="AF8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4" spans="18:32" x14ac:dyDescent="0.2">
      <c r="R8044" t="s">
        <v>14</v>
      </c>
      <c r="S8044" t="s">
        <v>265</v>
      </c>
      <c r="T8044" t="s">
        <v>433</v>
      </c>
      <c r="U8044" s="21">
        <v>86721.27</v>
      </c>
      <c r="V8044" s="21" t="s">
        <v>368</v>
      </c>
      <c r="W8044" t="str">
        <f>VLOOKUP(Table_Query_from_Actuarial___Production[[#This Row],[Kor1]],$AI$3:$AK$105,3,FALSE)</f>
        <v>Claims Expense</v>
      </c>
      <c r="X8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4"/>
      <c r="Z8044" t="s">
        <v>21</v>
      </c>
      <c r="AA8044" t="s">
        <v>231</v>
      </c>
      <c r="AB8044" t="s">
        <v>433</v>
      </c>
      <c r="AC8044" s="21">
        <v>2642.75</v>
      </c>
      <c r="AD8044" s="21" t="s">
        <v>368</v>
      </c>
      <c r="AE8044" t="str">
        <f>VLOOKUP(Table_Query_from_Actuarial___Production3[[#This Row],[Kor1]],$AI$3:$AK$105,3,FALSE)</f>
        <v>Misc. Expense</v>
      </c>
      <c r="AF8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5" spans="18:32" x14ac:dyDescent="0.2">
      <c r="R8045" t="s">
        <v>21</v>
      </c>
      <c r="S8045" t="s">
        <v>231</v>
      </c>
      <c r="T8045" t="s">
        <v>7</v>
      </c>
      <c r="U8045" s="21">
        <v>254</v>
      </c>
      <c r="V8045" s="21" t="s">
        <v>368</v>
      </c>
      <c r="W8045" t="str">
        <f>VLOOKUP(Table_Query_from_Actuarial___Production[[#This Row],[Kor1]],$AI$3:$AK$105,3,FALSE)</f>
        <v>Misc. Expense</v>
      </c>
      <c r="X8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5"/>
      <c r="Z8045" t="s">
        <v>40</v>
      </c>
      <c r="AA8045" t="s">
        <v>237</v>
      </c>
      <c r="AB8045" t="s">
        <v>356</v>
      </c>
      <c r="AC8045" s="21">
        <v>608.84</v>
      </c>
      <c r="AD8045" s="21" t="s">
        <v>368</v>
      </c>
      <c r="AE8045" t="str">
        <f>VLOOKUP(Table_Query_from_Actuarial___Production3[[#This Row],[Kor1]],$AI$3:$AK$105,3,FALSE)</f>
        <v>Misc. Income</v>
      </c>
      <c r="AF8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6" spans="18:32" x14ac:dyDescent="0.2">
      <c r="R8046" t="s">
        <v>17</v>
      </c>
      <c r="S8046" t="s">
        <v>263</v>
      </c>
      <c r="T8046" t="s">
        <v>443</v>
      </c>
      <c r="U8046" s="21">
        <v>180133.74</v>
      </c>
      <c r="V8046" s="21" t="s">
        <v>368</v>
      </c>
      <c r="W8046" t="str">
        <f>VLOOKUP(Table_Query_from_Actuarial___Production[[#This Row],[Kor1]],$AI$3:$AK$105,3,FALSE)</f>
        <v>IBNR</v>
      </c>
      <c r="X8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6"/>
      <c r="Z8046" t="s">
        <v>48</v>
      </c>
      <c r="AA8046" t="s">
        <v>248</v>
      </c>
      <c r="AB8046" t="s">
        <v>442</v>
      </c>
      <c r="AC8046" s="21">
        <v>4972.07</v>
      </c>
      <c r="AD8046" s="21" t="s">
        <v>368</v>
      </c>
      <c r="AE8046" t="str">
        <f>VLOOKUP(Table_Query_from_Actuarial___Production3[[#This Row],[Kor1]],$AI$3:$AK$105,3,FALSE)</f>
        <v>Anticipated Salvage</v>
      </c>
      <c r="AF8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7" spans="18:32" x14ac:dyDescent="0.2">
      <c r="R8047" t="s">
        <v>39</v>
      </c>
      <c r="S8047" t="s">
        <v>254</v>
      </c>
      <c r="T8047" t="s">
        <v>6</v>
      </c>
      <c r="U8047" s="21">
        <v>50</v>
      </c>
      <c r="V8047" s="21" t="s">
        <v>368</v>
      </c>
      <c r="W8047" t="str">
        <f>VLOOKUP(Table_Query_from_Actuarial___Production[[#This Row],[Kor1]],$AI$3:$AK$105,3,FALSE)</f>
        <v>Misc. Income for Insolvent Companies</v>
      </c>
      <c r="X8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7"/>
      <c r="Z8047" t="s">
        <v>439</v>
      </c>
      <c r="AA8047" t="s">
        <v>257</v>
      </c>
      <c r="AB8047" t="s">
        <v>443</v>
      </c>
      <c r="AC8047" s="21">
        <v>-38798.42</v>
      </c>
      <c r="AD8047" s="21" t="s">
        <v>368</v>
      </c>
      <c r="AE8047" t="str">
        <f>VLOOKUP(Table_Query_from_Actuarial___Production3[[#This Row],[Kor1]],$AI$3:$AK$105,3,FALSE)</f>
        <v>Operating Service Fees</v>
      </c>
      <c r="AF8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8" spans="18:32" x14ac:dyDescent="0.2">
      <c r="R8048" t="s">
        <v>12</v>
      </c>
      <c r="S8048" t="s">
        <v>231</v>
      </c>
      <c r="T8048" t="s">
        <v>433</v>
      </c>
      <c r="U8048" s="21">
        <v>30056</v>
      </c>
      <c r="V8048" s="21" t="s">
        <v>368</v>
      </c>
      <c r="W8048" t="str">
        <f>VLOOKUP(Table_Query_from_Actuarial___Production[[#This Row],[Kor1]],$AI$3:$AK$105,3,FALSE)</f>
        <v>Premium Tax</v>
      </c>
      <c r="X8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8"/>
      <c r="Z8048" t="s">
        <v>12</v>
      </c>
      <c r="AA8048" t="s">
        <v>252</v>
      </c>
      <c r="AB8048" t="s">
        <v>6</v>
      </c>
      <c r="AC8048" s="21">
        <v>205776.92</v>
      </c>
      <c r="AD8048" s="21" t="s">
        <v>368</v>
      </c>
      <c r="AE8048" t="str">
        <f>VLOOKUP(Table_Query_from_Actuarial___Production3[[#This Row],[Kor1]],$AI$3:$AK$105,3,FALSE)</f>
        <v>Premium Tax</v>
      </c>
      <c r="AF8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49" spans="18:32" x14ac:dyDescent="0.2">
      <c r="R8049" t="s">
        <v>12</v>
      </c>
      <c r="S8049" t="s">
        <v>258</v>
      </c>
      <c r="T8049" t="s">
        <v>6</v>
      </c>
      <c r="U8049" s="21">
        <v>34266.559999999998</v>
      </c>
      <c r="V8049" s="21" t="s">
        <v>368</v>
      </c>
      <c r="W8049" t="str">
        <f>VLOOKUP(Table_Query_from_Actuarial___Production[[#This Row],[Kor1]],$AI$3:$AK$105,3,FALSE)</f>
        <v>Premium Tax</v>
      </c>
      <c r="X8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49"/>
      <c r="Z8049" t="s">
        <v>37</v>
      </c>
      <c r="AA8049" t="s">
        <v>254</v>
      </c>
      <c r="AB8049" t="s">
        <v>433</v>
      </c>
      <c r="AC8049" s="21">
        <v>19917.54</v>
      </c>
      <c r="AD8049" s="21" t="s">
        <v>368</v>
      </c>
      <c r="AE8049" t="str">
        <f>VLOOKUP(Table_Query_from_Actuarial___Production3[[#This Row],[Kor1]],$AI$3:$AK$105,3,FALSE)</f>
        <v>Misc. Expense</v>
      </c>
      <c r="AF8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0" spans="18:32" x14ac:dyDescent="0.2">
      <c r="R8050" t="s">
        <v>19</v>
      </c>
      <c r="S8050" t="s">
        <v>243</v>
      </c>
      <c r="T8050" t="s">
        <v>433</v>
      </c>
      <c r="U8050" s="21">
        <v>1283.99</v>
      </c>
      <c r="V8050" s="21" t="s">
        <v>368</v>
      </c>
      <c r="W8050" t="str">
        <f>VLOOKUP(Table_Query_from_Actuarial___Production[[#This Row],[Kor1]],$AI$3:$AK$105,3,FALSE)</f>
        <v>Misc. Expense for Insolvent Companies</v>
      </c>
      <c r="X8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0"/>
      <c r="Z8050" t="s">
        <v>44</v>
      </c>
      <c r="AA8050" t="s">
        <v>249</v>
      </c>
      <c r="AB8050" t="s">
        <v>433</v>
      </c>
      <c r="AC8050" s="21">
        <v>4389</v>
      </c>
      <c r="AD8050" s="21" t="s">
        <v>368</v>
      </c>
      <c r="AE8050" t="str">
        <f>VLOOKUP(Table_Query_from_Actuarial___Production3[[#This Row],[Kor1]],$AI$3:$AK$105,3,FALSE)</f>
        <v>Charge-offs</v>
      </c>
      <c r="AF8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1" spans="18:32" x14ac:dyDescent="0.2">
      <c r="R8051" t="s">
        <v>38</v>
      </c>
      <c r="S8051" t="s">
        <v>352</v>
      </c>
      <c r="T8051" t="s">
        <v>356</v>
      </c>
      <c r="U8051" s="21">
        <v>21853.119999999999</v>
      </c>
      <c r="V8051" s="21" t="s">
        <v>369</v>
      </c>
      <c r="W8051" t="str">
        <f>VLOOKUP(Table_Query_from_Actuarial___Production[[#This Row],[Kor1]],$AI$3:$AK$105,3,FALSE)</f>
        <v>Misc. Income</v>
      </c>
      <c r="X8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051"/>
      <c r="Z8051" t="s">
        <v>48</v>
      </c>
      <c r="AA8051" t="s">
        <v>224</v>
      </c>
      <c r="AB8051" t="s">
        <v>427</v>
      </c>
      <c r="AC8051" s="21">
        <v>8479.14</v>
      </c>
      <c r="AD8051" s="21" t="s">
        <v>368</v>
      </c>
      <c r="AE8051" t="str">
        <f>VLOOKUP(Table_Query_from_Actuarial___Production3[[#This Row],[Kor1]],$AI$3:$AK$105,3,FALSE)</f>
        <v>Anticipated Salvage</v>
      </c>
      <c r="AF8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052" spans="18:32" x14ac:dyDescent="0.2">
      <c r="R8052" t="s">
        <v>10</v>
      </c>
      <c r="S8052" t="s">
        <v>234</v>
      </c>
      <c r="T8052" t="s">
        <v>427</v>
      </c>
      <c r="U8052" s="21">
        <v>60712.11</v>
      </c>
      <c r="V8052" s="21" t="s">
        <v>368</v>
      </c>
      <c r="W8052" t="str">
        <f>VLOOKUP(Table_Query_from_Actuarial___Production[[#This Row],[Kor1]],$AI$3:$AK$105,3,FALSE)</f>
        <v>Commissions</v>
      </c>
      <c r="X8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2"/>
      <c r="Z8052" t="s">
        <v>33</v>
      </c>
      <c r="AA8052" t="s">
        <v>251</v>
      </c>
      <c r="AB8052" t="s">
        <v>8</v>
      </c>
      <c r="AC8052" s="21">
        <v>14970.45</v>
      </c>
      <c r="AD8052" s="21" t="s">
        <v>368</v>
      </c>
      <c r="AE8052" t="str">
        <f>VLOOKUP(Table_Query_from_Actuarial___Production3[[#This Row],[Kor1]],$AI$3:$AK$105,3,FALSE)</f>
        <v>Misc. Expense</v>
      </c>
      <c r="AF8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3" spans="18:32" x14ac:dyDescent="0.2">
      <c r="R8053" t="s">
        <v>20</v>
      </c>
      <c r="S8053" t="s">
        <v>230</v>
      </c>
      <c r="T8053" t="s">
        <v>445</v>
      </c>
      <c r="U8053" s="21">
        <v>854.54</v>
      </c>
      <c r="V8053" s="21" t="s">
        <v>368</v>
      </c>
      <c r="W8053" t="str">
        <f>VLOOKUP(Table_Query_from_Actuarial___Production[[#This Row],[Kor1]],$AI$3:$AK$105,3,FALSE)</f>
        <v>Misc. Expense</v>
      </c>
      <c r="X8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3"/>
      <c r="Z8053" t="s">
        <v>10</v>
      </c>
      <c r="AA8053" t="s">
        <v>261</v>
      </c>
      <c r="AB8053" t="s">
        <v>9</v>
      </c>
      <c r="AC8053" s="21">
        <v>38743.599999999999</v>
      </c>
      <c r="AD8053" s="21" t="s">
        <v>368</v>
      </c>
      <c r="AE8053" t="str">
        <f>VLOOKUP(Table_Query_from_Actuarial___Production3[[#This Row],[Kor1]],$AI$3:$AK$105,3,FALSE)</f>
        <v>Commissions</v>
      </c>
      <c r="AF8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4" spans="18:32" x14ac:dyDescent="0.2">
      <c r="R8054" t="s">
        <v>31</v>
      </c>
      <c r="S8054" t="s">
        <v>256</v>
      </c>
      <c r="T8054" t="s">
        <v>8</v>
      </c>
      <c r="U8054" s="21">
        <v>587.27</v>
      </c>
      <c r="V8054" s="21" t="s">
        <v>368</v>
      </c>
      <c r="W8054" t="str">
        <f>VLOOKUP(Table_Query_from_Actuarial___Production[[#This Row],[Kor1]],$AI$3:$AK$105,3,FALSE)</f>
        <v>Misc. Expense</v>
      </c>
      <c r="X8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4"/>
      <c r="Z8054" t="s">
        <v>11</v>
      </c>
      <c r="AA8054" t="s">
        <v>243</v>
      </c>
      <c r="AB8054" t="s">
        <v>441</v>
      </c>
      <c r="AC8054" s="21">
        <v>139570.35</v>
      </c>
      <c r="AD8054" s="21" t="s">
        <v>368</v>
      </c>
      <c r="AE8054" t="str">
        <f>VLOOKUP(Table_Query_from_Actuarial___Production3[[#This Row],[Kor1]],$AI$3:$AK$105,3,FALSE)</f>
        <v>Losses Paid</v>
      </c>
      <c r="AF8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5" spans="18:32" x14ac:dyDescent="0.2">
      <c r="R8055" t="s">
        <v>49</v>
      </c>
      <c r="S8055" t="s">
        <v>232</v>
      </c>
      <c r="T8055" t="s">
        <v>7</v>
      </c>
      <c r="U8055" s="21">
        <v>52893.11</v>
      </c>
      <c r="V8055" s="21" t="s">
        <v>368</v>
      </c>
      <c r="W8055" t="str">
        <f>VLOOKUP(Table_Query_from_Actuarial___Production[[#This Row],[Kor1]],$AI$3:$AK$105,3,FALSE)</f>
        <v>ALAE Paid</v>
      </c>
      <c r="X8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5"/>
      <c r="Z8055" t="s">
        <v>14</v>
      </c>
      <c r="AA8055" t="s">
        <v>265</v>
      </c>
      <c r="AB8055" t="s">
        <v>433</v>
      </c>
      <c r="AC8055" s="21">
        <v>86721.27</v>
      </c>
      <c r="AD8055" s="21" t="s">
        <v>368</v>
      </c>
      <c r="AE8055" t="str">
        <f>VLOOKUP(Table_Query_from_Actuarial___Production3[[#This Row],[Kor1]],$AI$3:$AK$105,3,FALSE)</f>
        <v>Claims Expense</v>
      </c>
      <c r="AF8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6" spans="18:32" x14ac:dyDescent="0.2">
      <c r="R8056" t="s">
        <v>20</v>
      </c>
      <c r="S8056" t="s">
        <v>241</v>
      </c>
      <c r="T8056" t="s">
        <v>9</v>
      </c>
      <c r="U8056" s="21">
        <v>149.15</v>
      </c>
      <c r="V8056" s="21" t="s">
        <v>368</v>
      </c>
      <c r="W8056" t="str">
        <f>VLOOKUP(Table_Query_from_Actuarial___Production[[#This Row],[Kor1]],$AI$3:$AK$105,3,FALSE)</f>
        <v>Misc. Expense</v>
      </c>
      <c r="X8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6"/>
      <c r="Z8056" t="s">
        <v>21</v>
      </c>
      <c r="AA8056" t="s">
        <v>231</v>
      </c>
      <c r="AB8056" t="s">
        <v>7</v>
      </c>
      <c r="AC8056" s="21">
        <v>254</v>
      </c>
      <c r="AD8056" s="21" t="s">
        <v>368</v>
      </c>
      <c r="AE8056" t="str">
        <f>VLOOKUP(Table_Query_from_Actuarial___Production3[[#This Row],[Kor1]],$AI$3:$AK$105,3,FALSE)</f>
        <v>Misc. Expense</v>
      </c>
      <c r="AF8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7" spans="18:32" x14ac:dyDescent="0.2">
      <c r="R8057" t="s">
        <v>33</v>
      </c>
      <c r="S8057" t="s">
        <v>248</v>
      </c>
      <c r="T8057" t="s">
        <v>433</v>
      </c>
      <c r="U8057" s="21">
        <v>15025.99</v>
      </c>
      <c r="V8057" s="21" t="s">
        <v>368</v>
      </c>
      <c r="W8057" t="str">
        <f>VLOOKUP(Table_Query_from_Actuarial___Production[[#This Row],[Kor1]],$AI$3:$AK$105,3,FALSE)</f>
        <v>Misc. Expense</v>
      </c>
      <c r="X8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7"/>
      <c r="Z8057" t="s">
        <v>17</v>
      </c>
      <c r="AA8057" t="s">
        <v>263</v>
      </c>
      <c r="AB8057" t="s">
        <v>443</v>
      </c>
      <c r="AC8057" s="21">
        <v>7962.29</v>
      </c>
      <c r="AD8057" s="21" t="s">
        <v>368</v>
      </c>
      <c r="AE8057" t="str">
        <f>VLOOKUP(Table_Query_from_Actuarial___Production3[[#This Row],[Kor1]],$AI$3:$AK$105,3,FALSE)</f>
        <v>IBNR</v>
      </c>
      <c r="AF8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8" spans="18:32" x14ac:dyDescent="0.2">
      <c r="R8058" t="s">
        <v>47</v>
      </c>
      <c r="S8058" t="s">
        <v>261</v>
      </c>
      <c r="T8058" t="s">
        <v>9</v>
      </c>
      <c r="U8058" s="21">
        <v>436.4</v>
      </c>
      <c r="V8058" s="21" t="s">
        <v>368</v>
      </c>
      <c r="W8058" t="str">
        <f>VLOOKUP(Table_Query_from_Actuarial___Production[[#This Row],[Kor1]],$AI$3:$AK$105,3,FALSE)</f>
        <v>Investment Income</v>
      </c>
      <c r="X8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8"/>
      <c r="Z8058" t="s">
        <v>39</v>
      </c>
      <c r="AA8058" t="s">
        <v>254</v>
      </c>
      <c r="AB8058" t="s">
        <v>6</v>
      </c>
      <c r="AC8058" s="21">
        <v>50</v>
      </c>
      <c r="AD8058" s="21" t="s">
        <v>368</v>
      </c>
      <c r="AE8058" t="str">
        <f>VLOOKUP(Table_Query_from_Actuarial___Production3[[#This Row],[Kor1]],$AI$3:$AK$105,3,FALSE)</f>
        <v>Misc. Income for Insolvent Companies</v>
      </c>
      <c r="AF8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59" spans="18:32" x14ac:dyDescent="0.2">
      <c r="R8059" t="s">
        <v>33</v>
      </c>
      <c r="S8059" t="s">
        <v>237</v>
      </c>
      <c r="T8059" t="s">
        <v>356</v>
      </c>
      <c r="U8059" s="21">
        <v>26997.47</v>
      </c>
      <c r="V8059" s="21" t="s">
        <v>368</v>
      </c>
      <c r="W8059" t="str">
        <f>VLOOKUP(Table_Query_from_Actuarial___Production[[#This Row],[Kor1]],$AI$3:$AK$105,3,FALSE)</f>
        <v>Misc. Expense</v>
      </c>
      <c r="X8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59"/>
      <c r="Z8059" t="s">
        <v>12</v>
      </c>
      <c r="AA8059" t="s">
        <v>231</v>
      </c>
      <c r="AB8059" t="s">
        <v>433</v>
      </c>
      <c r="AC8059" s="21">
        <v>30056</v>
      </c>
      <c r="AD8059" s="21" t="s">
        <v>368</v>
      </c>
      <c r="AE8059" t="str">
        <f>VLOOKUP(Table_Query_from_Actuarial___Production3[[#This Row],[Kor1]],$AI$3:$AK$105,3,FALSE)</f>
        <v>Premium Tax</v>
      </c>
      <c r="AF8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0" spans="18:32" x14ac:dyDescent="0.2">
      <c r="R8060" t="s">
        <v>10</v>
      </c>
      <c r="S8060" t="s">
        <v>232</v>
      </c>
      <c r="T8060" t="s">
        <v>351</v>
      </c>
      <c r="U8060" s="21">
        <v>80506.55</v>
      </c>
      <c r="V8060" s="21" t="s">
        <v>368</v>
      </c>
      <c r="W8060" t="str">
        <f>VLOOKUP(Table_Query_from_Actuarial___Production[[#This Row],[Kor1]],$AI$3:$AK$105,3,FALSE)</f>
        <v>Commissions</v>
      </c>
      <c r="X8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0"/>
      <c r="Z8060" t="s">
        <v>12</v>
      </c>
      <c r="AA8060" t="s">
        <v>258</v>
      </c>
      <c r="AB8060" t="s">
        <v>6</v>
      </c>
      <c r="AC8060" s="21">
        <v>34266.559999999998</v>
      </c>
      <c r="AD8060" s="21" t="s">
        <v>368</v>
      </c>
      <c r="AE8060" t="str">
        <f>VLOOKUP(Table_Query_from_Actuarial___Production3[[#This Row],[Kor1]],$AI$3:$AK$105,3,FALSE)</f>
        <v>Premium Tax</v>
      </c>
      <c r="AF8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1" spans="18:32" x14ac:dyDescent="0.2">
      <c r="R8061" t="s">
        <v>14</v>
      </c>
      <c r="S8061" t="s">
        <v>250</v>
      </c>
      <c r="T8061" t="s">
        <v>7</v>
      </c>
      <c r="U8061" s="21">
        <v>106838.05</v>
      </c>
      <c r="V8061" s="21" t="s">
        <v>368</v>
      </c>
      <c r="W8061" t="str">
        <f>VLOOKUP(Table_Query_from_Actuarial___Production[[#This Row],[Kor1]],$AI$3:$AK$105,3,FALSE)</f>
        <v>Claims Expense</v>
      </c>
      <c r="X8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1"/>
      <c r="Z8061" t="s">
        <v>19</v>
      </c>
      <c r="AA8061" t="s">
        <v>243</v>
      </c>
      <c r="AB8061" t="s">
        <v>433</v>
      </c>
      <c r="AC8061" s="21">
        <v>1283.99</v>
      </c>
      <c r="AD8061" s="21" t="s">
        <v>368</v>
      </c>
      <c r="AE8061" t="str">
        <f>VLOOKUP(Table_Query_from_Actuarial___Production3[[#This Row],[Kor1]],$AI$3:$AK$105,3,FALSE)</f>
        <v>Misc. Expense for Insolvent Companies</v>
      </c>
      <c r="AF8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2" spans="18:32" x14ac:dyDescent="0.2">
      <c r="R8062" t="s">
        <v>34</v>
      </c>
      <c r="S8062" t="s">
        <v>267</v>
      </c>
      <c r="T8062" t="s">
        <v>433</v>
      </c>
      <c r="U8062" s="21">
        <v>290.16000000000003</v>
      </c>
      <c r="V8062" s="21" t="s">
        <v>368</v>
      </c>
      <c r="W8062" t="str">
        <f>VLOOKUP(Table_Query_from_Actuarial___Production[[#This Row],[Kor1]],$AI$3:$AK$105,3,FALSE)</f>
        <v>Misc. Expense</v>
      </c>
      <c r="X8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2"/>
      <c r="Z8062" t="s">
        <v>38</v>
      </c>
      <c r="AA8062" t="s">
        <v>352</v>
      </c>
      <c r="AB8062" t="s">
        <v>356</v>
      </c>
      <c r="AC8062" s="21">
        <v>21853.119999999999</v>
      </c>
      <c r="AD8062" s="21" t="s">
        <v>369</v>
      </c>
      <c r="AE8062" t="str">
        <f>VLOOKUP(Table_Query_from_Actuarial___Production3[[#This Row],[Kor1]],$AI$3:$AK$105,3,FALSE)</f>
        <v>Misc. Income</v>
      </c>
      <c r="AF8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063" spans="18:32" x14ac:dyDescent="0.2">
      <c r="R8063" t="s">
        <v>11</v>
      </c>
      <c r="S8063" t="s">
        <v>235</v>
      </c>
      <c r="T8063" t="s">
        <v>8</v>
      </c>
      <c r="U8063" s="21">
        <v>480073.32</v>
      </c>
      <c r="V8063" s="21" t="s">
        <v>368</v>
      </c>
      <c r="W8063" t="str">
        <f>VLOOKUP(Table_Query_from_Actuarial___Production[[#This Row],[Kor1]],$AI$3:$AK$105,3,FALSE)</f>
        <v>Losses Paid</v>
      </c>
      <c r="X8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3"/>
      <c r="Z8063" t="s">
        <v>10</v>
      </c>
      <c r="AA8063" t="s">
        <v>234</v>
      </c>
      <c r="AB8063" t="s">
        <v>427</v>
      </c>
      <c r="AC8063" s="21">
        <v>60712.11</v>
      </c>
      <c r="AD8063" s="21" t="s">
        <v>368</v>
      </c>
      <c r="AE8063" t="str">
        <f>VLOOKUP(Table_Query_from_Actuarial___Production3[[#This Row],[Kor1]],$AI$3:$AK$105,3,FALSE)</f>
        <v>Commissions</v>
      </c>
      <c r="AF8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4" spans="18:32" x14ac:dyDescent="0.2">
      <c r="R8064" t="s">
        <v>31</v>
      </c>
      <c r="S8064" t="s">
        <v>253</v>
      </c>
      <c r="T8064" t="s">
        <v>442</v>
      </c>
      <c r="U8064" s="21">
        <v>997.37</v>
      </c>
      <c r="V8064" s="21" t="s">
        <v>368</v>
      </c>
      <c r="W8064" t="str">
        <f>VLOOKUP(Table_Query_from_Actuarial___Production[[#This Row],[Kor1]],$AI$3:$AK$105,3,FALSE)</f>
        <v>Misc. Expense</v>
      </c>
      <c r="X8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4"/>
      <c r="Z8064" t="s">
        <v>31</v>
      </c>
      <c r="AA8064" t="s">
        <v>256</v>
      </c>
      <c r="AB8064" t="s">
        <v>8</v>
      </c>
      <c r="AC8064" s="21">
        <v>587.27</v>
      </c>
      <c r="AD8064" s="21" t="s">
        <v>368</v>
      </c>
      <c r="AE8064" t="str">
        <f>VLOOKUP(Table_Query_from_Actuarial___Production3[[#This Row],[Kor1]],$AI$3:$AK$105,3,FALSE)</f>
        <v>Misc. Expense</v>
      </c>
      <c r="AF8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5" spans="18:32" x14ac:dyDescent="0.2">
      <c r="R8065" t="s">
        <v>37</v>
      </c>
      <c r="S8065" t="s">
        <v>257</v>
      </c>
      <c r="T8065" t="s">
        <v>351</v>
      </c>
      <c r="U8065" s="21">
        <v>7911.23</v>
      </c>
      <c r="V8065" s="21" t="s">
        <v>368</v>
      </c>
      <c r="W8065" t="str">
        <f>VLOOKUP(Table_Query_from_Actuarial___Production[[#This Row],[Kor1]],$AI$3:$AK$105,3,FALSE)</f>
        <v>Misc. Expense</v>
      </c>
      <c r="X8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5"/>
      <c r="Z8065" t="s">
        <v>34</v>
      </c>
      <c r="AA8065" t="s">
        <v>230</v>
      </c>
      <c r="AB8065" t="s">
        <v>5</v>
      </c>
      <c r="AC8065" s="21">
        <v>52.02</v>
      </c>
      <c r="AD8065" s="21" t="s">
        <v>368</v>
      </c>
      <c r="AE8065" t="str">
        <f>VLOOKUP(Table_Query_from_Actuarial___Production3[[#This Row],[Kor1]],$AI$3:$AK$105,3,FALSE)</f>
        <v>Misc. Expense</v>
      </c>
      <c r="AF8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6" spans="18:32" x14ac:dyDescent="0.2">
      <c r="R8066" t="s">
        <v>14</v>
      </c>
      <c r="S8066" t="s">
        <v>225</v>
      </c>
      <c r="T8066" t="s">
        <v>443</v>
      </c>
      <c r="U8066" s="21">
        <v>8365</v>
      </c>
      <c r="V8066" s="21" t="s">
        <v>369</v>
      </c>
      <c r="W8066" t="str">
        <f>VLOOKUP(Table_Query_from_Actuarial___Production[[#This Row],[Kor1]],$AI$3:$AK$105,3,FALSE)</f>
        <v>Claims Expense</v>
      </c>
      <c r="X8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066"/>
      <c r="Z8066" t="s">
        <v>49</v>
      </c>
      <c r="AA8066" t="s">
        <v>232</v>
      </c>
      <c r="AB8066" t="s">
        <v>7</v>
      </c>
      <c r="AC8066" s="21">
        <v>52893.11</v>
      </c>
      <c r="AD8066" s="21" t="s">
        <v>368</v>
      </c>
      <c r="AE8066" t="str">
        <f>VLOOKUP(Table_Query_from_Actuarial___Production3[[#This Row],[Kor1]],$AI$3:$AK$105,3,FALSE)</f>
        <v>ALAE Paid</v>
      </c>
      <c r="AF8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7" spans="18:32" x14ac:dyDescent="0.2">
      <c r="R8067" t="s">
        <v>10</v>
      </c>
      <c r="S8067" t="s">
        <v>235</v>
      </c>
      <c r="T8067" t="s">
        <v>442</v>
      </c>
      <c r="U8067" s="21">
        <v>10669.25</v>
      </c>
      <c r="V8067" s="21" t="s">
        <v>368</v>
      </c>
      <c r="W8067" t="str">
        <f>VLOOKUP(Table_Query_from_Actuarial___Production[[#This Row],[Kor1]],$AI$3:$AK$105,3,FALSE)</f>
        <v>Commissions</v>
      </c>
      <c r="X8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7"/>
      <c r="Z8067" t="s">
        <v>20</v>
      </c>
      <c r="AA8067" t="s">
        <v>241</v>
      </c>
      <c r="AB8067" t="s">
        <v>9</v>
      </c>
      <c r="AC8067" s="21">
        <v>149.15</v>
      </c>
      <c r="AD8067" s="21" t="s">
        <v>368</v>
      </c>
      <c r="AE8067" t="str">
        <f>VLOOKUP(Table_Query_from_Actuarial___Production3[[#This Row],[Kor1]],$AI$3:$AK$105,3,FALSE)</f>
        <v>Misc. Expense</v>
      </c>
      <c r="AF8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8" spans="18:32" x14ac:dyDescent="0.2">
      <c r="R8068" t="s">
        <v>12</v>
      </c>
      <c r="S8068" t="s">
        <v>260</v>
      </c>
      <c r="T8068" t="s">
        <v>441</v>
      </c>
      <c r="U8068" s="21">
        <v>1090.44</v>
      </c>
      <c r="V8068" s="21" t="s">
        <v>368</v>
      </c>
      <c r="W8068" t="str">
        <f>VLOOKUP(Table_Query_from_Actuarial___Production[[#This Row],[Kor1]],$AI$3:$AK$105,3,FALSE)</f>
        <v>Premium Tax</v>
      </c>
      <c r="X8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8"/>
      <c r="Z8068" t="s">
        <v>33</v>
      </c>
      <c r="AA8068" t="s">
        <v>248</v>
      </c>
      <c r="AB8068" t="s">
        <v>433</v>
      </c>
      <c r="AC8068" s="21">
        <v>15025.99</v>
      </c>
      <c r="AD8068" s="21" t="s">
        <v>368</v>
      </c>
      <c r="AE8068" t="str">
        <f>VLOOKUP(Table_Query_from_Actuarial___Production3[[#This Row],[Kor1]],$AI$3:$AK$105,3,FALSE)</f>
        <v>Misc. Expense</v>
      </c>
      <c r="AF8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69" spans="18:32" x14ac:dyDescent="0.2">
      <c r="R8069" t="s">
        <v>19</v>
      </c>
      <c r="S8069" t="s">
        <v>263</v>
      </c>
      <c r="T8069" t="s">
        <v>351</v>
      </c>
      <c r="U8069" s="21">
        <v>166</v>
      </c>
      <c r="V8069" s="21" t="s">
        <v>368</v>
      </c>
      <c r="W8069" t="str">
        <f>VLOOKUP(Table_Query_from_Actuarial___Production[[#This Row],[Kor1]],$AI$3:$AK$105,3,FALSE)</f>
        <v>Misc. Expense for Insolvent Companies</v>
      </c>
      <c r="X8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69"/>
      <c r="Z8069" t="s">
        <v>47</v>
      </c>
      <c r="AA8069" t="s">
        <v>261</v>
      </c>
      <c r="AB8069" t="s">
        <v>9</v>
      </c>
      <c r="AC8069" s="21">
        <v>436.4</v>
      </c>
      <c r="AD8069" s="21" t="s">
        <v>368</v>
      </c>
      <c r="AE8069" t="str">
        <f>VLOOKUP(Table_Query_from_Actuarial___Production3[[#This Row],[Kor1]],$AI$3:$AK$105,3,FALSE)</f>
        <v>Investment Income</v>
      </c>
      <c r="AF8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0" spans="18:32" x14ac:dyDescent="0.2">
      <c r="R8070" t="s">
        <v>48</v>
      </c>
      <c r="S8070" t="s">
        <v>267</v>
      </c>
      <c r="T8070" t="s">
        <v>443</v>
      </c>
      <c r="U8070" s="21">
        <v>3459.61</v>
      </c>
      <c r="V8070" s="21" t="s">
        <v>368</v>
      </c>
      <c r="W8070" t="str">
        <f>VLOOKUP(Table_Query_from_Actuarial___Production[[#This Row],[Kor1]],$AI$3:$AK$105,3,FALSE)</f>
        <v>Anticipated Salvage</v>
      </c>
      <c r="X8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0"/>
      <c r="Z8070" t="s">
        <v>33</v>
      </c>
      <c r="AA8070" t="s">
        <v>237</v>
      </c>
      <c r="AB8070" t="s">
        <v>356</v>
      </c>
      <c r="AC8070" s="21">
        <v>26997.47</v>
      </c>
      <c r="AD8070" s="21" t="s">
        <v>368</v>
      </c>
      <c r="AE8070" t="str">
        <f>VLOOKUP(Table_Query_from_Actuarial___Production3[[#This Row],[Kor1]],$AI$3:$AK$105,3,FALSE)</f>
        <v>Misc. Expense</v>
      </c>
      <c r="AF8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1" spans="18:32" x14ac:dyDescent="0.2">
      <c r="R8071" t="s">
        <v>44</v>
      </c>
      <c r="S8071" t="s">
        <v>229</v>
      </c>
      <c r="T8071" t="s">
        <v>9</v>
      </c>
      <c r="U8071" s="21">
        <v>8631.0499999999993</v>
      </c>
      <c r="V8071" s="21" t="s">
        <v>368</v>
      </c>
      <c r="W8071" t="str">
        <f>VLOOKUP(Table_Query_from_Actuarial___Production[[#This Row],[Kor1]],$AI$3:$AK$105,3,FALSE)</f>
        <v>Charge-offs</v>
      </c>
      <c r="X8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1"/>
      <c r="Z8071" t="s">
        <v>77</v>
      </c>
      <c r="AA8071" t="s">
        <v>236</v>
      </c>
      <c r="AB8071" t="s">
        <v>442</v>
      </c>
      <c r="AC8071" s="21">
        <v>5357</v>
      </c>
      <c r="AD8071" s="21" t="s">
        <v>368</v>
      </c>
      <c r="AE8071" t="str">
        <f>VLOOKUP(Table_Query_from_Actuarial___Production3[[#This Row],[Kor1]],$AI$3:$AK$105,3,FALSE)</f>
        <v>PDR</v>
      </c>
      <c r="AF8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2" spans="18:32" x14ac:dyDescent="0.2">
      <c r="R8072" t="s">
        <v>11</v>
      </c>
      <c r="S8072" t="s">
        <v>256</v>
      </c>
      <c r="T8072" t="s">
        <v>356</v>
      </c>
      <c r="U8072" s="21">
        <v>331282.27</v>
      </c>
      <c r="V8072" s="21" t="s">
        <v>368</v>
      </c>
      <c r="W8072" t="str">
        <f>VLOOKUP(Table_Query_from_Actuarial___Production[[#This Row],[Kor1]],$AI$3:$AK$105,3,FALSE)</f>
        <v>Losses Paid</v>
      </c>
      <c r="X8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2"/>
      <c r="Z8072" t="s">
        <v>10</v>
      </c>
      <c r="AA8072" t="s">
        <v>232</v>
      </c>
      <c r="AB8072" t="s">
        <v>351</v>
      </c>
      <c r="AC8072" s="21">
        <v>80506.55</v>
      </c>
      <c r="AD8072" s="21" t="s">
        <v>368</v>
      </c>
      <c r="AE8072" t="str">
        <f>VLOOKUP(Table_Query_from_Actuarial___Production3[[#This Row],[Kor1]],$AI$3:$AK$105,3,FALSE)</f>
        <v>Commissions</v>
      </c>
      <c r="AF8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3" spans="18:32" x14ac:dyDescent="0.2">
      <c r="R8073" t="s">
        <v>40</v>
      </c>
      <c r="S8073" t="s">
        <v>256</v>
      </c>
      <c r="T8073" t="s">
        <v>6</v>
      </c>
      <c r="U8073" s="21">
        <v>108</v>
      </c>
      <c r="V8073" s="21" t="s">
        <v>368</v>
      </c>
      <c r="W8073" t="str">
        <f>VLOOKUP(Table_Query_from_Actuarial___Production[[#This Row],[Kor1]],$AI$3:$AK$105,3,FALSE)</f>
        <v>Misc. Income</v>
      </c>
      <c r="X8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3"/>
      <c r="Z8073" t="s">
        <v>37</v>
      </c>
      <c r="AA8073" t="s">
        <v>233</v>
      </c>
      <c r="AB8073" t="s">
        <v>5</v>
      </c>
      <c r="AC8073" s="21">
        <v>120.07</v>
      </c>
      <c r="AD8073" s="21" t="s">
        <v>368</v>
      </c>
      <c r="AE8073" t="str">
        <f>VLOOKUP(Table_Query_from_Actuarial___Production3[[#This Row],[Kor1]],$AI$3:$AK$105,3,FALSE)</f>
        <v>Misc. Expense</v>
      </c>
      <c r="AF8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4" spans="18:32" x14ac:dyDescent="0.2">
      <c r="R8074" t="s">
        <v>439</v>
      </c>
      <c r="S8074" t="s">
        <v>255</v>
      </c>
      <c r="T8074" t="s">
        <v>433</v>
      </c>
      <c r="U8074" s="21">
        <v>6409</v>
      </c>
      <c r="V8074" s="21" t="s">
        <v>368</v>
      </c>
      <c r="W8074" t="str">
        <f>VLOOKUP(Table_Query_from_Actuarial___Production[[#This Row],[Kor1]],$AI$3:$AK$105,3,FALSE)</f>
        <v>Operating Service Fees</v>
      </c>
      <c r="X8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4"/>
      <c r="Z8074" t="s">
        <v>14</v>
      </c>
      <c r="AA8074" t="s">
        <v>250</v>
      </c>
      <c r="AB8074" t="s">
        <v>7</v>
      </c>
      <c r="AC8074" s="21">
        <v>106838.05</v>
      </c>
      <c r="AD8074" s="21" t="s">
        <v>368</v>
      </c>
      <c r="AE8074" t="str">
        <f>VLOOKUP(Table_Query_from_Actuarial___Production3[[#This Row],[Kor1]],$AI$3:$AK$105,3,FALSE)</f>
        <v>Claims Expense</v>
      </c>
      <c r="AF8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5" spans="18:32" x14ac:dyDescent="0.2">
      <c r="R8075" t="s">
        <v>16</v>
      </c>
      <c r="S8075" t="s">
        <v>264</v>
      </c>
      <c r="T8075" t="s">
        <v>441</v>
      </c>
      <c r="U8075" s="21">
        <v>1005806.17</v>
      </c>
      <c r="V8075" s="21" t="s">
        <v>368</v>
      </c>
      <c r="W8075" t="str">
        <f>VLOOKUP(Table_Query_from_Actuarial___Production[[#This Row],[Kor1]],$AI$3:$AK$105,3,FALSE)</f>
        <v>Losses Outstanding</v>
      </c>
      <c r="X8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5"/>
      <c r="Z8075" t="s">
        <v>34</v>
      </c>
      <c r="AA8075" t="s">
        <v>267</v>
      </c>
      <c r="AB8075" t="s">
        <v>433</v>
      </c>
      <c r="AC8075" s="21">
        <v>290.16000000000003</v>
      </c>
      <c r="AD8075" s="21" t="s">
        <v>368</v>
      </c>
      <c r="AE8075" t="str">
        <f>VLOOKUP(Table_Query_from_Actuarial___Production3[[#This Row],[Kor1]],$AI$3:$AK$105,3,FALSE)</f>
        <v>Misc. Expense</v>
      </c>
      <c r="AF8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6" spans="18:32" x14ac:dyDescent="0.2">
      <c r="R8076" t="s">
        <v>17</v>
      </c>
      <c r="S8076" t="s">
        <v>259</v>
      </c>
      <c r="T8076" t="s">
        <v>433</v>
      </c>
      <c r="U8076" s="21">
        <v>9675.85</v>
      </c>
      <c r="V8076" s="21" t="s">
        <v>368</v>
      </c>
      <c r="W8076" t="str">
        <f>VLOOKUP(Table_Query_from_Actuarial___Production[[#This Row],[Kor1]],$AI$3:$AK$105,3,FALSE)</f>
        <v>IBNR</v>
      </c>
      <c r="X8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6"/>
      <c r="Z8076" t="s">
        <v>11</v>
      </c>
      <c r="AA8076" t="s">
        <v>235</v>
      </c>
      <c r="AB8076" t="s">
        <v>8</v>
      </c>
      <c r="AC8076" s="21">
        <v>480073.32</v>
      </c>
      <c r="AD8076" s="21" t="s">
        <v>368</v>
      </c>
      <c r="AE8076" t="str">
        <f>VLOOKUP(Table_Query_from_Actuarial___Production3[[#This Row],[Kor1]],$AI$3:$AK$105,3,FALSE)</f>
        <v>Losses Paid</v>
      </c>
      <c r="AF8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7" spans="18:32" x14ac:dyDescent="0.2">
      <c r="R8077" t="s">
        <v>41</v>
      </c>
      <c r="S8077" t="s">
        <v>238</v>
      </c>
      <c r="T8077" t="s">
        <v>443</v>
      </c>
      <c r="U8077" s="21">
        <v>50.06</v>
      </c>
      <c r="V8077" s="21" t="s">
        <v>368</v>
      </c>
      <c r="W8077" t="str">
        <f>VLOOKUP(Table_Query_from_Actuarial___Production[[#This Row],[Kor1]],$AI$3:$AK$105,3,FALSE)</f>
        <v>Misc. Income</v>
      </c>
      <c r="X8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7"/>
      <c r="Z8077" t="s">
        <v>31</v>
      </c>
      <c r="AA8077" t="s">
        <v>253</v>
      </c>
      <c r="AB8077" t="s">
        <v>442</v>
      </c>
      <c r="AC8077" s="21">
        <v>997.37</v>
      </c>
      <c r="AD8077" s="21" t="s">
        <v>368</v>
      </c>
      <c r="AE8077" t="str">
        <f>VLOOKUP(Table_Query_from_Actuarial___Production3[[#This Row],[Kor1]],$AI$3:$AK$105,3,FALSE)</f>
        <v>Misc. Expense</v>
      </c>
      <c r="AF8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8" spans="18:32" x14ac:dyDescent="0.2">
      <c r="R8078" t="s">
        <v>41</v>
      </c>
      <c r="S8078" t="s">
        <v>239</v>
      </c>
      <c r="T8078" t="s">
        <v>442</v>
      </c>
      <c r="U8078" s="21">
        <v>600.02</v>
      </c>
      <c r="V8078" s="21" t="s">
        <v>368</v>
      </c>
      <c r="W8078" t="str">
        <f>VLOOKUP(Table_Query_from_Actuarial___Production[[#This Row],[Kor1]],$AI$3:$AK$105,3,FALSE)</f>
        <v>Misc. Income</v>
      </c>
      <c r="X8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8"/>
      <c r="Z8078" t="s">
        <v>37</v>
      </c>
      <c r="AA8078" t="s">
        <v>257</v>
      </c>
      <c r="AB8078" t="s">
        <v>351</v>
      </c>
      <c r="AC8078" s="21">
        <v>7911.23</v>
      </c>
      <c r="AD8078" s="21" t="s">
        <v>368</v>
      </c>
      <c r="AE8078" t="str">
        <f>VLOOKUP(Table_Query_from_Actuarial___Production3[[#This Row],[Kor1]],$AI$3:$AK$105,3,FALSE)</f>
        <v>Misc. Expense</v>
      </c>
      <c r="AF8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79" spans="18:32" x14ac:dyDescent="0.2">
      <c r="R8079" t="s">
        <v>41</v>
      </c>
      <c r="S8079" t="s">
        <v>249</v>
      </c>
      <c r="T8079" t="s">
        <v>427</v>
      </c>
      <c r="U8079" s="21">
        <v>400</v>
      </c>
      <c r="V8079" s="21" t="s">
        <v>368</v>
      </c>
      <c r="W8079" t="str">
        <f>VLOOKUP(Table_Query_from_Actuarial___Production[[#This Row],[Kor1]],$AI$3:$AK$105,3,FALSE)</f>
        <v>Misc. Income</v>
      </c>
      <c r="X8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79"/>
      <c r="Z8079" t="s">
        <v>10</v>
      </c>
      <c r="AA8079" t="s">
        <v>235</v>
      </c>
      <c r="AB8079" t="s">
        <v>442</v>
      </c>
      <c r="AC8079" s="21">
        <v>10974.3</v>
      </c>
      <c r="AD8079" s="21" t="s">
        <v>368</v>
      </c>
      <c r="AE8079" t="str">
        <f>VLOOKUP(Table_Query_from_Actuarial___Production3[[#This Row],[Kor1]],$AI$3:$AK$105,3,FALSE)</f>
        <v>Commissions</v>
      </c>
      <c r="AF8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0" spans="18:32" x14ac:dyDescent="0.2">
      <c r="R8080" t="s">
        <v>3</v>
      </c>
      <c r="S8080" t="s">
        <v>263</v>
      </c>
      <c r="T8080" t="s">
        <v>9</v>
      </c>
      <c r="U8080" s="21">
        <v>389730</v>
      </c>
      <c r="V8080" s="21" t="s">
        <v>368</v>
      </c>
      <c r="W8080" t="str">
        <f>VLOOKUP(Table_Query_from_Actuarial___Production[[#This Row],[Kor1]],$AI$3:$AK$105,3,FALSE)</f>
        <v>Premiums Written</v>
      </c>
      <c r="X8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0"/>
      <c r="Z8080" t="s">
        <v>12</v>
      </c>
      <c r="AA8080" t="s">
        <v>260</v>
      </c>
      <c r="AB8080" t="s">
        <v>441</v>
      </c>
      <c r="AC8080" s="21">
        <v>1090.44</v>
      </c>
      <c r="AD8080" s="21" t="s">
        <v>368</v>
      </c>
      <c r="AE8080" t="str">
        <f>VLOOKUP(Table_Query_from_Actuarial___Production3[[#This Row],[Kor1]],$AI$3:$AK$105,3,FALSE)</f>
        <v>Premium Tax</v>
      </c>
      <c r="AF8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1" spans="18:32" x14ac:dyDescent="0.2">
      <c r="R8081" t="s">
        <v>44</v>
      </c>
      <c r="S8081" t="s">
        <v>230</v>
      </c>
      <c r="T8081" t="s">
        <v>433</v>
      </c>
      <c r="U8081" s="21">
        <v>773229.54</v>
      </c>
      <c r="V8081" s="21" t="s">
        <v>368</v>
      </c>
      <c r="W8081" t="str">
        <f>VLOOKUP(Table_Query_from_Actuarial___Production[[#This Row],[Kor1]],$AI$3:$AK$105,3,FALSE)</f>
        <v>Charge-offs</v>
      </c>
      <c r="X8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1"/>
      <c r="Z8081" t="s">
        <v>19</v>
      </c>
      <c r="AA8081" t="s">
        <v>263</v>
      </c>
      <c r="AB8081" t="s">
        <v>351</v>
      </c>
      <c r="AC8081" s="21">
        <v>166</v>
      </c>
      <c r="AD8081" s="21" t="s">
        <v>368</v>
      </c>
      <c r="AE8081" t="str">
        <f>VLOOKUP(Table_Query_from_Actuarial___Production3[[#This Row],[Kor1]],$AI$3:$AK$105,3,FALSE)</f>
        <v>Misc. Expense for Insolvent Companies</v>
      </c>
      <c r="AF8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2" spans="18:32" x14ac:dyDescent="0.2">
      <c r="R8082" t="s">
        <v>33</v>
      </c>
      <c r="S8082" t="s">
        <v>253</v>
      </c>
      <c r="T8082" t="s">
        <v>441</v>
      </c>
      <c r="U8082" s="21">
        <v>10814.02</v>
      </c>
      <c r="V8082" s="21" t="s">
        <v>368</v>
      </c>
      <c r="W8082" t="str">
        <f>VLOOKUP(Table_Query_from_Actuarial___Production[[#This Row],[Kor1]],$AI$3:$AK$105,3,FALSE)</f>
        <v>Misc. Expense</v>
      </c>
      <c r="X8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2"/>
      <c r="Z8082" t="s">
        <v>48</v>
      </c>
      <c r="AA8082" t="s">
        <v>267</v>
      </c>
      <c r="AB8082" t="s">
        <v>443</v>
      </c>
      <c r="AC8082" s="21">
        <v>2856.41</v>
      </c>
      <c r="AD8082" s="21" t="s">
        <v>368</v>
      </c>
      <c r="AE8082" t="str">
        <f>VLOOKUP(Table_Query_from_Actuarial___Production3[[#This Row],[Kor1]],$AI$3:$AK$105,3,FALSE)</f>
        <v>Anticipated Salvage</v>
      </c>
      <c r="AF8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3" spans="18:32" x14ac:dyDescent="0.2">
      <c r="R8083" t="s">
        <v>31</v>
      </c>
      <c r="S8083" t="s">
        <v>259</v>
      </c>
      <c r="T8083" t="s">
        <v>441</v>
      </c>
      <c r="U8083" s="21">
        <v>1171.67</v>
      </c>
      <c r="V8083" s="21" t="s">
        <v>368</v>
      </c>
      <c r="W8083" t="str">
        <f>VLOOKUP(Table_Query_from_Actuarial___Production[[#This Row],[Kor1]],$AI$3:$AK$105,3,FALSE)</f>
        <v>Misc. Expense</v>
      </c>
      <c r="X8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3"/>
      <c r="Z8083" t="s">
        <v>44</v>
      </c>
      <c r="AA8083" t="s">
        <v>229</v>
      </c>
      <c r="AB8083" t="s">
        <v>9</v>
      </c>
      <c r="AC8083" s="21">
        <v>8631.0499999999993</v>
      </c>
      <c r="AD8083" s="21" t="s">
        <v>368</v>
      </c>
      <c r="AE8083" t="str">
        <f>VLOOKUP(Table_Query_from_Actuarial___Production3[[#This Row],[Kor1]],$AI$3:$AK$105,3,FALSE)</f>
        <v>Charge-offs</v>
      </c>
      <c r="AF8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4" spans="18:32" x14ac:dyDescent="0.2">
      <c r="R8084" t="s">
        <v>39</v>
      </c>
      <c r="S8084" t="s">
        <v>232</v>
      </c>
      <c r="T8084" t="s">
        <v>427</v>
      </c>
      <c r="U8084" s="21">
        <v>97647.42</v>
      </c>
      <c r="V8084" s="21" t="s">
        <v>368</v>
      </c>
      <c r="W8084" t="str">
        <f>VLOOKUP(Table_Query_from_Actuarial___Production[[#This Row],[Kor1]],$AI$3:$AK$105,3,FALSE)</f>
        <v>Misc. Income for Insolvent Companies</v>
      </c>
      <c r="X8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4"/>
      <c r="Z8084" t="s">
        <v>11</v>
      </c>
      <c r="AA8084" t="s">
        <v>256</v>
      </c>
      <c r="AB8084" t="s">
        <v>356</v>
      </c>
      <c r="AC8084" s="21">
        <v>331282.27</v>
      </c>
      <c r="AD8084" s="21" t="s">
        <v>368</v>
      </c>
      <c r="AE8084" t="str">
        <f>VLOOKUP(Table_Query_from_Actuarial___Production3[[#This Row],[Kor1]],$AI$3:$AK$105,3,FALSE)</f>
        <v>Losses Paid</v>
      </c>
      <c r="AF8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5" spans="18:32" x14ac:dyDescent="0.2">
      <c r="R8085" t="s">
        <v>11</v>
      </c>
      <c r="S8085" t="s">
        <v>243</v>
      </c>
      <c r="T8085" t="s">
        <v>351</v>
      </c>
      <c r="U8085" s="21">
        <v>53338.58</v>
      </c>
      <c r="V8085" s="21" t="s">
        <v>368</v>
      </c>
      <c r="W8085" t="str">
        <f>VLOOKUP(Table_Query_from_Actuarial___Production[[#This Row],[Kor1]],$AI$3:$AK$105,3,FALSE)</f>
        <v>Losses Paid</v>
      </c>
      <c r="X8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5"/>
      <c r="Z8085" t="s">
        <v>20</v>
      </c>
      <c r="AA8085" t="s">
        <v>232</v>
      </c>
      <c r="AB8085" t="s">
        <v>5</v>
      </c>
      <c r="AC8085" s="21">
        <v>709.09</v>
      </c>
      <c r="AD8085" s="21" t="s">
        <v>368</v>
      </c>
      <c r="AE8085" t="str">
        <f>VLOOKUP(Table_Query_from_Actuarial___Production3[[#This Row],[Kor1]],$AI$3:$AK$105,3,FALSE)</f>
        <v>Misc. Expense</v>
      </c>
      <c r="AF8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6" spans="18:32" x14ac:dyDescent="0.2">
      <c r="R8086" t="s">
        <v>16</v>
      </c>
      <c r="S8086" t="s">
        <v>231</v>
      </c>
      <c r="T8086" t="s">
        <v>445</v>
      </c>
      <c r="U8086" s="21">
        <v>79461.490000000005</v>
      </c>
      <c r="V8086" s="21" t="s">
        <v>368</v>
      </c>
      <c r="W8086" t="str">
        <f>VLOOKUP(Table_Query_from_Actuarial___Production[[#This Row],[Kor1]],$AI$3:$AK$105,3,FALSE)</f>
        <v>Losses Outstanding</v>
      </c>
      <c r="X8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6"/>
      <c r="Z8086" t="s">
        <v>40</v>
      </c>
      <c r="AA8086" t="s">
        <v>256</v>
      </c>
      <c r="AB8086" t="s">
        <v>6</v>
      </c>
      <c r="AC8086" s="21">
        <v>108</v>
      </c>
      <c r="AD8086" s="21" t="s">
        <v>368</v>
      </c>
      <c r="AE8086" t="str">
        <f>VLOOKUP(Table_Query_from_Actuarial___Production3[[#This Row],[Kor1]],$AI$3:$AK$105,3,FALSE)</f>
        <v>Misc. Income</v>
      </c>
      <c r="AF8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7" spans="18:32" x14ac:dyDescent="0.2">
      <c r="R8087" t="s">
        <v>43</v>
      </c>
      <c r="S8087" t="s">
        <v>224</v>
      </c>
      <c r="T8087" t="s">
        <v>351</v>
      </c>
      <c r="U8087" s="21">
        <v>8.3800000000000008</v>
      </c>
      <c r="V8087" s="21" t="s">
        <v>369</v>
      </c>
      <c r="W8087" t="str">
        <f>VLOOKUP(Table_Query_from_Actuarial___Production[[#This Row],[Kor1]],$AI$3:$AK$105,3,FALSE)</f>
        <v>Charge-offs</v>
      </c>
      <c r="X8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087"/>
      <c r="Z8087" t="s">
        <v>439</v>
      </c>
      <c r="AA8087" t="s">
        <v>255</v>
      </c>
      <c r="AB8087" t="s">
        <v>433</v>
      </c>
      <c r="AC8087" s="21">
        <v>6409</v>
      </c>
      <c r="AD8087" s="21" t="s">
        <v>368</v>
      </c>
      <c r="AE8087" t="str">
        <f>VLOOKUP(Table_Query_from_Actuarial___Production3[[#This Row],[Kor1]],$AI$3:$AK$105,3,FALSE)</f>
        <v>Operating Service Fees</v>
      </c>
      <c r="AF8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8" spans="18:32" x14ac:dyDescent="0.2">
      <c r="R8088" t="s">
        <v>46</v>
      </c>
      <c r="S8088" t="s">
        <v>352</v>
      </c>
      <c r="T8088" t="s">
        <v>441</v>
      </c>
      <c r="U8088" s="21">
        <v>28.55</v>
      </c>
      <c r="V8088" s="21" t="s">
        <v>369</v>
      </c>
      <c r="W8088" t="str">
        <f>VLOOKUP(Table_Query_from_Actuarial___Production[[#This Row],[Kor1]],$AI$3:$AK$105,3,FALSE)</f>
        <v>Investment Income</v>
      </c>
      <c r="X8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088"/>
      <c r="Z8088" t="s">
        <v>16</v>
      </c>
      <c r="AA8088" t="s">
        <v>264</v>
      </c>
      <c r="AB8088" t="s">
        <v>441</v>
      </c>
      <c r="AC8088" s="21">
        <v>805726.75</v>
      </c>
      <c r="AD8088" s="21" t="s">
        <v>368</v>
      </c>
      <c r="AE8088" t="str">
        <f>VLOOKUP(Table_Query_from_Actuarial___Production3[[#This Row],[Kor1]],$AI$3:$AK$105,3,FALSE)</f>
        <v>Losses Outstanding</v>
      </c>
      <c r="AF8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89" spans="18:32" x14ac:dyDescent="0.2">
      <c r="R8089" t="s">
        <v>33</v>
      </c>
      <c r="S8089" t="s">
        <v>268</v>
      </c>
      <c r="T8089" t="s">
        <v>445</v>
      </c>
      <c r="U8089" s="21">
        <v>3823.6</v>
      </c>
      <c r="V8089" s="21" t="s">
        <v>368</v>
      </c>
      <c r="W8089" t="str">
        <f>VLOOKUP(Table_Query_from_Actuarial___Production[[#This Row],[Kor1]],$AI$3:$AK$105,3,FALSE)</f>
        <v>Misc. Expense</v>
      </c>
      <c r="X8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89"/>
      <c r="Z8089" t="s">
        <v>17</v>
      </c>
      <c r="AA8089" t="s">
        <v>259</v>
      </c>
      <c r="AB8089" t="s">
        <v>433</v>
      </c>
      <c r="AC8089" s="21">
        <v>7920.39</v>
      </c>
      <c r="AD8089" s="21" t="s">
        <v>368</v>
      </c>
      <c r="AE8089" t="str">
        <f>VLOOKUP(Table_Query_from_Actuarial___Production3[[#This Row],[Kor1]],$AI$3:$AK$105,3,FALSE)</f>
        <v>IBNR</v>
      </c>
      <c r="AF8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0" spans="18:32" x14ac:dyDescent="0.2">
      <c r="R8090" t="s">
        <v>47</v>
      </c>
      <c r="S8090" t="s">
        <v>259</v>
      </c>
      <c r="T8090" t="s">
        <v>442</v>
      </c>
      <c r="U8090" s="21">
        <v>1483.26</v>
      </c>
      <c r="V8090" s="21" t="s">
        <v>368</v>
      </c>
      <c r="W8090" t="str">
        <f>VLOOKUP(Table_Query_from_Actuarial___Production[[#This Row],[Kor1]],$AI$3:$AK$105,3,FALSE)</f>
        <v>Investment Income</v>
      </c>
      <c r="X8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0"/>
      <c r="Z8090" t="s">
        <v>41</v>
      </c>
      <c r="AA8090" t="s">
        <v>239</v>
      </c>
      <c r="AB8090" t="s">
        <v>442</v>
      </c>
      <c r="AC8090" s="21">
        <v>600.02</v>
      </c>
      <c r="AD8090" s="21" t="s">
        <v>368</v>
      </c>
      <c r="AE8090" t="str">
        <f>VLOOKUP(Table_Query_from_Actuarial___Production3[[#This Row],[Kor1]],$AI$3:$AK$105,3,FALSE)</f>
        <v>Misc. Income</v>
      </c>
      <c r="AF8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1" spans="18:32" x14ac:dyDescent="0.2">
      <c r="R8091" t="s">
        <v>17</v>
      </c>
      <c r="S8091" t="s">
        <v>241</v>
      </c>
      <c r="T8091" t="s">
        <v>443</v>
      </c>
      <c r="U8091" s="21">
        <v>227034.7</v>
      </c>
      <c r="V8091" s="21" t="s">
        <v>368</v>
      </c>
      <c r="W8091" t="str">
        <f>VLOOKUP(Table_Query_from_Actuarial___Production[[#This Row],[Kor1]],$AI$3:$AK$105,3,FALSE)</f>
        <v>IBNR</v>
      </c>
      <c r="X8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1"/>
      <c r="Z8091" t="s">
        <v>41</v>
      </c>
      <c r="AA8091" t="s">
        <v>249</v>
      </c>
      <c r="AB8091" t="s">
        <v>427</v>
      </c>
      <c r="AC8091" s="21">
        <v>400</v>
      </c>
      <c r="AD8091" s="21" t="s">
        <v>368</v>
      </c>
      <c r="AE8091" t="str">
        <f>VLOOKUP(Table_Query_from_Actuarial___Production3[[#This Row],[Kor1]],$AI$3:$AK$105,3,FALSE)</f>
        <v>Misc. Income</v>
      </c>
      <c r="AF8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2" spans="18:32" x14ac:dyDescent="0.2">
      <c r="R8092" t="s">
        <v>11</v>
      </c>
      <c r="S8092" t="s">
        <v>4</v>
      </c>
      <c r="T8092" t="s">
        <v>7</v>
      </c>
      <c r="U8092" s="21">
        <v>10119568.949999999</v>
      </c>
      <c r="V8092" s="21" t="s">
        <v>368</v>
      </c>
      <c r="W8092" t="str">
        <f>VLOOKUP(Table_Query_from_Actuarial___Production[[#This Row],[Kor1]],$AI$3:$AK$105,3,FALSE)</f>
        <v>Losses Paid</v>
      </c>
      <c r="X8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2"/>
      <c r="Z8092" t="s">
        <v>44</v>
      </c>
      <c r="AA8092" t="s">
        <v>262</v>
      </c>
      <c r="AB8092" t="s">
        <v>5</v>
      </c>
      <c r="AC8092" s="21">
        <v>4</v>
      </c>
      <c r="AD8092" s="21" t="s">
        <v>368</v>
      </c>
      <c r="AE8092" t="str">
        <f>VLOOKUP(Table_Query_from_Actuarial___Production3[[#This Row],[Kor1]],$AI$3:$AK$105,3,FALSE)</f>
        <v>Charge-offs</v>
      </c>
      <c r="AF8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3" spans="18:32" x14ac:dyDescent="0.2">
      <c r="R8093" t="s">
        <v>13</v>
      </c>
      <c r="S8093" t="s">
        <v>233</v>
      </c>
      <c r="T8093" t="s">
        <v>445</v>
      </c>
      <c r="U8093" s="21">
        <v>89043.4</v>
      </c>
      <c r="V8093" s="21" t="s">
        <v>368</v>
      </c>
      <c r="W8093" t="str">
        <f>VLOOKUP(Table_Query_from_Actuarial___Production[[#This Row],[Kor1]],$AI$3:$AK$105,3,FALSE)</f>
        <v>Operating Service Fees</v>
      </c>
      <c r="X8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3"/>
      <c r="Z8093" t="s">
        <v>3</v>
      </c>
      <c r="AA8093" t="s">
        <v>263</v>
      </c>
      <c r="AB8093" t="s">
        <v>9</v>
      </c>
      <c r="AC8093" s="21">
        <v>389730</v>
      </c>
      <c r="AD8093" s="21" t="s">
        <v>368</v>
      </c>
      <c r="AE8093" t="str">
        <f>VLOOKUP(Table_Query_from_Actuarial___Production3[[#This Row],[Kor1]],$AI$3:$AK$105,3,FALSE)</f>
        <v>Premiums Written</v>
      </c>
      <c r="AF8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4" spans="18:32" x14ac:dyDescent="0.2">
      <c r="R8094" t="s">
        <v>10</v>
      </c>
      <c r="S8094" t="s">
        <v>232</v>
      </c>
      <c r="T8094" t="s">
        <v>441</v>
      </c>
      <c r="U8094" s="21">
        <v>94091.56</v>
      </c>
      <c r="V8094" s="21" t="s">
        <v>368</v>
      </c>
      <c r="W8094" t="str">
        <f>VLOOKUP(Table_Query_from_Actuarial___Production[[#This Row],[Kor1]],$AI$3:$AK$105,3,FALSE)</f>
        <v>Commissions</v>
      </c>
      <c r="X8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4"/>
      <c r="Z8094" t="s">
        <v>44</v>
      </c>
      <c r="AA8094" t="s">
        <v>230</v>
      </c>
      <c r="AB8094" t="s">
        <v>433</v>
      </c>
      <c r="AC8094" s="21">
        <v>778229.54</v>
      </c>
      <c r="AD8094" s="21" t="s">
        <v>368</v>
      </c>
      <c r="AE8094" t="str">
        <f>VLOOKUP(Table_Query_from_Actuarial___Production3[[#This Row],[Kor1]],$AI$3:$AK$105,3,FALSE)</f>
        <v>Charge-offs</v>
      </c>
      <c r="AF8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5" spans="18:32" x14ac:dyDescent="0.2">
      <c r="R8095" t="s">
        <v>41</v>
      </c>
      <c r="S8095" t="s">
        <v>228</v>
      </c>
      <c r="T8095" t="s">
        <v>8</v>
      </c>
      <c r="U8095" s="21">
        <v>650</v>
      </c>
      <c r="V8095" s="21" t="s">
        <v>368</v>
      </c>
      <c r="W8095" t="str">
        <f>VLOOKUP(Table_Query_from_Actuarial___Production[[#This Row],[Kor1]],$AI$3:$AK$105,3,FALSE)</f>
        <v>Misc. Income</v>
      </c>
      <c r="X8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5"/>
      <c r="Z8095" t="s">
        <v>31</v>
      </c>
      <c r="AA8095" t="s">
        <v>244</v>
      </c>
      <c r="AB8095" t="s">
        <v>5</v>
      </c>
      <c r="AC8095" s="21">
        <v>-832.86</v>
      </c>
      <c r="AD8095" s="21" t="s">
        <v>368</v>
      </c>
      <c r="AE8095" t="str">
        <f>VLOOKUP(Table_Query_from_Actuarial___Production3[[#This Row],[Kor1]],$AI$3:$AK$105,3,FALSE)</f>
        <v>Misc. Expense</v>
      </c>
      <c r="AF8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6" spans="18:32" x14ac:dyDescent="0.2">
      <c r="R8096" t="s">
        <v>39</v>
      </c>
      <c r="S8096" t="s">
        <v>261</v>
      </c>
      <c r="T8096" t="s">
        <v>427</v>
      </c>
      <c r="U8096" s="21">
        <v>193.82</v>
      </c>
      <c r="V8096" s="21" t="s">
        <v>368</v>
      </c>
      <c r="W8096" t="str">
        <f>VLOOKUP(Table_Query_from_Actuarial___Production[[#This Row],[Kor1]],$AI$3:$AK$105,3,FALSE)</f>
        <v>Misc. Income for Insolvent Companies</v>
      </c>
      <c r="X8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6"/>
      <c r="Z8096" t="s">
        <v>33</v>
      </c>
      <c r="AA8096" t="s">
        <v>253</v>
      </c>
      <c r="AB8096" t="s">
        <v>441</v>
      </c>
      <c r="AC8096" s="21">
        <v>10814.02</v>
      </c>
      <c r="AD8096" s="21" t="s">
        <v>368</v>
      </c>
      <c r="AE8096" t="str">
        <f>VLOOKUP(Table_Query_from_Actuarial___Production3[[#This Row],[Kor1]],$AI$3:$AK$105,3,FALSE)</f>
        <v>Misc. Expense</v>
      </c>
      <c r="AF8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7" spans="18:32" x14ac:dyDescent="0.2">
      <c r="R8097" t="s">
        <v>44</v>
      </c>
      <c r="S8097" t="s">
        <v>241</v>
      </c>
      <c r="T8097" t="s">
        <v>6</v>
      </c>
      <c r="U8097" s="21">
        <v>3003.1</v>
      </c>
      <c r="V8097" s="21" t="s">
        <v>368</v>
      </c>
      <c r="W8097" t="str">
        <f>VLOOKUP(Table_Query_from_Actuarial___Production[[#This Row],[Kor1]],$AI$3:$AK$105,3,FALSE)</f>
        <v>Charge-offs</v>
      </c>
      <c r="X8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7"/>
      <c r="Z8097" t="s">
        <v>48</v>
      </c>
      <c r="AA8097" t="s">
        <v>255</v>
      </c>
      <c r="AB8097" t="s">
        <v>427</v>
      </c>
      <c r="AC8097" s="21">
        <v>829.77</v>
      </c>
      <c r="AD8097" s="21" t="s">
        <v>368</v>
      </c>
      <c r="AE8097" t="str">
        <f>VLOOKUP(Table_Query_from_Actuarial___Production3[[#This Row],[Kor1]],$AI$3:$AK$105,3,FALSE)</f>
        <v>Anticipated Salvage</v>
      </c>
      <c r="AF8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8" spans="18:32" x14ac:dyDescent="0.2">
      <c r="R8098" t="s">
        <v>13</v>
      </c>
      <c r="S8098" t="s">
        <v>268</v>
      </c>
      <c r="T8098" t="s">
        <v>443</v>
      </c>
      <c r="U8098" s="21">
        <v>1600.17</v>
      </c>
      <c r="V8098" s="21" t="s">
        <v>368</v>
      </c>
      <c r="W8098" t="str">
        <f>VLOOKUP(Table_Query_from_Actuarial___Production[[#This Row],[Kor1]],$AI$3:$AK$105,3,FALSE)</f>
        <v>Operating Service Fees</v>
      </c>
      <c r="X8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8"/>
      <c r="Z8098" t="s">
        <v>31</v>
      </c>
      <c r="AA8098" t="s">
        <v>259</v>
      </c>
      <c r="AB8098" t="s">
        <v>441</v>
      </c>
      <c r="AC8098" s="21">
        <v>1171.67</v>
      </c>
      <c r="AD8098" s="21" t="s">
        <v>368</v>
      </c>
      <c r="AE8098" t="str">
        <f>VLOOKUP(Table_Query_from_Actuarial___Production3[[#This Row],[Kor1]],$AI$3:$AK$105,3,FALSE)</f>
        <v>Misc. Expense</v>
      </c>
      <c r="AF8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099" spans="18:32" x14ac:dyDescent="0.2">
      <c r="R8099" t="s">
        <v>12</v>
      </c>
      <c r="S8099" t="s">
        <v>247</v>
      </c>
      <c r="T8099" t="s">
        <v>445</v>
      </c>
      <c r="U8099" s="21">
        <v>6.05</v>
      </c>
      <c r="V8099" s="21" t="s">
        <v>368</v>
      </c>
      <c r="W8099" t="str">
        <f>VLOOKUP(Table_Query_from_Actuarial___Production[[#This Row],[Kor1]],$AI$3:$AK$105,3,FALSE)</f>
        <v>Premium Tax</v>
      </c>
      <c r="X8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099"/>
      <c r="Z8099" t="s">
        <v>39</v>
      </c>
      <c r="AA8099" t="s">
        <v>232</v>
      </c>
      <c r="AB8099" t="s">
        <v>427</v>
      </c>
      <c r="AC8099" s="21">
        <v>97647.42</v>
      </c>
      <c r="AD8099" s="21" t="s">
        <v>368</v>
      </c>
      <c r="AE8099" t="str">
        <f>VLOOKUP(Table_Query_from_Actuarial___Production3[[#This Row],[Kor1]],$AI$3:$AK$105,3,FALSE)</f>
        <v>Misc. Income for Insolvent Companies</v>
      </c>
      <c r="AF8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0" spans="18:32" x14ac:dyDescent="0.2">
      <c r="R8100" t="s">
        <v>13</v>
      </c>
      <c r="S8100" t="s">
        <v>232</v>
      </c>
      <c r="T8100" t="s">
        <v>6</v>
      </c>
      <c r="U8100" s="21">
        <v>261633.01</v>
      </c>
      <c r="V8100" s="21" t="s">
        <v>368</v>
      </c>
      <c r="W8100" t="str">
        <f>VLOOKUP(Table_Query_from_Actuarial___Production[[#This Row],[Kor1]],$AI$3:$AK$105,3,FALSE)</f>
        <v>Operating Service Fees</v>
      </c>
      <c r="X8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0"/>
      <c r="Z8100" t="s">
        <v>11</v>
      </c>
      <c r="AA8100" t="s">
        <v>243</v>
      </c>
      <c r="AB8100" t="s">
        <v>351</v>
      </c>
      <c r="AC8100" s="21">
        <v>53338.58</v>
      </c>
      <c r="AD8100" s="21" t="s">
        <v>368</v>
      </c>
      <c r="AE8100" t="str">
        <f>VLOOKUP(Table_Query_from_Actuarial___Production3[[#This Row],[Kor1]],$AI$3:$AK$105,3,FALSE)</f>
        <v>Losses Paid</v>
      </c>
      <c r="AF8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1" spans="18:32" x14ac:dyDescent="0.2">
      <c r="R8101" t="s">
        <v>21</v>
      </c>
      <c r="S8101" t="s">
        <v>265</v>
      </c>
      <c r="T8101" t="s">
        <v>6</v>
      </c>
      <c r="U8101" s="21">
        <v>554.95000000000005</v>
      </c>
      <c r="V8101" s="21" t="s">
        <v>368</v>
      </c>
      <c r="W8101" t="str">
        <f>VLOOKUP(Table_Query_from_Actuarial___Production[[#This Row],[Kor1]],$AI$3:$AK$105,3,FALSE)</f>
        <v>Misc. Expense</v>
      </c>
      <c r="X8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1"/>
      <c r="Z8101" t="s">
        <v>43</v>
      </c>
      <c r="AA8101" t="s">
        <v>224</v>
      </c>
      <c r="AB8101" t="s">
        <v>351</v>
      </c>
      <c r="AC8101" s="21">
        <v>8.3800000000000008</v>
      </c>
      <c r="AD8101" s="21" t="s">
        <v>369</v>
      </c>
      <c r="AE8101" t="str">
        <f>VLOOKUP(Table_Query_from_Actuarial___Production3[[#This Row],[Kor1]],$AI$3:$AK$105,3,FALSE)</f>
        <v>Charge-offs</v>
      </c>
      <c r="AF8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102" spans="18:32" x14ac:dyDescent="0.2">
      <c r="R8102" t="s">
        <v>12</v>
      </c>
      <c r="S8102" t="s">
        <v>236</v>
      </c>
      <c r="T8102" t="s">
        <v>9</v>
      </c>
      <c r="U8102" s="21">
        <v>3554.66</v>
      </c>
      <c r="V8102" s="21" t="s">
        <v>368</v>
      </c>
      <c r="W8102" t="str">
        <f>VLOOKUP(Table_Query_from_Actuarial___Production[[#This Row],[Kor1]],$AI$3:$AK$105,3,FALSE)</f>
        <v>Premium Tax</v>
      </c>
      <c r="X8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2"/>
      <c r="Z8102" t="s">
        <v>43</v>
      </c>
      <c r="AA8102" t="s">
        <v>254</v>
      </c>
      <c r="AB8102" t="s">
        <v>5</v>
      </c>
      <c r="AC8102" s="21">
        <v>5.46</v>
      </c>
      <c r="AD8102" s="21" t="s">
        <v>368</v>
      </c>
      <c r="AE8102" t="str">
        <f>VLOOKUP(Table_Query_from_Actuarial___Production3[[#This Row],[Kor1]],$AI$3:$AK$105,3,FALSE)</f>
        <v>Charge-offs</v>
      </c>
      <c r="AF8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3" spans="18:32" x14ac:dyDescent="0.2">
      <c r="R8103" t="s">
        <v>37</v>
      </c>
      <c r="S8103" t="s">
        <v>227</v>
      </c>
      <c r="T8103" t="s">
        <v>8</v>
      </c>
      <c r="U8103" s="21">
        <v>80.459999999999994</v>
      </c>
      <c r="V8103" s="21" t="s">
        <v>368</v>
      </c>
      <c r="W8103" t="str">
        <f>VLOOKUP(Table_Query_from_Actuarial___Production[[#This Row],[Kor1]],$AI$3:$AK$105,3,FALSE)</f>
        <v>Misc. Expense</v>
      </c>
      <c r="X8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3"/>
      <c r="Z8103" t="s">
        <v>46</v>
      </c>
      <c r="AA8103" t="s">
        <v>352</v>
      </c>
      <c r="AB8103" t="s">
        <v>441</v>
      </c>
      <c r="AC8103" s="21">
        <v>28.55</v>
      </c>
      <c r="AD8103" s="21" t="s">
        <v>369</v>
      </c>
      <c r="AE8103" t="str">
        <f>VLOOKUP(Table_Query_from_Actuarial___Production3[[#This Row],[Kor1]],$AI$3:$AK$105,3,FALSE)</f>
        <v>Investment Income</v>
      </c>
      <c r="AF8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104" spans="18:32" x14ac:dyDescent="0.2">
      <c r="R8104" t="s">
        <v>18</v>
      </c>
      <c r="S8104" t="s">
        <v>224</v>
      </c>
      <c r="T8104" t="s">
        <v>441</v>
      </c>
      <c r="U8104" s="21">
        <v>151079.37</v>
      </c>
      <c r="V8104" s="21" t="s">
        <v>368</v>
      </c>
      <c r="W8104" t="str">
        <f>VLOOKUP(Table_Query_from_Actuarial___Production[[#This Row],[Kor1]],$AI$3:$AK$105,3,FALSE)</f>
        <v>Misc. Expense</v>
      </c>
      <c r="X8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104"/>
      <c r="Z8104" t="s">
        <v>47</v>
      </c>
      <c r="AA8104" t="s">
        <v>259</v>
      </c>
      <c r="AB8104" t="s">
        <v>442</v>
      </c>
      <c r="AC8104" s="21">
        <v>1483.26</v>
      </c>
      <c r="AD8104" s="21" t="s">
        <v>368</v>
      </c>
      <c r="AE8104" t="str">
        <f>VLOOKUP(Table_Query_from_Actuarial___Production3[[#This Row],[Kor1]],$AI$3:$AK$105,3,FALSE)</f>
        <v>Investment Income</v>
      </c>
      <c r="AF8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5" spans="18:32" x14ac:dyDescent="0.2">
      <c r="R8105" t="s">
        <v>21</v>
      </c>
      <c r="S8105" t="s">
        <v>248</v>
      </c>
      <c r="T8105" t="s">
        <v>356</v>
      </c>
      <c r="U8105" s="21">
        <v>2246.75</v>
      </c>
      <c r="V8105" s="21" t="s">
        <v>368</v>
      </c>
      <c r="W8105" t="str">
        <f>VLOOKUP(Table_Query_from_Actuarial___Production[[#This Row],[Kor1]],$AI$3:$AK$105,3,FALSE)</f>
        <v>Misc. Expense</v>
      </c>
      <c r="X8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5"/>
      <c r="Z8105" t="s">
        <v>17</v>
      </c>
      <c r="AA8105" t="s">
        <v>241</v>
      </c>
      <c r="AB8105" t="s">
        <v>443</v>
      </c>
      <c r="AC8105" s="21">
        <v>24577.86</v>
      </c>
      <c r="AD8105" s="21" t="s">
        <v>368</v>
      </c>
      <c r="AE8105" t="str">
        <f>VLOOKUP(Table_Query_from_Actuarial___Production3[[#This Row],[Kor1]],$AI$3:$AK$105,3,FALSE)</f>
        <v>IBNR</v>
      </c>
      <c r="AF8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6" spans="18:32" x14ac:dyDescent="0.2">
      <c r="R8106" t="s">
        <v>21</v>
      </c>
      <c r="S8106" t="s">
        <v>239</v>
      </c>
      <c r="T8106" t="s">
        <v>6</v>
      </c>
      <c r="U8106" s="21">
        <v>279</v>
      </c>
      <c r="V8106" s="21" t="s">
        <v>368</v>
      </c>
      <c r="W8106" t="str">
        <f>VLOOKUP(Table_Query_from_Actuarial___Production[[#This Row],[Kor1]],$AI$3:$AK$105,3,FALSE)</f>
        <v>Misc. Expense</v>
      </c>
      <c r="X8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6"/>
      <c r="Z8106" t="s">
        <v>11</v>
      </c>
      <c r="AA8106" t="s">
        <v>4</v>
      </c>
      <c r="AB8106" t="s">
        <v>7</v>
      </c>
      <c r="AC8106" s="21">
        <v>10384677.470000001</v>
      </c>
      <c r="AD8106" s="21" t="s">
        <v>368</v>
      </c>
      <c r="AE8106" t="str">
        <f>VLOOKUP(Table_Query_from_Actuarial___Production3[[#This Row],[Kor1]],$AI$3:$AK$105,3,FALSE)</f>
        <v>Losses Paid</v>
      </c>
      <c r="AF8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7" spans="18:32" x14ac:dyDescent="0.2">
      <c r="R8107" t="s">
        <v>33</v>
      </c>
      <c r="S8107" t="s">
        <v>263</v>
      </c>
      <c r="T8107" t="s">
        <v>445</v>
      </c>
      <c r="U8107" s="21">
        <v>8631.2900000000009</v>
      </c>
      <c r="V8107" s="21" t="s">
        <v>368</v>
      </c>
      <c r="W8107" t="str">
        <f>VLOOKUP(Table_Query_from_Actuarial___Production[[#This Row],[Kor1]],$AI$3:$AK$105,3,FALSE)</f>
        <v>Misc. Expense</v>
      </c>
      <c r="X8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7"/>
      <c r="Z8107" t="s">
        <v>48</v>
      </c>
      <c r="AA8107" t="s">
        <v>225</v>
      </c>
      <c r="AB8107" t="s">
        <v>356</v>
      </c>
      <c r="AC8107" s="21">
        <v>2311.6999999999998</v>
      </c>
      <c r="AD8107" s="21" t="s">
        <v>369</v>
      </c>
      <c r="AE8107" t="str">
        <f>VLOOKUP(Table_Query_from_Actuarial___Production3[[#This Row],[Kor1]],$AI$3:$AK$105,3,FALSE)</f>
        <v>Anticipated Salvage</v>
      </c>
      <c r="AF8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108" spans="18:32" x14ac:dyDescent="0.2">
      <c r="R8108" t="s">
        <v>31</v>
      </c>
      <c r="S8108" t="s">
        <v>264</v>
      </c>
      <c r="T8108" t="s">
        <v>443</v>
      </c>
      <c r="U8108" s="21">
        <v>987.68</v>
      </c>
      <c r="V8108" s="21" t="s">
        <v>368</v>
      </c>
      <c r="W8108" t="str">
        <f>VLOOKUP(Table_Query_from_Actuarial___Production[[#This Row],[Kor1]],$AI$3:$AK$105,3,FALSE)</f>
        <v>Misc. Expense</v>
      </c>
      <c r="X8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08"/>
      <c r="Z8108" t="s">
        <v>17</v>
      </c>
      <c r="AA8108" t="s">
        <v>233</v>
      </c>
      <c r="AB8108" t="s">
        <v>427</v>
      </c>
      <c r="AC8108" s="21">
        <v>61381.29</v>
      </c>
      <c r="AD8108" s="21" t="s">
        <v>368</v>
      </c>
      <c r="AE8108" t="str">
        <f>VLOOKUP(Table_Query_from_Actuarial___Production3[[#This Row],[Kor1]],$AI$3:$AK$105,3,FALSE)</f>
        <v>IBNR</v>
      </c>
      <c r="AF8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09" spans="18:32" x14ac:dyDescent="0.2">
      <c r="R8109" t="s">
        <v>13</v>
      </c>
      <c r="S8109" t="s">
        <v>352</v>
      </c>
      <c r="T8109" t="s">
        <v>443</v>
      </c>
      <c r="U8109" s="21">
        <v>10620</v>
      </c>
      <c r="V8109" s="21" t="s">
        <v>369</v>
      </c>
      <c r="W8109" t="str">
        <f>VLOOKUP(Table_Query_from_Actuarial___Production[[#This Row],[Kor1]],$AI$3:$AK$105,3,FALSE)</f>
        <v>Operating Service Fees</v>
      </c>
      <c r="X8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109"/>
      <c r="Z8109" t="s">
        <v>10</v>
      </c>
      <c r="AA8109" t="s">
        <v>232</v>
      </c>
      <c r="AB8109" t="s">
        <v>441</v>
      </c>
      <c r="AC8109" s="21">
        <v>93891.56</v>
      </c>
      <c r="AD8109" s="21" t="s">
        <v>368</v>
      </c>
      <c r="AE8109" t="str">
        <f>VLOOKUP(Table_Query_from_Actuarial___Production3[[#This Row],[Kor1]],$AI$3:$AK$105,3,FALSE)</f>
        <v>Commissions</v>
      </c>
      <c r="AF8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0" spans="18:32" x14ac:dyDescent="0.2">
      <c r="R8110" t="s">
        <v>20</v>
      </c>
      <c r="S8110" t="s">
        <v>266</v>
      </c>
      <c r="T8110" t="s">
        <v>7</v>
      </c>
      <c r="U8110" s="21">
        <v>113.37</v>
      </c>
      <c r="V8110" s="21" t="s">
        <v>368</v>
      </c>
      <c r="W8110" t="str">
        <f>VLOOKUP(Table_Query_from_Actuarial___Production[[#This Row],[Kor1]],$AI$3:$AK$105,3,FALSE)</f>
        <v>Misc. Expense</v>
      </c>
      <c r="X8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0"/>
      <c r="Z8110" t="s">
        <v>41</v>
      </c>
      <c r="AA8110" t="s">
        <v>228</v>
      </c>
      <c r="AB8110" t="s">
        <v>8</v>
      </c>
      <c r="AC8110" s="21">
        <v>650</v>
      </c>
      <c r="AD8110" s="21" t="s">
        <v>368</v>
      </c>
      <c r="AE8110" t="str">
        <f>VLOOKUP(Table_Query_from_Actuarial___Production3[[#This Row],[Kor1]],$AI$3:$AK$105,3,FALSE)</f>
        <v>Misc. Income</v>
      </c>
      <c r="AF8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1" spans="18:32" x14ac:dyDescent="0.2">
      <c r="R8111" t="s">
        <v>37</v>
      </c>
      <c r="S8111" t="s">
        <v>230</v>
      </c>
      <c r="T8111" t="s">
        <v>9</v>
      </c>
      <c r="U8111" s="21">
        <v>90937.24</v>
      </c>
      <c r="V8111" s="21" t="s">
        <v>368</v>
      </c>
      <c r="W8111" t="str">
        <f>VLOOKUP(Table_Query_from_Actuarial___Production[[#This Row],[Kor1]],$AI$3:$AK$105,3,FALSE)</f>
        <v>Misc. Expense</v>
      </c>
      <c r="X8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1"/>
      <c r="Z8111" t="s">
        <v>39</v>
      </c>
      <c r="AA8111" t="s">
        <v>261</v>
      </c>
      <c r="AB8111" t="s">
        <v>427</v>
      </c>
      <c r="AC8111" s="21">
        <v>193.82</v>
      </c>
      <c r="AD8111" s="21" t="s">
        <v>368</v>
      </c>
      <c r="AE8111" t="str">
        <f>VLOOKUP(Table_Query_from_Actuarial___Production3[[#This Row],[Kor1]],$AI$3:$AK$105,3,FALSE)</f>
        <v>Misc. Income for Insolvent Companies</v>
      </c>
      <c r="AF8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2" spans="18:32" x14ac:dyDescent="0.2">
      <c r="R8112" t="s">
        <v>37</v>
      </c>
      <c r="S8112" t="s">
        <v>237</v>
      </c>
      <c r="T8112" t="s">
        <v>443</v>
      </c>
      <c r="U8112" s="21">
        <v>66746.12</v>
      </c>
      <c r="V8112" s="21" t="s">
        <v>368</v>
      </c>
      <c r="W8112" t="str">
        <f>VLOOKUP(Table_Query_from_Actuarial___Production[[#This Row],[Kor1]],$AI$3:$AK$105,3,FALSE)</f>
        <v>Misc. Expense</v>
      </c>
      <c r="X8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2"/>
      <c r="Z8112" t="s">
        <v>44</v>
      </c>
      <c r="AA8112" t="s">
        <v>241</v>
      </c>
      <c r="AB8112" t="s">
        <v>6</v>
      </c>
      <c r="AC8112" s="21">
        <v>3003.1</v>
      </c>
      <c r="AD8112" s="21" t="s">
        <v>368</v>
      </c>
      <c r="AE8112" t="str">
        <f>VLOOKUP(Table_Query_from_Actuarial___Production3[[#This Row],[Kor1]],$AI$3:$AK$105,3,FALSE)</f>
        <v>Charge-offs</v>
      </c>
      <c r="AF8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3" spans="18:32" x14ac:dyDescent="0.2">
      <c r="R8113" t="s">
        <v>13</v>
      </c>
      <c r="S8113" t="s">
        <v>352</v>
      </c>
      <c r="T8113" t="s">
        <v>427</v>
      </c>
      <c r="U8113" s="21">
        <v>15367.65</v>
      </c>
      <c r="V8113" s="21" t="s">
        <v>369</v>
      </c>
      <c r="W8113" t="str">
        <f>VLOOKUP(Table_Query_from_Actuarial___Production[[#This Row],[Kor1]],$AI$3:$AK$105,3,FALSE)</f>
        <v>Operating Service Fees</v>
      </c>
      <c r="X8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113"/>
      <c r="Z8113" t="s">
        <v>13</v>
      </c>
      <c r="AA8113" t="s">
        <v>268</v>
      </c>
      <c r="AB8113" t="s">
        <v>443</v>
      </c>
      <c r="AC8113" s="21">
        <v>27.51</v>
      </c>
      <c r="AD8113" s="21" t="s">
        <v>368</v>
      </c>
      <c r="AE8113" t="str">
        <f>VLOOKUP(Table_Query_from_Actuarial___Production3[[#This Row],[Kor1]],$AI$3:$AK$105,3,FALSE)</f>
        <v>Operating Service Fees</v>
      </c>
      <c r="AF8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4" spans="18:32" x14ac:dyDescent="0.2">
      <c r="R8114" t="s">
        <v>33</v>
      </c>
      <c r="S8114" t="s">
        <v>241</v>
      </c>
      <c r="T8114" t="s">
        <v>443</v>
      </c>
      <c r="U8114" s="21">
        <v>16544.349999999999</v>
      </c>
      <c r="V8114" s="21" t="s">
        <v>368</v>
      </c>
      <c r="W8114" t="str">
        <f>VLOOKUP(Table_Query_from_Actuarial___Production[[#This Row],[Kor1]],$AI$3:$AK$105,3,FALSE)</f>
        <v>Misc. Expense</v>
      </c>
      <c r="X8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4"/>
      <c r="Z8114" t="s">
        <v>13</v>
      </c>
      <c r="AA8114" t="s">
        <v>232</v>
      </c>
      <c r="AB8114" t="s">
        <v>6</v>
      </c>
      <c r="AC8114" s="21">
        <v>261633.01</v>
      </c>
      <c r="AD8114" s="21" t="s">
        <v>368</v>
      </c>
      <c r="AE8114" t="str">
        <f>VLOOKUP(Table_Query_from_Actuarial___Production3[[#This Row],[Kor1]],$AI$3:$AK$105,3,FALSE)</f>
        <v>Operating Service Fees</v>
      </c>
      <c r="AF8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5" spans="18:32" x14ac:dyDescent="0.2">
      <c r="R8115" t="s">
        <v>39</v>
      </c>
      <c r="S8115" t="s">
        <v>232</v>
      </c>
      <c r="T8115" t="s">
        <v>443</v>
      </c>
      <c r="U8115" s="21">
        <v>4624.57</v>
      </c>
      <c r="V8115" s="21" t="s">
        <v>368</v>
      </c>
      <c r="W8115" t="str">
        <f>VLOOKUP(Table_Query_from_Actuarial___Production[[#This Row],[Kor1]],$AI$3:$AK$105,3,FALSE)</f>
        <v>Misc. Income for Insolvent Companies</v>
      </c>
      <c r="X8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5"/>
      <c r="Z8115" t="s">
        <v>14</v>
      </c>
      <c r="AA8115" t="s">
        <v>255</v>
      </c>
      <c r="AB8115" t="s">
        <v>5</v>
      </c>
      <c r="AC8115" s="21">
        <v>14138.94</v>
      </c>
      <c r="AD8115" s="21" t="s">
        <v>368</v>
      </c>
      <c r="AE8115" t="str">
        <f>VLOOKUP(Table_Query_from_Actuarial___Production3[[#This Row],[Kor1]],$AI$3:$AK$105,3,FALSE)</f>
        <v>Claims Expense</v>
      </c>
      <c r="AF8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6" spans="18:32" x14ac:dyDescent="0.2">
      <c r="R8116" t="s">
        <v>33</v>
      </c>
      <c r="S8116" t="s">
        <v>242</v>
      </c>
      <c r="T8116" t="s">
        <v>9</v>
      </c>
      <c r="U8116" s="21">
        <v>15972.75</v>
      </c>
      <c r="V8116" s="21" t="s">
        <v>368</v>
      </c>
      <c r="W8116" t="str">
        <f>VLOOKUP(Table_Query_from_Actuarial___Production[[#This Row],[Kor1]],$AI$3:$AK$105,3,FALSE)</f>
        <v>Misc. Expense</v>
      </c>
      <c r="X8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6"/>
      <c r="Z8116" t="s">
        <v>21</v>
      </c>
      <c r="AA8116" t="s">
        <v>265</v>
      </c>
      <c r="AB8116" t="s">
        <v>6</v>
      </c>
      <c r="AC8116" s="21">
        <v>554.95000000000005</v>
      </c>
      <c r="AD8116" s="21" t="s">
        <v>368</v>
      </c>
      <c r="AE8116" t="str">
        <f>VLOOKUP(Table_Query_from_Actuarial___Production3[[#This Row],[Kor1]],$AI$3:$AK$105,3,FALSE)</f>
        <v>Misc. Expense</v>
      </c>
      <c r="AF8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7" spans="18:32" x14ac:dyDescent="0.2">
      <c r="R8117" t="s">
        <v>49</v>
      </c>
      <c r="S8117" t="s">
        <v>225</v>
      </c>
      <c r="T8117" t="s">
        <v>445</v>
      </c>
      <c r="U8117" s="21">
        <v>1233.51</v>
      </c>
      <c r="V8117" s="21" t="s">
        <v>369</v>
      </c>
      <c r="W8117" t="str">
        <f>VLOOKUP(Table_Query_from_Actuarial___Production[[#This Row],[Kor1]],$AI$3:$AK$105,3,FALSE)</f>
        <v>ALAE Paid</v>
      </c>
      <c r="X8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117"/>
      <c r="Z8117" t="s">
        <v>12</v>
      </c>
      <c r="AA8117" t="s">
        <v>236</v>
      </c>
      <c r="AB8117" t="s">
        <v>9</v>
      </c>
      <c r="AC8117" s="21">
        <v>3554.66</v>
      </c>
      <c r="AD8117" s="21" t="s">
        <v>368</v>
      </c>
      <c r="AE8117" t="str">
        <f>VLOOKUP(Table_Query_from_Actuarial___Production3[[#This Row],[Kor1]],$AI$3:$AK$105,3,FALSE)</f>
        <v>Premium Tax</v>
      </c>
      <c r="AF8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8" spans="18:32" x14ac:dyDescent="0.2">
      <c r="R8118" t="s">
        <v>19</v>
      </c>
      <c r="S8118" t="s">
        <v>249</v>
      </c>
      <c r="T8118" t="s">
        <v>8</v>
      </c>
      <c r="U8118" s="21">
        <v>519.01</v>
      </c>
      <c r="V8118" s="21" t="s">
        <v>368</v>
      </c>
      <c r="W8118" t="str">
        <f>VLOOKUP(Table_Query_from_Actuarial___Production[[#This Row],[Kor1]],$AI$3:$AK$105,3,FALSE)</f>
        <v>Misc. Expense for Insolvent Companies</v>
      </c>
      <c r="X8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8"/>
      <c r="Z8118" t="s">
        <v>17</v>
      </c>
      <c r="AA8118" t="s">
        <v>260</v>
      </c>
      <c r="AB8118" t="s">
        <v>427</v>
      </c>
      <c r="AC8118" s="21">
        <v>322.64</v>
      </c>
      <c r="AD8118" s="21" t="s">
        <v>368</v>
      </c>
      <c r="AE8118" t="str">
        <f>VLOOKUP(Table_Query_from_Actuarial___Production3[[#This Row],[Kor1]],$AI$3:$AK$105,3,FALSE)</f>
        <v>IBNR</v>
      </c>
      <c r="AF8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19" spans="18:32" x14ac:dyDescent="0.2">
      <c r="R8119" t="s">
        <v>40</v>
      </c>
      <c r="S8119" t="s">
        <v>247</v>
      </c>
      <c r="T8119" t="s">
        <v>9</v>
      </c>
      <c r="U8119" s="21">
        <v>525</v>
      </c>
      <c r="V8119" s="21" t="s">
        <v>368</v>
      </c>
      <c r="W8119" t="str">
        <f>VLOOKUP(Table_Query_from_Actuarial___Production[[#This Row],[Kor1]],$AI$3:$AK$105,3,FALSE)</f>
        <v>Misc. Income</v>
      </c>
      <c r="X8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19"/>
      <c r="Z8119" t="s">
        <v>37</v>
      </c>
      <c r="AA8119" t="s">
        <v>227</v>
      </c>
      <c r="AB8119" t="s">
        <v>8</v>
      </c>
      <c r="AC8119" s="21">
        <v>80.459999999999994</v>
      </c>
      <c r="AD8119" s="21" t="s">
        <v>368</v>
      </c>
      <c r="AE8119" t="str">
        <f>VLOOKUP(Table_Query_from_Actuarial___Production3[[#This Row],[Kor1]],$AI$3:$AK$105,3,FALSE)</f>
        <v>Misc. Expense</v>
      </c>
      <c r="AF8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0" spans="18:32" x14ac:dyDescent="0.2">
      <c r="R8120" t="s">
        <v>11</v>
      </c>
      <c r="S8120" t="s">
        <v>232</v>
      </c>
      <c r="T8120" t="s">
        <v>8</v>
      </c>
      <c r="U8120" s="21">
        <v>734563.79</v>
      </c>
      <c r="V8120" s="21" t="s">
        <v>368</v>
      </c>
      <c r="W8120" t="str">
        <f>VLOOKUP(Table_Query_from_Actuarial___Production[[#This Row],[Kor1]],$AI$3:$AK$105,3,FALSE)</f>
        <v>Losses Paid</v>
      </c>
      <c r="X8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0"/>
      <c r="Z8120" t="s">
        <v>18</v>
      </c>
      <c r="AA8120" t="s">
        <v>224</v>
      </c>
      <c r="AB8120" t="s">
        <v>441</v>
      </c>
      <c r="AC8120" s="21">
        <v>151079.37</v>
      </c>
      <c r="AD8120" s="21" t="s">
        <v>368</v>
      </c>
      <c r="AE8120" t="str">
        <f>VLOOKUP(Table_Query_from_Actuarial___Production3[[#This Row],[Kor1]],$AI$3:$AK$105,3,FALSE)</f>
        <v>Misc. Expense</v>
      </c>
      <c r="AF8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121" spans="18:32" x14ac:dyDescent="0.2">
      <c r="R8121" t="s">
        <v>11</v>
      </c>
      <c r="S8121" t="s">
        <v>246</v>
      </c>
      <c r="T8121" t="s">
        <v>442</v>
      </c>
      <c r="U8121" s="21">
        <v>799384.04</v>
      </c>
      <c r="V8121" s="21" t="s">
        <v>368</v>
      </c>
      <c r="W8121" t="str">
        <f>VLOOKUP(Table_Query_from_Actuarial___Production[[#This Row],[Kor1]],$AI$3:$AK$105,3,FALSE)</f>
        <v>Losses Paid</v>
      </c>
      <c r="X8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1"/>
      <c r="Z8121" t="s">
        <v>21</v>
      </c>
      <c r="AA8121" t="s">
        <v>248</v>
      </c>
      <c r="AB8121" t="s">
        <v>356</v>
      </c>
      <c r="AC8121" s="21">
        <v>2246.75</v>
      </c>
      <c r="AD8121" s="21" t="s">
        <v>368</v>
      </c>
      <c r="AE8121" t="str">
        <f>VLOOKUP(Table_Query_from_Actuarial___Production3[[#This Row],[Kor1]],$AI$3:$AK$105,3,FALSE)</f>
        <v>Misc. Expense</v>
      </c>
      <c r="AF8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2" spans="18:32" x14ac:dyDescent="0.2">
      <c r="R8122" t="s">
        <v>41</v>
      </c>
      <c r="S8122" t="s">
        <v>238</v>
      </c>
      <c r="T8122" t="s">
        <v>427</v>
      </c>
      <c r="U8122" s="21">
        <v>308.82</v>
      </c>
      <c r="V8122" s="21" t="s">
        <v>368</v>
      </c>
      <c r="W8122" t="str">
        <f>VLOOKUP(Table_Query_from_Actuarial___Production[[#This Row],[Kor1]],$AI$3:$AK$105,3,FALSE)</f>
        <v>Misc. Income</v>
      </c>
      <c r="X8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2"/>
      <c r="Z8122" t="s">
        <v>13</v>
      </c>
      <c r="AA8122" t="s">
        <v>243</v>
      </c>
      <c r="AB8122" t="s">
        <v>5</v>
      </c>
      <c r="AC8122" s="21">
        <v>21985.34</v>
      </c>
      <c r="AD8122" s="21" t="s">
        <v>368</v>
      </c>
      <c r="AE8122" t="str">
        <f>VLOOKUP(Table_Query_from_Actuarial___Production3[[#This Row],[Kor1]],$AI$3:$AK$105,3,FALSE)</f>
        <v>Operating Service Fees</v>
      </c>
      <c r="AF8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3" spans="18:32" x14ac:dyDescent="0.2">
      <c r="R8123" t="s">
        <v>37</v>
      </c>
      <c r="S8123" t="s">
        <v>261</v>
      </c>
      <c r="T8123" t="s">
        <v>7</v>
      </c>
      <c r="U8123" s="21">
        <v>792.12</v>
      </c>
      <c r="V8123" s="21" t="s">
        <v>368</v>
      </c>
      <c r="W8123" t="str">
        <f>VLOOKUP(Table_Query_from_Actuarial___Production[[#This Row],[Kor1]],$AI$3:$AK$105,3,FALSE)</f>
        <v>Misc. Expense</v>
      </c>
      <c r="X8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3"/>
      <c r="Z8123" t="s">
        <v>21</v>
      </c>
      <c r="AA8123" t="s">
        <v>239</v>
      </c>
      <c r="AB8123" t="s">
        <v>6</v>
      </c>
      <c r="AC8123" s="21">
        <v>279</v>
      </c>
      <c r="AD8123" s="21" t="s">
        <v>368</v>
      </c>
      <c r="AE8123" t="str">
        <f>VLOOKUP(Table_Query_from_Actuarial___Production3[[#This Row],[Kor1]],$AI$3:$AK$105,3,FALSE)</f>
        <v>Misc. Expense</v>
      </c>
      <c r="AF8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4" spans="18:32" x14ac:dyDescent="0.2">
      <c r="R8124" t="s">
        <v>41</v>
      </c>
      <c r="S8124" t="s">
        <v>249</v>
      </c>
      <c r="T8124" t="s">
        <v>443</v>
      </c>
      <c r="U8124" s="21">
        <v>1620.47</v>
      </c>
      <c r="V8124" s="21" t="s">
        <v>368</v>
      </c>
      <c r="W8124" t="str">
        <f>VLOOKUP(Table_Query_from_Actuarial___Production[[#This Row],[Kor1]],$AI$3:$AK$105,3,FALSE)</f>
        <v>Misc. Income</v>
      </c>
      <c r="X8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4"/>
      <c r="Z8124" t="s">
        <v>31</v>
      </c>
      <c r="AA8124" t="s">
        <v>264</v>
      </c>
      <c r="AB8124" t="s">
        <v>443</v>
      </c>
      <c r="AC8124" s="21">
        <v>1174.94</v>
      </c>
      <c r="AD8124" s="21" t="s">
        <v>368</v>
      </c>
      <c r="AE8124" t="str">
        <f>VLOOKUP(Table_Query_from_Actuarial___Production3[[#This Row],[Kor1]],$AI$3:$AK$105,3,FALSE)</f>
        <v>Misc. Expense</v>
      </c>
      <c r="AF8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5" spans="18:32" x14ac:dyDescent="0.2">
      <c r="R8125" t="s">
        <v>44</v>
      </c>
      <c r="S8125" t="s">
        <v>234</v>
      </c>
      <c r="T8125" t="s">
        <v>356</v>
      </c>
      <c r="U8125" s="21">
        <v>4678.3500000000004</v>
      </c>
      <c r="V8125" s="21" t="s">
        <v>368</v>
      </c>
      <c r="W8125" t="str">
        <f>VLOOKUP(Table_Query_from_Actuarial___Production[[#This Row],[Kor1]],$AI$3:$AK$105,3,FALSE)</f>
        <v>Charge-offs</v>
      </c>
      <c r="X8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5"/>
      <c r="Z8125" t="s">
        <v>13</v>
      </c>
      <c r="AA8125" t="s">
        <v>352</v>
      </c>
      <c r="AB8125" t="s">
        <v>443</v>
      </c>
      <c r="AC8125" s="21">
        <v>6883.35</v>
      </c>
      <c r="AD8125" s="21" t="s">
        <v>369</v>
      </c>
      <c r="AE8125" t="str">
        <f>VLOOKUP(Table_Query_from_Actuarial___Production3[[#This Row],[Kor1]],$AI$3:$AK$105,3,FALSE)</f>
        <v>Operating Service Fees</v>
      </c>
      <c r="AF8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126" spans="18:32" x14ac:dyDescent="0.2">
      <c r="R8126" t="s">
        <v>17</v>
      </c>
      <c r="S8126" t="s">
        <v>4</v>
      </c>
      <c r="T8126" t="s">
        <v>445</v>
      </c>
      <c r="U8126" s="21">
        <v>2456695.85</v>
      </c>
      <c r="V8126" s="21" t="s">
        <v>368</v>
      </c>
      <c r="W8126" t="str">
        <f>VLOOKUP(Table_Query_from_Actuarial___Production[[#This Row],[Kor1]],$AI$3:$AK$105,3,FALSE)</f>
        <v>IBNR</v>
      </c>
      <c r="X8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6"/>
      <c r="Z8126" t="s">
        <v>20</v>
      </c>
      <c r="AA8126" t="s">
        <v>266</v>
      </c>
      <c r="AB8126" t="s">
        <v>7</v>
      </c>
      <c r="AC8126" s="21">
        <v>113.37</v>
      </c>
      <c r="AD8126" s="21" t="s">
        <v>368</v>
      </c>
      <c r="AE8126" t="str">
        <f>VLOOKUP(Table_Query_from_Actuarial___Production3[[#This Row],[Kor1]],$AI$3:$AK$105,3,FALSE)</f>
        <v>Misc. Expense</v>
      </c>
      <c r="AF8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7" spans="18:32" x14ac:dyDescent="0.2">
      <c r="R8127" t="s">
        <v>14</v>
      </c>
      <c r="S8127" t="s">
        <v>228</v>
      </c>
      <c r="T8127" t="s">
        <v>8</v>
      </c>
      <c r="U8127" s="21">
        <v>10378.969999999999</v>
      </c>
      <c r="V8127" s="21" t="s">
        <v>368</v>
      </c>
      <c r="W8127" t="str">
        <f>VLOOKUP(Table_Query_from_Actuarial___Production[[#This Row],[Kor1]],$AI$3:$AK$105,3,FALSE)</f>
        <v>Claims Expense</v>
      </c>
      <c r="X8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7"/>
      <c r="Z8127" t="s">
        <v>37</v>
      </c>
      <c r="AA8127" t="s">
        <v>230</v>
      </c>
      <c r="AB8127" t="s">
        <v>9</v>
      </c>
      <c r="AC8127" s="21">
        <v>90937.24</v>
      </c>
      <c r="AD8127" s="21" t="s">
        <v>368</v>
      </c>
      <c r="AE8127" t="str">
        <f>VLOOKUP(Table_Query_from_Actuarial___Production3[[#This Row],[Kor1]],$AI$3:$AK$105,3,FALSE)</f>
        <v>Misc. Expense</v>
      </c>
      <c r="AF8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8" spans="18:32" x14ac:dyDescent="0.2">
      <c r="R8128" t="s">
        <v>36</v>
      </c>
      <c r="S8128" t="s">
        <v>250</v>
      </c>
      <c r="T8128" t="s">
        <v>441</v>
      </c>
      <c r="U8128" s="21">
        <v>2003</v>
      </c>
      <c r="V8128" s="21" t="s">
        <v>368</v>
      </c>
      <c r="W8128" t="str">
        <f>VLOOKUP(Table_Query_from_Actuarial___Production[[#This Row],[Kor1]],$AI$3:$AK$105,3,FALSE)</f>
        <v>Misc. Expense</v>
      </c>
      <c r="X8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8"/>
      <c r="Z8128" t="s">
        <v>37</v>
      </c>
      <c r="AA8128" t="s">
        <v>237</v>
      </c>
      <c r="AB8128" t="s">
        <v>443</v>
      </c>
      <c r="AC8128" s="21">
        <v>19634.740000000002</v>
      </c>
      <c r="AD8128" s="21" t="s">
        <v>368</v>
      </c>
      <c r="AE8128" t="str">
        <f>VLOOKUP(Table_Query_from_Actuarial___Production3[[#This Row],[Kor1]],$AI$3:$AK$105,3,FALSE)</f>
        <v>Misc. Expense</v>
      </c>
      <c r="AF8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29" spans="18:32" x14ac:dyDescent="0.2">
      <c r="R8129" t="s">
        <v>14</v>
      </c>
      <c r="S8129" t="s">
        <v>266</v>
      </c>
      <c r="T8129" t="s">
        <v>6</v>
      </c>
      <c r="U8129" s="21">
        <v>12477.36</v>
      </c>
      <c r="V8129" s="21" t="s">
        <v>368</v>
      </c>
      <c r="W8129" t="str">
        <f>VLOOKUP(Table_Query_from_Actuarial___Production[[#This Row],[Kor1]],$AI$3:$AK$105,3,FALSE)</f>
        <v>Claims Expense</v>
      </c>
      <c r="X8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29"/>
      <c r="Z8129" t="s">
        <v>33</v>
      </c>
      <c r="AA8129" t="s">
        <v>264</v>
      </c>
      <c r="AB8129" t="s">
        <v>5</v>
      </c>
      <c r="AC8129" s="21">
        <v>15549.43</v>
      </c>
      <c r="AD8129" s="21" t="s">
        <v>368</v>
      </c>
      <c r="AE8129" t="str">
        <f>VLOOKUP(Table_Query_from_Actuarial___Production3[[#This Row],[Kor1]],$AI$3:$AK$105,3,FALSE)</f>
        <v>Misc. Expense</v>
      </c>
      <c r="AF8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0" spans="18:32" x14ac:dyDescent="0.2">
      <c r="R8130" t="s">
        <v>41</v>
      </c>
      <c r="S8130" t="s">
        <v>234</v>
      </c>
      <c r="T8130" t="s">
        <v>7</v>
      </c>
      <c r="U8130" s="21">
        <v>157.11000000000001</v>
      </c>
      <c r="V8130" s="21" t="s">
        <v>368</v>
      </c>
      <c r="W8130" t="str">
        <f>VLOOKUP(Table_Query_from_Actuarial___Production[[#This Row],[Kor1]],$AI$3:$AK$105,3,FALSE)</f>
        <v>Misc. Income</v>
      </c>
      <c r="X8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0"/>
      <c r="Z8130" t="s">
        <v>13</v>
      </c>
      <c r="AA8130" t="s">
        <v>352</v>
      </c>
      <c r="AB8130" t="s">
        <v>427</v>
      </c>
      <c r="AC8130" s="21">
        <v>15871.5</v>
      </c>
      <c r="AD8130" s="21" t="s">
        <v>369</v>
      </c>
      <c r="AE8130" t="str">
        <f>VLOOKUP(Table_Query_from_Actuarial___Production3[[#This Row],[Kor1]],$AI$3:$AK$105,3,FALSE)</f>
        <v>Operating Service Fees</v>
      </c>
      <c r="AF8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131" spans="18:32" x14ac:dyDescent="0.2">
      <c r="R8131" t="s">
        <v>14</v>
      </c>
      <c r="S8131" t="s">
        <v>224</v>
      </c>
      <c r="T8131" t="s">
        <v>351</v>
      </c>
      <c r="U8131" s="21">
        <v>428016.62</v>
      </c>
      <c r="V8131" s="21" t="s">
        <v>368</v>
      </c>
      <c r="W8131" t="str">
        <f>VLOOKUP(Table_Query_from_Actuarial___Production[[#This Row],[Kor1]],$AI$3:$AK$105,3,FALSE)</f>
        <v>Claims Expense</v>
      </c>
      <c r="X8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131"/>
      <c r="Z8131" t="s">
        <v>33</v>
      </c>
      <c r="AA8131" t="s">
        <v>241</v>
      </c>
      <c r="AB8131" t="s">
        <v>443</v>
      </c>
      <c r="AC8131" s="21">
        <v>8506.25</v>
      </c>
      <c r="AD8131" s="21" t="s">
        <v>368</v>
      </c>
      <c r="AE8131" t="str">
        <f>VLOOKUP(Table_Query_from_Actuarial___Production3[[#This Row],[Kor1]],$AI$3:$AK$105,3,FALSE)</f>
        <v>Misc. Expense</v>
      </c>
      <c r="AF8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2" spans="18:32" x14ac:dyDescent="0.2">
      <c r="R8132" t="s">
        <v>43</v>
      </c>
      <c r="S8132" t="s">
        <v>224</v>
      </c>
      <c r="T8132" t="s">
        <v>6</v>
      </c>
      <c r="U8132" s="21">
        <v>1727.81</v>
      </c>
      <c r="V8132" s="21" t="s">
        <v>370</v>
      </c>
      <c r="W8132" t="str">
        <f>VLOOKUP(Table_Query_from_Actuarial___Production[[#This Row],[Kor1]],$AI$3:$AK$105,3,FALSE)</f>
        <v>Charge-offs</v>
      </c>
      <c r="X8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132"/>
      <c r="Z8132" t="s">
        <v>39</v>
      </c>
      <c r="AA8132" t="s">
        <v>232</v>
      </c>
      <c r="AB8132" t="s">
        <v>443</v>
      </c>
      <c r="AC8132" s="21">
        <v>4624.57</v>
      </c>
      <c r="AD8132" s="21" t="s">
        <v>368</v>
      </c>
      <c r="AE8132" t="str">
        <f>VLOOKUP(Table_Query_from_Actuarial___Production3[[#This Row],[Kor1]],$AI$3:$AK$105,3,FALSE)</f>
        <v>Misc. Income for Insolvent Companies</v>
      </c>
      <c r="AF8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3" spans="18:32" x14ac:dyDescent="0.2">
      <c r="R8133" t="s">
        <v>30</v>
      </c>
      <c r="S8133" t="s">
        <v>259</v>
      </c>
      <c r="T8133" t="s">
        <v>441</v>
      </c>
      <c r="U8133" s="21">
        <v>14.55</v>
      </c>
      <c r="V8133" s="21" t="s">
        <v>368</v>
      </c>
      <c r="W8133" t="str">
        <f>VLOOKUP(Table_Query_from_Actuarial___Production[[#This Row],[Kor1]],$AI$3:$AK$105,3,FALSE)</f>
        <v>Misc. Expense</v>
      </c>
      <c r="X8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3"/>
      <c r="Z8133" t="s">
        <v>33</v>
      </c>
      <c r="AA8133" t="s">
        <v>242</v>
      </c>
      <c r="AB8133" t="s">
        <v>9</v>
      </c>
      <c r="AC8133" s="21">
        <v>15972.75</v>
      </c>
      <c r="AD8133" s="21" t="s">
        <v>368</v>
      </c>
      <c r="AE8133" t="str">
        <f>VLOOKUP(Table_Query_from_Actuarial___Production3[[#This Row],[Kor1]],$AI$3:$AK$105,3,FALSE)</f>
        <v>Misc. Expense</v>
      </c>
      <c r="AF8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4" spans="18:32" x14ac:dyDescent="0.2">
      <c r="R8134" t="s">
        <v>39</v>
      </c>
      <c r="S8134" t="s">
        <v>247</v>
      </c>
      <c r="T8134" t="s">
        <v>443</v>
      </c>
      <c r="U8134" s="21">
        <v>167.73</v>
      </c>
      <c r="V8134" s="21" t="s">
        <v>368</v>
      </c>
      <c r="W8134" t="str">
        <f>VLOOKUP(Table_Query_from_Actuarial___Production[[#This Row],[Kor1]],$AI$3:$AK$105,3,FALSE)</f>
        <v>Misc. Income for Insolvent Companies</v>
      </c>
      <c r="X8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4"/>
      <c r="Z8134" t="s">
        <v>19</v>
      </c>
      <c r="AA8134" t="s">
        <v>249</v>
      </c>
      <c r="AB8134" t="s">
        <v>8</v>
      </c>
      <c r="AC8134" s="21">
        <v>519.01</v>
      </c>
      <c r="AD8134" s="21" t="s">
        <v>368</v>
      </c>
      <c r="AE8134" t="str">
        <f>VLOOKUP(Table_Query_from_Actuarial___Production3[[#This Row],[Kor1]],$AI$3:$AK$105,3,FALSE)</f>
        <v>Misc. Expense for Insolvent Companies</v>
      </c>
      <c r="AF8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5" spans="18:32" x14ac:dyDescent="0.2">
      <c r="R8135" t="s">
        <v>41</v>
      </c>
      <c r="S8135" t="s">
        <v>266</v>
      </c>
      <c r="T8135" t="s">
        <v>6</v>
      </c>
      <c r="U8135" s="21">
        <v>600.01</v>
      </c>
      <c r="V8135" s="21" t="s">
        <v>368</v>
      </c>
      <c r="W8135" t="str">
        <f>VLOOKUP(Table_Query_from_Actuarial___Production[[#This Row],[Kor1]],$AI$3:$AK$105,3,FALSE)</f>
        <v>Misc. Income</v>
      </c>
      <c r="X8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5"/>
      <c r="Z8135" t="s">
        <v>40</v>
      </c>
      <c r="AA8135" t="s">
        <v>247</v>
      </c>
      <c r="AB8135" t="s">
        <v>9</v>
      </c>
      <c r="AC8135" s="21">
        <v>525</v>
      </c>
      <c r="AD8135" s="21" t="s">
        <v>368</v>
      </c>
      <c r="AE8135" t="str">
        <f>VLOOKUP(Table_Query_from_Actuarial___Production3[[#This Row],[Kor1]],$AI$3:$AK$105,3,FALSE)</f>
        <v>Misc. Income</v>
      </c>
      <c r="AF8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6" spans="18:32" x14ac:dyDescent="0.2">
      <c r="R8136" t="s">
        <v>10</v>
      </c>
      <c r="S8136" t="s">
        <v>263</v>
      </c>
      <c r="T8136" t="s">
        <v>9</v>
      </c>
      <c r="U8136" s="21">
        <v>36577</v>
      </c>
      <c r="V8136" s="21" t="s">
        <v>368</v>
      </c>
      <c r="W8136" t="str">
        <f>VLOOKUP(Table_Query_from_Actuarial___Production[[#This Row],[Kor1]],$AI$3:$AK$105,3,FALSE)</f>
        <v>Commissions</v>
      </c>
      <c r="X8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6"/>
      <c r="Z8136" t="s">
        <v>11</v>
      </c>
      <c r="AA8136" t="s">
        <v>232</v>
      </c>
      <c r="AB8136" t="s">
        <v>8</v>
      </c>
      <c r="AC8136" s="21">
        <v>734563.79</v>
      </c>
      <c r="AD8136" s="21" t="s">
        <v>368</v>
      </c>
      <c r="AE8136" t="str">
        <f>VLOOKUP(Table_Query_from_Actuarial___Production3[[#This Row],[Kor1]],$AI$3:$AK$105,3,FALSE)</f>
        <v>Losses Paid</v>
      </c>
      <c r="AF8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7" spans="18:32" x14ac:dyDescent="0.2">
      <c r="R8137" t="s">
        <v>14</v>
      </c>
      <c r="S8137" t="s">
        <v>265</v>
      </c>
      <c r="T8137" t="s">
        <v>351</v>
      </c>
      <c r="U8137" s="21">
        <v>40576.870000000003</v>
      </c>
      <c r="V8137" s="21" t="s">
        <v>368</v>
      </c>
      <c r="W8137" t="str">
        <f>VLOOKUP(Table_Query_from_Actuarial___Production[[#This Row],[Kor1]],$AI$3:$AK$105,3,FALSE)</f>
        <v>Claims Expense</v>
      </c>
      <c r="X8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7"/>
      <c r="Z8137" t="s">
        <v>11</v>
      </c>
      <c r="AA8137" t="s">
        <v>246</v>
      </c>
      <c r="AB8137" t="s">
        <v>442</v>
      </c>
      <c r="AC8137" s="21">
        <v>112013.37</v>
      </c>
      <c r="AD8137" s="21" t="s">
        <v>368</v>
      </c>
      <c r="AE8137" t="str">
        <f>VLOOKUP(Table_Query_from_Actuarial___Production3[[#This Row],[Kor1]],$AI$3:$AK$105,3,FALSE)</f>
        <v>Losses Paid</v>
      </c>
      <c r="AF8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8" spans="18:32" x14ac:dyDescent="0.2">
      <c r="R8138" t="s">
        <v>16</v>
      </c>
      <c r="S8138" t="s">
        <v>224</v>
      </c>
      <c r="T8138" t="s">
        <v>443</v>
      </c>
      <c r="U8138" s="21">
        <v>14206.61</v>
      </c>
      <c r="V8138" s="21" t="s">
        <v>425</v>
      </c>
      <c r="W8138" t="str">
        <f>VLOOKUP(Table_Query_from_Actuarial___Production[[#This Row],[Kor1]],$AI$3:$AK$105,3,FALSE)</f>
        <v>Losses Outstanding</v>
      </c>
      <c r="X8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138"/>
      <c r="Z8138" t="s">
        <v>20</v>
      </c>
      <c r="AA8138" t="s">
        <v>256</v>
      </c>
      <c r="AB8138" t="s">
        <v>5</v>
      </c>
      <c r="AC8138" s="21">
        <v>34.54</v>
      </c>
      <c r="AD8138" s="21" t="s">
        <v>368</v>
      </c>
      <c r="AE8138" t="str">
        <f>VLOOKUP(Table_Query_from_Actuarial___Production3[[#This Row],[Kor1]],$AI$3:$AK$105,3,FALSE)</f>
        <v>Misc. Expense</v>
      </c>
      <c r="AF8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39" spans="18:32" x14ac:dyDescent="0.2">
      <c r="R8139" t="s">
        <v>10</v>
      </c>
      <c r="S8139" t="s">
        <v>267</v>
      </c>
      <c r="T8139" t="s">
        <v>433</v>
      </c>
      <c r="U8139" s="21">
        <v>10581.96</v>
      </c>
      <c r="V8139" s="21" t="s">
        <v>368</v>
      </c>
      <c r="W8139" t="str">
        <f>VLOOKUP(Table_Query_from_Actuarial___Production[[#This Row],[Kor1]],$AI$3:$AK$105,3,FALSE)</f>
        <v>Commissions</v>
      </c>
      <c r="X8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39"/>
      <c r="Z8139" t="s">
        <v>41</v>
      </c>
      <c r="AA8139" t="s">
        <v>238</v>
      </c>
      <c r="AB8139" t="s">
        <v>427</v>
      </c>
      <c r="AC8139" s="21">
        <v>308.82</v>
      </c>
      <c r="AD8139" s="21" t="s">
        <v>368</v>
      </c>
      <c r="AE8139" t="str">
        <f>VLOOKUP(Table_Query_from_Actuarial___Production3[[#This Row],[Kor1]],$AI$3:$AK$105,3,FALSE)</f>
        <v>Misc. Income</v>
      </c>
      <c r="AF8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0" spans="18:32" x14ac:dyDescent="0.2">
      <c r="R8140" t="s">
        <v>10</v>
      </c>
      <c r="S8140" t="s">
        <v>256</v>
      </c>
      <c r="T8140" t="s">
        <v>443</v>
      </c>
      <c r="U8140" s="21">
        <v>1501.05</v>
      </c>
      <c r="V8140" s="21" t="s">
        <v>368</v>
      </c>
      <c r="W8140" t="str">
        <f>VLOOKUP(Table_Query_from_Actuarial___Production[[#This Row],[Kor1]],$AI$3:$AK$105,3,FALSE)</f>
        <v>Commissions</v>
      </c>
      <c r="X8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0"/>
      <c r="Z8140" t="s">
        <v>37</v>
      </c>
      <c r="AA8140" t="s">
        <v>261</v>
      </c>
      <c r="AB8140" t="s">
        <v>7</v>
      </c>
      <c r="AC8140" s="21">
        <v>792.12</v>
      </c>
      <c r="AD8140" s="21" t="s">
        <v>368</v>
      </c>
      <c r="AE8140" t="str">
        <f>VLOOKUP(Table_Query_from_Actuarial___Production3[[#This Row],[Kor1]],$AI$3:$AK$105,3,FALSE)</f>
        <v>Misc. Expense</v>
      </c>
      <c r="AF8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1" spans="18:32" x14ac:dyDescent="0.2">
      <c r="R8141" t="s">
        <v>13</v>
      </c>
      <c r="S8141" t="s">
        <v>257</v>
      </c>
      <c r="T8141" t="s">
        <v>9</v>
      </c>
      <c r="U8141" s="21">
        <v>229444.48000000001</v>
      </c>
      <c r="V8141" s="21" t="s">
        <v>368</v>
      </c>
      <c r="W8141" t="str">
        <f>VLOOKUP(Table_Query_from_Actuarial___Production[[#This Row],[Kor1]],$AI$3:$AK$105,3,FALSE)</f>
        <v>Operating Service Fees</v>
      </c>
      <c r="X8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1"/>
      <c r="Z8141" t="s">
        <v>41</v>
      </c>
      <c r="AA8141" t="s">
        <v>249</v>
      </c>
      <c r="AB8141" t="s">
        <v>443</v>
      </c>
      <c r="AC8141" s="21">
        <v>720.46</v>
      </c>
      <c r="AD8141" s="21" t="s">
        <v>368</v>
      </c>
      <c r="AE8141" t="str">
        <f>VLOOKUP(Table_Query_from_Actuarial___Production3[[#This Row],[Kor1]],$AI$3:$AK$105,3,FALSE)</f>
        <v>Misc. Income</v>
      </c>
      <c r="AF8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2" spans="18:32" x14ac:dyDescent="0.2">
      <c r="R8142" t="s">
        <v>14</v>
      </c>
      <c r="S8142" t="s">
        <v>241</v>
      </c>
      <c r="T8142" t="s">
        <v>427</v>
      </c>
      <c r="U8142" s="21">
        <v>96186.57</v>
      </c>
      <c r="V8142" s="21" t="s">
        <v>368</v>
      </c>
      <c r="W8142" t="str">
        <f>VLOOKUP(Table_Query_from_Actuarial___Production[[#This Row],[Kor1]],$AI$3:$AK$105,3,FALSE)</f>
        <v>Claims Expense</v>
      </c>
      <c r="X8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2"/>
      <c r="Z8142" t="s">
        <v>17</v>
      </c>
      <c r="AA8142" t="s">
        <v>241</v>
      </c>
      <c r="AB8142" t="s">
        <v>427</v>
      </c>
      <c r="AC8142" s="21">
        <v>69897.53</v>
      </c>
      <c r="AD8142" s="21" t="s">
        <v>368</v>
      </c>
      <c r="AE8142" t="str">
        <f>VLOOKUP(Table_Query_from_Actuarial___Production3[[#This Row],[Kor1]],$AI$3:$AK$105,3,FALSE)</f>
        <v>IBNR</v>
      </c>
      <c r="AF8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3" spans="18:32" x14ac:dyDescent="0.2">
      <c r="R8143" t="s">
        <v>10</v>
      </c>
      <c r="S8143" t="s">
        <v>352</v>
      </c>
      <c r="T8143" t="s">
        <v>7</v>
      </c>
      <c r="U8143" s="21">
        <v>25466.84</v>
      </c>
      <c r="V8143" s="21" t="s">
        <v>369</v>
      </c>
      <c r="W8143" t="str">
        <f>VLOOKUP(Table_Query_from_Actuarial___Production[[#This Row],[Kor1]],$AI$3:$AK$105,3,FALSE)</f>
        <v>Commissions</v>
      </c>
      <c r="X8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143"/>
      <c r="Z8143" t="s">
        <v>44</v>
      </c>
      <c r="AA8143" t="s">
        <v>234</v>
      </c>
      <c r="AB8143" t="s">
        <v>356</v>
      </c>
      <c r="AC8143" s="21">
        <v>4678.3500000000004</v>
      </c>
      <c r="AD8143" s="21" t="s">
        <v>368</v>
      </c>
      <c r="AE8143" t="str">
        <f>VLOOKUP(Table_Query_from_Actuarial___Production3[[#This Row],[Kor1]],$AI$3:$AK$105,3,FALSE)</f>
        <v>Charge-offs</v>
      </c>
      <c r="AF8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4" spans="18:32" x14ac:dyDescent="0.2">
      <c r="R8144" t="s">
        <v>48</v>
      </c>
      <c r="S8144" t="s">
        <v>224</v>
      </c>
      <c r="T8144" t="s">
        <v>442</v>
      </c>
      <c r="U8144" s="21">
        <v>144.83000000000001</v>
      </c>
      <c r="V8144" s="21" t="s">
        <v>369</v>
      </c>
      <c r="W8144" t="str">
        <f>VLOOKUP(Table_Query_from_Actuarial___Production[[#This Row],[Kor1]],$AI$3:$AK$105,3,FALSE)</f>
        <v>Anticipated Salvage</v>
      </c>
      <c r="X8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144"/>
      <c r="Z8144" t="s">
        <v>14</v>
      </c>
      <c r="AA8144" t="s">
        <v>228</v>
      </c>
      <c r="AB8144" t="s">
        <v>8</v>
      </c>
      <c r="AC8144" s="21">
        <v>10378.969999999999</v>
      </c>
      <c r="AD8144" s="21" t="s">
        <v>368</v>
      </c>
      <c r="AE8144" t="str">
        <f>VLOOKUP(Table_Query_from_Actuarial___Production3[[#This Row],[Kor1]],$AI$3:$AK$105,3,FALSE)</f>
        <v>Claims Expense</v>
      </c>
      <c r="AF8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5" spans="18:32" x14ac:dyDescent="0.2">
      <c r="R8145" t="s">
        <v>48</v>
      </c>
      <c r="S8145" t="s">
        <v>224</v>
      </c>
      <c r="T8145" t="s">
        <v>443</v>
      </c>
      <c r="U8145" s="21">
        <v>51017.06</v>
      </c>
      <c r="V8145" s="21" t="s">
        <v>368</v>
      </c>
      <c r="W8145" t="str">
        <f>VLOOKUP(Table_Query_from_Actuarial___Production[[#This Row],[Kor1]],$AI$3:$AK$105,3,FALSE)</f>
        <v>Anticipated Salvage</v>
      </c>
      <c r="X8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145"/>
      <c r="Z8145" t="s">
        <v>36</v>
      </c>
      <c r="AA8145" t="s">
        <v>250</v>
      </c>
      <c r="AB8145" t="s">
        <v>441</v>
      </c>
      <c r="AC8145" s="21">
        <v>2003</v>
      </c>
      <c r="AD8145" s="21" t="s">
        <v>368</v>
      </c>
      <c r="AE8145" t="str">
        <f>VLOOKUP(Table_Query_from_Actuarial___Production3[[#This Row],[Kor1]],$AI$3:$AK$105,3,FALSE)</f>
        <v>Misc. Expense</v>
      </c>
      <c r="AF8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6" spans="18:32" x14ac:dyDescent="0.2">
      <c r="R8146" t="s">
        <v>11</v>
      </c>
      <c r="S8146" t="s">
        <v>258</v>
      </c>
      <c r="T8146" t="s">
        <v>433</v>
      </c>
      <c r="U8146" s="21">
        <v>3874392.62</v>
      </c>
      <c r="V8146" s="21" t="s">
        <v>368</v>
      </c>
      <c r="W8146" t="str">
        <f>VLOOKUP(Table_Query_from_Actuarial___Production[[#This Row],[Kor1]],$AI$3:$AK$105,3,FALSE)</f>
        <v>Losses Paid</v>
      </c>
      <c r="X8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6"/>
      <c r="Z8146" t="s">
        <v>14</v>
      </c>
      <c r="AA8146" t="s">
        <v>266</v>
      </c>
      <c r="AB8146" t="s">
        <v>6</v>
      </c>
      <c r="AC8146" s="21">
        <v>12477.36</v>
      </c>
      <c r="AD8146" s="21" t="s">
        <v>368</v>
      </c>
      <c r="AE8146" t="str">
        <f>VLOOKUP(Table_Query_from_Actuarial___Production3[[#This Row],[Kor1]],$AI$3:$AK$105,3,FALSE)</f>
        <v>Claims Expense</v>
      </c>
      <c r="AF8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7" spans="18:32" x14ac:dyDescent="0.2">
      <c r="R8147" t="s">
        <v>39</v>
      </c>
      <c r="S8147" t="s">
        <v>263</v>
      </c>
      <c r="T8147" t="s">
        <v>443</v>
      </c>
      <c r="U8147" s="21">
        <v>2.99</v>
      </c>
      <c r="V8147" s="21" t="s">
        <v>368</v>
      </c>
      <c r="W8147" t="str">
        <f>VLOOKUP(Table_Query_from_Actuarial___Production[[#This Row],[Kor1]],$AI$3:$AK$105,3,FALSE)</f>
        <v>Misc. Income for Insolvent Companies</v>
      </c>
      <c r="X8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7"/>
      <c r="Z8147" t="s">
        <v>41</v>
      </c>
      <c r="AA8147" t="s">
        <v>234</v>
      </c>
      <c r="AB8147" t="s">
        <v>7</v>
      </c>
      <c r="AC8147" s="21">
        <v>157.11000000000001</v>
      </c>
      <c r="AD8147" s="21" t="s">
        <v>368</v>
      </c>
      <c r="AE8147" t="str">
        <f>VLOOKUP(Table_Query_from_Actuarial___Production3[[#This Row],[Kor1]],$AI$3:$AK$105,3,FALSE)</f>
        <v>Misc. Income</v>
      </c>
      <c r="AF8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8" spans="18:32" x14ac:dyDescent="0.2">
      <c r="R8148" t="s">
        <v>47</v>
      </c>
      <c r="S8148" t="s">
        <v>267</v>
      </c>
      <c r="T8148" t="s">
        <v>356</v>
      </c>
      <c r="U8148" s="21">
        <v>1877.23</v>
      </c>
      <c r="V8148" s="21" t="s">
        <v>368</v>
      </c>
      <c r="W8148" t="str">
        <f>VLOOKUP(Table_Query_from_Actuarial___Production[[#This Row],[Kor1]],$AI$3:$AK$105,3,FALSE)</f>
        <v>Investment Income</v>
      </c>
      <c r="X8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48"/>
      <c r="Z8148" t="s">
        <v>50</v>
      </c>
      <c r="AA8148" t="s">
        <v>259</v>
      </c>
      <c r="AB8148" t="s">
        <v>427</v>
      </c>
      <c r="AC8148" s="21">
        <v>3246.06</v>
      </c>
      <c r="AD8148" s="21" t="s">
        <v>368</v>
      </c>
      <c r="AE8148" t="str">
        <f>VLOOKUP(Table_Query_from_Actuarial___Production3[[#This Row],[Kor1]],$AI$3:$AK$105,3,FALSE)</f>
        <v>ALAE Reserve</v>
      </c>
      <c r="AF8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49" spans="18:32" x14ac:dyDescent="0.2">
      <c r="R8149" t="s">
        <v>18</v>
      </c>
      <c r="S8149" t="s">
        <v>224</v>
      </c>
      <c r="T8149" t="s">
        <v>351</v>
      </c>
      <c r="U8149" s="21">
        <v>154517.21</v>
      </c>
      <c r="V8149" s="21" t="s">
        <v>368</v>
      </c>
      <c r="W8149" t="str">
        <f>VLOOKUP(Table_Query_from_Actuarial___Production[[#This Row],[Kor1]],$AI$3:$AK$105,3,FALSE)</f>
        <v>Misc. Expense</v>
      </c>
      <c r="X8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149"/>
      <c r="Z8149" t="s">
        <v>14</v>
      </c>
      <c r="AA8149" t="s">
        <v>224</v>
      </c>
      <c r="AB8149" t="s">
        <v>351</v>
      </c>
      <c r="AC8149" s="21">
        <v>428016.62</v>
      </c>
      <c r="AD8149" s="21" t="s">
        <v>368</v>
      </c>
      <c r="AE8149" t="str">
        <f>VLOOKUP(Table_Query_from_Actuarial___Production3[[#This Row],[Kor1]],$AI$3:$AK$105,3,FALSE)</f>
        <v>Claims Expense</v>
      </c>
      <c r="AF8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150" spans="18:32" x14ac:dyDescent="0.2">
      <c r="R8150" t="s">
        <v>41</v>
      </c>
      <c r="S8150" t="s">
        <v>250</v>
      </c>
      <c r="T8150" t="s">
        <v>6</v>
      </c>
      <c r="U8150" s="21">
        <v>200</v>
      </c>
      <c r="V8150" s="21" t="s">
        <v>368</v>
      </c>
      <c r="W8150" t="str">
        <f>VLOOKUP(Table_Query_from_Actuarial___Production[[#This Row],[Kor1]],$AI$3:$AK$105,3,FALSE)</f>
        <v>Misc. Income</v>
      </c>
      <c r="X8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0"/>
      <c r="Z8150" t="s">
        <v>43</v>
      </c>
      <c r="AA8150" t="s">
        <v>224</v>
      </c>
      <c r="AB8150" t="s">
        <v>6</v>
      </c>
      <c r="AC8150" s="21">
        <v>1727.81</v>
      </c>
      <c r="AD8150" s="21" t="s">
        <v>370</v>
      </c>
      <c r="AE8150" t="str">
        <f>VLOOKUP(Table_Query_from_Actuarial___Production3[[#This Row],[Kor1]],$AI$3:$AK$105,3,FALSE)</f>
        <v>Charge-offs</v>
      </c>
      <c r="AF8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151" spans="18:32" x14ac:dyDescent="0.2">
      <c r="R8151" t="s">
        <v>33</v>
      </c>
      <c r="S8151" t="s">
        <v>233</v>
      </c>
      <c r="T8151" t="s">
        <v>443</v>
      </c>
      <c r="U8151" s="21">
        <v>17571.38</v>
      </c>
      <c r="V8151" s="21" t="s">
        <v>368</v>
      </c>
      <c r="W8151" t="str">
        <f>VLOOKUP(Table_Query_from_Actuarial___Production[[#This Row],[Kor1]],$AI$3:$AK$105,3,FALSE)</f>
        <v>Misc. Expense</v>
      </c>
      <c r="X8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1"/>
      <c r="Z8151" t="s">
        <v>30</v>
      </c>
      <c r="AA8151" t="s">
        <v>259</v>
      </c>
      <c r="AB8151" t="s">
        <v>441</v>
      </c>
      <c r="AC8151" s="21">
        <v>14.55</v>
      </c>
      <c r="AD8151" s="21" t="s">
        <v>368</v>
      </c>
      <c r="AE8151" t="str">
        <f>VLOOKUP(Table_Query_from_Actuarial___Production3[[#This Row],[Kor1]],$AI$3:$AK$105,3,FALSE)</f>
        <v>Misc. Expense</v>
      </c>
      <c r="AF8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2" spans="18:32" x14ac:dyDescent="0.2">
      <c r="R8152" t="s">
        <v>31</v>
      </c>
      <c r="S8152" t="s">
        <v>264</v>
      </c>
      <c r="T8152" t="s">
        <v>427</v>
      </c>
      <c r="U8152" s="21">
        <v>512.22</v>
      </c>
      <c r="V8152" s="21" t="s">
        <v>368</v>
      </c>
      <c r="W8152" t="str">
        <f>VLOOKUP(Table_Query_from_Actuarial___Production[[#This Row],[Kor1]],$AI$3:$AK$105,3,FALSE)</f>
        <v>Misc. Expense</v>
      </c>
      <c r="X8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2"/>
      <c r="Z8152" t="s">
        <v>41</v>
      </c>
      <c r="AA8152" t="s">
        <v>266</v>
      </c>
      <c r="AB8152" t="s">
        <v>6</v>
      </c>
      <c r="AC8152" s="21">
        <v>600.01</v>
      </c>
      <c r="AD8152" s="21" t="s">
        <v>368</v>
      </c>
      <c r="AE8152" t="str">
        <f>VLOOKUP(Table_Query_from_Actuarial___Production3[[#This Row],[Kor1]],$AI$3:$AK$105,3,FALSE)</f>
        <v>Misc. Income</v>
      </c>
      <c r="AF8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3" spans="18:32" x14ac:dyDescent="0.2">
      <c r="R8153" t="s">
        <v>20</v>
      </c>
      <c r="S8153" t="s">
        <v>230</v>
      </c>
      <c r="T8153" t="s">
        <v>6</v>
      </c>
      <c r="U8153" s="21">
        <v>80.709999999999994</v>
      </c>
      <c r="V8153" s="21" t="s">
        <v>368</v>
      </c>
      <c r="W8153" t="str">
        <f>VLOOKUP(Table_Query_from_Actuarial___Production[[#This Row],[Kor1]],$AI$3:$AK$105,3,FALSE)</f>
        <v>Misc. Expense</v>
      </c>
      <c r="X8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3"/>
      <c r="Z8153" t="s">
        <v>10</v>
      </c>
      <c r="AA8153" t="s">
        <v>263</v>
      </c>
      <c r="AB8153" t="s">
        <v>9</v>
      </c>
      <c r="AC8153" s="21">
        <v>36577</v>
      </c>
      <c r="AD8153" s="21" t="s">
        <v>368</v>
      </c>
      <c r="AE8153" t="str">
        <f>VLOOKUP(Table_Query_from_Actuarial___Production3[[#This Row],[Kor1]],$AI$3:$AK$105,3,FALSE)</f>
        <v>Commissions</v>
      </c>
      <c r="AF8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4" spans="18:32" x14ac:dyDescent="0.2">
      <c r="R8154" t="s">
        <v>31</v>
      </c>
      <c r="S8154" t="s">
        <v>227</v>
      </c>
      <c r="T8154" t="s">
        <v>443</v>
      </c>
      <c r="U8154" s="21">
        <v>585.28</v>
      </c>
      <c r="V8154" s="21" t="s">
        <v>368</v>
      </c>
      <c r="W8154" t="str">
        <f>VLOOKUP(Table_Query_from_Actuarial___Production[[#This Row],[Kor1]],$AI$3:$AK$105,3,FALSE)</f>
        <v>Misc. Expense</v>
      </c>
      <c r="X8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4"/>
      <c r="Z8154" t="s">
        <v>14</v>
      </c>
      <c r="AA8154" t="s">
        <v>265</v>
      </c>
      <c r="AB8154" t="s">
        <v>351</v>
      </c>
      <c r="AC8154" s="21">
        <v>40576.870000000003</v>
      </c>
      <c r="AD8154" s="21" t="s">
        <v>368</v>
      </c>
      <c r="AE8154" t="str">
        <f>VLOOKUP(Table_Query_from_Actuarial___Production3[[#This Row],[Kor1]],$AI$3:$AK$105,3,FALSE)</f>
        <v>Claims Expense</v>
      </c>
      <c r="AF8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5" spans="18:32" x14ac:dyDescent="0.2">
      <c r="R8155" t="s">
        <v>44</v>
      </c>
      <c r="S8155" t="s">
        <v>4</v>
      </c>
      <c r="T8155" t="s">
        <v>7</v>
      </c>
      <c r="U8155" s="21">
        <v>493089.94</v>
      </c>
      <c r="V8155" s="21" t="s">
        <v>368</v>
      </c>
      <c r="W8155" t="str">
        <f>VLOOKUP(Table_Query_from_Actuarial___Production[[#This Row],[Kor1]],$AI$3:$AK$105,3,FALSE)</f>
        <v>Charge-offs</v>
      </c>
      <c r="X8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5"/>
      <c r="Z8155" t="s">
        <v>16</v>
      </c>
      <c r="AA8155" t="s">
        <v>224</v>
      </c>
      <c r="AB8155" t="s">
        <v>443</v>
      </c>
      <c r="AC8155" s="21">
        <v>4566.32</v>
      </c>
      <c r="AD8155" s="21" t="s">
        <v>425</v>
      </c>
      <c r="AE8155" t="str">
        <f>VLOOKUP(Table_Query_from_Actuarial___Production3[[#This Row],[Kor1]],$AI$3:$AK$105,3,FALSE)</f>
        <v>Losses Outstanding</v>
      </c>
      <c r="AF8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156" spans="18:32" x14ac:dyDescent="0.2">
      <c r="R8156" t="s">
        <v>33</v>
      </c>
      <c r="S8156" t="s">
        <v>250</v>
      </c>
      <c r="T8156" t="s">
        <v>356</v>
      </c>
      <c r="U8156" s="21">
        <v>34409.18</v>
      </c>
      <c r="V8156" s="21" t="s">
        <v>368</v>
      </c>
      <c r="W8156" t="str">
        <f>VLOOKUP(Table_Query_from_Actuarial___Production[[#This Row],[Kor1]],$AI$3:$AK$105,3,FALSE)</f>
        <v>Misc. Expense</v>
      </c>
      <c r="X8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6"/>
      <c r="Z8156" t="s">
        <v>10</v>
      </c>
      <c r="AA8156" t="s">
        <v>267</v>
      </c>
      <c r="AB8156" t="s">
        <v>433</v>
      </c>
      <c r="AC8156" s="21">
        <v>10581.96</v>
      </c>
      <c r="AD8156" s="21" t="s">
        <v>368</v>
      </c>
      <c r="AE8156" t="str">
        <f>VLOOKUP(Table_Query_from_Actuarial___Production3[[#This Row],[Kor1]],$AI$3:$AK$105,3,FALSE)</f>
        <v>Commissions</v>
      </c>
      <c r="AF8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7" spans="18:32" x14ac:dyDescent="0.2">
      <c r="R8157" t="s">
        <v>17</v>
      </c>
      <c r="S8157" t="s">
        <v>224</v>
      </c>
      <c r="T8157" t="s">
        <v>441</v>
      </c>
      <c r="U8157" s="21">
        <v>412.51</v>
      </c>
      <c r="V8157" s="21" t="s">
        <v>370</v>
      </c>
      <c r="W8157" t="str">
        <f>VLOOKUP(Table_Query_from_Actuarial___Production[[#This Row],[Kor1]],$AI$3:$AK$105,3,FALSE)</f>
        <v>IBNR</v>
      </c>
      <c r="X8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157"/>
      <c r="Z8157" t="s">
        <v>10</v>
      </c>
      <c r="AA8157" t="s">
        <v>256</v>
      </c>
      <c r="AB8157" t="s">
        <v>443</v>
      </c>
      <c r="AC8157" s="21">
        <v>1439.85</v>
      </c>
      <c r="AD8157" s="21" t="s">
        <v>368</v>
      </c>
      <c r="AE8157" t="str">
        <f>VLOOKUP(Table_Query_from_Actuarial___Production3[[#This Row],[Kor1]],$AI$3:$AK$105,3,FALSE)</f>
        <v>Commissions</v>
      </c>
      <c r="AF8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8" spans="18:32" x14ac:dyDescent="0.2">
      <c r="R8158" t="s">
        <v>36</v>
      </c>
      <c r="S8158" t="s">
        <v>241</v>
      </c>
      <c r="T8158" t="s">
        <v>445</v>
      </c>
      <c r="U8158" s="21">
        <v>3669.97</v>
      </c>
      <c r="V8158" s="21" t="s">
        <v>368</v>
      </c>
      <c r="W8158" t="str">
        <f>VLOOKUP(Table_Query_from_Actuarial___Production[[#This Row],[Kor1]],$AI$3:$AK$105,3,FALSE)</f>
        <v>Misc. Expense</v>
      </c>
      <c r="X8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8"/>
      <c r="Z8158" t="s">
        <v>13</v>
      </c>
      <c r="AA8158" t="s">
        <v>257</v>
      </c>
      <c r="AB8158" t="s">
        <v>9</v>
      </c>
      <c r="AC8158" s="21">
        <v>229444.48000000001</v>
      </c>
      <c r="AD8158" s="21" t="s">
        <v>368</v>
      </c>
      <c r="AE8158" t="str">
        <f>VLOOKUP(Table_Query_from_Actuarial___Production3[[#This Row],[Kor1]],$AI$3:$AK$105,3,FALSE)</f>
        <v>Operating Service Fees</v>
      </c>
      <c r="AF8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59" spans="18:32" x14ac:dyDescent="0.2">
      <c r="R8159" t="s">
        <v>13</v>
      </c>
      <c r="S8159" t="s">
        <v>260</v>
      </c>
      <c r="T8159" t="s">
        <v>433</v>
      </c>
      <c r="U8159" s="21">
        <v>2111.14</v>
      </c>
      <c r="V8159" s="21" t="s">
        <v>368</v>
      </c>
      <c r="W8159" t="str">
        <f>VLOOKUP(Table_Query_from_Actuarial___Production[[#This Row],[Kor1]],$AI$3:$AK$105,3,FALSE)</f>
        <v>Operating Service Fees</v>
      </c>
      <c r="X8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59"/>
      <c r="Z8159" t="s">
        <v>14</v>
      </c>
      <c r="AA8159" t="s">
        <v>241</v>
      </c>
      <c r="AB8159" t="s">
        <v>427</v>
      </c>
      <c r="AC8159" s="21">
        <v>96186.57</v>
      </c>
      <c r="AD8159" s="21" t="s">
        <v>368</v>
      </c>
      <c r="AE8159" t="str">
        <f>VLOOKUP(Table_Query_from_Actuarial___Production3[[#This Row],[Kor1]],$AI$3:$AK$105,3,FALSE)</f>
        <v>Claims Expense</v>
      </c>
      <c r="AF8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0" spans="18:32" x14ac:dyDescent="0.2">
      <c r="R8160" t="s">
        <v>17</v>
      </c>
      <c r="S8160" t="s">
        <v>233</v>
      </c>
      <c r="T8160" t="s">
        <v>443</v>
      </c>
      <c r="U8160" s="21">
        <v>686048.53</v>
      </c>
      <c r="V8160" s="21" t="s">
        <v>368</v>
      </c>
      <c r="W8160" t="str">
        <f>VLOOKUP(Table_Query_from_Actuarial___Production[[#This Row],[Kor1]],$AI$3:$AK$105,3,FALSE)</f>
        <v>IBNR</v>
      </c>
      <c r="X8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0"/>
      <c r="Z8160" t="s">
        <v>50</v>
      </c>
      <c r="AA8160" t="s">
        <v>260</v>
      </c>
      <c r="AB8160" t="s">
        <v>427</v>
      </c>
      <c r="AC8160" s="21">
        <v>20.440000000000001</v>
      </c>
      <c r="AD8160" s="21" t="s">
        <v>368</v>
      </c>
      <c r="AE8160" t="str">
        <f>VLOOKUP(Table_Query_from_Actuarial___Production3[[#This Row],[Kor1]],$AI$3:$AK$105,3,FALSE)</f>
        <v>ALAE Reserve</v>
      </c>
      <c r="AF8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1" spans="18:32" x14ac:dyDescent="0.2">
      <c r="R8161" t="s">
        <v>47</v>
      </c>
      <c r="S8161" t="s">
        <v>246</v>
      </c>
      <c r="T8161" t="s">
        <v>6</v>
      </c>
      <c r="U8161" s="21">
        <v>0.08</v>
      </c>
      <c r="V8161" s="21" t="s">
        <v>368</v>
      </c>
      <c r="W8161" t="str">
        <f>VLOOKUP(Table_Query_from_Actuarial___Production[[#This Row],[Kor1]],$AI$3:$AK$105,3,FALSE)</f>
        <v>Investment Income</v>
      </c>
      <c r="X8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1"/>
      <c r="Z8161" t="s">
        <v>10</v>
      </c>
      <c r="AA8161" t="s">
        <v>352</v>
      </c>
      <c r="AB8161" t="s">
        <v>7</v>
      </c>
      <c r="AC8161" s="21">
        <v>25466.84</v>
      </c>
      <c r="AD8161" s="21" t="s">
        <v>369</v>
      </c>
      <c r="AE8161" t="str">
        <f>VLOOKUP(Table_Query_from_Actuarial___Production3[[#This Row],[Kor1]],$AI$3:$AK$105,3,FALSE)</f>
        <v>Commissions</v>
      </c>
      <c r="AF8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162" spans="18:32" x14ac:dyDescent="0.2">
      <c r="R8162" t="s">
        <v>31</v>
      </c>
      <c r="S8162" t="s">
        <v>243</v>
      </c>
      <c r="T8162" t="s">
        <v>356</v>
      </c>
      <c r="U8162" s="21">
        <v>799.03</v>
      </c>
      <c r="V8162" s="21" t="s">
        <v>368</v>
      </c>
      <c r="W8162" t="str">
        <f>VLOOKUP(Table_Query_from_Actuarial___Production[[#This Row],[Kor1]],$AI$3:$AK$105,3,FALSE)</f>
        <v>Misc. Expense</v>
      </c>
      <c r="X8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2"/>
      <c r="Z8162" t="s">
        <v>48</v>
      </c>
      <c r="AA8162" t="s">
        <v>224</v>
      </c>
      <c r="AB8162" t="s">
        <v>442</v>
      </c>
      <c r="AC8162" s="21">
        <v>162.84</v>
      </c>
      <c r="AD8162" s="21" t="s">
        <v>369</v>
      </c>
      <c r="AE8162" t="str">
        <f>VLOOKUP(Table_Query_from_Actuarial___Production3[[#This Row],[Kor1]],$AI$3:$AK$105,3,FALSE)</f>
        <v>Anticipated Salvage</v>
      </c>
      <c r="AF8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163" spans="18:32" x14ac:dyDescent="0.2">
      <c r="R8163" t="s">
        <v>49</v>
      </c>
      <c r="S8163" t="s">
        <v>226</v>
      </c>
      <c r="T8163" t="s">
        <v>445</v>
      </c>
      <c r="U8163" s="21">
        <v>11.2</v>
      </c>
      <c r="V8163" s="21" t="s">
        <v>368</v>
      </c>
      <c r="W8163" t="str">
        <f>VLOOKUP(Table_Query_from_Actuarial___Production[[#This Row],[Kor1]],$AI$3:$AK$105,3,FALSE)</f>
        <v>ALAE Paid</v>
      </c>
      <c r="X8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163"/>
      <c r="Z8163" t="s">
        <v>48</v>
      </c>
      <c r="AA8163" t="s">
        <v>224</v>
      </c>
      <c r="AB8163" t="s">
        <v>443</v>
      </c>
      <c r="AC8163" s="21">
        <v>15462.75</v>
      </c>
      <c r="AD8163" s="21" t="s">
        <v>368</v>
      </c>
      <c r="AE8163" t="str">
        <f>VLOOKUP(Table_Query_from_Actuarial___Production3[[#This Row],[Kor1]],$AI$3:$AK$105,3,FALSE)</f>
        <v>Anticipated Salvage</v>
      </c>
      <c r="AF8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164" spans="18:32" x14ac:dyDescent="0.2">
      <c r="R8164" t="s">
        <v>31</v>
      </c>
      <c r="S8164" t="s">
        <v>240</v>
      </c>
      <c r="T8164" t="s">
        <v>9</v>
      </c>
      <c r="U8164" s="21">
        <v>369.2</v>
      </c>
      <c r="V8164" s="21" t="s">
        <v>368</v>
      </c>
      <c r="W8164" t="str">
        <f>VLOOKUP(Table_Query_from_Actuarial___Production[[#This Row],[Kor1]],$AI$3:$AK$105,3,FALSE)</f>
        <v>Misc. Expense</v>
      </c>
      <c r="X8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4"/>
      <c r="Z8164" t="s">
        <v>11</v>
      </c>
      <c r="AA8164" t="s">
        <v>258</v>
      </c>
      <c r="AB8164" t="s">
        <v>433</v>
      </c>
      <c r="AC8164" s="21">
        <v>1280492.06</v>
      </c>
      <c r="AD8164" s="21" t="s">
        <v>368</v>
      </c>
      <c r="AE8164" t="str">
        <f>VLOOKUP(Table_Query_from_Actuarial___Production3[[#This Row],[Kor1]],$AI$3:$AK$105,3,FALSE)</f>
        <v>Losses Paid</v>
      </c>
      <c r="AF8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5" spans="18:32" x14ac:dyDescent="0.2">
      <c r="R8165" t="s">
        <v>34</v>
      </c>
      <c r="S8165" t="s">
        <v>230</v>
      </c>
      <c r="T8165" t="s">
        <v>433</v>
      </c>
      <c r="U8165" s="21">
        <v>20796.84</v>
      </c>
      <c r="V8165" s="21" t="s">
        <v>368</v>
      </c>
      <c r="W8165" t="str">
        <f>VLOOKUP(Table_Query_from_Actuarial___Production[[#This Row],[Kor1]],$AI$3:$AK$105,3,FALSE)</f>
        <v>Misc. Expense</v>
      </c>
      <c r="X8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5"/>
      <c r="Z8165" t="s">
        <v>39</v>
      </c>
      <c r="AA8165" t="s">
        <v>263</v>
      </c>
      <c r="AB8165" t="s">
        <v>443</v>
      </c>
      <c r="AC8165" s="21">
        <v>2.99</v>
      </c>
      <c r="AD8165" s="21" t="s">
        <v>368</v>
      </c>
      <c r="AE8165" t="str">
        <f>VLOOKUP(Table_Query_from_Actuarial___Production3[[#This Row],[Kor1]],$AI$3:$AK$105,3,FALSE)</f>
        <v>Misc. Income for Insolvent Companies</v>
      </c>
      <c r="AF8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6" spans="18:32" x14ac:dyDescent="0.2">
      <c r="R8166" t="s">
        <v>13</v>
      </c>
      <c r="S8166" t="s">
        <v>225</v>
      </c>
      <c r="T8166" t="s">
        <v>6</v>
      </c>
      <c r="U8166" s="21">
        <v>154494.39000000001</v>
      </c>
      <c r="V8166" s="21" t="s">
        <v>368</v>
      </c>
      <c r="W8166" t="str">
        <f>VLOOKUP(Table_Query_from_Actuarial___Production[[#This Row],[Kor1]],$AI$3:$AK$105,3,FALSE)</f>
        <v>Operating Service Fees</v>
      </c>
      <c r="X8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166"/>
      <c r="Z8166" t="s">
        <v>47</v>
      </c>
      <c r="AA8166" t="s">
        <v>267</v>
      </c>
      <c r="AB8166" t="s">
        <v>356</v>
      </c>
      <c r="AC8166" s="21">
        <v>1877.23</v>
      </c>
      <c r="AD8166" s="21" t="s">
        <v>368</v>
      </c>
      <c r="AE8166" t="str">
        <f>VLOOKUP(Table_Query_from_Actuarial___Production3[[#This Row],[Kor1]],$AI$3:$AK$105,3,FALSE)</f>
        <v>Investment Income</v>
      </c>
      <c r="AF8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7" spans="18:32" x14ac:dyDescent="0.2">
      <c r="R8167" t="s">
        <v>12</v>
      </c>
      <c r="S8167" t="s">
        <v>235</v>
      </c>
      <c r="T8167" t="s">
        <v>443</v>
      </c>
      <c r="U8167" s="21">
        <v>1358.65</v>
      </c>
      <c r="V8167" s="21" t="s">
        <v>368</v>
      </c>
      <c r="W8167" t="str">
        <f>VLOOKUP(Table_Query_from_Actuarial___Production[[#This Row],[Kor1]],$AI$3:$AK$105,3,FALSE)</f>
        <v>Premium Tax</v>
      </c>
      <c r="X8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7"/>
      <c r="Z8167" t="s">
        <v>18</v>
      </c>
      <c r="AA8167" t="s">
        <v>224</v>
      </c>
      <c r="AB8167" t="s">
        <v>351</v>
      </c>
      <c r="AC8167" s="21">
        <v>154517.21</v>
      </c>
      <c r="AD8167" s="21" t="s">
        <v>368</v>
      </c>
      <c r="AE8167" t="str">
        <f>VLOOKUP(Table_Query_from_Actuarial___Production3[[#This Row],[Kor1]],$AI$3:$AK$105,3,FALSE)</f>
        <v>Misc. Expense</v>
      </c>
      <c r="AF8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168" spans="18:32" x14ac:dyDescent="0.2">
      <c r="R8168" t="s">
        <v>19</v>
      </c>
      <c r="S8168" t="s">
        <v>265</v>
      </c>
      <c r="T8168" t="s">
        <v>8</v>
      </c>
      <c r="U8168" s="21">
        <v>1523</v>
      </c>
      <c r="V8168" s="21" t="s">
        <v>368</v>
      </c>
      <c r="W8168" t="str">
        <f>VLOOKUP(Table_Query_from_Actuarial___Production[[#This Row],[Kor1]],$AI$3:$AK$105,3,FALSE)</f>
        <v>Misc. Expense for Insolvent Companies</v>
      </c>
      <c r="X8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8"/>
      <c r="Z8168" t="s">
        <v>41</v>
      </c>
      <c r="AA8168" t="s">
        <v>250</v>
      </c>
      <c r="AB8168" t="s">
        <v>6</v>
      </c>
      <c r="AC8168" s="21">
        <v>200</v>
      </c>
      <c r="AD8168" s="21" t="s">
        <v>368</v>
      </c>
      <c r="AE8168" t="str">
        <f>VLOOKUP(Table_Query_from_Actuarial___Production3[[#This Row],[Kor1]],$AI$3:$AK$105,3,FALSE)</f>
        <v>Misc. Income</v>
      </c>
      <c r="AF8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69" spans="18:32" x14ac:dyDescent="0.2">
      <c r="R8169" t="s">
        <v>47</v>
      </c>
      <c r="S8169" t="s">
        <v>229</v>
      </c>
      <c r="T8169" t="s">
        <v>9</v>
      </c>
      <c r="U8169" s="21">
        <v>148.26</v>
      </c>
      <c r="V8169" s="21" t="s">
        <v>368</v>
      </c>
      <c r="W8169" t="str">
        <f>VLOOKUP(Table_Query_from_Actuarial___Production[[#This Row],[Kor1]],$AI$3:$AK$105,3,FALSE)</f>
        <v>Investment Income</v>
      </c>
      <c r="X8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69"/>
      <c r="Z8169" t="s">
        <v>33</v>
      </c>
      <c r="AA8169" t="s">
        <v>233</v>
      </c>
      <c r="AB8169" t="s">
        <v>443</v>
      </c>
      <c r="AC8169" s="21">
        <v>9587.26</v>
      </c>
      <c r="AD8169" s="21" t="s">
        <v>368</v>
      </c>
      <c r="AE8169" t="str">
        <f>VLOOKUP(Table_Query_from_Actuarial___Production3[[#This Row],[Kor1]],$AI$3:$AK$105,3,FALSE)</f>
        <v>Misc. Expense</v>
      </c>
      <c r="AF8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0" spans="18:32" x14ac:dyDescent="0.2">
      <c r="R8170" t="s">
        <v>14</v>
      </c>
      <c r="S8170" t="s">
        <v>259</v>
      </c>
      <c r="T8170" t="s">
        <v>443</v>
      </c>
      <c r="U8170" s="21">
        <v>2147.5</v>
      </c>
      <c r="V8170" s="21" t="s">
        <v>368</v>
      </c>
      <c r="W8170" t="str">
        <f>VLOOKUP(Table_Query_from_Actuarial___Production[[#This Row],[Kor1]],$AI$3:$AK$105,3,FALSE)</f>
        <v>Claims Expense</v>
      </c>
      <c r="X8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0"/>
      <c r="Z8170" t="s">
        <v>31</v>
      </c>
      <c r="AA8170" t="s">
        <v>264</v>
      </c>
      <c r="AB8170" t="s">
        <v>427</v>
      </c>
      <c r="AC8170" s="21">
        <v>512.22</v>
      </c>
      <c r="AD8170" s="21" t="s">
        <v>368</v>
      </c>
      <c r="AE8170" t="str">
        <f>VLOOKUP(Table_Query_from_Actuarial___Production3[[#This Row],[Kor1]],$AI$3:$AK$105,3,FALSE)</f>
        <v>Misc. Expense</v>
      </c>
      <c r="AF8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1" spans="18:32" x14ac:dyDescent="0.2">
      <c r="R8171" t="s">
        <v>39</v>
      </c>
      <c r="S8171" t="s">
        <v>243</v>
      </c>
      <c r="T8171" t="s">
        <v>9</v>
      </c>
      <c r="U8171" s="21">
        <v>309</v>
      </c>
      <c r="V8171" s="21" t="s">
        <v>368</v>
      </c>
      <c r="W8171" t="str">
        <f>VLOOKUP(Table_Query_from_Actuarial___Production[[#This Row],[Kor1]],$AI$3:$AK$105,3,FALSE)</f>
        <v>Misc. Income for Insolvent Companies</v>
      </c>
      <c r="X8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1"/>
      <c r="Z8171" t="s">
        <v>20</v>
      </c>
      <c r="AA8171" t="s">
        <v>230</v>
      </c>
      <c r="AB8171" t="s">
        <v>6</v>
      </c>
      <c r="AC8171" s="21">
        <v>80.709999999999994</v>
      </c>
      <c r="AD8171" s="21" t="s">
        <v>368</v>
      </c>
      <c r="AE8171" t="str">
        <f>VLOOKUP(Table_Query_from_Actuarial___Production3[[#This Row],[Kor1]],$AI$3:$AK$105,3,FALSE)</f>
        <v>Misc. Expense</v>
      </c>
      <c r="AF8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2" spans="18:32" x14ac:dyDescent="0.2">
      <c r="R8172" t="s">
        <v>3</v>
      </c>
      <c r="S8172" t="s">
        <v>224</v>
      </c>
      <c r="T8172" t="s">
        <v>8</v>
      </c>
      <c r="U8172" s="21">
        <v>105432.88</v>
      </c>
      <c r="V8172" s="21" t="s">
        <v>369</v>
      </c>
      <c r="W8172" t="str">
        <f>VLOOKUP(Table_Query_from_Actuarial___Production[[#This Row],[Kor1]],$AI$3:$AK$105,3,FALSE)</f>
        <v>Premiums Written</v>
      </c>
      <c r="X8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172"/>
      <c r="Z8172" t="s">
        <v>44</v>
      </c>
      <c r="AA8172" t="s">
        <v>4</v>
      </c>
      <c r="AB8172" t="s">
        <v>7</v>
      </c>
      <c r="AC8172" s="21">
        <v>493089.94</v>
      </c>
      <c r="AD8172" s="21" t="s">
        <v>368</v>
      </c>
      <c r="AE8172" t="str">
        <f>VLOOKUP(Table_Query_from_Actuarial___Production3[[#This Row],[Kor1]],$AI$3:$AK$105,3,FALSE)</f>
        <v>Charge-offs</v>
      </c>
      <c r="AF8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3" spans="18:32" x14ac:dyDescent="0.2">
      <c r="R8173" t="s">
        <v>47</v>
      </c>
      <c r="S8173" t="s">
        <v>240</v>
      </c>
      <c r="T8173" t="s">
        <v>445</v>
      </c>
      <c r="U8173" s="21">
        <v>14744.64</v>
      </c>
      <c r="V8173" s="21" t="s">
        <v>368</v>
      </c>
      <c r="W8173" t="str">
        <f>VLOOKUP(Table_Query_from_Actuarial___Production[[#This Row],[Kor1]],$AI$3:$AK$105,3,FALSE)</f>
        <v>Investment Income</v>
      </c>
      <c r="X8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3"/>
      <c r="Z8173" t="s">
        <v>31</v>
      </c>
      <c r="AA8173" t="s">
        <v>259</v>
      </c>
      <c r="AB8173" t="s">
        <v>5</v>
      </c>
      <c r="AC8173" s="21">
        <v>28.74</v>
      </c>
      <c r="AD8173" s="21" t="s">
        <v>368</v>
      </c>
      <c r="AE8173" t="str">
        <f>VLOOKUP(Table_Query_from_Actuarial___Production3[[#This Row],[Kor1]],$AI$3:$AK$105,3,FALSE)</f>
        <v>Misc. Expense</v>
      </c>
      <c r="AF8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4" spans="18:32" x14ac:dyDescent="0.2">
      <c r="R8174" t="s">
        <v>11</v>
      </c>
      <c r="S8174" t="s">
        <v>266</v>
      </c>
      <c r="T8174" t="s">
        <v>445</v>
      </c>
      <c r="U8174" s="21">
        <v>1652.02</v>
      </c>
      <c r="V8174" s="21" t="s">
        <v>368</v>
      </c>
      <c r="W8174" t="str">
        <f>VLOOKUP(Table_Query_from_Actuarial___Production[[#This Row],[Kor1]],$AI$3:$AK$105,3,FALSE)</f>
        <v>Losses Paid</v>
      </c>
      <c r="X8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4"/>
      <c r="Z8174" t="s">
        <v>33</v>
      </c>
      <c r="AA8174" t="s">
        <v>250</v>
      </c>
      <c r="AB8174" t="s">
        <v>356</v>
      </c>
      <c r="AC8174" s="21">
        <v>34409.18</v>
      </c>
      <c r="AD8174" s="21" t="s">
        <v>368</v>
      </c>
      <c r="AE8174" t="str">
        <f>VLOOKUP(Table_Query_from_Actuarial___Production3[[#This Row],[Kor1]],$AI$3:$AK$105,3,FALSE)</f>
        <v>Misc. Expense</v>
      </c>
      <c r="AF8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5" spans="18:32" x14ac:dyDescent="0.2">
      <c r="R8175" t="s">
        <v>13</v>
      </c>
      <c r="S8175" t="s">
        <v>265</v>
      </c>
      <c r="T8175" t="s">
        <v>442</v>
      </c>
      <c r="U8175" s="21">
        <v>119350.76</v>
      </c>
      <c r="V8175" s="21" t="s">
        <v>368</v>
      </c>
      <c r="W8175" t="str">
        <f>VLOOKUP(Table_Query_from_Actuarial___Production[[#This Row],[Kor1]],$AI$3:$AK$105,3,FALSE)</f>
        <v>Operating Service Fees</v>
      </c>
      <c r="X8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5"/>
      <c r="Z8175" t="s">
        <v>17</v>
      </c>
      <c r="AA8175" t="s">
        <v>224</v>
      </c>
      <c r="AB8175" t="s">
        <v>441</v>
      </c>
      <c r="AC8175" s="21">
        <v>6561.63</v>
      </c>
      <c r="AD8175" s="21" t="s">
        <v>370</v>
      </c>
      <c r="AE8175" t="str">
        <f>VLOOKUP(Table_Query_from_Actuarial___Production3[[#This Row],[Kor1]],$AI$3:$AK$105,3,FALSE)</f>
        <v>IBNR</v>
      </c>
      <c r="AF8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176" spans="18:32" x14ac:dyDescent="0.2">
      <c r="R8176" t="s">
        <v>17</v>
      </c>
      <c r="S8176" t="s">
        <v>239</v>
      </c>
      <c r="T8176" t="s">
        <v>441</v>
      </c>
      <c r="U8176" s="21">
        <v>903285.73</v>
      </c>
      <c r="V8176" s="21" t="s">
        <v>368</v>
      </c>
      <c r="W8176" t="str">
        <f>VLOOKUP(Table_Query_from_Actuarial___Production[[#This Row],[Kor1]],$AI$3:$AK$105,3,FALSE)</f>
        <v>IBNR</v>
      </c>
      <c r="X8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6"/>
      <c r="Z8176" t="s">
        <v>12</v>
      </c>
      <c r="AA8176" t="s">
        <v>249</v>
      </c>
      <c r="AB8176" t="s">
        <v>5</v>
      </c>
      <c r="AC8176" s="21">
        <v>3449.7</v>
      </c>
      <c r="AD8176" s="21" t="s">
        <v>368</v>
      </c>
      <c r="AE8176" t="str">
        <f>VLOOKUP(Table_Query_from_Actuarial___Production3[[#This Row],[Kor1]],$AI$3:$AK$105,3,FALSE)</f>
        <v>Premium Tax</v>
      </c>
      <c r="AF8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7" spans="18:32" x14ac:dyDescent="0.2">
      <c r="R8177" t="s">
        <v>19</v>
      </c>
      <c r="S8177" t="s">
        <v>264</v>
      </c>
      <c r="T8177" t="s">
        <v>356</v>
      </c>
      <c r="U8177" s="21">
        <v>3</v>
      </c>
      <c r="V8177" s="21" t="s">
        <v>368</v>
      </c>
      <c r="W8177" t="str">
        <f>VLOOKUP(Table_Query_from_Actuarial___Production[[#This Row],[Kor1]],$AI$3:$AK$105,3,FALSE)</f>
        <v>Misc. Expense for Insolvent Companies</v>
      </c>
      <c r="X8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7"/>
      <c r="Z8177" t="s">
        <v>13</v>
      </c>
      <c r="AA8177" t="s">
        <v>260</v>
      </c>
      <c r="AB8177" t="s">
        <v>433</v>
      </c>
      <c r="AC8177" s="21">
        <v>2111.14</v>
      </c>
      <c r="AD8177" s="21" t="s">
        <v>368</v>
      </c>
      <c r="AE8177" t="str">
        <f>VLOOKUP(Table_Query_from_Actuarial___Production3[[#This Row],[Kor1]],$AI$3:$AK$105,3,FALSE)</f>
        <v>Operating Service Fees</v>
      </c>
      <c r="AF8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8" spans="18:32" x14ac:dyDescent="0.2">
      <c r="R8178" t="s">
        <v>29</v>
      </c>
      <c r="S8178" t="s">
        <v>238</v>
      </c>
      <c r="T8178" t="s">
        <v>443</v>
      </c>
      <c r="U8178" s="21">
        <v>1141.21</v>
      </c>
      <c r="V8178" s="21" t="s">
        <v>368</v>
      </c>
      <c r="W8178" t="str">
        <f>VLOOKUP(Table_Query_from_Actuarial___Production[[#This Row],[Kor1]],$AI$3:$AK$105,3,FALSE)</f>
        <v>Misc. Expense</v>
      </c>
      <c r="X8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8"/>
      <c r="Z8178" t="s">
        <v>17</v>
      </c>
      <c r="AA8178" t="s">
        <v>233</v>
      </c>
      <c r="AB8178" t="s">
        <v>443</v>
      </c>
      <c r="AC8178" s="21">
        <v>76944.94</v>
      </c>
      <c r="AD8178" s="21" t="s">
        <v>368</v>
      </c>
      <c r="AE8178" t="str">
        <f>VLOOKUP(Table_Query_from_Actuarial___Production3[[#This Row],[Kor1]],$AI$3:$AK$105,3,FALSE)</f>
        <v>IBNR</v>
      </c>
      <c r="AF8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79" spans="18:32" x14ac:dyDescent="0.2">
      <c r="R8179" t="s">
        <v>36</v>
      </c>
      <c r="S8179" t="s">
        <v>250</v>
      </c>
      <c r="T8179" t="s">
        <v>351</v>
      </c>
      <c r="U8179" s="21">
        <v>2273.9899999999998</v>
      </c>
      <c r="V8179" s="21" t="s">
        <v>368</v>
      </c>
      <c r="W8179" t="str">
        <f>VLOOKUP(Table_Query_from_Actuarial___Production[[#This Row],[Kor1]],$AI$3:$AK$105,3,FALSE)</f>
        <v>Misc. Expense</v>
      </c>
      <c r="X8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79"/>
      <c r="Z8179" t="s">
        <v>20</v>
      </c>
      <c r="AA8179" t="s">
        <v>258</v>
      </c>
      <c r="AB8179" t="s">
        <v>5</v>
      </c>
      <c r="AC8179" s="21">
        <v>26.27</v>
      </c>
      <c r="AD8179" s="21" t="s">
        <v>368</v>
      </c>
      <c r="AE8179" t="str">
        <f>VLOOKUP(Table_Query_from_Actuarial___Production3[[#This Row],[Kor1]],$AI$3:$AK$105,3,FALSE)</f>
        <v>Misc. Expense</v>
      </c>
      <c r="AF8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0" spans="18:32" x14ac:dyDescent="0.2">
      <c r="R8180" t="s">
        <v>43</v>
      </c>
      <c r="S8180" t="s">
        <v>224</v>
      </c>
      <c r="T8180" t="s">
        <v>445</v>
      </c>
      <c r="U8180" s="21">
        <v>0.86</v>
      </c>
      <c r="V8180" s="21" t="s">
        <v>370</v>
      </c>
      <c r="W8180" t="str">
        <f>VLOOKUP(Table_Query_from_Actuarial___Production[[#This Row],[Kor1]],$AI$3:$AK$105,3,FALSE)</f>
        <v>Charge-offs</v>
      </c>
      <c r="X8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180"/>
      <c r="Z8180" t="s">
        <v>44</v>
      </c>
      <c r="AA8180" t="s">
        <v>251</v>
      </c>
      <c r="AB8180" t="s">
        <v>5</v>
      </c>
      <c r="AC8180" s="21">
        <v>-0.04</v>
      </c>
      <c r="AD8180" s="21" t="s">
        <v>368</v>
      </c>
      <c r="AE8180" t="str">
        <f>VLOOKUP(Table_Query_from_Actuarial___Production3[[#This Row],[Kor1]],$AI$3:$AK$105,3,FALSE)</f>
        <v>Charge-offs</v>
      </c>
      <c r="AF8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1" spans="18:32" x14ac:dyDescent="0.2">
      <c r="R8181" t="s">
        <v>16</v>
      </c>
      <c r="S8181" t="s">
        <v>250</v>
      </c>
      <c r="T8181" t="s">
        <v>356</v>
      </c>
      <c r="U8181" s="21">
        <v>355665.85</v>
      </c>
      <c r="V8181" s="21" t="s">
        <v>368</v>
      </c>
      <c r="W8181" t="str">
        <f>VLOOKUP(Table_Query_from_Actuarial___Production[[#This Row],[Kor1]],$AI$3:$AK$105,3,FALSE)</f>
        <v>Losses Outstanding</v>
      </c>
      <c r="X8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1"/>
      <c r="Z8181" t="s">
        <v>47</v>
      </c>
      <c r="AA8181" t="s">
        <v>246</v>
      </c>
      <c r="AB8181" t="s">
        <v>6</v>
      </c>
      <c r="AC8181" s="21">
        <v>0.08</v>
      </c>
      <c r="AD8181" s="21" t="s">
        <v>368</v>
      </c>
      <c r="AE8181" t="str">
        <f>VLOOKUP(Table_Query_from_Actuarial___Production3[[#This Row],[Kor1]],$AI$3:$AK$105,3,FALSE)</f>
        <v>Investment Income</v>
      </c>
      <c r="AF8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2" spans="18:32" x14ac:dyDescent="0.2">
      <c r="R8182" t="s">
        <v>37</v>
      </c>
      <c r="S8182" t="s">
        <v>257</v>
      </c>
      <c r="T8182" t="s">
        <v>7</v>
      </c>
      <c r="U8182" s="21">
        <v>4485.07</v>
      </c>
      <c r="V8182" s="21" t="s">
        <v>368</v>
      </c>
      <c r="W8182" t="str">
        <f>VLOOKUP(Table_Query_from_Actuarial___Production[[#This Row],[Kor1]],$AI$3:$AK$105,3,FALSE)</f>
        <v>Misc. Expense</v>
      </c>
      <c r="X8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2"/>
      <c r="Z8182" t="s">
        <v>19</v>
      </c>
      <c r="AA8182" t="s">
        <v>243</v>
      </c>
      <c r="AB8182" t="s">
        <v>5</v>
      </c>
      <c r="AC8182" s="21">
        <v>4723</v>
      </c>
      <c r="AD8182" s="21" t="s">
        <v>368</v>
      </c>
      <c r="AE8182" t="str">
        <f>VLOOKUP(Table_Query_from_Actuarial___Production3[[#This Row],[Kor1]],$AI$3:$AK$105,3,FALSE)</f>
        <v>Misc. Expense for Insolvent Companies</v>
      </c>
      <c r="AF8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3" spans="18:32" x14ac:dyDescent="0.2">
      <c r="R8183" t="s">
        <v>11</v>
      </c>
      <c r="S8183" t="s">
        <v>241</v>
      </c>
      <c r="T8183" t="s">
        <v>427</v>
      </c>
      <c r="U8183" s="21">
        <v>1823057.77</v>
      </c>
      <c r="V8183" s="21" t="s">
        <v>368</v>
      </c>
      <c r="W8183" t="str">
        <f>VLOOKUP(Table_Query_from_Actuarial___Production[[#This Row],[Kor1]],$AI$3:$AK$105,3,FALSE)</f>
        <v>Losses Paid</v>
      </c>
      <c r="X8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3"/>
      <c r="Z8183" t="s">
        <v>31</v>
      </c>
      <c r="AA8183" t="s">
        <v>243</v>
      </c>
      <c r="AB8183" t="s">
        <v>356</v>
      </c>
      <c r="AC8183" s="21">
        <v>799.03</v>
      </c>
      <c r="AD8183" s="21" t="s">
        <v>368</v>
      </c>
      <c r="AE8183" t="str">
        <f>VLOOKUP(Table_Query_from_Actuarial___Production3[[#This Row],[Kor1]],$AI$3:$AK$105,3,FALSE)</f>
        <v>Misc. Expense</v>
      </c>
      <c r="AF8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4" spans="18:32" x14ac:dyDescent="0.2">
      <c r="R8184" t="s">
        <v>14</v>
      </c>
      <c r="S8184" t="s">
        <v>254</v>
      </c>
      <c r="T8184" t="s">
        <v>6</v>
      </c>
      <c r="U8184" s="21">
        <v>109301.94</v>
      </c>
      <c r="V8184" s="21" t="s">
        <v>368</v>
      </c>
      <c r="W8184" t="str">
        <f>VLOOKUP(Table_Query_from_Actuarial___Production[[#This Row],[Kor1]],$AI$3:$AK$105,3,FALSE)</f>
        <v>Claims Expense</v>
      </c>
      <c r="X8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4"/>
      <c r="Z8184" t="s">
        <v>31</v>
      </c>
      <c r="AA8184" t="s">
        <v>240</v>
      </c>
      <c r="AB8184" t="s">
        <v>9</v>
      </c>
      <c r="AC8184" s="21">
        <v>369.2</v>
      </c>
      <c r="AD8184" s="21" t="s">
        <v>368</v>
      </c>
      <c r="AE8184" t="str">
        <f>VLOOKUP(Table_Query_from_Actuarial___Production3[[#This Row],[Kor1]],$AI$3:$AK$105,3,FALSE)</f>
        <v>Misc. Expense</v>
      </c>
      <c r="AF8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5" spans="18:32" x14ac:dyDescent="0.2">
      <c r="R8185" t="s">
        <v>14</v>
      </c>
      <c r="S8185" t="s">
        <v>264</v>
      </c>
      <c r="T8185" t="s">
        <v>442</v>
      </c>
      <c r="U8185" s="21">
        <v>277944.28000000003</v>
      </c>
      <c r="V8185" s="21" t="s">
        <v>368</v>
      </c>
      <c r="W8185" t="str">
        <f>VLOOKUP(Table_Query_from_Actuarial___Production[[#This Row],[Kor1]],$AI$3:$AK$105,3,FALSE)</f>
        <v>Claims Expense</v>
      </c>
      <c r="X8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5"/>
      <c r="Z8185" t="s">
        <v>34</v>
      </c>
      <c r="AA8185" t="s">
        <v>230</v>
      </c>
      <c r="AB8185" t="s">
        <v>433</v>
      </c>
      <c r="AC8185" s="21">
        <v>20796.84</v>
      </c>
      <c r="AD8185" s="21" t="s">
        <v>368</v>
      </c>
      <c r="AE8185" t="str">
        <f>VLOOKUP(Table_Query_from_Actuarial___Production3[[#This Row],[Kor1]],$AI$3:$AK$105,3,FALSE)</f>
        <v>Misc. Expense</v>
      </c>
      <c r="AF8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6" spans="18:32" x14ac:dyDescent="0.2">
      <c r="R8186" t="s">
        <v>41</v>
      </c>
      <c r="S8186" t="s">
        <v>256</v>
      </c>
      <c r="T8186" t="s">
        <v>6</v>
      </c>
      <c r="U8186" s="21">
        <v>200</v>
      </c>
      <c r="V8186" s="21" t="s">
        <v>368</v>
      </c>
      <c r="W8186" t="str">
        <f>VLOOKUP(Table_Query_from_Actuarial___Production[[#This Row],[Kor1]],$AI$3:$AK$105,3,FALSE)</f>
        <v>Misc. Income</v>
      </c>
      <c r="X8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6"/>
      <c r="Z8186" t="s">
        <v>13</v>
      </c>
      <c r="AA8186" t="s">
        <v>225</v>
      </c>
      <c r="AB8186" t="s">
        <v>6</v>
      </c>
      <c r="AC8186" s="21">
        <v>154494.39000000001</v>
      </c>
      <c r="AD8186" s="21" t="s">
        <v>368</v>
      </c>
      <c r="AE8186" t="str">
        <f>VLOOKUP(Table_Query_from_Actuarial___Production3[[#This Row],[Kor1]],$AI$3:$AK$105,3,FALSE)</f>
        <v>Operating Service Fees</v>
      </c>
      <c r="AF8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187" spans="18:32" x14ac:dyDescent="0.2">
      <c r="R8187" t="s">
        <v>43</v>
      </c>
      <c r="S8187" t="s">
        <v>254</v>
      </c>
      <c r="T8187" t="s">
        <v>441</v>
      </c>
      <c r="U8187" s="21">
        <v>456.29</v>
      </c>
      <c r="V8187" s="21" t="s">
        <v>368</v>
      </c>
      <c r="W8187" t="str">
        <f>VLOOKUP(Table_Query_from_Actuarial___Production[[#This Row],[Kor1]],$AI$3:$AK$105,3,FALSE)</f>
        <v>Charge-offs</v>
      </c>
      <c r="X8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7"/>
      <c r="Z8187" t="s">
        <v>12</v>
      </c>
      <c r="AA8187" t="s">
        <v>235</v>
      </c>
      <c r="AB8187" t="s">
        <v>443</v>
      </c>
      <c r="AC8187" s="21">
        <v>325.89999999999998</v>
      </c>
      <c r="AD8187" s="21" t="s">
        <v>368</v>
      </c>
      <c r="AE8187" t="str">
        <f>VLOOKUP(Table_Query_from_Actuarial___Production3[[#This Row],[Kor1]],$AI$3:$AK$105,3,FALSE)</f>
        <v>Premium Tax</v>
      </c>
      <c r="AF8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8" spans="18:32" x14ac:dyDescent="0.2">
      <c r="R8188" t="s">
        <v>3</v>
      </c>
      <c r="S8188" t="s">
        <v>232</v>
      </c>
      <c r="T8188" t="s">
        <v>433</v>
      </c>
      <c r="U8188" s="21">
        <v>1327264</v>
      </c>
      <c r="V8188" s="21" t="s">
        <v>368</v>
      </c>
      <c r="W8188" t="str">
        <f>VLOOKUP(Table_Query_from_Actuarial___Production[[#This Row],[Kor1]],$AI$3:$AK$105,3,FALSE)</f>
        <v>Premiums Written</v>
      </c>
      <c r="X8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8"/>
      <c r="Z8188" t="s">
        <v>19</v>
      </c>
      <c r="AA8188" t="s">
        <v>265</v>
      </c>
      <c r="AB8188" t="s">
        <v>8</v>
      </c>
      <c r="AC8188" s="21">
        <v>1523</v>
      </c>
      <c r="AD8188" s="21" t="s">
        <v>368</v>
      </c>
      <c r="AE8188" t="str">
        <f>VLOOKUP(Table_Query_from_Actuarial___Production3[[#This Row],[Kor1]],$AI$3:$AK$105,3,FALSE)</f>
        <v>Misc. Expense for Insolvent Companies</v>
      </c>
      <c r="AF8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89" spans="18:32" x14ac:dyDescent="0.2">
      <c r="R8189" t="s">
        <v>14</v>
      </c>
      <c r="S8189" t="s">
        <v>262</v>
      </c>
      <c r="T8189" t="s">
        <v>8</v>
      </c>
      <c r="U8189" s="21">
        <v>7082.95</v>
      </c>
      <c r="V8189" s="21" t="s">
        <v>368</v>
      </c>
      <c r="W8189" t="str">
        <f>VLOOKUP(Table_Query_from_Actuarial___Production[[#This Row],[Kor1]],$AI$3:$AK$105,3,FALSE)</f>
        <v>Claims Expense</v>
      </c>
      <c r="X8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89"/>
      <c r="Z8189" t="s">
        <v>47</v>
      </c>
      <c r="AA8189" t="s">
        <v>229</v>
      </c>
      <c r="AB8189" t="s">
        <v>9</v>
      </c>
      <c r="AC8189" s="21">
        <v>148.26</v>
      </c>
      <c r="AD8189" s="21" t="s">
        <v>368</v>
      </c>
      <c r="AE8189" t="str">
        <f>VLOOKUP(Table_Query_from_Actuarial___Production3[[#This Row],[Kor1]],$AI$3:$AK$105,3,FALSE)</f>
        <v>Investment Income</v>
      </c>
      <c r="AF8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0" spans="18:32" x14ac:dyDescent="0.2">
      <c r="R8190" t="s">
        <v>34</v>
      </c>
      <c r="S8190" t="s">
        <v>252</v>
      </c>
      <c r="T8190" t="s">
        <v>443</v>
      </c>
      <c r="U8190" s="21">
        <v>166292.26</v>
      </c>
      <c r="V8190" s="21" t="s">
        <v>368</v>
      </c>
      <c r="W8190" t="str">
        <f>VLOOKUP(Table_Query_from_Actuarial___Production[[#This Row],[Kor1]],$AI$3:$AK$105,3,FALSE)</f>
        <v>Misc. Expense</v>
      </c>
      <c r="X8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0"/>
      <c r="Z8190" t="s">
        <v>3</v>
      </c>
      <c r="AA8190" t="s">
        <v>260</v>
      </c>
      <c r="AB8190" t="s">
        <v>5</v>
      </c>
      <c r="AC8190" s="21">
        <v>7135</v>
      </c>
      <c r="AD8190" s="21" t="s">
        <v>368</v>
      </c>
      <c r="AE8190" t="str">
        <f>VLOOKUP(Table_Query_from_Actuarial___Production3[[#This Row],[Kor1]],$AI$3:$AK$105,3,FALSE)</f>
        <v>Premiums Written</v>
      </c>
      <c r="AF8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1" spans="18:32" x14ac:dyDescent="0.2">
      <c r="R8191" t="s">
        <v>20</v>
      </c>
      <c r="S8191" t="s">
        <v>246</v>
      </c>
      <c r="T8191" t="s">
        <v>445</v>
      </c>
      <c r="U8191" s="21">
        <v>56.96</v>
      </c>
      <c r="V8191" s="21" t="s">
        <v>368</v>
      </c>
      <c r="W8191" t="str">
        <f>VLOOKUP(Table_Query_from_Actuarial___Production[[#This Row],[Kor1]],$AI$3:$AK$105,3,FALSE)</f>
        <v>Misc. Expense</v>
      </c>
      <c r="X8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1"/>
      <c r="Z8191" t="s">
        <v>39</v>
      </c>
      <c r="AA8191" t="s">
        <v>243</v>
      </c>
      <c r="AB8191" t="s">
        <v>9</v>
      </c>
      <c r="AC8191" s="21">
        <v>309</v>
      </c>
      <c r="AD8191" s="21" t="s">
        <v>368</v>
      </c>
      <c r="AE8191" t="str">
        <f>VLOOKUP(Table_Query_from_Actuarial___Production3[[#This Row],[Kor1]],$AI$3:$AK$105,3,FALSE)</f>
        <v>Misc. Income for Insolvent Companies</v>
      </c>
      <c r="AF8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2" spans="18:32" x14ac:dyDescent="0.2">
      <c r="R8192" t="s">
        <v>13</v>
      </c>
      <c r="S8192" t="s">
        <v>238</v>
      </c>
      <c r="T8192" t="s">
        <v>7</v>
      </c>
      <c r="U8192" s="21">
        <v>12742.97</v>
      </c>
      <c r="V8192" s="21" t="s">
        <v>368</v>
      </c>
      <c r="W8192" t="str">
        <f>VLOOKUP(Table_Query_from_Actuarial___Production[[#This Row],[Kor1]],$AI$3:$AK$105,3,FALSE)</f>
        <v>Operating Service Fees</v>
      </c>
      <c r="X8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2"/>
      <c r="Z8192" t="s">
        <v>3</v>
      </c>
      <c r="AA8192" t="s">
        <v>224</v>
      </c>
      <c r="AB8192" t="s">
        <v>8</v>
      </c>
      <c r="AC8192" s="21">
        <v>105432.88</v>
      </c>
      <c r="AD8192" s="21" t="s">
        <v>369</v>
      </c>
      <c r="AE8192" t="str">
        <f>VLOOKUP(Table_Query_from_Actuarial___Production3[[#This Row],[Kor1]],$AI$3:$AK$105,3,FALSE)</f>
        <v>Premiums Written</v>
      </c>
      <c r="AF8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193" spans="18:32" x14ac:dyDescent="0.2">
      <c r="R8193" t="s">
        <v>39</v>
      </c>
      <c r="S8193" t="s">
        <v>267</v>
      </c>
      <c r="T8193" t="s">
        <v>441</v>
      </c>
      <c r="U8193" s="21">
        <v>514.92999999999995</v>
      </c>
      <c r="V8193" s="21" t="s">
        <v>368</v>
      </c>
      <c r="W8193" t="str">
        <f>VLOOKUP(Table_Query_from_Actuarial___Production[[#This Row],[Kor1]],$AI$3:$AK$105,3,FALSE)</f>
        <v>Misc. Income for Insolvent Companies</v>
      </c>
      <c r="X8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3"/>
      <c r="Z8193" t="s">
        <v>13</v>
      </c>
      <c r="AA8193" t="s">
        <v>265</v>
      </c>
      <c r="AB8193" t="s">
        <v>442</v>
      </c>
      <c r="AC8193" s="21">
        <v>123365.37</v>
      </c>
      <c r="AD8193" s="21" t="s">
        <v>368</v>
      </c>
      <c r="AE8193" t="str">
        <f>VLOOKUP(Table_Query_from_Actuarial___Production3[[#This Row],[Kor1]],$AI$3:$AK$105,3,FALSE)</f>
        <v>Operating Service Fees</v>
      </c>
      <c r="AF8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4" spans="18:32" x14ac:dyDescent="0.2">
      <c r="R8194" t="s">
        <v>39</v>
      </c>
      <c r="S8194" t="s">
        <v>244</v>
      </c>
      <c r="T8194" t="s">
        <v>441</v>
      </c>
      <c r="U8194" s="21">
        <v>122.68</v>
      </c>
      <c r="V8194" s="21" t="s">
        <v>368</v>
      </c>
      <c r="W8194" t="str">
        <f>VLOOKUP(Table_Query_from_Actuarial___Production[[#This Row],[Kor1]],$AI$3:$AK$105,3,FALSE)</f>
        <v>Misc. Income for Insolvent Companies</v>
      </c>
      <c r="X8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4"/>
      <c r="Z8194" t="s">
        <v>17</v>
      </c>
      <c r="AA8194" t="s">
        <v>239</v>
      </c>
      <c r="AB8194" t="s">
        <v>441</v>
      </c>
      <c r="AC8194" s="21">
        <v>1406542.17</v>
      </c>
      <c r="AD8194" s="21" t="s">
        <v>368</v>
      </c>
      <c r="AE8194" t="str">
        <f>VLOOKUP(Table_Query_from_Actuarial___Production3[[#This Row],[Kor1]],$AI$3:$AK$105,3,FALSE)</f>
        <v>IBNR</v>
      </c>
      <c r="AF8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5" spans="18:32" x14ac:dyDescent="0.2">
      <c r="R8195" t="s">
        <v>13</v>
      </c>
      <c r="S8195" t="s">
        <v>4</v>
      </c>
      <c r="T8195" t="s">
        <v>442</v>
      </c>
      <c r="U8195" s="21">
        <v>9451113.4900000002</v>
      </c>
      <c r="V8195" s="21" t="s">
        <v>368</v>
      </c>
      <c r="W8195" t="str">
        <f>VLOOKUP(Table_Query_from_Actuarial___Production[[#This Row],[Kor1]],$AI$3:$AK$105,3,FALSE)</f>
        <v>Operating Service Fees</v>
      </c>
      <c r="X8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5"/>
      <c r="Z8195" t="s">
        <v>19</v>
      </c>
      <c r="AA8195" t="s">
        <v>264</v>
      </c>
      <c r="AB8195" t="s">
        <v>356</v>
      </c>
      <c r="AC8195" s="21">
        <v>3</v>
      </c>
      <c r="AD8195" s="21" t="s">
        <v>368</v>
      </c>
      <c r="AE8195" t="str">
        <f>VLOOKUP(Table_Query_from_Actuarial___Production3[[#This Row],[Kor1]],$AI$3:$AK$105,3,FALSE)</f>
        <v>Misc. Expense for Insolvent Companies</v>
      </c>
      <c r="AF8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6" spans="18:32" x14ac:dyDescent="0.2">
      <c r="R8196" t="s">
        <v>10</v>
      </c>
      <c r="S8196" t="s">
        <v>266</v>
      </c>
      <c r="T8196" t="s">
        <v>356</v>
      </c>
      <c r="U8196" s="21">
        <v>35353.599999999999</v>
      </c>
      <c r="V8196" s="21" t="s">
        <v>368</v>
      </c>
      <c r="W8196" t="str">
        <f>VLOOKUP(Table_Query_from_Actuarial___Production[[#This Row],[Kor1]],$AI$3:$AK$105,3,FALSE)</f>
        <v>Commissions</v>
      </c>
      <c r="X8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6"/>
      <c r="Z8196" t="s">
        <v>29</v>
      </c>
      <c r="AA8196" t="s">
        <v>238</v>
      </c>
      <c r="AB8196" t="s">
        <v>443</v>
      </c>
      <c r="AC8196" s="21">
        <v>426.3</v>
      </c>
      <c r="AD8196" s="21" t="s">
        <v>368</v>
      </c>
      <c r="AE8196" t="str">
        <f>VLOOKUP(Table_Query_from_Actuarial___Production3[[#This Row],[Kor1]],$AI$3:$AK$105,3,FALSE)</f>
        <v>Misc. Expense</v>
      </c>
      <c r="AF8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7" spans="18:32" x14ac:dyDescent="0.2">
      <c r="R8197" t="s">
        <v>15</v>
      </c>
      <c r="S8197" t="s">
        <v>231</v>
      </c>
      <c r="T8197" t="s">
        <v>445</v>
      </c>
      <c r="U8197" s="21">
        <v>989191.99</v>
      </c>
      <c r="V8197" s="21" t="s">
        <v>368</v>
      </c>
      <c r="W8197" t="str">
        <f>VLOOKUP(Table_Query_from_Actuarial___Production[[#This Row],[Kor1]],$AI$3:$AK$105,3,FALSE)</f>
        <v>Unearned Premiums</v>
      </c>
      <c r="X8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7"/>
      <c r="Z8197" t="s">
        <v>36</v>
      </c>
      <c r="AA8197" t="s">
        <v>250</v>
      </c>
      <c r="AB8197" t="s">
        <v>351</v>
      </c>
      <c r="AC8197" s="21">
        <v>2273.9899999999998</v>
      </c>
      <c r="AD8197" s="21" t="s">
        <v>368</v>
      </c>
      <c r="AE8197" t="str">
        <f>VLOOKUP(Table_Query_from_Actuarial___Production3[[#This Row],[Kor1]],$AI$3:$AK$105,3,FALSE)</f>
        <v>Misc. Expense</v>
      </c>
      <c r="AF8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8" spans="18:32" x14ac:dyDescent="0.2">
      <c r="R8198" t="s">
        <v>26</v>
      </c>
      <c r="S8198" t="s">
        <v>4</v>
      </c>
      <c r="T8198" t="s">
        <v>7</v>
      </c>
      <c r="U8198" s="21">
        <v>620.07000000000005</v>
      </c>
      <c r="V8198" s="21" t="s">
        <v>368</v>
      </c>
      <c r="W8198" t="str">
        <f>VLOOKUP(Table_Query_from_Actuarial___Production[[#This Row],[Kor1]],$AI$3:$AK$105,3,FALSE)</f>
        <v>Misc. Expense</v>
      </c>
      <c r="X8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8"/>
      <c r="Z8198" t="s">
        <v>16</v>
      </c>
      <c r="AA8198" t="s">
        <v>250</v>
      </c>
      <c r="AB8198" t="s">
        <v>356</v>
      </c>
      <c r="AC8198" s="21">
        <v>334651.55</v>
      </c>
      <c r="AD8198" s="21" t="s">
        <v>368</v>
      </c>
      <c r="AE8198" t="str">
        <f>VLOOKUP(Table_Query_from_Actuarial___Production3[[#This Row],[Kor1]],$AI$3:$AK$105,3,FALSE)</f>
        <v>Losses Outstanding</v>
      </c>
      <c r="AF8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199" spans="18:32" x14ac:dyDescent="0.2">
      <c r="R8199" t="s">
        <v>14</v>
      </c>
      <c r="S8199" t="s">
        <v>265</v>
      </c>
      <c r="T8199" t="s">
        <v>441</v>
      </c>
      <c r="U8199" s="21">
        <v>58654.33</v>
      </c>
      <c r="V8199" s="21" t="s">
        <v>368</v>
      </c>
      <c r="W8199" t="str">
        <f>VLOOKUP(Table_Query_from_Actuarial___Production[[#This Row],[Kor1]],$AI$3:$AK$105,3,FALSE)</f>
        <v>Claims Expense</v>
      </c>
      <c r="X8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199"/>
      <c r="Z8199" t="s">
        <v>17</v>
      </c>
      <c r="AA8199" t="s">
        <v>245</v>
      </c>
      <c r="AB8199" t="s">
        <v>427</v>
      </c>
      <c r="AC8199" s="21">
        <v>268.08</v>
      </c>
      <c r="AD8199" s="21" t="s">
        <v>368</v>
      </c>
      <c r="AE8199" t="str">
        <f>VLOOKUP(Table_Query_from_Actuarial___Production3[[#This Row],[Kor1]],$AI$3:$AK$105,3,FALSE)</f>
        <v>IBNR</v>
      </c>
      <c r="AF8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0" spans="18:32" x14ac:dyDescent="0.2">
      <c r="R8200" t="s">
        <v>10</v>
      </c>
      <c r="S8200" t="s">
        <v>234</v>
      </c>
      <c r="T8200" t="s">
        <v>7</v>
      </c>
      <c r="U8200" s="21">
        <v>55048.43</v>
      </c>
      <c r="V8200" s="21" t="s">
        <v>368</v>
      </c>
      <c r="W8200" t="str">
        <f>VLOOKUP(Table_Query_from_Actuarial___Production[[#This Row],[Kor1]],$AI$3:$AK$105,3,FALSE)</f>
        <v>Commissions</v>
      </c>
      <c r="X8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0"/>
      <c r="Z8200" t="s">
        <v>37</v>
      </c>
      <c r="AA8200" t="s">
        <v>257</v>
      </c>
      <c r="AB8200" t="s">
        <v>7</v>
      </c>
      <c r="AC8200" s="21">
        <v>4485.07</v>
      </c>
      <c r="AD8200" s="21" t="s">
        <v>368</v>
      </c>
      <c r="AE8200" t="str">
        <f>VLOOKUP(Table_Query_from_Actuarial___Production3[[#This Row],[Kor1]],$AI$3:$AK$105,3,FALSE)</f>
        <v>Misc. Expense</v>
      </c>
      <c r="AF8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1" spans="18:32" x14ac:dyDescent="0.2">
      <c r="R8201" t="s">
        <v>3</v>
      </c>
      <c r="S8201" t="s">
        <v>248</v>
      </c>
      <c r="T8201" t="s">
        <v>9</v>
      </c>
      <c r="U8201" s="21">
        <v>55117</v>
      </c>
      <c r="V8201" s="21" t="s">
        <v>368</v>
      </c>
      <c r="W8201" t="str">
        <f>VLOOKUP(Table_Query_from_Actuarial___Production[[#This Row],[Kor1]],$AI$3:$AK$105,3,FALSE)</f>
        <v>Premiums Written</v>
      </c>
      <c r="X8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1"/>
      <c r="Z8201" t="s">
        <v>11</v>
      </c>
      <c r="AA8201" t="s">
        <v>241</v>
      </c>
      <c r="AB8201" t="s">
        <v>427</v>
      </c>
      <c r="AC8201" s="21">
        <v>1782057.77</v>
      </c>
      <c r="AD8201" s="21" t="s">
        <v>368</v>
      </c>
      <c r="AE8201" t="str">
        <f>VLOOKUP(Table_Query_from_Actuarial___Production3[[#This Row],[Kor1]],$AI$3:$AK$105,3,FALSE)</f>
        <v>Losses Paid</v>
      </c>
      <c r="AF8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2" spans="18:32" x14ac:dyDescent="0.2">
      <c r="R8202" t="s">
        <v>10</v>
      </c>
      <c r="S8202" t="s">
        <v>258</v>
      </c>
      <c r="T8202" t="s">
        <v>7</v>
      </c>
      <c r="U8202" s="21">
        <v>152430.91</v>
      </c>
      <c r="V8202" s="21" t="s">
        <v>368</v>
      </c>
      <c r="W8202" t="str">
        <f>VLOOKUP(Table_Query_from_Actuarial___Production[[#This Row],[Kor1]],$AI$3:$AK$105,3,FALSE)</f>
        <v>Commissions</v>
      </c>
      <c r="X8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2"/>
      <c r="Z8202" t="s">
        <v>14</v>
      </c>
      <c r="AA8202" t="s">
        <v>254</v>
      </c>
      <c r="AB8202" t="s">
        <v>6</v>
      </c>
      <c r="AC8202" s="21">
        <v>109301.94</v>
      </c>
      <c r="AD8202" s="21" t="s">
        <v>368</v>
      </c>
      <c r="AE8202" t="str">
        <f>VLOOKUP(Table_Query_from_Actuarial___Production3[[#This Row],[Kor1]],$AI$3:$AK$105,3,FALSE)</f>
        <v>Claims Expense</v>
      </c>
      <c r="AF8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3" spans="18:32" x14ac:dyDescent="0.2">
      <c r="R8203" t="s">
        <v>40</v>
      </c>
      <c r="S8203" t="s">
        <v>228</v>
      </c>
      <c r="T8203" t="s">
        <v>8</v>
      </c>
      <c r="U8203" s="21">
        <v>1138</v>
      </c>
      <c r="V8203" s="21" t="s">
        <v>368</v>
      </c>
      <c r="W8203" t="str">
        <f>VLOOKUP(Table_Query_from_Actuarial___Production[[#This Row],[Kor1]],$AI$3:$AK$105,3,FALSE)</f>
        <v>Misc. Income</v>
      </c>
      <c r="X8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3"/>
      <c r="Z8203" t="s">
        <v>14</v>
      </c>
      <c r="AA8203" t="s">
        <v>264</v>
      </c>
      <c r="AB8203" t="s">
        <v>442</v>
      </c>
      <c r="AC8203" s="21">
        <v>243976.05</v>
      </c>
      <c r="AD8203" s="21" t="s">
        <v>368</v>
      </c>
      <c r="AE8203" t="str">
        <f>VLOOKUP(Table_Query_from_Actuarial___Production3[[#This Row],[Kor1]],$AI$3:$AK$105,3,FALSE)</f>
        <v>Claims Expense</v>
      </c>
      <c r="AF8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4" spans="18:32" x14ac:dyDescent="0.2">
      <c r="R8204" t="s">
        <v>18</v>
      </c>
      <c r="S8204" t="s">
        <v>354</v>
      </c>
      <c r="T8204" t="s">
        <v>356</v>
      </c>
      <c r="U8204" s="21">
        <v>605199.35999999999</v>
      </c>
      <c r="V8204" s="21" t="s">
        <v>368</v>
      </c>
      <c r="W8204" t="str">
        <f>VLOOKUP(Table_Query_from_Actuarial___Production[[#This Row],[Kor1]],$AI$3:$AK$105,3,FALSE)</f>
        <v>Misc. Expense</v>
      </c>
      <c r="X8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204"/>
      <c r="Z8204" t="s">
        <v>41</v>
      </c>
      <c r="AA8204" t="s">
        <v>256</v>
      </c>
      <c r="AB8204" t="s">
        <v>6</v>
      </c>
      <c r="AC8204" s="21">
        <v>200</v>
      </c>
      <c r="AD8204" s="21" t="s">
        <v>368</v>
      </c>
      <c r="AE8204" t="str">
        <f>VLOOKUP(Table_Query_from_Actuarial___Production3[[#This Row],[Kor1]],$AI$3:$AK$105,3,FALSE)</f>
        <v>Misc. Income</v>
      </c>
      <c r="AF8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5" spans="18:32" x14ac:dyDescent="0.2">
      <c r="R8205" t="s">
        <v>28</v>
      </c>
      <c r="S8205" t="s">
        <v>259</v>
      </c>
      <c r="T8205" t="s">
        <v>7</v>
      </c>
      <c r="U8205" s="21">
        <v>500.46</v>
      </c>
      <c r="V8205" s="21" t="s">
        <v>368</v>
      </c>
      <c r="W8205" t="str">
        <f>VLOOKUP(Table_Query_from_Actuarial___Production[[#This Row],[Kor1]],$AI$3:$AK$105,3,FALSE)</f>
        <v>Misc. Expense</v>
      </c>
      <c r="X8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5"/>
      <c r="Z8205" t="s">
        <v>43</v>
      </c>
      <c r="AA8205" t="s">
        <v>254</v>
      </c>
      <c r="AB8205" t="s">
        <v>441</v>
      </c>
      <c r="AC8205" s="21">
        <v>456.29</v>
      </c>
      <c r="AD8205" s="21" t="s">
        <v>368</v>
      </c>
      <c r="AE8205" t="str">
        <f>VLOOKUP(Table_Query_from_Actuarial___Production3[[#This Row],[Kor1]],$AI$3:$AK$105,3,FALSE)</f>
        <v>Charge-offs</v>
      </c>
      <c r="AF8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6" spans="18:32" x14ac:dyDescent="0.2">
      <c r="R8206" t="s">
        <v>47</v>
      </c>
      <c r="S8206" t="s">
        <v>245</v>
      </c>
      <c r="T8206" t="s">
        <v>351</v>
      </c>
      <c r="U8206" s="21">
        <v>232.12</v>
      </c>
      <c r="V8206" s="21" t="s">
        <v>368</v>
      </c>
      <c r="W8206" t="str">
        <f>VLOOKUP(Table_Query_from_Actuarial___Production[[#This Row],[Kor1]],$AI$3:$AK$105,3,FALSE)</f>
        <v>Investment Income</v>
      </c>
      <c r="X8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6"/>
      <c r="Z8206" t="s">
        <v>3</v>
      </c>
      <c r="AA8206" t="s">
        <v>232</v>
      </c>
      <c r="AB8206" t="s">
        <v>433</v>
      </c>
      <c r="AC8206" s="21">
        <v>1327264</v>
      </c>
      <c r="AD8206" s="21" t="s">
        <v>368</v>
      </c>
      <c r="AE8206" t="str">
        <f>VLOOKUP(Table_Query_from_Actuarial___Production3[[#This Row],[Kor1]],$AI$3:$AK$105,3,FALSE)</f>
        <v>Premiums Written</v>
      </c>
      <c r="AF8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7" spans="18:32" x14ac:dyDescent="0.2">
      <c r="R8207" t="s">
        <v>47</v>
      </c>
      <c r="S8207" t="s">
        <v>244</v>
      </c>
      <c r="T8207" t="s">
        <v>356</v>
      </c>
      <c r="U8207" s="21">
        <v>3888.83</v>
      </c>
      <c r="V8207" s="21" t="s">
        <v>368</v>
      </c>
      <c r="W8207" t="str">
        <f>VLOOKUP(Table_Query_from_Actuarial___Production[[#This Row],[Kor1]],$AI$3:$AK$105,3,FALSE)</f>
        <v>Investment Income</v>
      </c>
      <c r="X8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7"/>
      <c r="Z8207" t="s">
        <v>14</v>
      </c>
      <c r="AA8207" t="s">
        <v>262</v>
      </c>
      <c r="AB8207" t="s">
        <v>8</v>
      </c>
      <c r="AC8207" s="21">
        <v>7082.95</v>
      </c>
      <c r="AD8207" s="21" t="s">
        <v>368</v>
      </c>
      <c r="AE8207" t="str">
        <f>VLOOKUP(Table_Query_from_Actuarial___Production3[[#This Row],[Kor1]],$AI$3:$AK$105,3,FALSE)</f>
        <v>Claims Expense</v>
      </c>
      <c r="AF8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8" spans="18:32" x14ac:dyDescent="0.2">
      <c r="R8208" t="s">
        <v>12</v>
      </c>
      <c r="S8208" t="s">
        <v>246</v>
      </c>
      <c r="T8208" t="s">
        <v>356</v>
      </c>
      <c r="U8208" s="21">
        <v>36367.68</v>
      </c>
      <c r="V8208" s="21" t="s">
        <v>368</v>
      </c>
      <c r="W8208" t="str">
        <f>VLOOKUP(Table_Query_from_Actuarial___Production[[#This Row],[Kor1]],$AI$3:$AK$105,3,FALSE)</f>
        <v>Premium Tax</v>
      </c>
      <c r="X8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08"/>
      <c r="Z8208" t="s">
        <v>34</v>
      </c>
      <c r="AA8208" t="s">
        <v>252</v>
      </c>
      <c r="AB8208" t="s">
        <v>443</v>
      </c>
      <c r="AC8208" s="21">
        <v>43563.56</v>
      </c>
      <c r="AD8208" s="21" t="s">
        <v>368</v>
      </c>
      <c r="AE8208" t="str">
        <f>VLOOKUP(Table_Query_from_Actuarial___Production3[[#This Row],[Kor1]],$AI$3:$AK$105,3,FALSE)</f>
        <v>Misc. Expense</v>
      </c>
      <c r="AF8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09" spans="18:32" x14ac:dyDescent="0.2">
      <c r="R8209" t="s">
        <v>18</v>
      </c>
      <c r="S8209" t="s">
        <v>224</v>
      </c>
      <c r="T8209" t="s">
        <v>445</v>
      </c>
      <c r="U8209" s="21">
        <v>2035.68</v>
      </c>
      <c r="V8209" s="21" t="s">
        <v>425</v>
      </c>
      <c r="W8209" t="str">
        <f>VLOOKUP(Table_Query_from_Actuarial___Production[[#This Row],[Kor1]],$AI$3:$AK$105,3,FALSE)</f>
        <v>Misc. Expense</v>
      </c>
      <c r="X8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209"/>
      <c r="Z8209" t="s">
        <v>13</v>
      </c>
      <c r="AA8209" t="s">
        <v>238</v>
      </c>
      <c r="AB8209" t="s">
        <v>7</v>
      </c>
      <c r="AC8209" s="21">
        <v>12742.97</v>
      </c>
      <c r="AD8209" s="21" t="s">
        <v>368</v>
      </c>
      <c r="AE8209" t="str">
        <f>VLOOKUP(Table_Query_from_Actuarial___Production3[[#This Row],[Kor1]],$AI$3:$AK$105,3,FALSE)</f>
        <v>Operating Service Fees</v>
      </c>
      <c r="AF8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0" spans="18:32" x14ac:dyDescent="0.2">
      <c r="R8210" t="s">
        <v>12</v>
      </c>
      <c r="S8210" t="s">
        <v>232</v>
      </c>
      <c r="T8210" t="s">
        <v>6</v>
      </c>
      <c r="U8210" s="21">
        <v>22022.3</v>
      </c>
      <c r="V8210" s="21" t="s">
        <v>368</v>
      </c>
      <c r="W8210" t="str">
        <f>VLOOKUP(Table_Query_from_Actuarial___Production[[#This Row],[Kor1]],$AI$3:$AK$105,3,FALSE)</f>
        <v>Premium Tax</v>
      </c>
      <c r="X8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0"/>
      <c r="Z8210" t="s">
        <v>39</v>
      </c>
      <c r="AA8210" t="s">
        <v>267</v>
      </c>
      <c r="AB8210" t="s">
        <v>441</v>
      </c>
      <c r="AC8210" s="21">
        <v>432.93</v>
      </c>
      <c r="AD8210" s="21" t="s">
        <v>368</v>
      </c>
      <c r="AE8210" t="str">
        <f>VLOOKUP(Table_Query_from_Actuarial___Production3[[#This Row],[Kor1]],$AI$3:$AK$105,3,FALSE)</f>
        <v>Misc. Income for Insolvent Companies</v>
      </c>
      <c r="AF8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1" spans="18:32" x14ac:dyDescent="0.2">
      <c r="R8211" t="s">
        <v>31</v>
      </c>
      <c r="S8211" t="s">
        <v>227</v>
      </c>
      <c r="T8211" t="s">
        <v>427</v>
      </c>
      <c r="U8211" s="21">
        <v>656.39</v>
      </c>
      <c r="V8211" s="21" t="s">
        <v>368</v>
      </c>
      <c r="W8211" t="str">
        <f>VLOOKUP(Table_Query_from_Actuarial___Production[[#This Row],[Kor1]],$AI$3:$AK$105,3,FALSE)</f>
        <v>Misc. Expense</v>
      </c>
      <c r="X8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1"/>
      <c r="Z8211" t="s">
        <v>39</v>
      </c>
      <c r="AA8211" t="s">
        <v>244</v>
      </c>
      <c r="AB8211" t="s">
        <v>441</v>
      </c>
      <c r="AC8211" s="21">
        <v>122.68</v>
      </c>
      <c r="AD8211" s="21" t="s">
        <v>368</v>
      </c>
      <c r="AE8211" t="str">
        <f>VLOOKUP(Table_Query_from_Actuarial___Production3[[#This Row],[Kor1]],$AI$3:$AK$105,3,FALSE)</f>
        <v>Misc. Income for Insolvent Companies</v>
      </c>
      <c r="AF8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2" spans="18:32" x14ac:dyDescent="0.2">
      <c r="R8212" t="s">
        <v>3</v>
      </c>
      <c r="S8212" t="s">
        <v>354</v>
      </c>
      <c r="T8212" t="s">
        <v>6</v>
      </c>
      <c r="U8212" s="21">
        <v>54997359.100000001</v>
      </c>
      <c r="V8212" s="21" t="s">
        <v>368</v>
      </c>
      <c r="W8212" t="str">
        <f>VLOOKUP(Table_Query_from_Actuarial___Production[[#This Row],[Kor1]],$AI$3:$AK$105,3,FALSE)</f>
        <v>Premiums Written</v>
      </c>
      <c r="X8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212"/>
      <c r="Z8212" t="s">
        <v>48</v>
      </c>
      <c r="AA8212" t="s">
        <v>266</v>
      </c>
      <c r="AB8212" t="s">
        <v>427</v>
      </c>
      <c r="AC8212" s="21">
        <v>348.88</v>
      </c>
      <c r="AD8212" s="21" t="s">
        <v>368</v>
      </c>
      <c r="AE8212" t="str">
        <f>VLOOKUP(Table_Query_from_Actuarial___Production3[[#This Row],[Kor1]],$AI$3:$AK$105,3,FALSE)</f>
        <v>Anticipated Salvage</v>
      </c>
      <c r="AF8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3" spans="18:32" x14ac:dyDescent="0.2">
      <c r="R8213" t="s">
        <v>12</v>
      </c>
      <c r="S8213" t="s">
        <v>235</v>
      </c>
      <c r="T8213" t="s">
        <v>427</v>
      </c>
      <c r="U8213" s="21">
        <v>31673.119999999999</v>
      </c>
      <c r="V8213" s="21" t="s">
        <v>368</v>
      </c>
      <c r="W8213" t="str">
        <f>VLOOKUP(Table_Query_from_Actuarial___Production[[#This Row],[Kor1]],$AI$3:$AK$105,3,FALSE)</f>
        <v>Premium Tax</v>
      </c>
      <c r="X8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3"/>
      <c r="Z8213" t="s">
        <v>13</v>
      </c>
      <c r="AA8213" t="s">
        <v>4</v>
      </c>
      <c r="AB8213" t="s">
        <v>442</v>
      </c>
      <c r="AC8213" s="21">
        <v>9424024.2400000002</v>
      </c>
      <c r="AD8213" s="21" t="s">
        <v>368</v>
      </c>
      <c r="AE8213" t="str">
        <f>VLOOKUP(Table_Query_from_Actuarial___Production3[[#This Row],[Kor1]],$AI$3:$AK$105,3,FALSE)</f>
        <v>Operating Service Fees</v>
      </c>
      <c r="AF8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4" spans="18:32" x14ac:dyDescent="0.2">
      <c r="R8214" t="s">
        <v>14</v>
      </c>
      <c r="S8214" t="s">
        <v>255</v>
      </c>
      <c r="T8214" t="s">
        <v>441</v>
      </c>
      <c r="U8214" s="21">
        <v>28101.38</v>
      </c>
      <c r="V8214" s="21" t="s">
        <v>368</v>
      </c>
      <c r="W8214" t="str">
        <f>VLOOKUP(Table_Query_from_Actuarial___Production[[#This Row],[Kor1]],$AI$3:$AK$105,3,FALSE)</f>
        <v>Claims Expense</v>
      </c>
      <c r="X8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4"/>
      <c r="Z8214" t="s">
        <v>10</v>
      </c>
      <c r="AA8214" t="s">
        <v>266</v>
      </c>
      <c r="AB8214" t="s">
        <v>356</v>
      </c>
      <c r="AC8214" s="21">
        <v>35353.599999999999</v>
      </c>
      <c r="AD8214" s="21" t="s">
        <v>368</v>
      </c>
      <c r="AE8214" t="str">
        <f>VLOOKUP(Table_Query_from_Actuarial___Production3[[#This Row],[Kor1]],$AI$3:$AK$105,3,FALSE)</f>
        <v>Commissions</v>
      </c>
      <c r="AF8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5" spans="18:32" x14ac:dyDescent="0.2">
      <c r="R8215" t="s">
        <v>21</v>
      </c>
      <c r="S8215" t="s">
        <v>231</v>
      </c>
      <c r="T8215" t="s">
        <v>441</v>
      </c>
      <c r="U8215" s="21">
        <v>4362.26</v>
      </c>
      <c r="V8215" s="21" t="s">
        <v>368</v>
      </c>
      <c r="W8215" t="str">
        <f>VLOOKUP(Table_Query_from_Actuarial___Production[[#This Row],[Kor1]],$AI$3:$AK$105,3,FALSE)</f>
        <v>Misc. Expense</v>
      </c>
      <c r="X8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5"/>
      <c r="Z8215" t="s">
        <v>26</v>
      </c>
      <c r="AA8215" t="s">
        <v>4</v>
      </c>
      <c r="AB8215" t="s">
        <v>7</v>
      </c>
      <c r="AC8215" s="21">
        <v>620.07000000000005</v>
      </c>
      <c r="AD8215" s="21" t="s">
        <v>368</v>
      </c>
      <c r="AE8215" t="str">
        <f>VLOOKUP(Table_Query_from_Actuarial___Production3[[#This Row],[Kor1]],$AI$3:$AK$105,3,FALSE)</f>
        <v>Misc. Expense</v>
      </c>
      <c r="AF8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6" spans="18:32" x14ac:dyDescent="0.2">
      <c r="R8216" t="s">
        <v>34</v>
      </c>
      <c r="S8216" t="s">
        <v>4</v>
      </c>
      <c r="T8216" t="s">
        <v>433</v>
      </c>
      <c r="U8216" s="21">
        <v>1833.58</v>
      </c>
      <c r="V8216" s="21" t="s">
        <v>368</v>
      </c>
      <c r="W8216" t="str">
        <f>VLOOKUP(Table_Query_from_Actuarial___Production[[#This Row],[Kor1]],$AI$3:$AK$105,3,FALSE)</f>
        <v>Misc. Expense</v>
      </c>
      <c r="X8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6"/>
      <c r="Z8216" t="s">
        <v>14</v>
      </c>
      <c r="AA8216" t="s">
        <v>265</v>
      </c>
      <c r="AB8216" t="s">
        <v>441</v>
      </c>
      <c r="AC8216" s="21">
        <v>58654.33</v>
      </c>
      <c r="AD8216" s="21" t="s">
        <v>368</v>
      </c>
      <c r="AE8216" t="str">
        <f>VLOOKUP(Table_Query_from_Actuarial___Production3[[#This Row],[Kor1]],$AI$3:$AK$105,3,FALSE)</f>
        <v>Claims Expense</v>
      </c>
      <c r="AF8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7" spans="18:32" x14ac:dyDescent="0.2">
      <c r="R8217" t="s">
        <v>41</v>
      </c>
      <c r="S8217" t="s">
        <v>249</v>
      </c>
      <c r="T8217" t="s">
        <v>7</v>
      </c>
      <c r="U8217" s="21">
        <v>649.99</v>
      </c>
      <c r="V8217" s="21" t="s">
        <v>368</v>
      </c>
      <c r="W8217" t="str">
        <f>VLOOKUP(Table_Query_from_Actuarial___Production[[#This Row],[Kor1]],$AI$3:$AK$105,3,FALSE)</f>
        <v>Misc. Income</v>
      </c>
      <c r="X8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7"/>
      <c r="Z8217" t="s">
        <v>10</v>
      </c>
      <c r="AA8217" t="s">
        <v>234</v>
      </c>
      <c r="AB8217" t="s">
        <v>7</v>
      </c>
      <c r="AC8217" s="21">
        <v>55048.43</v>
      </c>
      <c r="AD8217" s="21" t="s">
        <v>368</v>
      </c>
      <c r="AE8217" t="str">
        <f>VLOOKUP(Table_Query_from_Actuarial___Production3[[#This Row],[Kor1]],$AI$3:$AK$105,3,FALSE)</f>
        <v>Commissions</v>
      </c>
      <c r="AF8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8" spans="18:32" x14ac:dyDescent="0.2">
      <c r="R8218" t="s">
        <v>17</v>
      </c>
      <c r="S8218" t="s">
        <v>249</v>
      </c>
      <c r="T8218" t="s">
        <v>442</v>
      </c>
      <c r="U8218" s="21">
        <v>101031</v>
      </c>
      <c r="V8218" s="21" t="s">
        <v>368</v>
      </c>
      <c r="W8218" t="str">
        <f>VLOOKUP(Table_Query_from_Actuarial___Production[[#This Row],[Kor1]],$AI$3:$AK$105,3,FALSE)</f>
        <v>IBNR</v>
      </c>
      <c r="X8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18"/>
      <c r="Z8218" t="s">
        <v>3</v>
      </c>
      <c r="AA8218" t="s">
        <v>248</v>
      </c>
      <c r="AB8218" t="s">
        <v>9</v>
      </c>
      <c r="AC8218" s="21">
        <v>55117</v>
      </c>
      <c r="AD8218" s="21" t="s">
        <v>368</v>
      </c>
      <c r="AE8218" t="str">
        <f>VLOOKUP(Table_Query_from_Actuarial___Production3[[#This Row],[Kor1]],$AI$3:$AK$105,3,FALSE)</f>
        <v>Premiums Written</v>
      </c>
      <c r="AF8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19" spans="18:32" x14ac:dyDescent="0.2">
      <c r="R8219" t="s">
        <v>11</v>
      </c>
      <c r="S8219" t="s">
        <v>352</v>
      </c>
      <c r="T8219" t="s">
        <v>356</v>
      </c>
      <c r="U8219" s="21">
        <v>115779.77</v>
      </c>
      <c r="V8219" s="21" t="s">
        <v>369</v>
      </c>
      <c r="W8219" t="str">
        <f>VLOOKUP(Table_Query_from_Actuarial___Production[[#This Row],[Kor1]],$AI$3:$AK$105,3,FALSE)</f>
        <v>Losses Paid</v>
      </c>
      <c r="X8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219"/>
      <c r="Z8219" t="s">
        <v>10</v>
      </c>
      <c r="AA8219" t="s">
        <v>258</v>
      </c>
      <c r="AB8219" t="s">
        <v>7</v>
      </c>
      <c r="AC8219" s="21">
        <v>152430.91</v>
      </c>
      <c r="AD8219" s="21" t="s">
        <v>368</v>
      </c>
      <c r="AE8219" t="str">
        <f>VLOOKUP(Table_Query_from_Actuarial___Production3[[#This Row],[Kor1]],$AI$3:$AK$105,3,FALSE)</f>
        <v>Commissions</v>
      </c>
      <c r="AF8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0" spans="18:32" x14ac:dyDescent="0.2">
      <c r="R8220" t="s">
        <v>27</v>
      </c>
      <c r="S8220" t="s">
        <v>250</v>
      </c>
      <c r="T8220" t="s">
        <v>351</v>
      </c>
      <c r="U8220" s="21">
        <v>-0.09</v>
      </c>
      <c r="V8220" s="21" t="s">
        <v>368</v>
      </c>
      <c r="W8220" t="str">
        <f>VLOOKUP(Table_Query_from_Actuarial___Production[[#This Row],[Kor1]],$AI$3:$AK$105,3,FALSE)</f>
        <v>Misc. Expense</v>
      </c>
      <c r="X8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0"/>
      <c r="Z8220" t="s">
        <v>40</v>
      </c>
      <c r="AA8220" t="s">
        <v>228</v>
      </c>
      <c r="AB8220" t="s">
        <v>8</v>
      </c>
      <c r="AC8220" s="21">
        <v>1138</v>
      </c>
      <c r="AD8220" s="21" t="s">
        <v>368</v>
      </c>
      <c r="AE8220" t="str">
        <f>VLOOKUP(Table_Query_from_Actuarial___Production3[[#This Row],[Kor1]],$AI$3:$AK$105,3,FALSE)</f>
        <v>Misc. Income</v>
      </c>
      <c r="AF8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1" spans="18:32" x14ac:dyDescent="0.2">
      <c r="R8221" t="s">
        <v>31</v>
      </c>
      <c r="S8221" t="s">
        <v>244</v>
      </c>
      <c r="T8221" t="s">
        <v>351</v>
      </c>
      <c r="U8221" s="21">
        <v>520.20000000000005</v>
      </c>
      <c r="V8221" s="21" t="s">
        <v>368</v>
      </c>
      <c r="W8221" t="str">
        <f>VLOOKUP(Table_Query_from_Actuarial___Production[[#This Row],[Kor1]],$AI$3:$AK$105,3,FALSE)</f>
        <v>Misc. Expense</v>
      </c>
      <c r="X8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1"/>
      <c r="Z8221" t="s">
        <v>18</v>
      </c>
      <c r="AA8221" t="s">
        <v>354</v>
      </c>
      <c r="AB8221" t="s">
        <v>356</v>
      </c>
      <c r="AC8221" s="21">
        <v>605199.35999999999</v>
      </c>
      <c r="AD8221" s="21" t="s">
        <v>368</v>
      </c>
      <c r="AE8221" t="str">
        <f>VLOOKUP(Table_Query_from_Actuarial___Production3[[#This Row],[Kor1]],$AI$3:$AK$105,3,FALSE)</f>
        <v>Misc. Expense</v>
      </c>
      <c r="AF8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222" spans="18:32" x14ac:dyDescent="0.2">
      <c r="R8222" t="s">
        <v>33</v>
      </c>
      <c r="S8222" t="s">
        <v>257</v>
      </c>
      <c r="T8222" t="s">
        <v>441</v>
      </c>
      <c r="U8222" s="21">
        <v>17335.830000000002</v>
      </c>
      <c r="V8222" s="21" t="s">
        <v>368</v>
      </c>
      <c r="W8222" t="str">
        <f>VLOOKUP(Table_Query_from_Actuarial___Production[[#This Row],[Kor1]],$AI$3:$AK$105,3,FALSE)</f>
        <v>Misc. Expense</v>
      </c>
      <c r="X8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2"/>
      <c r="Z8222" t="s">
        <v>28</v>
      </c>
      <c r="AA8222" t="s">
        <v>259</v>
      </c>
      <c r="AB8222" t="s">
        <v>7</v>
      </c>
      <c r="AC8222" s="21">
        <v>500.46</v>
      </c>
      <c r="AD8222" s="21" t="s">
        <v>368</v>
      </c>
      <c r="AE8222" t="str">
        <f>VLOOKUP(Table_Query_from_Actuarial___Production3[[#This Row],[Kor1]],$AI$3:$AK$105,3,FALSE)</f>
        <v>Misc. Expense</v>
      </c>
      <c r="AF8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3" spans="18:32" x14ac:dyDescent="0.2">
      <c r="R8223" t="s">
        <v>13</v>
      </c>
      <c r="S8223" t="s">
        <v>352</v>
      </c>
      <c r="T8223" t="s">
        <v>6</v>
      </c>
      <c r="U8223" s="21">
        <v>2145.3000000000002</v>
      </c>
      <c r="V8223" s="21" t="s">
        <v>368</v>
      </c>
      <c r="W8223" t="str">
        <f>VLOOKUP(Table_Query_from_Actuarial___Production[[#This Row],[Kor1]],$AI$3:$AK$105,3,FALSE)</f>
        <v>Operating Service Fees</v>
      </c>
      <c r="X8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223"/>
      <c r="Z8223" t="s">
        <v>47</v>
      </c>
      <c r="AA8223" t="s">
        <v>245</v>
      </c>
      <c r="AB8223" t="s">
        <v>351</v>
      </c>
      <c r="AC8223" s="21">
        <v>232.12</v>
      </c>
      <c r="AD8223" s="21" t="s">
        <v>368</v>
      </c>
      <c r="AE8223" t="str">
        <f>VLOOKUP(Table_Query_from_Actuarial___Production3[[#This Row],[Kor1]],$AI$3:$AK$105,3,FALSE)</f>
        <v>Investment Income</v>
      </c>
      <c r="AF8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4" spans="18:32" x14ac:dyDescent="0.2">
      <c r="R8224" t="s">
        <v>43</v>
      </c>
      <c r="S8224" t="s">
        <v>226</v>
      </c>
      <c r="T8224" t="s">
        <v>9</v>
      </c>
      <c r="U8224" s="21">
        <v>-728.25</v>
      </c>
      <c r="V8224" s="21" t="s">
        <v>368</v>
      </c>
      <c r="W8224" t="str">
        <f>VLOOKUP(Table_Query_from_Actuarial___Production[[#This Row],[Kor1]],$AI$3:$AK$105,3,FALSE)</f>
        <v>Charge-offs</v>
      </c>
      <c r="X8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224"/>
      <c r="Z8224" t="s">
        <v>47</v>
      </c>
      <c r="AA8224" t="s">
        <v>244</v>
      </c>
      <c r="AB8224" t="s">
        <v>356</v>
      </c>
      <c r="AC8224" s="21">
        <v>3888.83</v>
      </c>
      <c r="AD8224" s="21" t="s">
        <v>368</v>
      </c>
      <c r="AE8224" t="str">
        <f>VLOOKUP(Table_Query_from_Actuarial___Production3[[#This Row],[Kor1]],$AI$3:$AK$105,3,FALSE)</f>
        <v>Investment Income</v>
      </c>
      <c r="AF8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5" spans="18:32" x14ac:dyDescent="0.2">
      <c r="R8225" t="s">
        <v>44</v>
      </c>
      <c r="S8225" t="s">
        <v>232</v>
      </c>
      <c r="T8225" t="s">
        <v>427</v>
      </c>
      <c r="U8225" s="21">
        <v>73827.3</v>
      </c>
      <c r="V8225" s="21" t="s">
        <v>368</v>
      </c>
      <c r="W8225" t="str">
        <f>VLOOKUP(Table_Query_from_Actuarial___Production[[#This Row],[Kor1]],$AI$3:$AK$105,3,FALSE)</f>
        <v>Charge-offs</v>
      </c>
      <c r="X8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5"/>
      <c r="Z8225" t="s">
        <v>12</v>
      </c>
      <c r="AA8225" t="s">
        <v>246</v>
      </c>
      <c r="AB8225" t="s">
        <v>356</v>
      </c>
      <c r="AC8225" s="21">
        <v>36367.68</v>
      </c>
      <c r="AD8225" s="21" t="s">
        <v>368</v>
      </c>
      <c r="AE8225" t="str">
        <f>VLOOKUP(Table_Query_from_Actuarial___Production3[[#This Row],[Kor1]],$AI$3:$AK$105,3,FALSE)</f>
        <v>Premium Tax</v>
      </c>
      <c r="AF8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6" spans="18:32" x14ac:dyDescent="0.2">
      <c r="R8226" t="s">
        <v>47</v>
      </c>
      <c r="S8226" t="s">
        <v>249</v>
      </c>
      <c r="T8226" t="s">
        <v>441</v>
      </c>
      <c r="U8226" s="21">
        <v>27.13</v>
      </c>
      <c r="V8226" s="21" t="s">
        <v>368</v>
      </c>
      <c r="W8226" t="str">
        <f>VLOOKUP(Table_Query_from_Actuarial___Production[[#This Row],[Kor1]],$AI$3:$AK$105,3,FALSE)</f>
        <v>Investment Income</v>
      </c>
      <c r="X8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6"/>
      <c r="Z8226" t="s">
        <v>12</v>
      </c>
      <c r="AA8226" t="s">
        <v>232</v>
      </c>
      <c r="AB8226" t="s">
        <v>6</v>
      </c>
      <c r="AC8226" s="21">
        <v>22022.3</v>
      </c>
      <c r="AD8226" s="21" t="s">
        <v>368</v>
      </c>
      <c r="AE8226" t="str">
        <f>VLOOKUP(Table_Query_from_Actuarial___Production3[[#This Row],[Kor1]],$AI$3:$AK$105,3,FALSE)</f>
        <v>Premium Tax</v>
      </c>
      <c r="AF8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7" spans="18:32" x14ac:dyDescent="0.2">
      <c r="R8227" t="s">
        <v>49</v>
      </c>
      <c r="S8227" t="s">
        <v>252</v>
      </c>
      <c r="T8227" t="s">
        <v>6</v>
      </c>
      <c r="U8227" s="21">
        <v>1127447.44</v>
      </c>
      <c r="V8227" s="21" t="s">
        <v>368</v>
      </c>
      <c r="W8227" t="str">
        <f>VLOOKUP(Table_Query_from_Actuarial___Production[[#This Row],[Kor1]],$AI$3:$AK$105,3,FALSE)</f>
        <v>ALAE Paid</v>
      </c>
      <c r="X8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7"/>
      <c r="Z8227" t="s">
        <v>31</v>
      </c>
      <c r="AA8227" t="s">
        <v>227</v>
      </c>
      <c r="AB8227" t="s">
        <v>427</v>
      </c>
      <c r="AC8227" s="21">
        <v>656.39</v>
      </c>
      <c r="AD8227" s="21" t="s">
        <v>368</v>
      </c>
      <c r="AE8227" t="str">
        <f>VLOOKUP(Table_Query_from_Actuarial___Production3[[#This Row],[Kor1]],$AI$3:$AK$105,3,FALSE)</f>
        <v>Misc. Expense</v>
      </c>
      <c r="AF8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28" spans="18:32" x14ac:dyDescent="0.2">
      <c r="R8228" t="s">
        <v>16</v>
      </c>
      <c r="S8228" t="s">
        <v>354</v>
      </c>
      <c r="T8228" t="s">
        <v>6</v>
      </c>
      <c r="U8228" s="21">
        <v>6079</v>
      </c>
      <c r="V8228" s="21" t="s">
        <v>368</v>
      </c>
      <c r="W8228" t="str">
        <f>VLOOKUP(Table_Query_from_Actuarial___Production[[#This Row],[Kor1]],$AI$3:$AK$105,3,FALSE)</f>
        <v>Losses Outstanding</v>
      </c>
      <c r="X8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228"/>
      <c r="Z8228" t="s">
        <v>3</v>
      </c>
      <c r="AA8228" t="s">
        <v>354</v>
      </c>
      <c r="AB8228" t="s">
        <v>6</v>
      </c>
      <c r="AC8228" s="21">
        <v>54997359.850000001</v>
      </c>
      <c r="AD8228" s="21" t="s">
        <v>368</v>
      </c>
      <c r="AE8228" t="str">
        <f>VLOOKUP(Table_Query_from_Actuarial___Production3[[#This Row],[Kor1]],$AI$3:$AK$105,3,FALSE)</f>
        <v>Premiums Written</v>
      </c>
      <c r="AF8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229" spans="18:32" x14ac:dyDescent="0.2">
      <c r="R8229" t="s">
        <v>41</v>
      </c>
      <c r="S8229" t="s">
        <v>234</v>
      </c>
      <c r="T8229" t="s">
        <v>443</v>
      </c>
      <c r="U8229" s="21">
        <v>100.02</v>
      </c>
      <c r="V8229" s="21" t="s">
        <v>368</v>
      </c>
      <c r="W8229" t="str">
        <f>VLOOKUP(Table_Query_from_Actuarial___Production[[#This Row],[Kor1]],$AI$3:$AK$105,3,FALSE)</f>
        <v>Misc. Income</v>
      </c>
      <c r="X8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29"/>
      <c r="Z8229" t="s">
        <v>12</v>
      </c>
      <c r="AA8229" t="s">
        <v>235</v>
      </c>
      <c r="AB8229" t="s">
        <v>427</v>
      </c>
      <c r="AC8229" s="21">
        <v>31673.119999999999</v>
      </c>
      <c r="AD8229" s="21" t="s">
        <v>368</v>
      </c>
      <c r="AE8229" t="str">
        <f>VLOOKUP(Table_Query_from_Actuarial___Production3[[#This Row],[Kor1]],$AI$3:$AK$105,3,FALSE)</f>
        <v>Premium Tax</v>
      </c>
      <c r="AF8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0" spans="18:32" x14ac:dyDescent="0.2">
      <c r="R8230" t="s">
        <v>41</v>
      </c>
      <c r="S8230" t="s">
        <v>253</v>
      </c>
      <c r="T8230" t="s">
        <v>7</v>
      </c>
      <c r="U8230" s="21">
        <v>150</v>
      </c>
      <c r="V8230" s="21" t="s">
        <v>368</v>
      </c>
      <c r="W8230" t="str">
        <f>VLOOKUP(Table_Query_from_Actuarial___Production[[#This Row],[Kor1]],$AI$3:$AK$105,3,FALSE)</f>
        <v>Misc. Income</v>
      </c>
      <c r="X8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0"/>
      <c r="Z8230" t="s">
        <v>14</v>
      </c>
      <c r="AA8230" t="s">
        <v>255</v>
      </c>
      <c r="AB8230" t="s">
        <v>441</v>
      </c>
      <c r="AC8230" s="21">
        <v>28368.69</v>
      </c>
      <c r="AD8230" s="21" t="s">
        <v>368</v>
      </c>
      <c r="AE8230" t="str">
        <f>VLOOKUP(Table_Query_from_Actuarial___Production3[[#This Row],[Kor1]],$AI$3:$AK$105,3,FALSE)</f>
        <v>Claims Expense</v>
      </c>
      <c r="AF8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1" spans="18:32" x14ac:dyDescent="0.2">
      <c r="R8231" t="s">
        <v>49</v>
      </c>
      <c r="S8231" t="s">
        <v>244</v>
      </c>
      <c r="T8231" t="s">
        <v>6</v>
      </c>
      <c r="U8231" s="21">
        <v>44204.34</v>
      </c>
      <c r="V8231" s="21" t="s">
        <v>368</v>
      </c>
      <c r="W8231" t="str">
        <f>VLOOKUP(Table_Query_from_Actuarial___Production[[#This Row],[Kor1]],$AI$3:$AK$105,3,FALSE)</f>
        <v>ALAE Paid</v>
      </c>
      <c r="X8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1"/>
      <c r="Z8231" t="s">
        <v>21</v>
      </c>
      <c r="AA8231" t="s">
        <v>231</v>
      </c>
      <c r="AB8231" t="s">
        <v>441</v>
      </c>
      <c r="AC8231" s="21">
        <v>4362.26</v>
      </c>
      <c r="AD8231" s="21" t="s">
        <v>368</v>
      </c>
      <c r="AE8231" t="str">
        <f>VLOOKUP(Table_Query_from_Actuarial___Production3[[#This Row],[Kor1]],$AI$3:$AK$105,3,FALSE)</f>
        <v>Misc. Expense</v>
      </c>
      <c r="AF8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2" spans="18:32" x14ac:dyDescent="0.2">
      <c r="R8232" t="s">
        <v>10</v>
      </c>
      <c r="S8232" t="s">
        <v>224</v>
      </c>
      <c r="T8232" t="s">
        <v>351</v>
      </c>
      <c r="U8232" s="21">
        <v>2285.5100000000002</v>
      </c>
      <c r="V8232" s="21" t="s">
        <v>425</v>
      </c>
      <c r="W8232" t="str">
        <f>VLOOKUP(Table_Query_from_Actuarial___Production[[#This Row],[Kor1]],$AI$3:$AK$105,3,FALSE)</f>
        <v>Commissions</v>
      </c>
      <c r="X8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232"/>
      <c r="Z8232" t="s">
        <v>34</v>
      </c>
      <c r="AA8232" t="s">
        <v>4</v>
      </c>
      <c r="AB8232" t="s">
        <v>433</v>
      </c>
      <c r="AC8232" s="21">
        <v>1829.84</v>
      </c>
      <c r="AD8232" s="21" t="s">
        <v>368</v>
      </c>
      <c r="AE8232" t="str">
        <f>VLOOKUP(Table_Query_from_Actuarial___Production3[[#This Row],[Kor1]],$AI$3:$AK$105,3,FALSE)</f>
        <v>Misc. Expense</v>
      </c>
      <c r="AF8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3" spans="18:32" x14ac:dyDescent="0.2">
      <c r="R8233" t="s">
        <v>17</v>
      </c>
      <c r="S8233" t="s">
        <v>261</v>
      </c>
      <c r="T8233" t="s">
        <v>445</v>
      </c>
      <c r="U8233" s="21">
        <v>57837.2</v>
      </c>
      <c r="V8233" s="21" t="s">
        <v>368</v>
      </c>
      <c r="W8233" t="str">
        <f>VLOOKUP(Table_Query_from_Actuarial___Production[[#This Row],[Kor1]],$AI$3:$AK$105,3,FALSE)</f>
        <v>IBNR</v>
      </c>
      <c r="X8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3"/>
      <c r="Z8233" t="s">
        <v>41</v>
      </c>
      <c r="AA8233" t="s">
        <v>249</v>
      </c>
      <c r="AB8233" t="s">
        <v>7</v>
      </c>
      <c r="AC8233" s="21">
        <v>649.99</v>
      </c>
      <c r="AD8233" s="21" t="s">
        <v>368</v>
      </c>
      <c r="AE8233" t="str">
        <f>VLOOKUP(Table_Query_from_Actuarial___Production3[[#This Row],[Kor1]],$AI$3:$AK$105,3,FALSE)</f>
        <v>Misc. Income</v>
      </c>
      <c r="AF8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4" spans="18:32" x14ac:dyDescent="0.2">
      <c r="R8234" t="s">
        <v>39</v>
      </c>
      <c r="S8234" t="s">
        <v>263</v>
      </c>
      <c r="T8234" t="s">
        <v>427</v>
      </c>
      <c r="U8234" s="21">
        <v>97.95</v>
      </c>
      <c r="V8234" s="21" t="s">
        <v>368</v>
      </c>
      <c r="W8234" t="str">
        <f>VLOOKUP(Table_Query_from_Actuarial___Production[[#This Row],[Kor1]],$AI$3:$AK$105,3,FALSE)</f>
        <v>Misc. Income for Insolvent Companies</v>
      </c>
      <c r="X8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4"/>
      <c r="Z8234" t="s">
        <v>17</v>
      </c>
      <c r="AA8234" t="s">
        <v>249</v>
      </c>
      <c r="AB8234" t="s">
        <v>442</v>
      </c>
      <c r="AC8234" s="21">
        <v>138805.12</v>
      </c>
      <c r="AD8234" s="21" t="s">
        <v>368</v>
      </c>
      <c r="AE8234" t="str">
        <f>VLOOKUP(Table_Query_from_Actuarial___Production3[[#This Row],[Kor1]],$AI$3:$AK$105,3,FALSE)</f>
        <v>IBNR</v>
      </c>
      <c r="AF8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5" spans="18:32" x14ac:dyDescent="0.2">
      <c r="R8235" t="s">
        <v>13</v>
      </c>
      <c r="S8235" t="s">
        <v>264</v>
      </c>
      <c r="T8235" t="s">
        <v>443</v>
      </c>
      <c r="U8235" s="21">
        <v>792549.65</v>
      </c>
      <c r="V8235" s="21" t="s">
        <v>368</v>
      </c>
      <c r="W8235" t="str">
        <f>VLOOKUP(Table_Query_from_Actuarial___Production[[#This Row],[Kor1]],$AI$3:$AK$105,3,FALSE)</f>
        <v>Operating Service Fees</v>
      </c>
      <c r="X8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5"/>
      <c r="Z8235" t="s">
        <v>11</v>
      </c>
      <c r="AA8235" t="s">
        <v>352</v>
      </c>
      <c r="AB8235" t="s">
        <v>356</v>
      </c>
      <c r="AC8235" s="21">
        <v>115779.77</v>
      </c>
      <c r="AD8235" s="21" t="s">
        <v>369</v>
      </c>
      <c r="AE8235" t="str">
        <f>VLOOKUP(Table_Query_from_Actuarial___Production3[[#This Row],[Kor1]],$AI$3:$AK$105,3,FALSE)</f>
        <v>Losses Paid</v>
      </c>
      <c r="AF8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236" spans="18:32" x14ac:dyDescent="0.2">
      <c r="R8236" t="s">
        <v>41</v>
      </c>
      <c r="S8236" t="s">
        <v>245</v>
      </c>
      <c r="T8236" t="s">
        <v>443</v>
      </c>
      <c r="U8236" s="21">
        <v>350</v>
      </c>
      <c r="V8236" s="21" t="s">
        <v>368</v>
      </c>
      <c r="W8236" t="str">
        <f>VLOOKUP(Table_Query_from_Actuarial___Production[[#This Row],[Kor1]],$AI$3:$AK$105,3,FALSE)</f>
        <v>Misc. Income</v>
      </c>
      <c r="X8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6"/>
      <c r="Z8236" t="s">
        <v>27</v>
      </c>
      <c r="AA8236" t="s">
        <v>250</v>
      </c>
      <c r="AB8236" t="s">
        <v>351</v>
      </c>
      <c r="AC8236" s="21">
        <v>-0.09</v>
      </c>
      <c r="AD8236" s="21" t="s">
        <v>368</v>
      </c>
      <c r="AE8236" t="str">
        <f>VLOOKUP(Table_Query_from_Actuarial___Production3[[#This Row],[Kor1]],$AI$3:$AK$105,3,FALSE)</f>
        <v>Misc. Expense</v>
      </c>
      <c r="AF8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7" spans="18:32" x14ac:dyDescent="0.2">
      <c r="R8237" t="s">
        <v>32</v>
      </c>
      <c r="S8237" t="s">
        <v>252</v>
      </c>
      <c r="T8237" t="s">
        <v>351</v>
      </c>
      <c r="U8237" s="21">
        <v>237923.04</v>
      </c>
      <c r="V8237" s="21" t="s">
        <v>368</v>
      </c>
      <c r="W8237" t="str">
        <f>VLOOKUP(Table_Query_from_Actuarial___Production[[#This Row],[Kor1]],$AI$3:$AK$105,3,FALSE)</f>
        <v>Misc. Expense</v>
      </c>
      <c r="X8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7"/>
      <c r="Z8237" t="s">
        <v>31</v>
      </c>
      <c r="AA8237" t="s">
        <v>244</v>
      </c>
      <c r="AB8237" t="s">
        <v>351</v>
      </c>
      <c r="AC8237" s="21">
        <v>520.20000000000005</v>
      </c>
      <c r="AD8237" s="21" t="s">
        <v>368</v>
      </c>
      <c r="AE8237" t="str">
        <f>VLOOKUP(Table_Query_from_Actuarial___Production3[[#This Row],[Kor1]],$AI$3:$AK$105,3,FALSE)</f>
        <v>Misc. Expense</v>
      </c>
      <c r="AF8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8" spans="18:32" x14ac:dyDescent="0.2">
      <c r="R8238" t="s">
        <v>10</v>
      </c>
      <c r="S8238" t="s">
        <v>256</v>
      </c>
      <c r="T8238" t="s">
        <v>7</v>
      </c>
      <c r="U8238" s="21">
        <v>2528.9</v>
      </c>
      <c r="V8238" s="21" t="s">
        <v>368</v>
      </c>
      <c r="W8238" t="str">
        <f>VLOOKUP(Table_Query_from_Actuarial___Production[[#This Row],[Kor1]],$AI$3:$AK$105,3,FALSE)</f>
        <v>Commissions</v>
      </c>
      <c r="X8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8"/>
      <c r="Z8238" t="s">
        <v>33</v>
      </c>
      <c r="AA8238" t="s">
        <v>257</v>
      </c>
      <c r="AB8238" t="s">
        <v>441</v>
      </c>
      <c r="AC8238" s="21">
        <v>17335.830000000002</v>
      </c>
      <c r="AD8238" s="21" t="s">
        <v>368</v>
      </c>
      <c r="AE8238" t="str">
        <f>VLOOKUP(Table_Query_from_Actuarial___Production3[[#This Row],[Kor1]],$AI$3:$AK$105,3,FALSE)</f>
        <v>Misc. Expense</v>
      </c>
      <c r="AF8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39" spans="18:32" x14ac:dyDescent="0.2">
      <c r="R8239" t="s">
        <v>13</v>
      </c>
      <c r="S8239" t="s">
        <v>251</v>
      </c>
      <c r="T8239" t="s">
        <v>7</v>
      </c>
      <c r="U8239" s="21">
        <v>10061.51</v>
      </c>
      <c r="V8239" s="21" t="s">
        <v>368</v>
      </c>
      <c r="W8239" t="str">
        <f>VLOOKUP(Table_Query_from_Actuarial___Production[[#This Row],[Kor1]],$AI$3:$AK$105,3,FALSE)</f>
        <v>Operating Service Fees</v>
      </c>
      <c r="X8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39"/>
      <c r="Z8239" t="s">
        <v>13</v>
      </c>
      <c r="AA8239" t="s">
        <v>352</v>
      </c>
      <c r="AB8239" t="s">
        <v>6</v>
      </c>
      <c r="AC8239" s="21">
        <v>2145.3000000000002</v>
      </c>
      <c r="AD8239" s="21" t="s">
        <v>368</v>
      </c>
      <c r="AE8239" t="str">
        <f>VLOOKUP(Table_Query_from_Actuarial___Production3[[#This Row],[Kor1]],$AI$3:$AK$105,3,FALSE)</f>
        <v>Operating Service Fees</v>
      </c>
      <c r="AF8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240" spans="18:32" x14ac:dyDescent="0.2">
      <c r="R8240" t="s">
        <v>14</v>
      </c>
      <c r="S8240" t="s">
        <v>239</v>
      </c>
      <c r="T8240" t="s">
        <v>9</v>
      </c>
      <c r="U8240" s="21">
        <v>18323.12</v>
      </c>
      <c r="V8240" s="21" t="s">
        <v>368</v>
      </c>
      <c r="W8240" t="str">
        <f>VLOOKUP(Table_Query_from_Actuarial___Production[[#This Row],[Kor1]],$AI$3:$AK$105,3,FALSE)</f>
        <v>Claims Expense</v>
      </c>
      <c r="X8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0"/>
      <c r="Z8240" t="s">
        <v>43</v>
      </c>
      <c r="AA8240" t="s">
        <v>226</v>
      </c>
      <c r="AB8240" t="s">
        <v>9</v>
      </c>
      <c r="AC8240" s="21">
        <v>-728.25</v>
      </c>
      <c r="AD8240" s="21" t="s">
        <v>368</v>
      </c>
      <c r="AE8240" t="str">
        <f>VLOOKUP(Table_Query_from_Actuarial___Production3[[#This Row],[Kor1]],$AI$3:$AK$105,3,FALSE)</f>
        <v>Charge-offs</v>
      </c>
      <c r="AF8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241" spans="18:32" x14ac:dyDescent="0.2">
      <c r="R8241" t="s">
        <v>31</v>
      </c>
      <c r="S8241" t="s">
        <v>262</v>
      </c>
      <c r="T8241" t="s">
        <v>6</v>
      </c>
      <c r="U8241" s="21">
        <v>10</v>
      </c>
      <c r="V8241" s="21" t="s">
        <v>368</v>
      </c>
      <c r="W8241" t="str">
        <f>VLOOKUP(Table_Query_from_Actuarial___Production[[#This Row],[Kor1]],$AI$3:$AK$105,3,FALSE)</f>
        <v>Misc. Expense</v>
      </c>
      <c r="X8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1"/>
      <c r="Z8241" t="s">
        <v>11</v>
      </c>
      <c r="AA8241" t="s">
        <v>258</v>
      </c>
      <c r="AB8241" t="s">
        <v>5</v>
      </c>
      <c r="AC8241" s="21">
        <v>582271.48</v>
      </c>
      <c r="AD8241" s="21" t="s">
        <v>368</v>
      </c>
      <c r="AE8241" t="str">
        <f>VLOOKUP(Table_Query_from_Actuarial___Production3[[#This Row],[Kor1]],$AI$3:$AK$105,3,FALSE)</f>
        <v>Losses Paid</v>
      </c>
      <c r="AF8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2" spans="18:32" x14ac:dyDescent="0.2">
      <c r="R8242" t="s">
        <v>48</v>
      </c>
      <c r="S8242" t="s">
        <v>263</v>
      </c>
      <c r="T8242" t="s">
        <v>433</v>
      </c>
      <c r="U8242" s="21">
        <v>2997</v>
      </c>
      <c r="V8242" s="21" t="s">
        <v>368</v>
      </c>
      <c r="W8242" t="str">
        <f>VLOOKUP(Table_Query_from_Actuarial___Production[[#This Row],[Kor1]],$AI$3:$AK$105,3,FALSE)</f>
        <v>Anticipated Salvage</v>
      </c>
      <c r="X8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2"/>
      <c r="Z8242" t="s">
        <v>44</v>
      </c>
      <c r="AA8242" t="s">
        <v>232</v>
      </c>
      <c r="AB8242" t="s">
        <v>427</v>
      </c>
      <c r="AC8242" s="21">
        <v>73827.3</v>
      </c>
      <c r="AD8242" s="21" t="s">
        <v>368</v>
      </c>
      <c r="AE8242" t="str">
        <f>VLOOKUP(Table_Query_from_Actuarial___Production3[[#This Row],[Kor1]],$AI$3:$AK$105,3,FALSE)</f>
        <v>Charge-offs</v>
      </c>
      <c r="AF8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3" spans="18:32" x14ac:dyDescent="0.2">
      <c r="R8243" t="s">
        <v>48</v>
      </c>
      <c r="S8243" t="s">
        <v>354</v>
      </c>
      <c r="T8243" t="s">
        <v>9</v>
      </c>
      <c r="U8243" s="21">
        <v>2159</v>
      </c>
      <c r="V8243" s="21" t="s">
        <v>368</v>
      </c>
      <c r="W8243" t="str">
        <f>VLOOKUP(Table_Query_from_Actuarial___Production[[#This Row],[Kor1]],$AI$3:$AK$105,3,FALSE)</f>
        <v>Anticipated Salvage</v>
      </c>
      <c r="X8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243"/>
      <c r="Z8243" t="s">
        <v>47</v>
      </c>
      <c r="AA8243" t="s">
        <v>249</v>
      </c>
      <c r="AB8243" t="s">
        <v>441</v>
      </c>
      <c r="AC8243" s="21">
        <v>27.13</v>
      </c>
      <c r="AD8243" s="21" t="s">
        <v>368</v>
      </c>
      <c r="AE8243" t="str">
        <f>VLOOKUP(Table_Query_from_Actuarial___Production3[[#This Row],[Kor1]],$AI$3:$AK$105,3,FALSE)</f>
        <v>Investment Income</v>
      </c>
      <c r="AF8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4" spans="18:32" x14ac:dyDescent="0.2">
      <c r="R8244" t="s">
        <v>14</v>
      </c>
      <c r="S8244" t="s">
        <v>266</v>
      </c>
      <c r="T8244" t="s">
        <v>445</v>
      </c>
      <c r="U8244" s="21">
        <v>9507.48</v>
      </c>
      <c r="V8244" s="21" t="s">
        <v>368</v>
      </c>
      <c r="W8244" t="str">
        <f>VLOOKUP(Table_Query_from_Actuarial___Production[[#This Row],[Kor1]],$AI$3:$AK$105,3,FALSE)</f>
        <v>Claims Expense</v>
      </c>
      <c r="X8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4"/>
      <c r="Z8244" t="s">
        <v>49</v>
      </c>
      <c r="AA8244" t="s">
        <v>252</v>
      </c>
      <c r="AB8244" t="s">
        <v>6</v>
      </c>
      <c r="AC8244" s="21">
        <v>1126889.3400000001</v>
      </c>
      <c r="AD8244" s="21" t="s">
        <v>368</v>
      </c>
      <c r="AE8244" t="str">
        <f>VLOOKUP(Table_Query_from_Actuarial___Production3[[#This Row],[Kor1]],$AI$3:$AK$105,3,FALSE)</f>
        <v>ALAE Paid</v>
      </c>
      <c r="AF8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5" spans="18:32" x14ac:dyDescent="0.2">
      <c r="R8245" t="s">
        <v>31</v>
      </c>
      <c r="S8245" t="s">
        <v>231</v>
      </c>
      <c r="T8245" t="s">
        <v>427</v>
      </c>
      <c r="U8245" s="21">
        <v>750.88</v>
      </c>
      <c r="V8245" s="21" t="s">
        <v>368</v>
      </c>
      <c r="W8245" t="str">
        <f>VLOOKUP(Table_Query_from_Actuarial___Production[[#This Row],[Kor1]],$AI$3:$AK$105,3,FALSE)</f>
        <v>Misc. Expense</v>
      </c>
      <c r="X8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5"/>
      <c r="Z8245" t="s">
        <v>16</v>
      </c>
      <c r="AA8245" t="s">
        <v>354</v>
      </c>
      <c r="AB8245" t="s">
        <v>6</v>
      </c>
      <c r="AC8245" s="21">
        <v>5000</v>
      </c>
      <c r="AD8245" s="21" t="s">
        <v>368</v>
      </c>
      <c r="AE8245" t="str">
        <f>VLOOKUP(Table_Query_from_Actuarial___Production3[[#This Row],[Kor1]],$AI$3:$AK$105,3,FALSE)</f>
        <v>Losses Outstanding</v>
      </c>
      <c r="AF8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246" spans="18:32" x14ac:dyDescent="0.2">
      <c r="R8246" t="s">
        <v>31</v>
      </c>
      <c r="S8246" t="s">
        <v>266</v>
      </c>
      <c r="T8246" t="s">
        <v>442</v>
      </c>
      <c r="U8246" s="21">
        <v>1069.82</v>
      </c>
      <c r="V8246" s="21" t="s">
        <v>368</v>
      </c>
      <c r="W8246" t="str">
        <f>VLOOKUP(Table_Query_from_Actuarial___Production[[#This Row],[Kor1]],$AI$3:$AK$105,3,FALSE)</f>
        <v>Misc. Expense</v>
      </c>
      <c r="X8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6"/>
      <c r="Z8246" t="s">
        <v>41</v>
      </c>
      <c r="AA8246" t="s">
        <v>234</v>
      </c>
      <c r="AB8246" t="s">
        <v>443</v>
      </c>
      <c r="AC8246" s="21">
        <v>50</v>
      </c>
      <c r="AD8246" s="21" t="s">
        <v>368</v>
      </c>
      <c r="AE8246" t="str">
        <f>VLOOKUP(Table_Query_from_Actuarial___Production3[[#This Row],[Kor1]],$AI$3:$AK$105,3,FALSE)</f>
        <v>Misc. Income</v>
      </c>
      <c r="AF8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7" spans="18:32" x14ac:dyDescent="0.2">
      <c r="R8247" t="s">
        <v>37</v>
      </c>
      <c r="S8247" t="s">
        <v>258</v>
      </c>
      <c r="T8247" t="s">
        <v>9</v>
      </c>
      <c r="U8247" s="21">
        <v>1011.4</v>
      </c>
      <c r="V8247" s="21" t="s">
        <v>368</v>
      </c>
      <c r="W8247" t="str">
        <f>VLOOKUP(Table_Query_from_Actuarial___Production[[#This Row],[Kor1]],$AI$3:$AK$105,3,FALSE)</f>
        <v>Misc. Expense</v>
      </c>
      <c r="X8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7"/>
      <c r="Z8247" t="s">
        <v>77</v>
      </c>
      <c r="AA8247" t="s">
        <v>258</v>
      </c>
      <c r="AB8247" t="s">
        <v>442</v>
      </c>
      <c r="AC8247" s="21">
        <v>167878</v>
      </c>
      <c r="AD8247" s="21" t="s">
        <v>368</v>
      </c>
      <c r="AE8247" t="str">
        <f>VLOOKUP(Table_Query_from_Actuarial___Production3[[#This Row],[Kor1]],$AI$3:$AK$105,3,FALSE)</f>
        <v>PDR</v>
      </c>
      <c r="AF8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8" spans="18:32" x14ac:dyDescent="0.2">
      <c r="R8248" t="s">
        <v>10</v>
      </c>
      <c r="S8248" t="s">
        <v>352</v>
      </c>
      <c r="T8248" t="s">
        <v>443</v>
      </c>
      <c r="U8248" s="21">
        <v>3489.68</v>
      </c>
      <c r="V8248" s="21" t="s">
        <v>369</v>
      </c>
      <c r="W8248" t="str">
        <f>VLOOKUP(Table_Query_from_Actuarial___Production[[#This Row],[Kor1]],$AI$3:$AK$105,3,FALSE)</f>
        <v>Commissions</v>
      </c>
      <c r="X8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248"/>
      <c r="Z8248" t="s">
        <v>41</v>
      </c>
      <c r="AA8248" t="s">
        <v>253</v>
      </c>
      <c r="AB8248" t="s">
        <v>7</v>
      </c>
      <c r="AC8248" s="21">
        <v>150</v>
      </c>
      <c r="AD8248" s="21" t="s">
        <v>368</v>
      </c>
      <c r="AE8248" t="str">
        <f>VLOOKUP(Table_Query_from_Actuarial___Production3[[#This Row],[Kor1]],$AI$3:$AK$105,3,FALSE)</f>
        <v>Misc. Income</v>
      </c>
      <c r="AF8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49" spans="18:32" x14ac:dyDescent="0.2">
      <c r="R8249" t="s">
        <v>39</v>
      </c>
      <c r="S8249" t="s">
        <v>229</v>
      </c>
      <c r="T8249" t="s">
        <v>9</v>
      </c>
      <c r="U8249" s="21">
        <v>6591</v>
      </c>
      <c r="V8249" s="21" t="s">
        <v>368</v>
      </c>
      <c r="W8249" t="str">
        <f>VLOOKUP(Table_Query_from_Actuarial___Production[[#This Row],[Kor1]],$AI$3:$AK$105,3,FALSE)</f>
        <v>Misc. Income for Insolvent Companies</v>
      </c>
      <c r="X8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49"/>
      <c r="Z8249" t="s">
        <v>49</v>
      </c>
      <c r="AA8249" t="s">
        <v>244</v>
      </c>
      <c r="AB8249" t="s">
        <v>6</v>
      </c>
      <c r="AC8249" s="21">
        <v>44204.34</v>
      </c>
      <c r="AD8249" s="21" t="s">
        <v>368</v>
      </c>
      <c r="AE8249" t="str">
        <f>VLOOKUP(Table_Query_from_Actuarial___Production3[[#This Row],[Kor1]],$AI$3:$AK$105,3,FALSE)</f>
        <v>ALAE Paid</v>
      </c>
      <c r="AF8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0" spans="18:32" x14ac:dyDescent="0.2">
      <c r="R8250" t="s">
        <v>44</v>
      </c>
      <c r="S8250" t="s">
        <v>255</v>
      </c>
      <c r="T8250" t="s">
        <v>433</v>
      </c>
      <c r="U8250" s="21">
        <v>9470.7999999999993</v>
      </c>
      <c r="V8250" s="21" t="s">
        <v>368</v>
      </c>
      <c r="W8250" t="str">
        <f>VLOOKUP(Table_Query_from_Actuarial___Production[[#This Row],[Kor1]],$AI$3:$AK$105,3,FALSE)</f>
        <v>Charge-offs</v>
      </c>
      <c r="X8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0"/>
      <c r="Z8250" t="s">
        <v>10</v>
      </c>
      <c r="AA8250" t="s">
        <v>224</v>
      </c>
      <c r="AB8250" t="s">
        <v>351</v>
      </c>
      <c r="AC8250" s="21">
        <v>2285.5100000000002</v>
      </c>
      <c r="AD8250" s="21" t="s">
        <v>425</v>
      </c>
      <c r="AE8250" t="str">
        <f>VLOOKUP(Table_Query_from_Actuarial___Production3[[#This Row],[Kor1]],$AI$3:$AK$105,3,FALSE)</f>
        <v>Commissions</v>
      </c>
      <c r="AF8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251" spans="18:32" x14ac:dyDescent="0.2">
      <c r="R8251" t="s">
        <v>13</v>
      </c>
      <c r="S8251" t="s">
        <v>233</v>
      </c>
      <c r="T8251" t="s">
        <v>356</v>
      </c>
      <c r="U8251" s="21">
        <v>89905.31</v>
      </c>
      <c r="V8251" s="21" t="s">
        <v>368</v>
      </c>
      <c r="W8251" t="str">
        <f>VLOOKUP(Table_Query_from_Actuarial___Production[[#This Row],[Kor1]],$AI$3:$AK$105,3,FALSE)</f>
        <v>Operating Service Fees</v>
      </c>
      <c r="X8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1"/>
      <c r="Z8251" t="s">
        <v>17</v>
      </c>
      <c r="AA8251" t="s">
        <v>4</v>
      </c>
      <c r="AB8251" t="s">
        <v>6</v>
      </c>
      <c r="AC8251" s="21">
        <v>100000</v>
      </c>
      <c r="AD8251" s="21" t="s">
        <v>368</v>
      </c>
      <c r="AE8251" t="str">
        <f>VLOOKUP(Table_Query_from_Actuarial___Production3[[#This Row],[Kor1]],$AI$3:$AK$105,3,FALSE)</f>
        <v>IBNR</v>
      </c>
      <c r="AF8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2" spans="18:32" x14ac:dyDescent="0.2">
      <c r="R8252" t="s">
        <v>19</v>
      </c>
      <c r="S8252" t="s">
        <v>4</v>
      </c>
      <c r="T8252" t="s">
        <v>356</v>
      </c>
      <c r="U8252" s="21">
        <v>27041</v>
      </c>
      <c r="V8252" s="21" t="s">
        <v>368</v>
      </c>
      <c r="W8252" t="str">
        <f>VLOOKUP(Table_Query_from_Actuarial___Production[[#This Row],[Kor1]],$AI$3:$AK$105,3,FALSE)</f>
        <v>Misc. Expense for Insolvent Companies</v>
      </c>
      <c r="X8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2"/>
      <c r="Z8252" t="s">
        <v>39</v>
      </c>
      <c r="AA8252" t="s">
        <v>263</v>
      </c>
      <c r="AB8252" t="s">
        <v>427</v>
      </c>
      <c r="AC8252" s="21">
        <v>97.95</v>
      </c>
      <c r="AD8252" s="21" t="s">
        <v>368</v>
      </c>
      <c r="AE8252" t="str">
        <f>VLOOKUP(Table_Query_from_Actuarial___Production3[[#This Row],[Kor1]],$AI$3:$AK$105,3,FALSE)</f>
        <v>Misc. Income for Insolvent Companies</v>
      </c>
      <c r="AF8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3" spans="18:32" x14ac:dyDescent="0.2">
      <c r="R8253" t="s">
        <v>47</v>
      </c>
      <c r="S8253" t="s">
        <v>260</v>
      </c>
      <c r="T8253" t="s">
        <v>442</v>
      </c>
      <c r="U8253" s="21">
        <v>691.89</v>
      </c>
      <c r="V8253" s="21" t="s">
        <v>368</v>
      </c>
      <c r="W8253" t="str">
        <f>VLOOKUP(Table_Query_from_Actuarial___Production[[#This Row],[Kor1]],$AI$3:$AK$105,3,FALSE)</f>
        <v>Investment Income</v>
      </c>
      <c r="X8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3"/>
      <c r="Z8253" t="s">
        <v>13</v>
      </c>
      <c r="AA8253" t="s">
        <v>264</v>
      </c>
      <c r="AB8253" t="s">
        <v>443</v>
      </c>
      <c r="AC8253" s="21">
        <v>237643</v>
      </c>
      <c r="AD8253" s="21" t="s">
        <v>368</v>
      </c>
      <c r="AE8253" t="str">
        <f>VLOOKUP(Table_Query_from_Actuarial___Production3[[#This Row],[Kor1]],$AI$3:$AK$105,3,FALSE)</f>
        <v>Operating Service Fees</v>
      </c>
      <c r="AF8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4" spans="18:32" x14ac:dyDescent="0.2">
      <c r="R8254" t="s">
        <v>47</v>
      </c>
      <c r="S8254" t="s">
        <v>266</v>
      </c>
      <c r="T8254" t="s">
        <v>433</v>
      </c>
      <c r="U8254" s="21">
        <v>943.97</v>
      </c>
      <c r="V8254" s="21" t="s">
        <v>368</v>
      </c>
      <c r="W8254" t="str">
        <f>VLOOKUP(Table_Query_from_Actuarial___Production[[#This Row],[Kor1]],$AI$3:$AK$105,3,FALSE)</f>
        <v>Investment Income</v>
      </c>
      <c r="X8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4"/>
      <c r="Z8254" t="s">
        <v>32</v>
      </c>
      <c r="AA8254" t="s">
        <v>252</v>
      </c>
      <c r="AB8254" t="s">
        <v>351</v>
      </c>
      <c r="AC8254" s="21">
        <v>237923.04</v>
      </c>
      <c r="AD8254" s="21" t="s">
        <v>368</v>
      </c>
      <c r="AE8254" t="str">
        <f>VLOOKUP(Table_Query_from_Actuarial___Production3[[#This Row],[Kor1]],$AI$3:$AK$105,3,FALSE)</f>
        <v>Misc. Expense</v>
      </c>
      <c r="AF8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5" spans="18:32" x14ac:dyDescent="0.2">
      <c r="R8255" t="s">
        <v>29</v>
      </c>
      <c r="S8255" t="s">
        <v>4</v>
      </c>
      <c r="T8255" t="s">
        <v>443</v>
      </c>
      <c r="U8255" s="21">
        <v>2759.99</v>
      </c>
      <c r="V8255" s="21" t="s">
        <v>368</v>
      </c>
      <c r="W8255" t="str">
        <f>VLOOKUP(Table_Query_from_Actuarial___Production[[#This Row],[Kor1]],$AI$3:$AK$105,3,FALSE)</f>
        <v>Misc. Expense</v>
      </c>
      <c r="X8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5"/>
      <c r="Z8255" t="s">
        <v>10</v>
      </c>
      <c r="AA8255" t="s">
        <v>256</v>
      </c>
      <c r="AB8255" t="s">
        <v>7</v>
      </c>
      <c r="AC8255" s="21">
        <v>2528.9</v>
      </c>
      <c r="AD8255" s="21" t="s">
        <v>368</v>
      </c>
      <c r="AE8255" t="str">
        <f>VLOOKUP(Table_Query_from_Actuarial___Production3[[#This Row],[Kor1]],$AI$3:$AK$105,3,FALSE)</f>
        <v>Commissions</v>
      </c>
      <c r="AF8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6" spans="18:32" x14ac:dyDescent="0.2">
      <c r="R8256" t="s">
        <v>43</v>
      </c>
      <c r="S8256" t="s">
        <v>248</v>
      </c>
      <c r="T8256" t="s">
        <v>351</v>
      </c>
      <c r="U8256" s="21">
        <v>-0.35</v>
      </c>
      <c r="V8256" s="21" t="s">
        <v>368</v>
      </c>
      <c r="W8256" t="str">
        <f>VLOOKUP(Table_Query_from_Actuarial___Production[[#This Row],[Kor1]],$AI$3:$AK$105,3,FALSE)</f>
        <v>Charge-offs</v>
      </c>
      <c r="X8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6"/>
      <c r="Z8256" t="s">
        <v>13</v>
      </c>
      <c r="AA8256" t="s">
        <v>251</v>
      </c>
      <c r="AB8256" t="s">
        <v>7</v>
      </c>
      <c r="AC8256" s="21">
        <v>10061.51</v>
      </c>
      <c r="AD8256" s="21" t="s">
        <v>368</v>
      </c>
      <c r="AE8256" t="str">
        <f>VLOOKUP(Table_Query_from_Actuarial___Production3[[#This Row],[Kor1]],$AI$3:$AK$105,3,FALSE)</f>
        <v>Operating Service Fees</v>
      </c>
      <c r="AF8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7" spans="18:32" x14ac:dyDescent="0.2">
      <c r="R8257" t="s">
        <v>20</v>
      </c>
      <c r="S8257" t="s">
        <v>261</v>
      </c>
      <c r="T8257" t="s">
        <v>442</v>
      </c>
      <c r="U8257" s="21">
        <v>106.43</v>
      </c>
      <c r="V8257" s="21" t="s">
        <v>368</v>
      </c>
      <c r="W8257" t="str">
        <f>VLOOKUP(Table_Query_from_Actuarial___Production[[#This Row],[Kor1]],$AI$3:$AK$105,3,FALSE)</f>
        <v>Misc. Expense</v>
      </c>
      <c r="X8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7"/>
      <c r="Z8257" t="s">
        <v>14</v>
      </c>
      <c r="AA8257" t="s">
        <v>239</v>
      </c>
      <c r="AB8257" t="s">
        <v>9</v>
      </c>
      <c r="AC8257" s="21">
        <v>18323.12</v>
      </c>
      <c r="AD8257" s="21" t="s">
        <v>368</v>
      </c>
      <c r="AE8257" t="str">
        <f>VLOOKUP(Table_Query_from_Actuarial___Production3[[#This Row],[Kor1]],$AI$3:$AK$105,3,FALSE)</f>
        <v>Claims Expense</v>
      </c>
      <c r="AF8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8" spans="18:32" x14ac:dyDescent="0.2">
      <c r="R8258" t="s">
        <v>18</v>
      </c>
      <c r="S8258" t="s">
        <v>224</v>
      </c>
      <c r="T8258" t="s">
        <v>6</v>
      </c>
      <c r="U8258" s="21">
        <v>8977.83</v>
      </c>
      <c r="V8258" s="21" t="s">
        <v>425</v>
      </c>
      <c r="W8258" t="str">
        <f>VLOOKUP(Table_Query_from_Actuarial___Production[[#This Row],[Kor1]],$AI$3:$AK$105,3,FALSE)</f>
        <v>Misc. Expense</v>
      </c>
      <c r="X8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258"/>
      <c r="Z8258" t="s">
        <v>31</v>
      </c>
      <c r="AA8258" t="s">
        <v>262</v>
      </c>
      <c r="AB8258" t="s">
        <v>6</v>
      </c>
      <c r="AC8258" s="21">
        <v>10</v>
      </c>
      <c r="AD8258" s="21" t="s">
        <v>368</v>
      </c>
      <c r="AE8258" t="str">
        <f>VLOOKUP(Table_Query_from_Actuarial___Production3[[#This Row],[Kor1]],$AI$3:$AK$105,3,FALSE)</f>
        <v>Misc. Expense</v>
      </c>
      <c r="AF8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59" spans="18:32" x14ac:dyDescent="0.2">
      <c r="R8259" t="s">
        <v>16</v>
      </c>
      <c r="S8259" t="s">
        <v>238</v>
      </c>
      <c r="T8259" t="s">
        <v>427</v>
      </c>
      <c r="U8259" s="21">
        <v>182588.85</v>
      </c>
      <c r="V8259" s="21" t="s">
        <v>368</v>
      </c>
      <c r="W8259" t="str">
        <f>VLOOKUP(Table_Query_from_Actuarial___Production[[#This Row],[Kor1]],$AI$3:$AK$105,3,FALSE)</f>
        <v>Losses Outstanding</v>
      </c>
      <c r="X8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59"/>
      <c r="Z8259" t="s">
        <v>48</v>
      </c>
      <c r="AA8259" t="s">
        <v>263</v>
      </c>
      <c r="AB8259" t="s">
        <v>433</v>
      </c>
      <c r="AC8259" s="21">
        <v>3762.77</v>
      </c>
      <c r="AD8259" s="21" t="s">
        <v>368</v>
      </c>
      <c r="AE8259" t="str">
        <f>VLOOKUP(Table_Query_from_Actuarial___Production3[[#This Row],[Kor1]],$AI$3:$AK$105,3,FALSE)</f>
        <v>Anticipated Salvage</v>
      </c>
      <c r="AF8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0" spans="18:32" x14ac:dyDescent="0.2">
      <c r="R8260" t="s">
        <v>19</v>
      </c>
      <c r="S8260" t="s">
        <v>235</v>
      </c>
      <c r="T8260" t="s">
        <v>356</v>
      </c>
      <c r="U8260" s="21">
        <v>263</v>
      </c>
      <c r="V8260" s="21" t="s">
        <v>368</v>
      </c>
      <c r="W8260" t="str">
        <f>VLOOKUP(Table_Query_from_Actuarial___Production[[#This Row],[Kor1]],$AI$3:$AK$105,3,FALSE)</f>
        <v>Misc. Expense for Insolvent Companies</v>
      </c>
      <c r="X8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0"/>
      <c r="Z8260" t="s">
        <v>48</v>
      </c>
      <c r="AA8260" t="s">
        <v>354</v>
      </c>
      <c r="AB8260" t="s">
        <v>9</v>
      </c>
      <c r="AC8260" s="21">
        <v>4233.05</v>
      </c>
      <c r="AD8260" s="21" t="s">
        <v>368</v>
      </c>
      <c r="AE8260" t="str">
        <f>VLOOKUP(Table_Query_from_Actuarial___Production3[[#This Row],[Kor1]],$AI$3:$AK$105,3,FALSE)</f>
        <v>Anticipated Salvage</v>
      </c>
      <c r="AF8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261" spans="18:32" x14ac:dyDescent="0.2">
      <c r="R8261" t="s">
        <v>44</v>
      </c>
      <c r="S8261" t="s">
        <v>251</v>
      </c>
      <c r="T8261" t="s">
        <v>351</v>
      </c>
      <c r="U8261" s="21">
        <v>-0.8</v>
      </c>
      <c r="V8261" s="21" t="s">
        <v>368</v>
      </c>
      <c r="W8261" t="str">
        <f>VLOOKUP(Table_Query_from_Actuarial___Production[[#This Row],[Kor1]],$AI$3:$AK$105,3,FALSE)</f>
        <v>Charge-offs</v>
      </c>
      <c r="X8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1"/>
      <c r="Z8261" t="s">
        <v>31</v>
      </c>
      <c r="AA8261" t="s">
        <v>231</v>
      </c>
      <c r="AB8261" t="s">
        <v>427</v>
      </c>
      <c r="AC8261" s="21">
        <v>750.88</v>
      </c>
      <c r="AD8261" s="21" t="s">
        <v>368</v>
      </c>
      <c r="AE8261" t="str">
        <f>VLOOKUP(Table_Query_from_Actuarial___Production3[[#This Row],[Kor1]],$AI$3:$AK$105,3,FALSE)</f>
        <v>Misc. Expense</v>
      </c>
      <c r="AF8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2" spans="18:32" x14ac:dyDescent="0.2">
      <c r="R8262" t="s">
        <v>11</v>
      </c>
      <c r="S8262" t="s">
        <v>266</v>
      </c>
      <c r="T8262" t="s">
        <v>6</v>
      </c>
      <c r="U8262" s="21">
        <v>171448.63</v>
      </c>
      <c r="V8262" s="21" t="s">
        <v>368</v>
      </c>
      <c r="W8262" t="str">
        <f>VLOOKUP(Table_Query_from_Actuarial___Production[[#This Row],[Kor1]],$AI$3:$AK$105,3,FALSE)</f>
        <v>Losses Paid</v>
      </c>
      <c r="X8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2"/>
      <c r="Z8262" t="s">
        <v>31</v>
      </c>
      <c r="AA8262" t="s">
        <v>266</v>
      </c>
      <c r="AB8262" t="s">
        <v>442</v>
      </c>
      <c r="AC8262" s="21">
        <v>1069.82</v>
      </c>
      <c r="AD8262" s="21" t="s">
        <v>368</v>
      </c>
      <c r="AE8262" t="str">
        <f>VLOOKUP(Table_Query_from_Actuarial___Production3[[#This Row],[Kor1]],$AI$3:$AK$105,3,FALSE)</f>
        <v>Misc. Expense</v>
      </c>
      <c r="AF8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3" spans="18:32" x14ac:dyDescent="0.2">
      <c r="R8263" t="s">
        <v>12</v>
      </c>
      <c r="S8263" t="s">
        <v>245</v>
      </c>
      <c r="T8263" t="s">
        <v>441</v>
      </c>
      <c r="U8263" s="21">
        <v>81.06</v>
      </c>
      <c r="V8263" s="21" t="s">
        <v>368</v>
      </c>
      <c r="W8263" t="str">
        <f>VLOOKUP(Table_Query_from_Actuarial___Production[[#This Row],[Kor1]],$AI$3:$AK$105,3,FALSE)</f>
        <v>Premium Tax</v>
      </c>
      <c r="X8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3"/>
      <c r="Z8263" t="s">
        <v>37</v>
      </c>
      <c r="AA8263" t="s">
        <v>258</v>
      </c>
      <c r="AB8263" t="s">
        <v>9</v>
      </c>
      <c r="AC8263" s="21">
        <v>1011.4</v>
      </c>
      <c r="AD8263" s="21" t="s">
        <v>368</v>
      </c>
      <c r="AE8263" t="str">
        <f>VLOOKUP(Table_Query_from_Actuarial___Production3[[#This Row],[Kor1]],$AI$3:$AK$105,3,FALSE)</f>
        <v>Misc. Expense</v>
      </c>
      <c r="AF8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4" spans="18:32" x14ac:dyDescent="0.2">
      <c r="R8264" t="s">
        <v>19</v>
      </c>
      <c r="S8264" t="s">
        <v>232</v>
      </c>
      <c r="T8264" t="s">
        <v>433</v>
      </c>
      <c r="U8264" s="21">
        <v>387.99</v>
      </c>
      <c r="V8264" s="21" t="s">
        <v>368</v>
      </c>
      <c r="W8264" t="str">
        <f>VLOOKUP(Table_Query_from_Actuarial___Production[[#This Row],[Kor1]],$AI$3:$AK$105,3,FALSE)</f>
        <v>Misc. Expense for Insolvent Companies</v>
      </c>
      <c r="X8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4"/>
      <c r="Z8264" t="s">
        <v>10</v>
      </c>
      <c r="AA8264" t="s">
        <v>352</v>
      </c>
      <c r="AB8264" t="s">
        <v>443</v>
      </c>
      <c r="AC8264" s="21">
        <v>1342.68</v>
      </c>
      <c r="AD8264" s="21" t="s">
        <v>369</v>
      </c>
      <c r="AE8264" t="str">
        <f>VLOOKUP(Table_Query_from_Actuarial___Production3[[#This Row],[Kor1]],$AI$3:$AK$105,3,FALSE)</f>
        <v>Commissions</v>
      </c>
      <c r="AF8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265" spans="18:32" x14ac:dyDescent="0.2">
      <c r="R8265" t="s">
        <v>12</v>
      </c>
      <c r="S8265" t="s">
        <v>259</v>
      </c>
      <c r="T8265" t="s">
        <v>433</v>
      </c>
      <c r="U8265" s="21">
        <v>11708.8</v>
      </c>
      <c r="V8265" s="21" t="s">
        <v>368</v>
      </c>
      <c r="W8265" t="str">
        <f>VLOOKUP(Table_Query_from_Actuarial___Production[[#This Row],[Kor1]],$AI$3:$AK$105,3,FALSE)</f>
        <v>Premium Tax</v>
      </c>
      <c r="X8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5"/>
      <c r="Z8265" t="s">
        <v>13</v>
      </c>
      <c r="AA8265" t="s">
        <v>249</v>
      </c>
      <c r="AB8265" t="s">
        <v>5</v>
      </c>
      <c r="AC8265" s="21">
        <v>19844.45</v>
      </c>
      <c r="AD8265" s="21" t="s">
        <v>368</v>
      </c>
      <c r="AE8265" t="str">
        <f>VLOOKUP(Table_Query_from_Actuarial___Production3[[#This Row],[Kor1]],$AI$3:$AK$105,3,FALSE)</f>
        <v>Operating Service Fees</v>
      </c>
      <c r="AF8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6" spans="18:32" x14ac:dyDescent="0.2">
      <c r="R8266" t="s">
        <v>49</v>
      </c>
      <c r="S8266" t="s">
        <v>233</v>
      </c>
      <c r="T8266" t="s">
        <v>442</v>
      </c>
      <c r="U8266" s="21">
        <v>1905.5</v>
      </c>
      <c r="V8266" s="21" t="s">
        <v>368</v>
      </c>
      <c r="W8266" t="str">
        <f>VLOOKUP(Table_Query_from_Actuarial___Production[[#This Row],[Kor1]],$AI$3:$AK$105,3,FALSE)</f>
        <v>ALAE Paid</v>
      </c>
      <c r="X8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6"/>
      <c r="Z8266" t="s">
        <v>39</v>
      </c>
      <c r="AA8266" t="s">
        <v>229</v>
      </c>
      <c r="AB8266" t="s">
        <v>9</v>
      </c>
      <c r="AC8266" s="21">
        <v>2036</v>
      </c>
      <c r="AD8266" s="21" t="s">
        <v>368</v>
      </c>
      <c r="AE8266" t="str">
        <f>VLOOKUP(Table_Query_from_Actuarial___Production3[[#This Row],[Kor1]],$AI$3:$AK$105,3,FALSE)</f>
        <v>Misc. Income for Insolvent Companies</v>
      </c>
      <c r="AF8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7" spans="18:32" x14ac:dyDescent="0.2">
      <c r="R8267" t="s">
        <v>41</v>
      </c>
      <c r="S8267" t="s">
        <v>241</v>
      </c>
      <c r="T8267" t="s">
        <v>443</v>
      </c>
      <c r="U8267" s="21">
        <v>200</v>
      </c>
      <c r="V8267" s="21" t="s">
        <v>368</v>
      </c>
      <c r="W8267" t="str">
        <f>VLOOKUP(Table_Query_from_Actuarial___Production[[#This Row],[Kor1]],$AI$3:$AK$105,3,FALSE)</f>
        <v>Misc. Income</v>
      </c>
      <c r="X8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7"/>
      <c r="Z8267" t="s">
        <v>44</v>
      </c>
      <c r="AA8267" t="s">
        <v>255</v>
      </c>
      <c r="AB8267" t="s">
        <v>433</v>
      </c>
      <c r="AC8267" s="21">
        <v>9470.7999999999993</v>
      </c>
      <c r="AD8267" s="21" t="s">
        <v>368</v>
      </c>
      <c r="AE8267" t="str">
        <f>VLOOKUP(Table_Query_from_Actuarial___Production3[[#This Row],[Kor1]],$AI$3:$AK$105,3,FALSE)</f>
        <v>Charge-offs</v>
      </c>
      <c r="AF8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8" spans="18:32" x14ac:dyDescent="0.2">
      <c r="R8268" t="s">
        <v>10</v>
      </c>
      <c r="S8268" t="s">
        <v>241</v>
      </c>
      <c r="T8268" t="s">
        <v>8</v>
      </c>
      <c r="U8268" s="21">
        <v>45534.45</v>
      </c>
      <c r="V8268" s="21" t="s">
        <v>368</v>
      </c>
      <c r="W8268" t="str">
        <f>VLOOKUP(Table_Query_from_Actuarial___Production[[#This Row],[Kor1]],$AI$3:$AK$105,3,FALSE)</f>
        <v>Commissions</v>
      </c>
      <c r="X8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8"/>
      <c r="Z8268" t="s">
        <v>13</v>
      </c>
      <c r="AA8268" t="s">
        <v>233</v>
      </c>
      <c r="AB8268" t="s">
        <v>356</v>
      </c>
      <c r="AC8268" s="21">
        <v>89905.31</v>
      </c>
      <c r="AD8268" s="21" t="s">
        <v>368</v>
      </c>
      <c r="AE8268" t="str">
        <f>VLOOKUP(Table_Query_from_Actuarial___Production3[[#This Row],[Kor1]],$AI$3:$AK$105,3,FALSE)</f>
        <v>Operating Service Fees</v>
      </c>
      <c r="AF8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69" spans="18:32" x14ac:dyDescent="0.2">
      <c r="R8269" t="s">
        <v>13</v>
      </c>
      <c r="S8269" t="s">
        <v>238</v>
      </c>
      <c r="T8269" t="s">
        <v>443</v>
      </c>
      <c r="U8269" s="21">
        <v>405083.46</v>
      </c>
      <c r="V8269" s="21" t="s">
        <v>368</v>
      </c>
      <c r="W8269" t="str">
        <f>VLOOKUP(Table_Query_from_Actuarial___Production[[#This Row],[Kor1]],$AI$3:$AK$105,3,FALSE)</f>
        <v>Operating Service Fees</v>
      </c>
      <c r="X8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69"/>
      <c r="Z8269" t="s">
        <v>19</v>
      </c>
      <c r="AA8269" t="s">
        <v>4</v>
      </c>
      <c r="AB8269" t="s">
        <v>356</v>
      </c>
      <c r="AC8269" s="21">
        <v>27041</v>
      </c>
      <c r="AD8269" s="21" t="s">
        <v>368</v>
      </c>
      <c r="AE8269" t="str">
        <f>VLOOKUP(Table_Query_from_Actuarial___Production3[[#This Row],[Kor1]],$AI$3:$AK$105,3,FALSE)</f>
        <v>Misc. Expense for Insolvent Companies</v>
      </c>
      <c r="AF8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0" spans="18:32" x14ac:dyDescent="0.2">
      <c r="R8270" t="s">
        <v>444</v>
      </c>
      <c r="S8270" t="s">
        <v>244</v>
      </c>
      <c r="T8270" t="s">
        <v>443</v>
      </c>
      <c r="U8270" s="21">
        <v>23464.17</v>
      </c>
      <c r="V8270" s="21" t="s">
        <v>368</v>
      </c>
      <c r="W8270" t="str">
        <f>VLOOKUP(Table_Query_from_Actuarial___Production[[#This Row],[Kor1]],$AI$3:$AK$105,3,FALSE)</f>
        <v>Misc. Expense</v>
      </c>
      <c r="X8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0"/>
      <c r="Z8270" t="s">
        <v>30</v>
      </c>
      <c r="AA8270" t="s">
        <v>259</v>
      </c>
      <c r="AB8270" t="s">
        <v>5</v>
      </c>
      <c r="AC8270" s="21">
        <v>653.05999999999995</v>
      </c>
      <c r="AD8270" s="21" t="s">
        <v>368</v>
      </c>
      <c r="AE8270" t="str">
        <f>VLOOKUP(Table_Query_from_Actuarial___Production3[[#This Row],[Kor1]],$AI$3:$AK$105,3,FALSE)</f>
        <v>Misc. Expense</v>
      </c>
      <c r="AF8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1" spans="18:32" x14ac:dyDescent="0.2">
      <c r="R8271" t="s">
        <v>31</v>
      </c>
      <c r="S8271" t="s">
        <v>239</v>
      </c>
      <c r="T8271" t="s">
        <v>8</v>
      </c>
      <c r="U8271" s="21">
        <v>4165.38</v>
      </c>
      <c r="V8271" s="21" t="s">
        <v>368</v>
      </c>
      <c r="W8271" t="str">
        <f>VLOOKUP(Table_Query_from_Actuarial___Production[[#This Row],[Kor1]],$AI$3:$AK$105,3,FALSE)</f>
        <v>Misc. Expense</v>
      </c>
      <c r="X8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1"/>
      <c r="Z8271" t="s">
        <v>47</v>
      </c>
      <c r="AA8271" t="s">
        <v>260</v>
      </c>
      <c r="AB8271" t="s">
        <v>442</v>
      </c>
      <c r="AC8271" s="21">
        <v>691.89</v>
      </c>
      <c r="AD8271" s="21" t="s">
        <v>368</v>
      </c>
      <c r="AE8271" t="str">
        <f>VLOOKUP(Table_Query_from_Actuarial___Production3[[#This Row],[Kor1]],$AI$3:$AK$105,3,FALSE)</f>
        <v>Investment Income</v>
      </c>
      <c r="AF8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2" spans="18:32" x14ac:dyDescent="0.2">
      <c r="R8272" t="s">
        <v>32</v>
      </c>
      <c r="S8272" t="s">
        <v>241</v>
      </c>
      <c r="T8272" t="s">
        <v>433</v>
      </c>
      <c r="U8272" s="21">
        <v>442.48</v>
      </c>
      <c r="V8272" s="21" t="s">
        <v>368</v>
      </c>
      <c r="W8272" t="str">
        <f>VLOOKUP(Table_Query_from_Actuarial___Production[[#This Row],[Kor1]],$AI$3:$AK$105,3,FALSE)</f>
        <v>Misc. Expense</v>
      </c>
      <c r="X8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2"/>
      <c r="Z8272" t="s">
        <v>47</v>
      </c>
      <c r="AA8272" t="s">
        <v>266</v>
      </c>
      <c r="AB8272" t="s">
        <v>433</v>
      </c>
      <c r="AC8272" s="21">
        <v>943.97</v>
      </c>
      <c r="AD8272" s="21" t="s">
        <v>368</v>
      </c>
      <c r="AE8272" t="str">
        <f>VLOOKUP(Table_Query_from_Actuarial___Production3[[#This Row],[Kor1]],$AI$3:$AK$105,3,FALSE)</f>
        <v>Investment Income</v>
      </c>
      <c r="AF8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3" spans="18:32" x14ac:dyDescent="0.2">
      <c r="R8273" t="s">
        <v>41</v>
      </c>
      <c r="S8273" t="s">
        <v>234</v>
      </c>
      <c r="T8273" t="s">
        <v>427</v>
      </c>
      <c r="U8273" s="21">
        <v>100.01</v>
      </c>
      <c r="V8273" s="21" t="s">
        <v>368</v>
      </c>
      <c r="W8273" t="str">
        <f>VLOOKUP(Table_Query_from_Actuarial___Production[[#This Row],[Kor1]],$AI$3:$AK$105,3,FALSE)</f>
        <v>Misc. Income</v>
      </c>
      <c r="X8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3"/>
      <c r="Z8273" t="s">
        <v>43</v>
      </c>
      <c r="AA8273" t="s">
        <v>248</v>
      </c>
      <c r="AB8273" t="s">
        <v>351</v>
      </c>
      <c r="AC8273" s="21">
        <v>-0.35</v>
      </c>
      <c r="AD8273" s="21" t="s">
        <v>368</v>
      </c>
      <c r="AE8273" t="str">
        <f>VLOOKUP(Table_Query_from_Actuarial___Production3[[#This Row],[Kor1]],$AI$3:$AK$105,3,FALSE)</f>
        <v>Charge-offs</v>
      </c>
      <c r="AF8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4" spans="18:32" x14ac:dyDescent="0.2">
      <c r="R8274" t="s">
        <v>39</v>
      </c>
      <c r="S8274" t="s">
        <v>267</v>
      </c>
      <c r="T8274" t="s">
        <v>351</v>
      </c>
      <c r="U8274" s="21">
        <v>5183</v>
      </c>
      <c r="V8274" s="21" t="s">
        <v>368</v>
      </c>
      <c r="W8274" t="str">
        <f>VLOOKUP(Table_Query_from_Actuarial___Production[[#This Row],[Kor1]],$AI$3:$AK$105,3,FALSE)</f>
        <v>Misc. Income for Insolvent Companies</v>
      </c>
      <c r="X8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4"/>
      <c r="Z8274" t="s">
        <v>20</v>
      </c>
      <c r="AA8274" t="s">
        <v>261</v>
      </c>
      <c r="AB8274" t="s">
        <v>442</v>
      </c>
      <c r="AC8274" s="21">
        <v>106.43</v>
      </c>
      <c r="AD8274" s="21" t="s">
        <v>368</v>
      </c>
      <c r="AE8274" t="str">
        <f>VLOOKUP(Table_Query_from_Actuarial___Production3[[#This Row],[Kor1]],$AI$3:$AK$105,3,FALSE)</f>
        <v>Misc. Expense</v>
      </c>
      <c r="AF8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5" spans="18:32" x14ac:dyDescent="0.2">
      <c r="R8275" t="s">
        <v>3</v>
      </c>
      <c r="S8275" t="s">
        <v>260</v>
      </c>
      <c r="T8275" t="s">
        <v>441</v>
      </c>
      <c r="U8275" s="21">
        <v>43617</v>
      </c>
      <c r="V8275" s="21" t="s">
        <v>368</v>
      </c>
      <c r="W8275" t="str">
        <f>VLOOKUP(Table_Query_from_Actuarial___Production[[#This Row],[Kor1]],$AI$3:$AK$105,3,FALSE)</f>
        <v>Premiums Written</v>
      </c>
      <c r="X8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5"/>
      <c r="Z8275" t="s">
        <v>18</v>
      </c>
      <c r="AA8275" t="s">
        <v>224</v>
      </c>
      <c r="AB8275" t="s">
        <v>6</v>
      </c>
      <c r="AC8275" s="21">
        <v>8977.83</v>
      </c>
      <c r="AD8275" s="21" t="s">
        <v>425</v>
      </c>
      <c r="AE8275" t="str">
        <f>VLOOKUP(Table_Query_from_Actuarial___Production3[[#This Row],[Kor1]],$AI$3:$AK$105,3,FALSE)</f>
        <v>Misc. Expense</v>
      </c>
      <c r="AF8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276" spans="18:32" x14ac:dyDescent="0.2">
      <c r="R8276" t="s">
        <v>14</v>
      </c>
      <c r="S8276" t="s">
        <v>238</v>
      </c>
      <c r="T8276" t="s">
        <v>442</v>
      </c>
      <c r="U8276" s="21">
        <v>92178.78</v>
      </c>
      <c r="V8276" s="21" t="s">
        <v>368</v>
      </c>
      <c r="W8276" t="str">
        <f>VLOOKUP(Table_Query_from_Actuarial___Production[[#This Row],[Kor1]],$AI$3:$AK$105,3,FALSE)</f>
        <v>Claims Expense</v>
      </c>
      <c r="X8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6"/>
      <c r="Z8276" t="s">
        <v>16</v>
      </c>
      <c r="AA8276" t="s">
        <v>238</v>
      </c>
      <c r="AB8276" t="s">
        <v>427</v>
      </c>
      <c r="AC8276" s="21">
        <v>339400.41</v>
      </c>
      <c r="AD8276" s="21" t="s">
        <v>368</v>
      </c>
      <c r="AE8276" t="str">
        <f>VLOOKUP(Table_Query_from_Actuarial___Production3[[#This Row],[Kor1]],$AI$3:$AK$105,3,FALSE)</f>
        <v>Losses Outstanding</v>
      </c>
      <c r="AF8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7" spans="18:32" x14ac:dyDescent="0.2">
      <c r="R8277" t="s">
        <v>49</v>
      </c>
      <c r="S8277" t="s">
        <v>228</v>
      </c>
      <c r="T8277" t="s">
        <v>427</v>
      </c>
      <c r="U8277" s="21">
        <v>197852.99</v>
      </c>
      <c r="V8277" s="21" t="s">
        <v>368</v>
      </c>
      <c r="W8277" t="str">
        <f>VLOOKUP(Table_Query_from_Actuarial___Production[[#This Row],[Kor1]],$AI$3:$AK$105,3,FALSE)</f>
        <v>ALAE Paid</v>
      </c>
      <c r="X8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7"/>
      <c r="Z8277" t="s">
        <v>19</v>
      </c>
      <c r="AA8277" t="s">
        <v>235</v>
      </c>
      <c r="AB8277" t="s">
        <v>356</v>
      </c>
      <c r="AC8277" s="21">
        <v>263</v>
      </c>
      <c r="AD8277" s="21" t="s">
        <v>368</v>
      </c>
      <c r="AE8277" t="str">
        <f>VLOOKUP(Table_Query_from_Actuarial___Production3[[#This Row],[Kor1]],$AI$3:$AK$105,3,FALSE)</f>
        <v>Misc. Expense for Insolvent Companies</v>
      </c>
      <c r="AF8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8" spans="18:32" x14ac:dyDescent="0.2">
      <c r="R8278" t="s">
        <v>47</v>
      </c>
      <c r="S8278" t="s">
        <v>240</v>
      </c>
      <c r="T8278" t="s">
        <v>6</v>
      </c>
      <c r="U8278" s="21">
        <v>0.08</v>
      </c>
      <c r="V8278" s="21" t="s">
        <v>368</v>
      </c>
      <c r="W8278" t="str">
        <f>VLOOKUP(Table_Query_from_Actuarial___Production[[#This Row],[Kor1]],$AI$3:$AK$105,3,FALSE)</f>
        <v>Investment Income</v>
      </c>
      <c r="X8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8"/>
      <c r="Z8278" t="s">
        <v>44</v>
      </c>
      <c r="AA8278" t="s">
        <v>251</v>
      </c>
      <c r="AB8278" t="s">
        <v>351</v>
      </c>
      <c r="AC8278" s="21">
        <v>-0.8</v>
      </c>
      <c r="AD8278" s="21" t="s">
        <v>368</v>
      </c>
      <c r="AE8278" t="str">
        <f>VLOOKUP(Table_Query_from_Actuarial___Production3[[#This Row],[Kor1]],$AI$3:$AK$105,3,FALSE)</f>
        <v>Charge-offs</v>
      </c>
      <c r="AF8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79" spans="18:32" x14ac:dyDescent="0.2">
      <c r="R8279" t="s">
        <v>77</v>
      </c>
      <c r="S8279" t="s">
        <v>230</v>
      </c>
      <c r="T8279" t="s">
        <v>445</v>
      </c>
      <c r="U8279" s="21">
        <v>1859835</v>
      </c>
      <c r="V8279" s="21" t="s">
        <v>368</v>
      </c>
      <c r="W8279" t="str">
        <f>VLOOKUP(Table_Query_from_Actuarial___Production[[#This Row],[Kor1]],$AI$3:$AK$105,3,FALSE)</f>
        <v>PDR</v>
      </c>
      <c r="X8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79"/>
      <c r="Z8279" t="s">
        <v>11</v>
      </c>
      <c r="AA8279" t="s">
        <v>266</v>
      </c>
      <c r="AB8279" t="s">
        <v>6</v>
      </c>
      <c r="AC8279" s="21">
        <v>171448.63</v>
      </c>
      <c r="AD8279" s="21" t="s">
        <v>368</v>
      </c>
      <c r="AE8279" t="str">
        <f>VLOOKUP(Table_Query_from_Actuarial___Production3[[#This Row],[Kor1]],$AI$3:$AK$105,3,FALSE)</f>
        <v>Losses Paid</v>
      </c>
      <c r="AF8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0" spans="18:32" x14ac:dyDescent="0.2">
      <c r="R8280" t="s">
        <v>33</v>
      </c>
      <c r="S8280" t="s">
        <v>256</v>
      </c>
      <c r="T8280" t="s">
        <v>356</v>
      </c>
      <c r="U8280" s="21">
        <v>13985.62</v>
      </c>
      <c r="V8280" s="21" t="s">
        <v>368</v>
      </c>
      <c r="W8280" t="str">
        <f>VLOOKUP(Table_Query_from_Actuarial___Production[[#This Row],[Kor1]],$AI$3:$AK$105,3,FALSE)</f>
        <v>Misc. Expense</v>
      </c>
      <c r="X8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0"/>
      <c r="Z8280" t="s">
        <v>75</v>
      </c>
      <c r="AA8280" t="s">
        <v>249</v>
      </c>
      <c r="AB8280" t="s">
        <v>441</v>
      </c>
      <c r="AC8280" s="21">
        <v>982</v>
      </c>
      <c r="AD8280" s="21" t="s">
        <v>368</v>
      </c>
      <c r="AE8280" t="str">
        <f>VLOOKUP(Table_Query_from_Actuarial___Production3[[#This Row],[Kor1]],$AI$3:$AK$105,3,FALSE)</f>
        <v>EBUB</v>
      </c>
      <c r="AF8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1" spans="18:32" x14ac:dyDescent="0.2">
      <c r="R8281" t="s">
        <v>48</v>
      </c>
      <c r="S8281" t="s">
        <v>227</v>
      </c>
      <c r="T8281" t="s">
        <v>442</v>
      </c>
      <c r="U8281" s="21">
        <v>4.8099999999999996</v>
      </c>
      <c r="V8281" s="21" t="s">
        <v>368</v>
      </c>
      <c r="W8281" t="str">
        <f>VLOOKUP(Table_Query_from_Actuarial___Production[[#This Row],[Kor1]],$AI$3:$AK$105,3,FALSE)</f>
        <v>Anticipated Salvage</v>
      </c>
      <c r="X8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1"/>
      <c r="Z8281" t="s">
        <v>12</v>
      </c>
      <c r="AA8281" t="s">
        <v>245</v>
      </c>
      <c r="AB8281" t="s">
        <v>441</v>
      </c>
      <c r="AC8281" s="21">
        <v>81.06</v>
      </c>
      <c r="AD8281" s="21" t="s">
        <v>368</v>
      </c>
      <c r="AE8281" t="str">
        <f>VLOOKUP(Table_Query_from_Actuarial___Production3[[#This Row],[Kor1]],$AI$3:$AK$105,3,FALSE)</f>
        <v>Premium Tax</v>
      </c>
      <c r="AF8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2" spans="18:32" x14ac:dyDescent="0.2">
      <c r="R8282" t="s">
        <v>10</v>
      </c>
      <c r="S8282" t="s">
        <v>352</v>
      </c>
      <c r="T8282" t="s">
        <v>427</v>
      </c>
      <c r="U8282" s="21">
        <v>7532.56</v>
      </c>
      <c r="V8282" s="21" t="s">
        <v>369</v>
      </c>
      <c r="W8282" t="str">
        <f>VLOOKUP(Table_Query_from_Actuarial___Production[[#This Row],[Kor1]],$AI$3:$AK$105,3,FALSE)</f>
        <v>Commissions</v>
      </c>
      <c r="X8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282"/>
      <c r="Z8282" t="s">
        <v>19</v>
      </c>
      <c r="AA8282" t="s">
        <v>232</v>
      </c>
      <c r="AB8282" t="s">
        <v>433</v>
      </c>
      <c r="AC8282" s="21">
        <v>387.99</v>
      </c>
      <c r="AD8282" s="21" t="s">
        <v>368</v>
      </c>
      <c r="AE8282" t="str">
        <f>VLOOKUP(Table_Query_from_Actuarial___Production3[[#This Row],[Kor1]],$AI$3:$AK$105,3,FALSE)</f>
        <v>Misc. Expense for Insolvent Companies</v>
      </c>
      <c r="AF8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3" spans="18:32" x14ac:dyDescent="0.2">
      <c r="R8283" t="s">
        <v>31</v>
      </c>
      <c r="S8283" t="s">
        <v>241</v>
      </c>
      <c r="T8283" t="s">
        <v>445</v>
      </c>
      <c r="U8283" s="21">
        <v>893.73</v>
      </c>
      <c r="V8283" s="21" t="s">
        <v>368</v>
      </c>
      <c r="W8283" t="str">
        <f>VLOOKUP(Table_Query_from_Actuarial___Production[[#This Row],[Kor1]],$AI$3:$AK$105,3,FALSE)</f>
        <v>Misc. Expense</v>
      </c>
      <c r="X8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3"/>
      <c r="Z8283" t="s">
        <v>12</v>
      </c>
      <c r="AA8283" t="s">
        <v>259</v>
      </c>
      <c r="AB8283" t="s">
        <v>433</v>
      </c>
      <c r="AC8283" s="21">
        <v>11708.8</v>
      </c>
      <c r="AD8283" s="21" t="s">
        <v>368</v>
      </c>
      <c r="AE8283" t="str">
        <f>VLOOKUP(Table_Query_from_Actuarial___Production3[[#This Row],[Kor1]],$AI$3:$AK$105,3,FALSE)</f>
        <v>Premium Tax</v>
      </c>
      <c r="AF8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4" spans="18:32" x14ac:dyDescent="0.2">
      <c r="R8284" t="s">
        <v>40</v>
      </c>
      <c r="S8284" t="s">
        <v>260</v>
      </c>
      <c r="T8284" t="s">
        <v>427</v>
      </c>
      <c r="U8284" s="21">
        <v>5</v>
      </c>
      <c r="V8284" s="21" t="s">
        <v>368</v>
      </c>
      <c r="W8284" t="str">
        <f>VLOOKUP(Table_Query_from_Actuarial___Production[[#This Row],[Kor1]],$AI$3:$AK$105,3,FALSE)</f>
        <v>Misc. Income</v>
      </c>
      <c r="X8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4"/>
      <c r="Z8284" t="s">
        <v>10</v>
      </c>
      <c r="AA8284" t="s">
        <v>241</v>
      </c>
      <c r="AB8284" t="s">
        <v>8</v>
      </c>
      <c r="AC8284" s="21">
        <v>45534.45</v>
      </c>
      <c r="AD8284" s="21" t="s">
        <v>368</v>
      </c>
      <c r="AE8284" t="str">
        <f>VLOOKUP(Table_Query_from_Actuarial___Production3[[#This Row],[Kor1]],$AI$3:$AK$105,3,FALSE)</f>
        <v>Commissions</v>
      </c>
      <c r="AF8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5" spans="18:32" x14ac:dyDescent="0.2">
      <c r="R8285" t="s">
        <v>14</v>
      </c>
      <c r="S8285" t="s">
        <v>251</v>
      </c>
      <c r="T8285" t="s">
        <v>442</v>
      </c>
      <c r="U8285" s="21">
        <v>40615.449999999997</v>
      </c>
      <c r="V8285" s="21" t="s">
        <v>368</v>
      </c>
      <c r="W8285" t="str">
        <f>VLOOKUP(Table_Query_from_Actuarial___Production[[#This Row],[Kor1]],$AI$3:$AK$105,3,FALSE)</f>
        <v>Claims Expense</v>
      </c>
      <c r="X8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5"/>
      <c r="Z8285" t="s">
        <v>13</v>
      </c>
      <c r="AA8285" t="s">
        <v>238</v>
      </c>
      <c r="AB8285" t="s">
        <v>443</v>
      </c>
      <c r="AC8285" s="21">
        <v>92156.12</v>
      </c>
      <c r="AD8285" s="21" t="s">
        <v>368</v>
      </c>
      <c r="AE8285" t="str">
        <f>VLOOKUP(Table_Query_from_Actuarial___Production3[[#This Row],[Kor1]],$AI$3:$AK$105,3,FALSE)</f>
        <v>Operating Service Fees</v>
      </c>
      <c r="AF8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6" spans="18:32" x14ac:dyDescent="0.2">
      <c r="R8286" t="s">
        <v>41</v>
      </c>
      <c r="S8286" t="s">
        <v>256</v>
      </c>
      <c r="T8286" t="s">
        <v>445</v>
      </c>
      <c r="U8286" s="21">
        <v>150</v>
      </c>
      <c r="V8286" s="21" t="s">
        <v>368</v>
      </c>
      <c r="W8286" t="str">
        <f>VLOOKUP(Table_Query_from_Actuarial___Production[[#This Row],[Kor1]],$AI$3:$AK$105,3,FALSE)</f>
        <v>Misc. Income</v>
      </c>
      <c r="X8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6"/>
      <c r="Z8286" t="s">
        <v>31</v>
      </c>
      <c r="AA8286" t="s">
        <v>239</v>
      </c>
      <c r="AB8286" t="s">
        <v>8</v>
      </c>
      <c r="AC8286" s="21">
        <v>4165.38</v>
      </c>
      <c r="AD8286" s="21" t="s">
        <v>368</v>
      </c>
      <c r="AE8286" t="str">
        <f>VLOOKUP(Table_Query_from_Actuarial___Production3[[#This Row],[Kor1]],$AI$3:$AK$105,3,FALSE)</f>
        <v>Misc. Expense</v>
      </c>
      <c r="AF8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7" spans="18:32" x14ac:dyDescent="0.2">
      <c r="R8287" t="s">
        <v>3</v>
      </c>
      <c r="S8287" t="s">
        <v>354</v>
      </c>
      <c r="T8287" t="s">
        <v>445</v>
      </c>
      <c r="U8287" s="21">
        <v>82027164.620000005</v>
      </c>
      <c r="V8287" s="21" t="s">
        <v>368</v>
      </c>
      <c r="W8287" t="str">
        <f>VLOOKUP(Table_Query_from_Actuarial___Production[[#This Row],[Kor1]],$AI$3:$AK$105,3,FALSE)</f>
        <v>Premiums Written</v>
      </c>
      <c r="X8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287"/>
      <c r="Z8287" t="s">
        <v>32</v>
      </c>
      <c r="AA8287" t="s">
        <v>241</v>
      </c>
      <c r="AB8287" t="s">
        <v>433</v>
      </c>
      <c r="AC8287" s="21">
        <v>442.48</v>
      </c>
      <c r="AD8287" s="21" t="s">
        <v>368</v>
      </c>
      <c r="AE8287" t="str">
        <f>VLOOKUP(Table_Query_from_Actuarial___Production3[[#This Row],[Kor1]],$AI$3:$AK$105,3,FALSE)</f>
        <v>Misc. Expense</v>
      </c>
      <c r="AF8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8" spans="18:32" x14ac:dyDescent="0.2">
      <c r="R8288" t="s">
        <v>13</v>
      </c>
      <c r="S8288" t="s">
        <v>235</v>
      </c>
      <c r="T8288" t="s">
        <v>442</v>
      </c>
      <c r="U8288" s="21">
        <v>29809.05</v>
      </c>
      <c r="V8288" s="21" t="s">
        <v>368</v>
      </c>
      <c r="W8288" t="str">
        <f>VLOOKUP(Table_Query_from_Actuarial___Production[[#This Row],[Kor1]],$AI$3:$AK$105,3,FALSE)</f>
        <v>Operating Service Fees</v>
      </c>
      <c r="X8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8"/>
      <c r="Z8288" t="s">
        <v>41</v>
      </c>
      <c r="AA8288" t="s">
        <v>234</v>
      </c>
      <c r="AB8288" t="s">
        <v>427</v>
      </c>
      <c r="AC8288" s="21">
        <v>100.01</v>
      </c>
      <c r="AD8288" s="21" t="s">
        <v>368</v>
      </c>
      <c r="AE8288" t="str">
        <f>VLOOKUP(Table_Query_from_Actuarial___Production3[[#This Row],[Kor1]],$AI$3:$AK$105,3,FALSE)</f>
        <v>Misc. Income</v>
      </c>
      <c r="AF8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89" spans="18:32" x14ac:dyDescent="0.2">
      <c r="R8289" t="s">
        <v>41</v>
      </c>
      <c r="S8289" t="s">
        <v>253</v>
      </c>
      <c r="T8289" t="s">
        <v>351</v>
      </c>
      <c r="U8289" s="21">
        <v>350</v>
      </c>
      <c r="V8289" s="21" t="s">
        <v>368</v>
      </c>
      <c r="W8289" t="str">
        <f>VLOOKUP(Table_Query_from_Actuarial___Production[[#This Row],[Kor1]],$AI$3:$AK$105,3,FALSE)</f>
        <v>Misc. Income</v>
      </c>
      <c r="X8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89"/>
      <c r="Z8289" t="s">
        <v>39</v>
      </c>
      <c r="AA8289" t="s">
        <v>267</v>
      </c>
      <c r="AB8289" t="s">
        <v>351</v>
      </c>
      <c r="AC8289" s="21">
        <v>3965</v>
      </c>
      <c r="AD8289" s="21" t="s">
        <v>368</v>
      </c>
      <c r="AE8289" t="str">
        <f>VLOOKUP(Table_Query_from_Actuarial___Production3[[#This Row],[Kor1]],$AI$3:$AK$105,3,FALSE)</f>
        <v>Misc. Income for Insolvent Companies</v>
      </c>
      <c r="AF8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0" spans="18:32" x14ac:dyDescent="0.2">
      <c r="R8290" t="s">
        <v>50</v>
      </c>
      <c r="S8290" t="s">
        <v>263</v>
      </c>
      <c r="T8290" t="s">
        <v>433</v>
      </c>
      <c r="U8290" s="21">
        <v>2251.37</v>
      </c>
      <c r="V8290" s="21" t="s">
        <v>368</v>
      </c>
      <c r="W8290" t="str">
        <f>VLOOKUP(Table_Query_from_Actuarial___Production[[#This Row],[Kor1]],$AI$3:$AK$105,3,FALSE)</f>
        <v>ALAE Reserve</v>
      </c>
      <c r="X8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0"/>
      <c r="Z8290" t="s">
        <v>3</v>
      </c>
      <c r="AA8290" t="s">
        <v>260</v>
      </c>
      <c r="AB8290" t="s">
        <v>441</v>
      </c>
      <c r="AC8290" s="21">
        <v>43617</v>
      </c>
      <c r="AD8290" s="21" t="s">
        <v>368</v>
      </c>
      <c r="AE8290" t="str">
        <f>VLOOKUP(Table_Query_from_Actuarial___Production3[[#This Row],[Kor1]],$AI$3:$AK$105,3,FALSE)</f>
        <v>Premiums Written</v>
      </c>
      <c r="AF8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1" spans="18:32" x14ac:dyDescent="0.2">
      <c r="R8291" t="s">
        <v>3</v>
      </c>
      <c r="S8291" t="s">
        <v>266</v>
      </c>
      <c r="T8291" t="s">
        <v>356</v>
      </c>
      <c r="U8291" s="21">
        <v>462590</v>
      </c>
      <c r="V8291" s="21" t="s">
        <v>368</v>
      </c>
      <c r="W8291" t="str">
        <f>VLOOKUP(Table_Query_from_Actuarial___Production[[#This Row],[Kor1]],$AI$3:$AK$105,3,FALSE)</f>
        <v>Premiums Written</v>
      </c>
      <c r="X8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1"/>
      <c r="Z8291" t="s">
        <v>14</v>
      </c>
      <c r="AA8291" t="s">
        <v>238</v>
      </c>
      <c r="AB8291" t="s">
        <v>442</v>
      </c>
      <c r="AC8291" s="21">
        <v>75206.58</v>
      </c>
      <c r="AD8291" s="21" t="s">
        <v>368</v>
      </c>
      <c r="AE8291" t="str">
        <f>VLOOKUP(Table_Query_from_Actuarial___Production3[[#This Row],[Kor1]],$AI$3:$AK$105,3,FALSE)</f>
        <v>Claims Expense</v>
      </c>
      <c r="AF8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2" spans="18:32" x14ac:dyDescent="0.2">
      <c r="R8292" t="s">
        <v>14</v>
      </c>
      <c r="S8292" t="s">
        <v>225</v>
      </c>
      <c r="T8292" t="s">
        <v>427</v>
      </c>
      <c r="U8292" s="21">
        <v>46068</v>
      </c>
      <c r="V8292" s="21" t="s">
        <v>369</v>
      </c>
      <c r="W8292" t="str">
        <f>VLOOKUP(Table_Query_from_Actuarial___Production[[#This Row],[Kor1]],$AI$3:$AK$105,3,FALSE)</f>
        <v>Claims Expense</v>
      </c>
      <c r="X8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292"/>
      <c r="Z8292" t="s">
        <v>49</v>
      </c>
      <c r="AA8292" t="s">
        <v>228</v>
      </c>
      <c r="AB8292" t="s">
        <v>427</v>
      </c>
      <c r="AC8292" s="21">
        <v>150971.99</v>
      </c>
      <c r="AD8292" s="21" t="s">
        <v>368</v>
      </c>
      <c r="AE8292" t="str">
        <f>VLOOKUP(Table_Query_from_Actuarial___Production3[[#This Row],[Kor1]],$AI$3:$AK$105,3,FALSE)</f>
        <v>ALAE Paid</v>
      </c>
      <c r="AF8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3" spans="18:32" x14ac:dyDescent="0.2">
      <c r="R8293" t="s">
        <v>34</v>
      </c>
      <c r="S8293" t="s">
        <v>252</v>
      </c>
      <c r="T8293" t="s">
        <v>427</v>
      </c>
      <c r="U8293" s="21">
        <v>24559.759999999998</v>
      </c>
      <c r="V8293" s="21" t="s">
        <v>368</v>
      </c>
      <c r="W8293" t="str">
        <f>VLOOKUP(Table_Query_from_Actuarial___Production[[#This Row],[Kor1]],$AI$3:$AK$105,3,FALSE)</f>
        <v>Misc. Expense</v>
      </c>
      <c r="X8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3"/>
      <c r="Z8293" t="s">
        <v>47</v>
      </c>
      <c r="AA8293" t="s">
        <v>240</v>
      </c>
      <c r="AB8293" t="s">
        <v>6</v>
      </c>
      <c r="AC8293" s="21">
        <v>0.08</v>
      </c>
      <c r="AD8293" s="21" t="s">
        <v>368</v>
      </c>
      <c r="AE8293" t="str">
        <f>VLOOKUP(Table_Query_from_Actuarial___Production3[[#This Row],[Kor1]],$AI$3:$AK$105,3,FALSE)</f>
        <v>Investment Income</v>
      </c>
      <c r="AF8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4" spans="18:32" x14ac:dyDescent="0.2">
      <c r="R8294" t="s">
        <v>39</v>
      </c>
      <c r="S8294" t="s">
        <v>259</v>
      </c>
      <c r="T8294" t="s">
        <v>9</v>
      </c>
      <c r="U8294" s="21">
        <v>3.99</v>
      </c>
      <c r="V8294" s="21" t="s">
        <v>368</v>
      </c>
      <c r="W8294" t="str">
        <f>VLOOKUP(Table_Query_from_Actuarial___Production[[#This Row],[Kor1]],$AI$3:$AK$105,3,FALSE)</f>
        <v>Misc. Income for Insolvent Companies</v>
      </c>
      <c r="X8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4"/>
      <c r="Z8294" t="s">
        <v>33</v>
      </c>
      <c r="AA8294" t="s">
        <v>256</v>
      </c>
      <c r="AB8294" t="s">
        <v>356</v>
      </c>
      <c r="AC8294" s="21">
        <v>13985.62</v>
      </c>
      <c r="AD8294" s="21" t="s">
        <v>368</v>
      </c>
      <c r="AE8294" t="str">
        <f>VLOOKUP(Table_Query_from_Actuarial___Production3[[#This Row],[Kor1]],$AI$3:$AK$105,3,FALSE)</f>
        <v>Misc. Expense</v>
      </c>
      <c r="AF8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5" spans="18:32" x14ac:dyDescent="0.2">
      <c r="R8295" t="s">
        <v>31</v>
      </c>
      <c r="S8295" t="s">
        <v>231</v>
      </c>
      <c r="T8295" t="s">
        <v>9</v>
      </c>
      <c r="U8295" s="21">
        <v>579.5</v>
      </c>
      <c r="V8295" s="21" t="s">
        <v>368</v>
      </c>
      <c r="W8295" t="str">
        <f>VLOOKUP(Table_Query_from_Actuarial___Production[[#This Row],[Kor1]],$AI$3:$AK$105,3,FALSE)</f>
        <v>Misc. Expense</v>
      </c>
      <c r="X8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5"/>
      <c r="Z8295" t="s">
        <v>48</v>
      </c>
      <c r="AA8295" t="s">
        <v>227</v>
      </c>
      <c r="AB8295" t="s">
        <v>442</v>
      </c>
      <c r="AC8295" s="21">
        <v>5.04</v>
      </c>
      <c r="AD8295" s="21" t="s">
        <v>368</v>
      </c>
      <c r="AE8295" t="str">
        <f>VLOOKUP(Table_Query_from_Actuarial___Production3[[#This Row],[Kor1]],$AI$3:$AK$105,3,FALSE)</f>
        <v>Anticipated Salvage</v>
      </c>
      <c r="AF8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6" spans="18:32" x14ac:dyDescent="0.2">
      <c r="R8296" t="s">
        <v>19</v>
      </c>
      <c r="S8296" t="s">
        <v>243</v>
      </c>
      <c r="T8296" t="s">
        <v>351</v>
      </c>
      <c r="U8296" s="21">
        <v>680</v>
      </c>
      <c r="V8296" s="21" t="s">
        <v>368</v>
      </c>
      <c r="W8296" t="str">
        <f>VLOOKUP(Table_Query_from_Actuarial___Production[[#This Row],[Kor1]],$AI$3:$AK$105,3,FALSE)</f>
        <v>Misc. Expense for Insolvent Companies</v>
      </c>
      <c r="X8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6"/>
      <c r="Z8296" t="s">
        <v>10</v>
      </c>
      <c r="AA8296" t="s">
        <v>352</v>
      </c>
      <c r="AB8296" t="s">
        <v>427</v>
      </c>
      <c r="AC8296" s="21">
        <v>7532.56</v>
      </c>
      <c r="AD8296" s="21" t="s">
        <v>369</v>
      </c>
      <c r="AE8296" t="str">
        <f>VLOOKUP(Table_Query_from_Actuarial___Production3[[#This Row],[Kor1]],$AI$3:$AK$105,3,FALSE)</f>
        <v>Commissions</v>
      </c>
      <c r="AF8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297" spans="18:32" x14ac:dyDescent="0.2">
      <c r="R8297" t="s">
        <v>34</v>
      </c>
      <c r="S8297" t="s">
        <v>240</v>
      </c>
      <c r="T8297" t="s">
        <v>445</v>
      </c>
      <c r="U8297" s="21">
        <v>14561.95</v>
      </c>
      <c r="V8297" s="21" t="s">
        <v>368</v>
      </c>
      <c r="W8297" t="str">
        <f>VLOOKUP(Table_Query_from_Actuarial___Production[[#This Row],[Kor1]],$AI$3:$AK$105,3,FALSE)</f>
        <v>Misc. Expense</v>
      </c>
      <c r="X8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7"/>
      <c r="Z8297" t="s">
        <v>40</v>
      </c>
      <c r="AA8297" t="s">
        <v>260</v>
      </c>
      <c r="AB8297" t="s">
        <v>427</v>
      </c>
      <c r="AC8297" s="21">
        <v>5</v>
      </c>
      <c r="AD8297" s="21" t="s">
        <v>368</v>
      </c>
      <c r="AE8297" t="str">
        <f>VLOOKUP(Table_Query_from_Actuarial___Production3[[#This Row],[Kor1]],$AI$3:$AK$105,3,FALSE)</f>
        <v>Misc. Income</v>
      </c>
      <c r="AF8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8" spans="18:32" x14ac:dyDescent="0.2">
      <c r="R8298" t="s">
        <v>44</v>
      </c>
      <c r="S8298" t="s">
        <v>250</v>
      </c>
      <c r="T8298" t="s">
        <v>8</v>
      </c>
      <c r="U8298" s="21">
        <v>13.39</v>
      </c>
      <c r="V8298" s="21" t="s">
        <v>368</v>
      </c>
      <c r="W8298" t="str">
        <f>VLOOKUP(Table_Query_from_Actuarial___Production[[#This Row],[Kor1]],$AI$3:$AK$105,3,FALSE)</f>
        <v>Charge-offs</v>
      </c>
      <c r="X8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8"/>
      <c r="Z8298" t="s">
        <v>14</v>
      </c>
      <c r="AA8298" t="s">
        <v>251</v>
      </c>
      <c r="AB8298" t="s">
        <v>442</v>
      </c>
      <c r="AC8298" s="21">
        <v>37241.870000000003</v>
      </c>
      <c r="AD8298" s="21" t="s">
        <v>368</v>
      </c>
      <c r="AE8298" t="str">
        <f>VLOOKUP(Table_Query_from_Actuarial___Production3[[#This Row],[Kor1]],$AI$3:$AK$105,3,FALSE)</f>
        <v>Claims Expense</v>
      </c>
      <c r="AF8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299" spans="18:32" x14ac:dyDescent="0.2">
      <c r="R8299" t="s">
        <v>49</v>
      </c>
      <c r="S8299" t="s">
        <v>239</v>
      </c>
      <c r="T8299" t="s">
        <v>442</v>
      </c>
      <c r="U8299" s="21">
        <v>38392.879999999997</v>
      </c>
      <c r="V8299" s="21" t="s">
        <v>368</v>
      </c>
      <c r="W8299" t="str">
        <f>VLOOKUP(Table_Query_from_Actuarial___Production[[#This Row],[Kor1]],$AI$3:$AK$105,3,FALSE)</f>
        <v>ALAE Paid</v>
      </c>
      <c r="X8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299"/>
      <c r="Z8299" t="s">
        <v>13</v>
      </c>
      <c r="AA8299" t="s">
        <v>235</v>
      </c>
      <c r="AB8299" t="s">
        <v>442</v>
      </c>
      <c r="AC8299" s="21">
        <v>30913.17</v>
      </c>
      <c r="AD8299" s="21" t="s">
        <v>368</v>
      </c>
      <c r="AE8299" t="str">
        <f>VLOOKUP(Table_Query_from_Actuarial___Production3[[#This Row],[Kor1]],$AI$3:$AK$105,3,FALSE)</f>
        <v>Operating Service Fees</v>
      </c>
      <c r="AF8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0" spans="18:32" x14ac:dyDescent="0.2">
      <c r="R8300" t="s">
        <v>12</v>
      </c>
      <c r="S8300" t="s">
        <v>232</v>
      </c>
      <c r="T8300" t="s">
        <v>445</v>
      </c>
      <c r="U8300" s="21">
        <v>23497.41</v>
      </c>
      <c r="V8300" s="21" t="s">
        <v>368</v>
      </c>
      <c r="W8300" t="str">
        <f>VLOOKUP(Table_Query_from_Actuarial___Production[[#This Row],[Kor1]],$AI$3:$AK$105,3,FALSE)</f>
        <v>Premium Tax</v>
      </c>
      <c r="X8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0"/>
      <c r="Z8300" t="s">
        <v>41</v>
      </c>
      <c r="AA8300" t="s">
        <v>253</v>
      </c>
      <c r="AB8300" t="s">
        <v>351</v>
      </c>
      <c r="AC8300" s="21">
        <v>350</v>
      </c>
      <c r="AD8300" s="21" t="s">
        <v>368</v>
      </c>
      <c r="AE8300" t="str">
        <f>VLOOKUP(Table_Query_from_Actuarial___Production3[[#This Row],[Kor1]],$AI$3:$AK$105,3,FALSE)</f>
        <v>Misc. Income</v>
      </c>
      <c r="AF8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1" spans="18:32" x14ac:dyDescent="0.2">
      <c r="R8301" t="s">
        <v>19</v>
      </c>
      <c r="S8301" t="s">
        <v>266</v>
      </c>
      <c r="T8301" t="s">
        <v>351</v>
      </c>
      <c r="U8301" s="21">
        <v>326</v>
      </c>
      <c r="V8301" s="21" t="s">
        <v>368</v>
      </c>
      <c r="W8301" t="str">
        <f>VLOOKUP(Table_Query_from_Actuarial___Production[[#This Row],[Kor1]],$AI$3:$AK$105,3,FALSE)</f>
        <v>Misc. Expense for Insolvent Companies</v>
      </c>
      <c r="X8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1"/>
      <c r="Z8301" t="s">
        <v>19</v>
      </c>
      <c r="AA8301" t="s">
        <v>263</v>
      </c>
      <c r="AB8301" t="s">
        <v>5</v>
      </c>
      <c r="AC8301" s="21">
        <v>267</v>
      </c>
      <c r="AD8301" s="21" t="s">
        <v>368</v>
      </c>
      <c r="AE8301" t="str">
        <f>VLOOKUP(Table_Query_from_Actuarial___Production3[[#This Row],[Kor1]],$AI$3:$AK$105,3,FALSE)</f>
        <v>Misc. Expense for Insolvent Companies</v>
      </c>
      <c r="AF8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2" spans="18:32" x14ac:dyDescent="0.2">
      <c r="R8302" t="s">
        <v>43</v>
      </c>
      <c r="S8302" t="s">
        <v>239</v>
      </c>
      <c r="T8302" t="s">
        <v>442</v>
      </c>
      <c r="U8302" s="21">
        <v>109.58</v>
      </c>
      <c r="V8302" s="21" t="s">
        <v>368</v>
      </c>
      <c r="W8302" t="str">
        <f>VLOOKUP(Table_Query_from_Actuarial___Production[[#This Row],[Kor1]],$AI$3:$AK$105,3,FALSE)</f>
        <v>Charge-offs</v>
      </c>
      <c r="X8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2"/>
      <c r="Z8302" t="s">
        <v>50</v>
      </c>
      <c r="AA8302" t="s">
        <v>263</v>
      </c>
      <c r="AB8302" t="s">
        <v>433</v>
      </c>
      <c r="AC8302" s="21">
        <v>12225.53</v>
      </c>
      <c r="AD8302" s="21" t="s">
        <v>368</v>
      </c>
      <c r="AE8302" t="str">
        <f>VLOOKUP(Table_Query_from_Actuarial___Production3[[#This Row],[Kor1]],$AI$3:$AK$105,3,FALSE)</f>
        <v>ALAE Reserve</v>
      </c>
      <c r="AF8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3" spans="18:32" x14ac:dyDescent="0.2">
      <c r="R8303" t="s">
        <v>13</v>
      </c>
      <c r="S8303" t="s">
        <v>249</v>
      </c>
      <c r="T8303" t="s">
        <v>8</v>
      </c>
      <c r="U8303" s="21">
        <v>113351.03999999999</v>
      </c>
      <c r="V8303" s="21" t="s">
        <v>368</v>
      </c>
      <c r="W8303" t="str">
        <f>VLOOKUP(Table_Query_from_Actuarial___Production[[#This Row],[Kor1]],$AI$3:$AK$105,3,FALSE)</f>
        <v>Operating Service Fees</v>
      </c>
      <c r="X8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3"/>
      <c r="Z8303" t="s">
        <v>14</v>
      </c>
      <c r="AA8303" t="s">
        <v>265</v>
      </c>
      <c r="AB8303" t="s">
        <v>5</v>
      </c>
      <c r="AC8303" s="21">
        <v>8450.5499999999993</v>
      </c>
      <c r="AD8303" s="21" t="s">
        <v>368</v>
      </c>
      <c r="AE8303" t="str">
        <f>VLOOKUP(Table_Query_from_Actuarial___Production3[[#This Row],[Kor1]],$AI$3:$AK$105,3,FALSE)</f>
        <v>Claims Expense</v>
      </c>
      <c r="AF8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4" spans="18:32" x14ac:dyDescent="0.2">
      <c r="R8304" t="s">
        <v>20</v>
      </c>
      <c r="S8304" t="s">
        <v>245</v>
      </c>
      <c r="T8304" t="s">
        <v>8</v>
      </c>
      <c r="U8304" s="21">
        <v>43.3</v>
      </c>
      <c r="V8304" s="21" t="s">
        <v>368</v>
      </c>
      <c r="W8304" t="str">
        <f>VLOOKUP(Table_Query_from_Actuarial___Production[[#This Row],[Kor1]],$AI$3:$AK$105,3,FALSE)</f>
        <v>Misc. Expense</v>
      </c>
      <c r="X8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4"/>
      <c r="Z8304" t="s">
        <v>3</v>
      </c>
      <c r="AA8304" t="s">
        <v>266</v>
      </c>
      <c r="AB8304" t="s">
        <v>356</v>
      </c>
      <c r="AC8304" s="21">
        <v>462590</v>
      </c>
      <c r="AD8304" s="21" t="s">
        <v>368</v>
      </c>
      <c r="AE8304" t="str">
        <f>VLOOKUP(Table_Query_from_Actuarial___Production3[[#This Row],[Kor1]],$AI$3:$AK$105,3,FALSE)</f>
        <v>Premiums Written</v>
      </c>
      <c r="AF8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5" spans="18:32" x14ac:dyDescent="0.2">
      <c r="R8305" t="s">
        <v>439</v>
      </c>
      <c r="S8305" t="s">
        <v>230</v>
      </c>
      <c r="T8305" t="s">
        <v>443</v>
      </c>
      <c r="U8305" s="21">
        <v>-530657.02</v>
      </c>
      <c r="V8305" s="21" t="s">
        <v>368</v>
      </c>
      <c r="W8305" t="str">
        <f>VLOOKUP(Table_Query_from_Actuarial___Production[[#This Row],[Kor1]],$AI$3:$AK$105,3,FALSE)</f>
        <v>Operating Service Fees</v>
      </c>
      <c r="X8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5"/>
      <c r="Z8305" t="s">
        <v>14</v>
      </c>
      <c r="AA8305" t="s">
        <v>225</v>
      </c>
      <c r="AB8305" t="s">
        <v>427</v>
      </c>
      <c r="AC8305" s="21">
        <v>46125</v>
      </c>
      <c r="AD8305" s="21" t="s">
        <v>369</v>
      </c>
      <c r="AE8305" t="str">
        <f>VLOOKUP(Table_Query_from_Actuarial___Production3[[#This Row],[Kor1]],$AI$3:$AK$105,3,FALSE)</f>
        <v>Claims Expense</v>
      </c>
      <c r="AF8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306" spans="18:32" x14ac:dyDescent="0.2">
      <c r="R8306" t="s">
        <v>3</v>
      </c>
      <c r="S8306" t="s">
        <v>268</v>
      </c>
      <c r="T8306" t="s">
        <v>443</v>
      </c>
      <c r="U8306" s="21">
        <v>8871</v>
      </c>
      <c r="V8306" s="21" t="s">
        <v>368</v>
      </c>
      <c r="W8306" t="str">
        <f>VLOOKUP(Table_Query_from_Actuarial___Production[[#This Row],[Kor1]],$AI$3:$AK$105,3,FALSE)</f>
        <v>Premiums Written</v>
      </c>
      <c r="X8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6"/>
      <c r="Z8306" t="s">
        <v>50</v>
      </c>
      <c r="AA8306" t="s">
        <v>225</v>
      </c>
      <c r="AB8306" t="s">
        <v>427</v>
      </c>
      <c r="AC8306" s="21">
        <v>12955.61</v>
      </c>
      <c r="AD8306" s="21" t="s">
        <v>369</v>
      </c>
      <c r="AE8306" t="str">
        <f>VLOOKUP(Table_Query_from_Actuarial___Production3[[#This Row],[Kor1]],$AI$3:$AK$105,3,FALSE)</f>
        <v>ALAE Reserve</v>
      </c>
      <c r="AF8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307" spans="18:32" x14ac:dyDescent="0.2">
      <c r="R8307" t="s">
        <v>48</v>
      </c>
      <c r="S8307" t="s">
        <v>257</v>
      </c>
      <c r="T8307" t="s">
        <v>433</v>
      </c>
      <c r="U8307" s="21">
        <v>7359.38</v>
      </c>
      <c r="V8307" s="21" t="s">
        <v>368</v>
      </c>
      <c r="W8307" t="str">
        <f>VLOOKUP(Table_Query_from_Actuarial___Production[[#This Row],[Kor1]],$AI$3:$AK$105,3,FALSE)</f>
        <v>Anticipated Salvage</v>
      </c>
      <c r="X8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7"/>
      <c r="Z8307" t="s">
        <v>34</v>
      </c>
      <c r="AA8307" t="s">
        <v>252</v>
      </c>
      <c r="AB8307" t="s">
        <v>427</v>
      </c>
      <c r="AC8307" s="21">
        <v>24559.759999999998</v>
      </c>
      <c r="AD8307" s="21" t="s">
        <v>368</v>
      </c>
      <c r="AE8307" t="str">
        <f>VLOOKUP(Table_Query_from_Actuarial___Production3[[#This Row],[Kor1]],$AI$3:$AK$105,3,FALSE)</f>
        <v>Misc. Expense</v>
      </c>
      <c r="AF8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8" spans="18:32" x14ac:dyDescent="0.2">
      <c r="R8308" t="s">
        <v>47</v>
      </c>
      <c r="S8308" t="s">
        <v>245</v>
      </c>
      <c r="T8308" t="s">
        <v>433</v>
      </c>
      <c r="U8308" s="21">
        <v>189.81</v>
      </c>
      <c r="V8308" s="21" t="s">
        <v>368</v>
      </c>
      <c r="W8308" t="str">
        <f>VLOOKUP(Table_Query_from_Actuarial___Production[[#This Row],[Kor1]],$AI$3:$AK$105,3,FALSE)</f>
        <v>Investment Income</v>
      </c>
      <c r="X8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8"/>
      <c r="Z8308" t="s">
        <v>39</v>
      </c>
      <c r="AA8308" t="s">
        <v>259</v>
      </c>
      <c r="AB8308" t="s">
        <v>9</v>
      </c>
      <c r="AC8308" s="21">
        <v>3.99</v>
      </c>
      <c r="AD8308" s="21" t="s">
        <v>368</v>
      </c>
      <c r="AE8308" t="str">
        <f>VLOOKUP(Table_Query_from_Actuarial___Production3[[#This Row],[Kor1]],$AI$3:$AK$105,3,FALSE)</f>
        <v>Misc. Income for Insolvent Companies</v>
      </c>
      <c r="AF8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09" spans="18:32" x14ac:dyDescent="0.2">
      <c r="R8309" t="s">
        <v>439</v>
      </c>
      <c r="S8309" t="s">
        <v>228</v>
      </c>
      <c r="T8309" t="s">
        <v>443</v>
      </c>
      <c r="U8309" s="21">
        <v>-698.59</v>
      </c>
      <c r="V8309" s="21" t="s">
        <v>368</v>
      </c>
      <c r="W8309" t="str">
        <f>VLOOKUP(Table_Query_from_Actuarial___Production[[#This Row],[Kor1]],$AI$3:$AK$105,3,FALSE)</f>
        <v>Operating Service Fees</v>
      </c>
      <c r="X8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09"/>
      <c r="Z8309" t="s">
        <v>31</v>
      </c>
      <c r="AA8309" t="s">
        <v>231</v>
      </c>
      <c r="AB8309" t="s">
        <v>9</v>
      </c>
      <c r="AC8309" s="21">
        <v>579.5</v>
      </c>
      <c r="AD8309" s="21" t="s">
        <v>368</v>
      </c>
      <c r="AE8309" t="str">
        <f>VLOOKUP(Table_Query_from_Actuarial___Production3[[#This Row],[Kor1]],$AI$3:$AK$105,3,FALSE)</f>
        <v>Misc. Expense</v>
      </c>
      <c r="AF8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0" spans="18:32" x14ac:dyDescent="0.2">
      <c r="R8310" t="s">
        <v>48</v>
      </c>
      <c r="S8310" t="s">
        <v>225</v>
      </c>
      <c r="T8310" t="s">
        <v>433</v>
      </c>
      <c r="U8310" s="21">
        <v>106.97</v>
      </c>
      <c r="V8310" s="21" t="s">
        <v>368</v>
      </c>
      <c r="W8310" t="str">
        <f>VLOOKUP(Table_Query_from_Actuarial___Production[[#This Row],[Kor1]],$AI$3:$AK$105,3,FALSE)</f>
        <v>Anticipated Salvage</v>
      </c>
      <c r="X8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310"/>
      <c r="Z8310" t="s">
        <v>12</v>
      </c>
      <c r="AA8310" t="s">
        <v>260</v>
      </c>
      <c r="AB8310" t="s">
        <v>5</v>
      </c>
      <c r="AC8310" s="21">
        <v>178.4</v>
      </c>
      <c r="AD8310" s="21" t="s">
        <v>368</v>
      </c>
      <c r="AE8310" t="str">
        <f>VLOOKUP(Table_Query_from_Actuarial___Production3[[#This Row],[Kor1]],$AI$3:$AK$105,3,FALSE)</f>
        <v>Premium Tax</v>
      </c>
      <c r="AF8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1" spans="18:32" x14ac:dyDescent="0.2">
      <c r="R8311" t="s">
        <v>37</v>
      </c>
      <c r="S8311" t="s">
        <v>250</v>
      </c>
      <c r="T8311" t="s">
        <v>8</v>
      </c>
      <c r="U8311" s="21">
        <v>589.30999999999995</v>
      </c>
      <c r="V8311" s="21" t="s">
        <v>368</v>
      </c>
      <c r="W8311" t="str">
        <f>VLOOKUP(Table_Query_from_Actuarial___Production[[#This Row],[Kor1]],$AI$3:$AK$105,3,FALSE)</f>
        <v>Misc. Expense</v>
      </c>
      <c r="X8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1"/>
      <c r="Z8311" t="s">
        <v>19</v>
      </c>
      <c r="AA8311" t="s">
        <v>243</v>
      </c>
      <c r="AB8311" t="s">
        <v>351</v>
      </c>
      <c r="AC8311" s="21">
        <v>680</v>
      </c>
      <c r="AD8311" s="21" t="s">
        <v>368</v>
      </c>
      <c r="AE8311" t="str">
        <f>VLOOKUP(Table_Query_from_Actuarial___Production3[[#This Row],[Kor1]],$AI$3:$AK$105,3,FALSE)</f>
        <v>Misc. Expense for Insolvent Companies</v>
      </c>
      <c r="AF8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2" spans="18:32" x14ac:dyDescent="0.2">
      <c r="R8312" t="s">
        <v>41</v>
      </c>
      <c r="S8312" t="s">
        <v>245</v>
      </c>
      <c r="T8312" t="s">
        <v>427</v>
      </c>
      <c r="U8312" s="21">
        <v>50</v>
      </c>
      <c r="V8312" s="21" t="s">
        <v>368</v>
      </c>
      <c r="W8312" t="str">
        <f>VLOOKUP(Table_Query_from_Actuarial___Production[[#This Row],[Kor1]],$AI$3:$AK$105,3,FALSE)</f>
        <v>Misc. Income</v>
      </c>
      <c r="X8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2"/>
      <c r="Z8312" t="s">
        <v>44</v>
      </c>
      <c r="AA8312" t="s">
        <v>250</v>
      </c>
      <c r="AB8312" t="s">
        <v>8</v>
      </c>
      <c r="AC8312" s="21">
        <v>13.39</v>
      </c>
      <c r="AD8312" s="21" t="s">
        <v>368</v>
      </c>
      <c r="AE8312" t="str">
        <f>VLOOKUP(Table_Query_from_Actuarial___Production3[[#This Row],[Kor1]],$AI$3:$AK$105,3,FALSE)</f>
        <v>Charge-offs</v>
      </c>
      <c r="AF8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3" spans="18:32" x14ac:dyDescent="0.2">
      <c r="R8313" t="s">
        <v>439</v>
      </c>
      <c r="S8313" t="s">
        <v>268</v>
      </c>
      <c r="T8313" t="s">
        <v>443</v>
      </c>
      <c r="U8313" s="21">
        <v>-5373.74</v>
      </c>
      <c r="V8313" s="21" t="s">
        <v>368</v>
      </c>
      <c r="W8313" t="str">
        <f>VLOOKUP(Table_Query_from_Actuarial___Production[[#This Row],[Kor1]],$AI$3:$AK$105,3,FALSE)</f>
        <v>Operating Service Fees</v>
      </c>
      <c r="X8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3"/>
      <c r="Z8313" t="s">
        <v>49</v>
      </c>
      <c r="AA8313" t="s">
        <v>239</v>
      </c>
      <c r="AB8313" t="s">
        <v>442</v>
      </c>
      <c r="AC8313" s="21">
        <v>3942.58</v>
      </c>
      <c r="AD8313" s="21" t="s">
        <v>368</v>
      </c>
      <c r="AE8313" t="str">
        <f>VLOOKUP(Table_Query_from_Actuarial___Production3[[#This Row],[Kor1]],$AI$3:$AK$105,3,FALSE)</f>
        <v>ALAE Paid</v>
      </c>
      <c r="AF8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4" spans="18:32" x14ac:dyDescent="0.2">
      <c r="R8314" t="s">
        <v>20</v>
      </c>
      <c r="S8314" t="s">
        <v>235</v>
      </c>
      <c r="T8314" t="s">
        <v>9</v>
      </c>
      <c r="U8314" s="21">
        <v>513.04999999999995</v>
      </c>
      <c r="V8314" s="21" t="s">
        <v>368</v>
      </c>
      <c r="W8314" t="str">
        <f>VLOOKUP(Table_Query_from_Actuarial___Production[[#This Row],[Kor1]],$AI$3:$AK$105,3,FALSE)</f>
        <v>Misc. Expense</v>
      </c>
      <c r="X8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4"/>
      <c r="Z8314" t="s">
        <v>19</v>
      </c>
      <c r="AA8314" t="s">
        <v>266</v>
      </c>
      <c r="AB8314" t="s">
        <v>351</v>
      </c>
      <c r="AC8314" s="21">
        <v>326</v>
      </c>
      <c r="AD8314" s="21" t="s">
        <v>368</v>
      </c>
      <c r="AE8314" t="str">
        <f>VLOOKUP(Table_Query_from_Actuarial___Production3[[#This Row],[Kor1]],$AI$3:$AK$105,3,FALSE)</f>
        <v>Misc. Expense for Insolvent Companies</v>
      </c>
      <c r="AF8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5" spans="18:32" x14ac:dyDescent="0.2">
      <c r="R8315" t="s">
        <v>31</v>
      </c>
      <c r="S8315" t="s">
        <v>255</v>
      </c>
      <c r="T8315" t="s">
        <v>445</v>
      </c>
      <c r="U8315" s="21">
        <v>484.29</v>
      </c>
      <c r="V8315" s="21" t="s">
        <v>368</v>
      </c>
      <c r="W8315" t="str">
        <f>VLOOKUP(Table_Query_from_Actuarial___Production[[#This Row],[Kor1]],$AI$3:$AK$105,3,FALSE)</f>
        <v>Misc. Expense</v>
      </c>
      <c r="X8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5"/>
      <c r="Z8315" t="s">
        <v>13</v>
      </c>
      <c r="AA8315" t="s">
        <v>249</v>
      </c>
      <c r="AB8315" t="s">
        <v>8</v>
      </c>
      <c r="AC8315" s="21">
        <v>113351.03999999999</v>
      </c>
      <c r="AD8315" s="21" t="s">
        <v>368</v>
      </c>
      <c r="AE8315" t="str">
        <f>VLOOKUP(Table_Query_from_Actuarial___Production3[[#This Row],[Kor1]],$AI$3:$AK$105,3,FALSE)</f>
        <v>Operating Service Fees</v>
      </c>
      <c r="AF8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6" spans="18:32" x14ac:dyDescent="0.2">
      <c r="R8316" t="s">
        <v>44</v>
      </c>
      <c r="S8316" t="s">
        <v>237</v>
      </c>
      <c r="T8316" t="s">
        <v>8</v>
      </c>
      <c r="U8316" s="21">
        <v>721789.1</v>
      </c>
      <c r="V8316" s="21" t="s">
        <v>368</v>
      </c>
      <c r="W8316" t="str">
        <f>VLOOKUP(Table_Query_from_Actuarial___Production[[#This Row],[Kor1]],$AI$3:$AK$105,3,FALSE)</f>
        <v>Charge-offs</v>
      </c>
      <c r="X8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6"/>
      <c r="Z8316" t="s">
        <v>20</v>
      </c>
      <c r="AA8316" t="s">
        <v>245</v>
      </c>
      <c r="AB8316" t="s">
        <v>8</v>
      </c>
      <c r="AC8316" s="21">
        <v>43.3</v>
      </c>
      <c r="AD8316" s="21" t="s">
        <v>368</v>
      </c>
      <c r="AE8316" t="str">
        <f>VLOOKUP(Table_Query_from_Actuarial___Production3[[#This Row],[Kor1]],$AI$3:$AK$105,3,FALSE)</f>
        <v>Misc. Expense</v>
      </c>
      <c r="AF8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7" spans="18:32" x14ac:dyDescent="0.2">
      <c r="R8317" t="s">
        <v>3</v>
      </c>
      <c r="S8317" t="s">
        <v>264</v>
      </c>
      <c r="T8317" t="s">
        <v>443</v>
      </c>
      <c r="U8317" s="21">
        <v>4389190</v>
      </c>
      <c r="V8317" s="21" t="s">
        <v>368</v>
      </c>
      <c r="W8317" t="str">
        <f>VLOOKUP(Table_Query_from_Actuarial___Production[[#This Row],[Kor1]],$AI$3:$AK$105,3,FALSE)</f>
        <v>Premiums Written</v>
      </c>
      <c r="X8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7"/>
      <c r="Z8317" t="s">
        <v>439</v>
      </c>
      <c r="AA8317" t="s">
        <v>230</v>
      </c>
      <c r="AB8317" t="s">
        <v>443</v>
      </c>
      <c r="AC8317" s="21">
        <v>-530657.02</v>
      </c>
      <c r="AD8317" s="21" t="s">
        <v>368</v>
      </c>
      <c r="AE8317" t="str">
        <f>VLOOKUP(Table_Query_from_Actuarial___Production3[[#This Row],[Kor1]],$AI$3:$AK$105,3,FALSE)</f>
        <v>Operating Service Fees</v>
      </c>
      <c r="AF8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8" spans="18:32" x14ac:dyDescent="0.2">
      <c r="R8318" t="s">
        <v>17</v>
      </c>
      <c r="S8318" t="s">
        <v>262</v>
      </c>
      <c r="T8318" t="s">
        <v>445</v>
      </c>
      <c r="U8318" s="21">
        <v>25877.82</v>
      </c>
      <c r="V8318" s="21" t="s">
        <v>368</v>
      </c>
      <c r="W8318" t="str">
        <f>VLOOKUP(Table_Query_from_Actuarial___Production[[#This Row],[Kor1]],$AI$3:$AK$105,3,FALSE)</f>
        <v>IBNR</v>
      </c>
      <c r="X8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8"/>
      <c r="Z8318" t="s">
        <v>3</v>
      </c>
      <c r="AA8318" t="s">
        <v>268</v>
      </c>
      <c r="AB8318" t="s">
        <v>443</v>
      </c>
      <c r="AC8318" s="21">
        <v>134</v>
      </c>
      <c r="AD8318" s="21" t="s">
        <v>368</v>
      </c>
      <c r="AE8318" t="str">
        <f>VLOOKUP(Table_Query_from_Actuarial___Production3[[#This Row],[Kor1]],$AI$3:$AK$105,3,FALSE)</f>
        <v>Premiums Written</v>
      </c>
      <c r="AF8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19" spans="18:32" x14ac:dyDescent="0.2">
      <c r="R8319" t="s">
        <v>41</v>
      </c>
      <c r="S8319" t="s">
        <v>4</v>
      </c>
      <c r="T8319" t="s">
        <v>433</v>
      </c>
      <c r="U8319" s="21">
        <v>767.41</v>
      </c>
      <c r="V8319" s="21" t="s">
        <v>368</v>
      </c>
      <c r="W8319" t="str">
        <f>VLOOKUP(Table_Query_from_Actuarial___Production[[#This Row],[Kor1]],$AI$3:$AK$105,3,FALSE)</f>
        <v>Misc. Income</v>
      </c>
      <c r="X8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19"/>
      <c r="Z8319" t="s">
        <v>50</v>
      </c>
      <c r="AA8319" t="s">
        <v>225</v>
      </c>
      <c r="AB8319" t="s">
        <v>441</v>
      </c>
      <c r="AC8319" s="21">
        <v>100</v>
      </c>
      <c r="AD8319" s="21" t="s">
        <v>368</v>
      </c>
      <c r="AE8319" t="str">
        <f>VLOOKUP(Table_Query_from_Actuarial___Production3[[#This Row],[Kor1]],$AI$3:$AK$105,3,FALSE)</f>
        <v>ALAE Reserve</v>
      </c>
      <c r="AF8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320" spans="18:32" x14ac:dyDescent="0.2">
      <c r="R8320" t="s">
        <v>3</v>
      </c>
      <c r="S8320" t="s">
        <v>263</v>
      </c>
      <c r="T8320" t="s">
        <v>427</v>
      </c>
      <c r="U8320" s="21">
        <v>508377</v>
      </c>
      <c r="V8320" s="21" t="s">
        <v>368</v>
      </c>
      <c r="W8320" t="str">
        <f>VLOOKUP(Table_Query_from_Actuarial___Production[[#This Row],[Kor1]],$AI$3:$AK$105,3,FALSE)</f>
        <v>Premiums Written</v>
      </c>
      <c r="X8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0"/>
      <c r="Z8320" t="s">
        <v>48</v>
      </c>
      <c r="AA8320" t="s">
        <v>257</v>
      </c>
      <c r="AB8320" t="s">
        <v>433</v>
      </c>
      <c r="AC8320" s="21">
        <v>19043.04</v>
      </c>
      <c r="AD8320" s="21" t="s">
        <v>368</v>
      </c>
      <c r="AE8320" t="str">
        <f>VLOOKUP(Table_Query_from_Actuarial___Production3[[#This Row],[Kor1]],$AI$3:$AK$105,3,FALSE)</f>
        <v>Anticipated Salvage</v>
      </c>
      <c r="AF8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1" spans="18:32" x14ac:dyDescent="0.2">
      <c r="R8321" t="s">
        <v>39</v>
      </c>
      <c r="S8321" t="s">
        <v>244</v>
      </c>
      <c r="T8321" t="s">
        <v>351</v>
      </c>
      <c r="U8321" s="21">
        <v>5165</v>
      </c>
      <c r="V8321" s="21" t="s">
        <v>368</v>
      </c>
      <c r="W8321" t="str">
        <f>VLOOKUP(Table_Query_from_Actuarial___Production[[#This Row],[Kor1]],$AI$3:$AK$105,3,FALSE)</f>
        <v>Misc. Income for Insolvent Companies</v>
      </c>
      <c r="X8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1"/>
      <c r="Z8321" t="s">
        <v>47</v>
      </c>
      <c r="AA8321" t="s">
        <v>245</v>
      </c>
      <c r="AB8321" t="s">
        <v>433</v>
      </c>
      <c r="AC8321" s="21">
        <v>189.81</v>
      </c>
      <c r="AD8321" s="21" t="s">
        <v>368</v>
      </c>
      <c r="AE8321" t="str">
        <f>VLOOKUP(Table_Query_from_Actuarial___Production3[[#This Row],[Kor1]],$AI$3:$AK$105,3,FALSE)</f>
        <v>Investment Income</v>
      </c>
      <c r="AF8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2" spans="18:32" x14ac:dyDescent="0.2">
      <c r="R8322" t="s">
        <v>10</v>
      </c>
      <c r="S8322" t="s">
        <v>224</v>
      </c>
      <c r="T8322" t="s">
        <v>7</v>
      </c>
      <c r="U8322" s="21">
        <v>9396.89</v>
      </c>
      <c r="V8322" s="21" t="s">
        <v>425</v>
      </c>
      <c r="W8322" t="str">
        <f>VLOOKUP(Table_Query_from_Actuarial___Production[[#This Row],[Kor1]],$AI$3:$AK$105,3,FALSE)</f>
        <v>Commissions</v>
      </c>
      <c r="X8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322"/>
      <c r="Z8322" t="s">
        <v>439</v>
      </c>
      <c r="AA8322" t="s">
        <v>228</v>
      </c>
      <c r="AB8322" t="s">
        <v>443</v>
      </c>
      <c r="AC8322" s="21">
        <v>-698.59</v>
      </c>
      <c r="AD8322" s="21" t="s">
        <v>368</v>
      </c>
      <c r="AE8322" t="str">
        <f>VLOOKUP(Table_Query_from_Actuarial___Production3[[#This Row],[Kor1]],$AI$3:$AK$105,3,FALSE)</f>
        <v>Operating Service Fees</v>
      </c>
      <c r="AF8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3" spans="18:32" x14ac:dyDescent="0.2">
      <c r="R8323" t="s">
        <v>12</v>
      </c>
      <c r="S8323" t="s">
        <v>230</v>
      </c>
      <c r="T8323" t="s">
        <v>356</v>
      </c>
      <c r="U8323" s="21">
        <v>640743.96</v>
      </c>
      <c r="V8323" s="21" t="s">
        <v>368</v>
      </c>
      <c r="W8323" t="str">
        <f>VLOOKUP(Table_Query_from_Actuarial___Production[[#This Row],[Kor1]],$AI$3:$AK$105,3,FALSE)</f>
        <v>Premium Tax</v>
      </c>
      <c r="X8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3"/>
      <c r="Z8323" t="s">
        <v>48</v>
      </c>
      <c r="AA8323" t="s">
        <v>225</v>
      </c>
      <c r="AB8323" t="s">
        <v>433</v>
      </c>
      <c r="AC8323" s="21">
        <v>393.27</v>
      </c>
      <c r="AD8323" s="21" t="s">
        <v>368</v>
      </c>
      <c r="AE8323" t="str">
        <f>VLOOKUP(Table_Query_from_Actuarial___Production3[[#This Row],[Kor1]],$AI$3:$AK$105,3,FALSE)</f>
        <v>Anticipated Salvage</v>
      </c>
      <c r="AF8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324" spans="18:32" x14ac:dyDescent="0.2">
      <c r="R8324" t="s">
        <v>13</v>
      </c>
      <c r="S8324" t="s">
        <v>251</v>
      </c>
      <c r="T8324" t="s">
        <v>443</v>
      </c>
      <c r="U8324" s="21">
        <v>100452.51</v>
      </c>
      <c r="V8324" s="21" t="s">
        <v>368</v>
      </c>
      <c r="W8324" t="str">
        <f>VLOOKUP(Table_Query_from_Actuarial___Production[[#This Row],[Kor1]],$AI$3:$AK$105,3,FALSE)</f>
        <v>Operating Service Fees</v>
      </c>
      <c r="X8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4"/>
      <c r="Z8324" t="s">
        <v>37</v>
      </c>
      <c r="AA8324" t="s">
        <v>250</v>
      </c>
      <c r="AB8324" t="s">
        <v>8</v>
      </c>
      <c r="AC8324" s="21">
        <v>589.30999999999995</v>
      </c>
      <c r="AD8324" s="21" t="s">
        <v>368</v>
      </c>
      <c r="AE8324" t="str">
        <f>VLOOKUP(Table_Query_from_Actuarial___Production3[[#This Row],[Kor1]],$AI$3:$AK$105,3,FALSE)</f>
        <v>Misc. Expense</v>
      </c>
      <c r="AF8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5" spans="18:32" x14ac:dyDescent="0.2">
      <c r="R8325" t="s">
        <v>17</v>
      </c>
      <c r="S8325" t="s">
        <v>252</v>
      </c>
      <c r="T8325" t="s">
        <v>442</v>
      </c>
      <c r="U8325" s="21">
        <v>6521328.8300000001</v>
      </c>
      <c r="V8325" s="21" t="s">
        <v>368</v>
      </c>
      <c r="W8325" t="str">
        <f>VLOOKUP(Table_Query_from_Actuarial___Production[[#This Row],[Kor1]],$AI$3:$AK$105,3,FALSE)</f>
        <v>IBNR</v>
      </c>
      <c r="X8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5"/>
      <c r="Z8325" t="s">
        <v>41</v>
      </c>
      <c r="AA8325" t="s">
        <v>245</v>
      </c>
      <c r="AB8325" t="s">
        <v>427</v>
      </c>
      <c r="AC8325" s="21">
        <v>50</v>
      </c>
      <c r="AD8325" s="21" t="s">
        <v>368</v>
      </c>
      <c r="AE8325" t="str">
        <f>VLOOKUP(Table_Query_from_Actuarial___Production3[[#This Row],[Kor1]],$AI$3:$AK$105,3,FALSE)</f>
        <v>Misc. Income</v>
      </c>
      <c r="AF8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6" spans="18:32" x14ac:dyDescent="0.2">
      <c r="R8326" t="s">
        <v>14</v>
      </c>
      <c r="S8326" t="s">
        <v>255</v>
      </c>
      <c r="T8326" t="s">
        <v>351</v>
      </c>
      <c r="U8326" s="21">
        <v>7579.76</v>
      </c>
      <c r="V8326" s="21" t="s">
        <v>368</v>
      </c>
      <c r="W8326" t="str">
        <f>VLOOKUP(Table_Query_from_Actuarial___Production[[#This Row],[Kor1]],$AI$3:$AK$105,3,FALSE)</f>
        <v>Claims Expense</v>
      </c>
      <c r="X8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6"/>
      <c r="Z8326" t="s">
        <v>439</v>
      </c>
      <c r="AA8326" t="s">
        <v>268</v>
      </c>
      <c r="AB8326" t="s">
        <v>443</v>
      </c>
      <c r="AC8326" s="21">
        <v>-5373.74</v>
      </c>
      <c r="AD8326" s="21" t="s">
        <v>368</v>
      </c>
      <c r="AE8326" t="str">
        <f>VLOOKUP(Table_Query_from_Actuarial___Production3[[#This Row],[Kor1]],$AI$3:$AK$105,3,FALSE)</f>
        <v>Operating Service Fees</v>
      </c>
      <c r="AF8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7" spans="18:32" x14ac:dyDescent="0.2">
      <c r="R8327" t="s">
        <v>11</v>
      </c>
      <c r="S8327" t="s">
        <v>258</v>
      </c>
      <c r="T8327" t="s">
        <v>441</v>
      </c>
      <c r="U8327" s="21">
        <v>1384168.08</v>
      </c>
      <c r="V8327" s="21" t="s">
        <v>368</v>
      </c>
      <c r="W8327" t="str">
        <f>VLOOKUP(Table_Query_from_Actuarial___Production[[#This Row],[Kor1]],$AI$3:$AK$105,3,FALSE)</f>
        <v>Losses Paid</v>
      </c>
      <c r="X8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7"/>
      <c r="Z8327" t="s">
        <v>20</v>
      </c>
      <c r="AA8327" t="s">
        <v>235</v>
      </c>
      <c r="AB8327" t="s">
        <v>9</v>
      </c>
      <c r="AC8327" s="21">
        <v>513.04999999999995</v>
      </c>
      <c r="AD8327" s="21" t="s">
        <v>368</v>
      </c>
      <c r="AE8327" t="str">
        <f>VLOOKUP(Table_Query_from_Actuarial___Production3[[#This Row],[Kor1]],$AI$3:$AK$105,3,FALSE)</f>
        <v>Misc. Expense</v>
      </c>
      <c r="AF8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8" spans="18:32" x14ac:dyDescent="0.2">
      <c r="R8328" t="s">
        <v>40</v>
      </c>
      <c r="S8328" t="s">
        <v>227</v>
      </c>
      <c r="T8328" t="s">
        <v>6</v>
      </c>
      <c r="U8328" s="21">
        <v>4.99</v>
      </c>
      <c r="V8328" s="21" t="s">
        <v>368</v>
      </c>
      <c r="W8328" t="str">
        <f>VLOOKUP(Table_Query_from_Actuarial___Production[[#This Row],[Kor1]],$AI$3:$AK$105,3,FALSE)</f>
        <v>Misc. Income</v>
      </c>
      <c r="X8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8"/>
      <c r="Z8328" t="s">
        <v>44</v>
      </c>
      <c r="AA8328" t="s">
        <v>237</v>
      </c>
      <c r="AB8328" t="s">
        <v>8</v>
      </c>
      <c r="AC8328" s="21">
        <v>721789.1</v>
      </c>
      <c r="AD8328" s="21" t="s">
        <v>368</v>
      </c>
      <c r="AE8328" t="str">
        <f>VLOOKUP(Table_Query_from_Actuarial___Production3[[#This Row],[Kor1]],$AI$3:$AK$105,3,FALSE)</f>
        <v>Charge-offs</v>
      </c>
      <c r="AF8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29" spans="18:32" x14ac:dyDescent="0.2">
      <c r="R8329" t="s">
        <v>50</v>
      </c>
      <c r="S8329" t="s">
        <v>247</v>
      </c>
      <c r="T8329" t="s">
        <v>442</v>
      </c>
      <c r="U8329" s="21">
        <v>2.35</v>
      </c>
      <c r="V8329" s="21" t="s">
        <v>368</v>
      </c>
      <c r="W8329" t="str">
        <f>VLOOKUP(Table_Query_from_Actuarial___Production[[#This Row],[Kor1]],$AI$3:$AK$105,3,FALSE)</f>
        <v>ALAE Reserve</v>
      </c>
      <c r="X8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29"/>
      <c r="Z8329" t="s">
        <v>3</v>
      </c>
      <c r="AA8329" t="s">
        <v>264</v>
      </c>
      <c r="AB8329" t="s">
        <v>443</v>
      </c>
      <c r="AC8329" s="21">
        <v>1313476</v>
      </c>
      <c r="AD8329" s="21" t="s">
        <v>368</v>
      </c>
      <c r="AE8329" t="str">
        <f>VLOOKUP(Table_Query_from_Actuarial___Production3[[#This Row],[Kor1]],$AI$3:$AK$105,3,FALSE)</f>
        <v>Premiums Written</v>
      </c>
      <c r="AF8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0" spans="18:32" x14ac:dyDescent="0.2">
      <c r="R8330" t="s">
        <v>439</v>
      </c>
      <c r="S8330" t="s">
        <v>266</v>
      </c>
      <c r="T8330" t="s">
        <v>443</v>
      </c>
      <c r="U8330" s="21">
        <v>-27352.35</v>
      </c>
      <c r="V8330" s="21" t="s">
        <v>368</v>
      </c>
      <c r="W8330" t="str">
        <f>VLOOKUP(Table_Query_from_Actuarial___Production[[#This Row],[Kor1]],$AI$3:$AK$105,3,FALSE)</f>
        <v>Operating Service Fees</v>
      </c>
      <c r="X8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0"/>
      <c r="Z8330" t="s">
        <v>41</v>
      </c>
      <c r="AA8330" t="s">
        <v>4</v>
      </c>
      <c r="AB8330" t="s">
        <v>433</v>
      </c>
      <c r="AC8330" s="21">
        <v>767.41</v>
      </c>
      <c r="AD8330" s="21" t="s">
        <v>368</v>
      </c>
      <c r="AE8330" t="str">
        <f>VLOOKUP(Table_Query_from_Actuarial___Production3[[#This Row],[Kor1]],$AI$3:$AK$105,3,FALSE)</f>
        <v>Misc. Income</v>
      </c>
      <c r="AF8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1" spans="18:32" x14ac:dyDescent="0.2">
      <c r="R8331" t="s">
        <v>50</v>
      </c>
      <c r="S8331" t="s">
        <v>225</v>
      </c>
      <c r="T8331" t="s">
        <v>7</v>
      </c>
      <c r="U8331" s="21">
        <v>38045.25</v>
      </c>
      <c r="V8331" s="21" t="s">
        <v>369</v>
      </c>
      <c r="W8331" t="str">
        <f>VLOOKUP(Table_Query_from_Actuarial___Production[[#This Row],[Kor1]],$AI$3:$AK$105,3,FALSE)</f>
        <v>ALAE Reserve</v>
      </c>
      <c r="X8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331"/>
      <c r="Z8331" t="s">
        <v>3</v>
      </c>
      <c r="AA8331" t="s">
        <v>263</v>
      </c>
      <c r="AB8331" t="s">
        <v>427</v>
      </c>
      <c r="AC8331" s="21">
        <v>508377</v>
      </c>
      <c r="AD8331" s="21" t="s">
        <v>368</v>
      </c>
      <c r="AE8331" t="str">
        <f>VLOOKUP(Table_Query_from_Actuarial___Production3[[#This Row],[Kor1]],$AI$3:$AK$105,3,FALSE)</f>
        <v>Premiums Written</v>
      </c>
      <c r="AF8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2" spans="18:32" x14ac:dyDescent="0.2">
      <c r="R8332" t="s">
        <v>11</v>
      </c>
      <c r="S8332" t="s">
        <v>257</v>
      </c>
      <c r="T8332" t="s">
        <v>6</v>
      </c>
      <c r="U8332" s="21">
        <v>1115804.96</v>
      </c>
      <c r="V8332" s="21" t="s">
        <v>368</v>
      </c>
      <c r="W8332" t="str">
        <f>VLOOKUP(Table_Query_from_Actuarial___Production[[#This Row],[Kor1]],$AI$3:$AK$105,3,FALSE)</f>
        <v>Losses Paid</v>
      </c>
      <c r="X8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2"/>
      <c r="Z8332" t="s">
        <v>39</v>
      </c>
      <c r="AA8332" t="s">
        <v>244</v>
      </c>
      <c r="AB8332" t="s">
        <v>351</v>
      </c>
      <c r="AC8332" s="21">
        <v>5165</v>
      </c>
      <c r="AD8332" s="21" t="s">
        <v>368</v>
      </c>
      <c r="AE8332" t="str">
        <f>VLOOKUP(Table_Query_from_Actuarial___Production3[[#This Row],[Kor1]],$AI$3:$AK$105,3,FALSE)</f>
        <v>Misc. Income for Insolvent Companies</v>
      </c>
      <c r="AF8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3" spans="18:32" x14ac:dyDescent="0.2">
      <c r="R8333" t="s">
        <v>13</v>
      </c>
      <c r="S8333" t="s">
        <v>245</v>
      </c>
      <c r="T8333" t="s">
        <v>8</v>
      </c>
      <c r="U8333" s="21">
        <v>30225.69</v>
      </c>
      <c r="V8333" s="21" t="s">
        <v>368</v>
      </c>
      <c r="W8333" t="str">
        <f>VLOOKUP(Table_Query_from_Actuarial___Production[[#This Row],[Kor1]],$AI$3:$AK$105,3,FALSE)</f>
        <v>Operating Service Fees</v>
      </c>
      <c r="X8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3"/>
      <c r="Z8333" t="s">
        <v>10</v>
      </c>
      <c r="AA8333" t="s">
        <v>224</v>
      </c>
      <c r="AB8333" t="s">
        <v>7</v>
      </c>
      <c r="AC8333" s="21">
        <v>9396.89</v>
      </c>
      <c r="AD8333" s="21" t="s">
        <v>425</v>
      </c>
      <c r="AE8333" t="str">
        <f>VLOOKUP(Table_Query_from_Actuarial___Production3[[#This Row],[Kor1]],$AI$3:$AK$105,3,FALSE)</f>
        <v>Commissions</v>
      </c>
      <c r="AF8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334" spans="18:32" x14ac:dyDescent="0.2">
      <c r="R8334" t="s">
        <v>47</v>
      </c>
      <c r="S8334" t="s">
        <v>241</v>
      </c>
      <c r="T8334" t="s">
        <v>427</v>
      </c>
      <c r="U8334" s="21">
        <v>4458.8100000000004</v>
      </c>
      <c r="V8334" s="21" t="s">
        <v>368</v>
      </c>
      <c r="W8334" t="str">
        <f>VLOOKUP(Table_Query_from_Actuarial___Production[[#This Row],[Kor1]],$AI$3:$AK$105,3,FALSE)</f>
        <v>Investment Income</v>
      </c>
      <c r="X8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4"/>
      <c r="Z8334" t="s">
        <v>12</v>
      </c>
      <c r="AA8334" t="s">
        <v>230</v>
      </c>
      <c r="AB8334" t="s">
        <v>356</v>
      </c>
      <c r="AC8334" s="21">
        <v>640743.96</v>
      </c>
      <c r="AD8334" s="21" t="s">
        <v>368</v>
      </c>
      <c r="AE8334" t="str">
        <f>VLOOKUP(Table_Query_from_Actuarial___Production3[[#This Row],[Kor1]],$AI$3:$AK$105,3,FALSE)</f>
        <v>Premium Tax</v>
      </c>
      <c r="AF8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5" spans="18:32" x14ac:dyDescent="0.2">
      <c r="R8335" t="s">
        <v>47</v>
      </c>
      <c r="S8335" t="s">
        <v>266</v>
      </c>
      <c r="T8335" t="s">
        <v>441</v>
      </c>
      <c r="U8335" s="21">
        <v>25.81</v>
      </c>
      <c r="V8335" s="21" t="s">
        <v>368</v>
      </c>
      <c r="W8335" t="str">
        <f>VLOOKUP(Table_Query_from_Actuarial___Production[[#This Row],[Kor1]],$AI$3:$AK$105,3,FALSE)</f>
        <v>Investment Income</v>
      </c>
      <c r="X8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5"/>
      <c r="Z8335" t="s">
        <v>16</v>
      </c>
      <c r="AA8335" t="s">
        <v>263</v>
      </c>
      <c r="AB8335" t="s">
        <v>356</v>
      </c>
      <c r="AC8335" s="21">
        <v>-420</v>
      </c>
      <c r="AD8335" s="21" t="s">
        <v>368</v>
      </c>
      <c r="AE8335" t="str">
        <f>VLOOKUP(Table_Query_from_Actuarial___Production3[[#This Row],[Kor1]],$AI$3:$AK$105,3,FALSE)</f>
        <v>Losses Outstanding</v>
      </c>
      <c r="AF8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6" spans="18:32" x14ac:dyDescent="0.2">
      <c r="R8336" t="s">
        <v>40</v>
      </c>
      <c r="S8336" t="s">
        <v>250</v>
      </c>
      <c r="T8336" t="s">
        <v>351</v>
      </c>
      <c r="U8336" s="21">
        <v>215</v>
      </c>
      <c r="V8336" s="21" t="s">
        <v>368</v>
      </c>
      <c r="W8336" t="str">
        <f>VLOOKUP(Table_Query_from_Actuarial___Production[[#This Row],[Kor1]],$AI$3:$AK$105,3,FALSE)</f>
        <v>Misc. Income</v>
      </c>
      <c r="X8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6"/>
      <c r="Z8336" t="s">
        <v>13</v>
      </c>
      <c r="AA8336" t="s">
        <v>251</v>
      </c>
      <c r="AB8336" t="s">
        <v>443</v>
      </c>
      <c r="AC8336" s="21">
        <v>28009.64</v>
      </c>
      <c r="AD8336" s="21" t="s">
        <v>368</v>
      </c>
      <c r="AE8336" t="str">
        <f>VLOOKUP(Table_Query_from_Actuarial___Production3[[#This Row],[Kor1]],$AI$3:$AK$105,3,FALSE)</f>
        <v>Operating Service Fees</v>
      </c>
      <c r="AF8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7" spans="18:32" x14ac:dyDescent="0.2">
      <c r="R8337" t="s">
        <v>10</v>
      </c>
      <c r="S8337" t="s">
        <v>252</v>
      </c>
      <c r="T8337" t="s">
        <v>441</v>
      </c>
      <c r="U8337" s="21">
        <v>2586239.36</v>
      </c>
      <c r="V8337" s="21" t="s">
        <v>368</v>
      </c>
      <c r="W8337" t="str">
        <f>VLOOKUP(Table_Query_from_Actuarial___Production[[#This Row],[Kor1]],$AI$3:$AK$105,3,FALSE)</f>
        <v>Commissions</v>
      </c>
      <c r="X8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7"/>
      <c r="Z8337" t="s">
        <v>17</v>
      </c>
      <c r="AA8337" t="s">
        <v>252</v>
      </c>
      <c r="AB8337" t="s">
        <v>442</v>
      </c>
      <c r="AC8337" s="21">
        <v>10320676.859999999</v>
      </c>
      <c r="AD8337" s="21" t="s">
        <v>368</v>
      </c>
      <c r="AE8337" t="str">
        <f>VLOOKUP(Table_Query_from_Actuarial___Production3[[#This Row],[Kor1]],$AI$3:$AK$105,3,FALSE)</f>
        <v>IBNR</v>
      </c>
      <c r="AF8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8" spans="18:32" x14ac:dyDescent="0.2">
      <c r="R8338" t="s">
        <v>33</v>
      </c>
      <c r="S8338" t="s">
        <v>265</v>
      </c>
      <c r="T8338" t="s">
        <v>7</v>
      </c>
      <c r="U8338" s="21">
        <v>13484.55</v>
      </c>
      <c r="V8338" s="21" t="s">
        <v>368</v>
      </c>
      <c r="W8338" t="str">
        <f>VLOOKUP(Table_Query_from_Actuarial___Production[[#This Row],[Kor1]],$AI$3:$AK$105,3,FALSE)</f>
        <v>Misc. Expense</v>
      </c>
      <c r="X8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8"/>
      <c r="Z8338" t="s">
        <v>14</v>
      </c>
      <c r="AA8338" t="s">
        <v>255</v>
      </c>
      <c r="AB8338" t="s">
        <v>351</v>
      </c>
      <c r="AC8338" s="21">
        <v>7579.76</v>
      </c>
      <c r="AD8338" s="21" t="s">
        <v>368</v>
      </c>
      <c r="AE8338" t="str">
        <f>VLOOKUP(Table_Query_from_Actuarial___Production3[[#This Row],[Kor1]],$AI$3:$AK$105,3,FALSE)</f>
        <v>Claims Expense</v>
      </c>
      <c r="AF8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39" spans="18:32" x14ac:dyDescent="0.2">
      <c r="R8339" t="s">
        <v>23</v>
      </c>
      <c r="S8339" t="s">
        <v>259</v>
      </c>
      <c r="T8339" t="s">
        <v>445</v>
      </c>
      <c r="U8339" s="21">
        <v>473.76</v>
      </c>
      <c r="V8339" s="21" t="s">
        <v>368</v>
      </c>
      <c r="W8339" t="str">
        <f>VLOOKUP(Table_Query_from_Actuarial___Production[[#This Row],[Kor1]],$AI$3:$AK$105,3,FALSE)</f>
        <v>Misc. Expense</v>
      </c>
      <c r="X8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39"/>
      <c r="Z8339" t="s">
        <v>11</v>
      </c>
      <c r="AA8339" t="s">
        <v>258</v>
      </c>
      <c r="AB8339" t="s">
        <v>441</v>
      </c>
      <c r="AC8339" s="21">
        <v>958717.52</v>
      </c>
      <c r="AD8339" s="21" t="s">
        <v>368</v>
      </c>
      <c r="AE8339" t="str">
        <f>VLOOKUP(Table_Query_from_Actuarial___Production3[[#This Row],[Kor1]],$AI$3:$AK$105,3,FALSE)</f>
        <v>Losses Paid</v>
      </c>
      <c r="AF8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0" spans="18:32" x14ac:dyDescent="0.2">
      <c r="R8340" t="s">
        <v>36</v>
      </c>
      <c r="S8340" t="s">
        <v>4</v>
      </c>
      <c r="T8340" t="s">
        <v>442</v>
      </c>
      <c r="U8340" s="21">
        <v>374452.87</v>
      </c>
      <c r="V8340" s="21" t="s">
        <v>368</v>
      </c>
      <c r="W8340" t="str">
        <f>VLOOKUP(Table_Query_from_Actuarial___Production[[#This Row],[Kor1]],$AI$3:$AK$105,3,FALSE)</f>
        <v>Misc. Expense</v>
      </c>
      <c r="X8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0"/>
      <c r="Z8340" t="s">
        <v>40</v>
      </c>
      <c r="AA8340" t="s">
        <v>227</v>
      </c>
      <c r="AB8340" t="s">
        <v>6</v>
      </c>
      <c r="AC8340" s="21">
        <v>4.99</v>
      </c>
      <c r="AD8340" s="21" t="s">
        <v>368</v>
      </c>
      <c r="AE8340" t="str">
        <f>VLOOKUP(Table_Query_from_Actuarial___Production3[[#This Row],[Kor1]],$AI$3:$AK$105,3,FALSE)</f>
        <v>Misc. Income</v>
      </c>
      <c r="AF8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1" spans="18:32" x14ac:dyDescent="0.2">
      <c r="R8341" t="s">
        <v>17</v>
      </c>
      <c r="S8341" t="s">
        <v>240</v>
      </c>
      <c r="T8341" t="s">
        <v>445</v>
      </c>
      <c r="U8341" s="21">
        <v>226382.99</v>
      </c>
      <c r="V8341" s="21" t="s">
        <v>368</v>
      </c>
      <c r="W8341" t="str">
        <f>VLOOKUP(Table_Query_from_Actuarial___Production[[#This Row],[Kor1]],$AI$3:$AK$105,3,FALSE)</f>
        <v>IBNR</v>
      </c>
      <c r="X8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1"/>
      <c r="Z8341" t="s">
        <v>75</v>
      </c>
      <c r="AA8341" t="s">
        <v>243</v>
      </c>
      <c r="AB8341" t="s">
        <v>441</v>
      </c>
      <c r="AC8341" s="21">
        <v>250</v>
      </c>
      <c r="AD8341" s="21" t="s">
        <v>368</v>
      </c>
      <c r="AE8341" t="str">
        <f>VLOOKUP(Table_Query_from_Actuarial___Production3[[#This Row],[Kor1]],$AI$3:$AK$105,3,FALSE)</f>
        <v>EBUB</v>
      </c>
      <c r="AF8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2" spans="18:32" x14ac:dyDescent="0.2">
      <c r="R8342" t="s">
        <v>19</v>
      </c>
      <c r="S8342" t="s">
        <v>245</v>
      </c>
      <c r="T8342" t="s">
        <v>6</v>
      </c>
      <c r="U8342" s="21">
        <v>723</v>
      </c>
      <c r="V8342" s="21" t="s">
        <v>368</v>
      </c>
      <c r="W8342" t="str">
        <f>VLOOKUP(Table_Query_from_Actuarial___Production[[#This Row],[Kor1]],$AI$3:$AK$105,3,FALSE)</f>
        <v>Misc. Expense for Insolvent Companies</v>
      </c>
      <c r="X8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2"/>
      <c r="Z8342" t="s">
        <v>50</v>
      </c>
      <c r="AA8342" t="s">
        <v>247</v>
      </c>
      <c r="AB8342" t="s">
        <v>442</v>
      </c>
      <c r="AC8342" s="21">
        <v>1.65</v>
      </c>
      <c r="AD8342" s="21" t="s">
        <v>368</v>
      </c>
      <c r="AE8342" t="str">
        <f>VLOOKUP(Table_Query_from_Actuarial___Production3[[#This Row],[Kor1]],$AI$3:$AK$105,3,FALSE)</f>
        <v>ALAE Reserve</v>
      </c>
      <c r="AF8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3" spans="18:32" x14ac:dyDescent="0.2">
      <c r="R8343" t="s">
        <v>39</v>
      </c>
      <c r="S8343" t="s">
        <v>237</v>
      </c>
      <c r="T8343" t="s">
        <v>6</v>
      </c>
      <c r="U8343" s="21">
        <v>27634.04</v>
      </c>
      <c r="V8343" s="21" t="s">
        <v>368</v>
      </c>
      <c r="W8343" t="str">
        <f>VLOOKUP(Table_Query_from_Actuarial___Production[[#This Row],[Kor1]],$AI$3:$AK$105,3,FALSE)</f>
        <v>Misc. Income for Insolvent Companies</v>
      </c>
      <c r="X8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3"/>
      <c r="Z8343" t="s">
        <v>439</v>
      </c>
      <c r="AA8343" t="s">
        <v>266</v>
      </c>
      <c r="AB8343" t="s">
        <v>443</v>
      </c>
      <c r="AC8343" s="21">
        <v>-27352.35</v>
      </c>
      <c r="AD8343" s="21" t="s">
        <v>368</v>
      </c>
      <c r="AE8343" t="str">
        <f>VLOOKUP(Table_Query_from_Actuarial___Production3[[#This Row],[Kor1]],$AI$3:$AK$105,3,FALSE)</f>
        <v>Operating Service Fees</v>
      </c>
      <c r="AF8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4" spans="18:32" x14ac:dyDescent="0.2">
      <c r="R8344" t="s">
        <v>37</v>
      </c>
      <c r="S8344" t="s">
        <v>231</v>
      </c>
      <c r="T8344" t="s">
        <v>445</v>
      </c>
      <c r="U8344" s="21">
        <v>86.31</v>
      </c>
      <c r="V8344" s="21" t="s">
        <v>368</v>
      </c>
      <c r="W8344" t="str">
        <f>VLOOKUP(Table_Query_from_Actuarial___Production[[#This Row],[Kor1]],$AI$3:$AK$105,3,FALSE)</f>
        <v>Misc. Expense</v>
      </c>
      <c r="X8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4"/>
      <c r="Z8344" t="s">
        <v>50</v>
      </c>
      <c r="AA8344" t="s">
        <v>225</v>
      </c>
      <c r="AB8344" t="s">
        <v>7</v>
      </c>
      <c r="AC8344" s="21">
        <v>68379.05</v>
      </c>
      <c r="AD8344" s="21" t="s">
        <v>369</v>
      </c>
      <c r="AE8344" t="str">
        <f>VLOOKUP(Table_Query_from_Actuarial___Production3[[#This Row],[Kor1]],$AI$3:$AK$105,3,FALSE)</f>
        <v>ALAE Reserve</v>
      </c>
      <c r="AF8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345" spans="18:32" x14ac:dyDescent="0.2">
      <c r="R8345" t="s">
        <v>3</v>
      </c>
      <c r="S8345" t="s">
        <v>352</v>
      </c>
      <c r="T8345" t="s">
        <v>351</v>
      </c>
      <c r="U8345" s="21">
        <v>7576</v>
      </c>
      <c r="V8345" s="21" t="s">
        <v>368</v>
      </c>
      <c r="W8345" t="str">
        <f>VLOOKUP(Table_Query_from_Actuarial___Production[[#This Row],[Kor1]],$AI$3:$AK$105,3,FALSE)</f>
        <v>Premiums Written</v>
      </c>
      <c r="X8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345"/>
      <c r="Z8345" t="s">
        <v>10</v>
      </c>
      <c r="AA8345" t="s">
        <v>267</v>
      </c>
      <c r="AB8345" t="s">
        <v>5</v>
      </c>
      <c r="AC8345" s="21">
        <v>22763.22</v>
      </c>
      <c r="AD8345" s="21" t="s">
        <v>368</v>
      </c>
      <c r="AE8345" t="str">
        <f>VLOOKUP(Table_Query_from_Actuarial___Production3[[#This Row],[Kor1]],$AI$3:$AK$105,3,FALSE)</f>
        <v>Commissions</v>
      </c>
      <c r="AF8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6" spans="18:32" x14ac:dyDescent="0.2">
      <c r="R8346" t="s">
        <v>11</v>
      </c>
      <c r="S8346" t="s">
        <v>224</v>
      </c>
      <c r="T8346" t="s">
        <v>7</v>
      </c>
      <c r="U8346" s="21">
        <v>3792.64</v>
      </c>
      <c r="V8346" s="21" t="s">
        <v>369</v>
      </c>
      <c r="W8346" t="str">
        <f>VLOOKUP(Table_Query_from_Actuarial___Production[[#This Row],[Kor1]],$AI$3:$AK$105,3,FALSE)</f>
        <v>Losses Paid</v>
      </c>
      <c r="X8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346"/>
      <c r="Z8346" t="s">
        <v>11</v>
      </c>
      <c r="AA8346" t="s">
        <v>257</v>
      </c>
      <c r="AB8346" t="s">
        <v>6</v>
      </c>
      <c r="AC8346" s="21">
        <v>1115804.96</v>
      </c>
      <c r="AD8346" s="21" t="s">
        <v>368</v>
      </c>
      <c r="AE8346" t="str">
        <f>VLOOKUP(Table_Query_from_Actuarial___Production3[[#This Row],[Kor1]],$AI$3:$AK$105,3,FALSE)</f>
        <v>Losses Paid</v>
      </c>
      <c r="AF8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7" spans="18:32" x14ac:dyDescent="0.2">
      <c r="R8347" t="s">
        <v>47</v>
      </c>
      <c r="S8347" t="s">
        <v>264</v>
      </c>
      <c r="T8347" t="s">
        <v>7</v>
      </c>
      <c r="U8347" s="21">
        <v>7.0000000000000007E-2</v>
      </c>
      <c r="V8347" s="21" t="s">
        <v>368</v>
      </c>
      <c r="W8347" t="str">
        <f>VLOOKUP(Table_Query_from_Actuarial___Production[[#This Row],[Kor1]],$AI$3:$AK$105,3,FALSE)</f>
        <v>Investment Income</v>
      </c>
      <c r="X8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7"/>
      <c r="Z8347" t="s">
        <v>13</v>
      </c>
      <c r="AA8347" t="s">
        <v>245</v>
      </c>
      <c r="AB8347" t="s">
        <v>8</v>
      </c>
      <c r="AC8347" s="21">
        <v>30225.69</v>
      </c>
      <c r="AD8347" s="21" t="s">
        <v>368</v>
      </c>
      <c r="AE8347" t="str">
        <f>VLOOKUP(Table_Query_from_Actuarial___Production3[[#This Row],[Kor1]],$AI$3:$AK$105,3,FALSE)</f>
        <v>Operating Service Fees</v>
      </c>
      <c r="AF8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8" spans="18:32" x14ac:dyDescent="0.2">
      <c r="R8348" t="s">
        <v>33</v>
      </c>
      <c r="S8348" t="s">
        <v>254</v>
      </c>
      <c r="T8348" t="s">
        <v>351</v>
      </c>
      <c r="U8348" s="21">
        <v>16332.5</v>
      </c>
      <c r="V8348" s="21" t="s">
        <v>368</v>
      </c>
      <c r="W8348" t="str">
        <f>VLOOKUP(Table_Query_from_Actuarial___Production[[#This Row],[Kor1]],$AI$3:$AK$105,3,FALSE)</f>
        <v>Misc. Expense</v>
      </c>
      <c r="X8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8"/>
      <c r="Z8348" t="s">
        <v>47</v>
      </c>
      <c r="AA8348" t="s">
        <v>241</v>
      </c>
      <c r="AB8348" t="s">
        <v>427</v>
      </c>
      <c r="AC8348" s="21">
        <v>4458.8100000000004</v>
      </c>
      <c r="AD8348" s="21" t="s">
        <v>368</v>
      </c>
      <c r="AE8348" t="str">
        <f>VLOOKUP(Table_Query_from_Actuarial___Production3[[#This Row],[Kor1]],$AI$3:$AK$105,3,FALSE)</f>
        <v>Investment Income</v>
      </c>
      <c r="AF8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49" spans="18:32" x14ac:dyDescent="0.2">
      <c r="R8349" t="s">
        <v>43</v>
      </c>
      <c r="S8349" t="s">
        <v>249</v>
      </c>
      <c r="T8349" t="s">
        <v>8</v>
      </c>
      <c r="U8349" s="21">
        <v>1772.76</v>
      </c>
      <c r="V8349" s="21" t="s">
        <v>368</v>
      </c>
      <c r="W8349" t="str">
        <f>VLOOKUP(Table_Query_from_Actuarial___Production[[#This Row],[Kor1]],$AI$3:$AK$105,3,FALSE)</f>
        <v>Charge-offs</v>
      </c>
      <c r="X8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49"/>
      <c r="Z8349" t="s">
        <v>47</v>
      </c>
      <c r="AA8349" t="s">
        <v>266</v>
      </c>
      <c r="AB8349" t="s">
        <v>441</v>
      </c>
      <c r="AC8349" s="21">
        <v>25.81</v>
      </c>
      <c r="AD8349" s="21" t="s">
        <v>368</v>
      </c>
      <c r="AE8349" t="str">
        <f>VLOOKUP(Table_Query_from_Actuarial___Production3[[#This Row],[Kor1]],$AI$3:$AK$105,3,FALSE)</f>
        <v>Investment Income</v>
      </c>
      <c r="AF8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0" spans="18:32" x14ac:dyDescent="0.2">
      <c r="R8350" t="s">
        <v>17</v>
      </c>
      <c r="S8350" t="s">
        <v>225</v>
      </c>
      <c r="T8350" t="s">
        <v>443</v>
      </c>
      <c r="U8350" s="21">
        <v>323908.15999999997</v>
      </c>
      <c r="V8350" s="21" t="s">
        <v>369</v>
      </c>
      <c r="W8350" t="str">
        <f>VLOOKUP(Table_Query_from_Actuarial___Production[[#This Row],[Kor1]],$AI$3:$AK$105,3,FALSE)</f>
        <v>IBNR</v>
      </c>
      <c r="X8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350"/>
      <c r="Z8350" t="s">
        <v>40</v>
      </c>
      <c r="AA8350" t="s">
        <v>250</v>
      </c>
      <c r="AB8350" t="s">
        <v>351</v>
      </c>
      <c r="AC8350" s="21">
        <v>215</v>
      </c>
      <c r="AD8350" s="21" t="s">
        <v>368</v>
      </c>
      <c r="AE8350" t="str">
        <f>VLOOKUP(Table_Query_from_Actuarial___Production3[[#This Row],[Kor1]],$AI$3:$AK$105,3,FALSE)</f>
        <v>Misc. Income</v>
      </c>
      <c r="AF8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1" spans="18:32" x14ac:dyDescent="0.2">
      <c r="R8351" t="s">
        <v>47</v>
      </c>
      <c r="S8351" t="s">
        <v>255</v>
      </c>
      <c r="T8351" t="s">
        <v>9</v>
      </c>
      <c r="U8351" s="21">
        <v>303.60000000000002</v>
      </c>
      <c r="V8351" s="21" t="s">
        <v>368</v>
      </c>
      <c r="W8351" t="str">
        <f>VLOOKUP(Table_Query_from_Actuarial___Production[[#This Row],[Kor1]],$AI$3:$AK$105,3,FALSE)</f>
        <v>Investment Income</v>
      </c>
      <c r="X8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1"/>
      <c r="Z8351" t="s">
        <v>10</v>
      </c>
      <c r="AA8351" t="s">
        <v>252</v>
      </c>
      <c r="AB8351" t="s">
        <v>441</v>
      </c>
      <c r="AC8351" s="21">
        <v>2586150.7599999998</v>
      </c>
      <c r="AD8351" s="21" t="s">
        <v>368</v>
      </c>
      <c r="AE8351" t="str">
        <f>VLOOKUP(Table_Query_from_Actuarial___Production3[[#This Row],[Kor1]],$AI$3:$AK$105,3,FALSE)</f>
        <v>Commissions</v>
      </c>
      <c r="AF8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2" spans="18:32" x14ac:dyDescent="0.2">
      <c r="R8352" t="s">
        <v>31</v>
      </c>
      <c r="S8352" t="s">
        <v>235</v>
      </c>
      <c r="T8352" t="s">
        <v>351</v>
      </c>
      <c r="U8352" s="21">
        <v>1147.42</v>
      </c>
      <c r="V8352" s="21" t="s">
        <v>368</v>
      </c>
      <c r="W8352" t="str">
        <f>VLOOKUP(Table_Query_from_Actuarial___Production[[#This Row],[Kor1]],$AI$3:$AK$105,3,FALSE)</f>
        <v>Misc. Expense</v>
      </c>
      <c r="X8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2"/>
      <c r="Z8352" t="s">
        <v>33</v>
      </c>
      <c r="AA8352" t="s">
        <v>265</v>
      </c>
      <c r="AB8352" t="s">
        <v>7</v>
      </c>
      <c r="AC8352" s="21">
        <v>13484.55</v>
      </c>
      <c r="AD8352" s="21" t="s">
        <v>368</v>
      </c>
      <c r="AE8352" t="str">
        <f>VLOOKUP(Table_Query_from_Actuarial___Production3[[#This Row],[Kor1]],$AI$3:$AK$105,3,FALSE)</f>
        <v>Misc. Expense</v>
      </c>
      <c r="AF8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3" spans="18:32" x14ac:dyDescent="0.2">
      <c r="R8353" t="s">
        <v>39</v>
      </c>
      <c r="S8353" t="s">
        <v>230</v>
      </c>
      <c r="T8353" t="s">
        <v>6</v>
      </c>
      <c r="U8353" s="21">
        <v>386453.2</v>
      </c>
      <c r="V8353" s="21" t="s">
        <v>368</v>
      </c>
      <c r="W8353" t="str">
        <f>VLOOKUP(Table_Query_from_Actuarial___Production[[#This Row],[Kor1]],$AI$3:$AK$105,3,FALSE)</f>
        <v>Misc. Income for Insolvent Companies</v>
      </c>
      <c r="X8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3"/>
      <c r="Z8353" t="s">
        <v>36</v>
      </c>
      <c r="AA8353" t="s">
        <v>4</v>
      </c>
      <c r="AB8353" t="s">
        <v>442</v>
      </c>
      <c r="AC8353" s="21">
        <v>374452.87</v>
      </c>
      <c r="AD8353" s="21" t="s">
        <v>368</v>
      </c>
      <c r="AE8353" t="str">
        <f>VLOOKUP(Table_Query_from_Actuarial___Production3[[#This Row],[Kor1]],$AI$3:$AK$105,3,FALSE)</f>
        <v>Misc. Expense</v>
      </c>
      <c r="AF8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4" spans="18:32" x14ac:dyDescent="0.2">
      <c r="R8354" t="s">
        <v>41</v>
      </c>
      <c r="S8354" t="s">
        <v>257</v>
      </c>
      <c r="T8354" t="s">
        <v>7</v>
      </c>
      <c r="U8354" s="21">
        <v>200.01</v>
      </c>
      <c r="V8354" s="21" t="s">
        <v>368</v>
      </c>
      <c r="W8354" t="str">
        <f>VLOOKUP(Table_Query_from_Actuarial___Production[[#This Row],[Kor1]],$AI$3:$AK$105,3,FALSE)</f>
        <v>Misc. Income</v>
      </c>
      <c r="X8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4"/>
      <c r="Z8354" t="s">
        <v>47</v>
      </c>
      <c r="AA8354" t="s">
        <v>236</v>
      </c>
      <c r="AB8354" t="s">
        <v>5</v>
      </c>
      <c r="AC8354" s="21">
        <v>1.05</v>
      </c>
      <c r="AD8354" s="21" t="s">
        <v>368</v>
      </c>
      <c r="AE8354" t="str">
        <f>VLOOKUP(Table_Query_from_Actuarial___Production3[[#This Row],[Kor1]],$AI$3:$AK$105,3,FALSE)</f>
        <v>Investment Income</v>
      </c>
      <c r="AF8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5" spans="18:32" x14ac:dyDescent="0.2">
      <c r="R8355" t="s">
        <v>20</v>
      </c>
      <c r="S8355" t="s">
        <v>237</v>
      </c>
      <c r="T8355" t="s">
        <v>356</v>
      </c>
      <c r="U8355" s="21">
        <v>3348.74</v>
      </c>
      <c r="V8355" s="21" t="s">
        <v>368</v>
      </c>
      <c r="W8355" t="str">
        <f>VLOOKUP(Table_Query_from_Actuarial___Production[[#This Row],[Kor1]],$AI$3:$AK$105,3,FALSE)</f>
        <v>Misc. Expense</v>
      </c>
      <c r="X8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5"/>
      <c r="Z8355" t="s">
        <v>19</v>
      </c>
      <c r="AA8355" t="s">
        <v>245</v>
      </c>
      <c r="AB8355" t="s">
        <v>6</v>
      </c>
      <c r="AC8355" s="21">
        <v>723</v>
      </c>
      <c r="AD8355" s="21" t="s">
        <v>368</v>
      </c>
      <c r="AE8355" t="str">
        <f>VLOOKUP(Table_Query_from_Actuarial___Production3[[#This Row],[Kor1]],$AI$3:$AK$105,3,FALSE)</f>
        <v>Misc. Expense for Insolvent Companies</v>
      </c>
      <c r="AF8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6" spans="18:32" x14ac:dyDescent="0.2">
      <c r="R8356" t="s">
        <v>11</v>
      </c>
      <c r="S8356" t="s">
        <v>265</v>
      </c>
      <c r="T8356" t="s">
        <v>8</v>
      </c>
      <c r="U8356" s="21">
        <v>128880.81</v>
      </c>
      <c r="V8356" s="21" t="s">
        <v>368</v>
      </c>
      <c r="W8356" t="str">
        <f>VLOOKUP(Table_Query_from_Actuarial___Production[[#This Row],[Kor1]],$AI$3:$AK$105,3,FALSE)</f>
        <v>Losses Paid</v>
      </c>
      <c r="X8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6"/>
      <c r="Z8356" t="s">
        <v>39</v>
      </c>
      <c r="AA8356" t="s">
        <v>233</v>
      </c>
      <c r="AB8356" t="s">
        <v>5</v>
      </c>
      <c r="AC8356" s="21">
        <v>113941.27</v>
      </c>
      <c r="AD8356" s="21" t="s">
        <v>368</v>
      </c>
      <c r="AE8356" t="str">
        <f>VLOOKUP(Table_Query_from_Actuarial___Production3[[#This Row],[Kor1]],$AI$3:$AK$105,3,FALSE)</f>
        <v>Misc. Income for Insolvent Companies</v>
      </c>
      <c r="AF8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7" spans="18:32" x14ac:dyDescent="0.2">
      <c r="R8357" t="s">
        <v>43</v>
      </c>
      <c r="S8357" t="s">
        <v>246</v>
      </c>
      <c r="T8357" t="s">
        <v>9</v>
      </c>
      <c r="U8357" s="21">
        <v>-8.1999999999999993</v>
      </c>
      <c r="V8357" s="21" t="s">
        <v>368</v>
      </c>
      <c r="W8357" t="str">
        <f>VLOOKUP(Table_Query_from_Actuarial___Production[[#This Row],[Kor1]],$AI$3:$AK$105,3,FALSE)</f>
        <v>Charge-offs</v>
      </c>
      <c r="X8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7"/>
      <c r="Z8357" t="s">
        <v>39</v>
      </c>
      <c r="AA8357" t="s">
        <v>237</v>
      </c>
      <c r="AB8357" t="s">
        <v>6</v>
      </c>
      <c r="AC8357" s="21">
        <v>27634.04</v>
      </c>
      <c r="AD8357" s="21" t="s">
        <v>368</v>
      </c>
      <c r="AE8357" t="str">
        <f>VLOOKUP(Table_Query_from_Actuarial___Production3[[#This Row],[Kor1]],$AI$3:$AK$105,3,FALSE)</f>
        <v>Misc. Income for Insolvent Companies</v>
      </c>
      <c r="AF8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58" spans="18:32" x14ac:dyDescent="0.2">
      <c r="R8358" t="s">
        <v>47</v>
      </c>
      <c r="S8358" t="s">
        <v>228</v>
      </c>
      <c r="T8358" t="s">
        <v>443</v>
      </c>
      <c r="U8358" s="21">
        <v>19511.14</v>
      </c>
      <c r="V8358" s="21" t="s">
        <v>368</v>
      </c>
      <c r="W8358" t="str">
        <f>VLOOKUP(Table_Query_from_Actuarial___Production[[#This Row],[Kor1]],$AI$3:$AK$105,3,FALSE)</f>
        <v>Investment Income</v>
      </c>
      <c r="X8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8"/>
      <c r="Z8358" t="s">
        <v>167</v>
      </c>
      <c r="AA8358" t="s">
        <v>354</v>
      </c>
      <c r="AB8358" t="s">
        <v>5</v>
      </c>
      <c r="AC8358" s="21">
        <v>-14073295</v>
      </c>
      <c r="AD8358" s="21" t="s">
        <v>369</v>
      </c>
      <c r="AE8358" t="str">
        <f>VLOOKUP(Table_Query_from_Actuarial___Production3[[#This Row],[Kor1]],$AI$3:$AK$105,3,FALSE)</f>
        <v>Recoupment</v>
      </c>
      <c r="AF8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359" spans="18:32" x14ac:dyDescent="0.2">
      <c r="R8359" t="s">
        <v>40</v>
      </c>
      <c r="S8359" t="s">
        <v>261</v>
      </c>
      <c r="T8359" t="s">
        <v>441</v>
      </c>
      <c r="U8359" s="21">
        <v>21</v>
      </c>
      <c r="V8359" s="21" t="s">
        <v>368</v>
      </c>
      <c r="W8359" t="str">
        <f>VLOOKUP(Table_Query_from_Actuarial___Production[[#This Row],[Kor1]],$AI$3:$AK$105,3,FALSE)</f>
        <v>Misc. Income</v>
      </c>
      <c r="X8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59"/>
      <c r="Z8359" t="s">
        <v>3</v>
      </c>
      <c r="AA8359" t="s">
        <v>352</v>
      </c>
      <c r="AB8359" t="s">
        <v>351</v>
      </c>
      <c r="AC8359" s="21">
        <v>7576</v>
      </c>
      <c r="AD8359" s="21" t="s">
        <v>368</v>
      </c>
      <c r="AE8359" t="str">
        <f>VLOOKUP(Table_Query_from_Actuarial___Production3[[#This Row],[Kor1]],$AI$3:$AK$105,3,FALSE)</f>
        <v>Premiums Written</v>
      </c>
      <c r="AF8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360" spans="18:32" x14ac:dyDescent="0.2">
      <c r="R8360" t="s">
        <v>31</v>
      </c>
      <c r="S8360" t="s">
        <v>233</v>
      </c>
      <c r="T8360" t="s">
        <v>433</v>
      </c>
      <c r="U8360" s="21">
        <v>872.19</v>
      </c>
      <c r="V8360" s="21" t="s">
        <v>368</v>
      </c>
      <c r="W8360" t="str">
        <f>VLOOKUP(Table_Query_from_Actuarial___Production[[#This Row],[Kor1]],$AI$3:$AK$105,3,FALSE)</f>
        <v>Misc. Expense</v>
      </c>
      <c r="X8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0"/>
      <c r="Z8360" t="s">
        <v>11</v>
      </c>
      <c r="AA8360" t="s">
        <v>224</v>
      </c>
      <c r="AB8360" t="s">
        <v>7</v>
      </c>
      <c r="AC8360" s="21">
        <v>3792.64</v>
      </c>
      <c r="AD8360" s="21" t="s">
        <v>369</v>
      </c>
      <c r="AE8360" t="str">
        <f>VLOOKUP(Table_Query_from_Actuarial___Production3[[#This Row],[Kor1]],$AI$3:$AK$105,3,FALSE)</f>
        <v>Losses Paid</v>
      </c>
      <c r="AF8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361" spans="18:32" x14ac:dyDescent="0.2">
      <c r="R8361" t="s">
        <v>33</v>
      </c>
      <c r="S8361" t="s">
        <v>249</v>
      </c>
      <c r="T8361" t="s">
        <v>445</v>
      </c>
      <c r="U8361" s="21">
        <v>3859.21</v>
      </c>
      <c r="V8361" s="21" t="s">
        <v>368</v>
      </c>
      <c r="W8361" t="str">
        <f>VLOOKUP(Table_Query_from_Actuarial___Production[[#This Row],[Kor1]],$AI$3:$AK$105,3,FALSE)</f>
        <v>Misc. Expense</v>
      </c>
      <c r="X8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1"/>
      <c r="Z8361" t="s">
        <v>47</v>
      </c>
      <c r="AA8361" t="s">
        <v>264</v>
      </c>
      <c r="AB8361" t="s">
        <v>7</v>
      </c>
      <c r="AC8361" s="21">
        <v>7.0000000000000007E-2</v>
      </c>
      <c r="AD8361" s="21" t="s">
        <v>368</v>
      </c>
      <c r="AE8361" t="str">
        <f>VLOOKUP(Table_Query_from_Actuarial___Production3[[#This Row],[Kor1]],$AI$3:$AK$105,3,FALSE)</f>
        <v>Investment Income</v>
      </c>
      <c r="AF8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2" spans="18:32" x14ac:dyDescent="0.2">
      <c r="R8362" t="s">
        <v>49</v>
      </c>
      <c r="S8362" t="s">
        <v>229</v>
      </c>
      <c r="T8362" t="s">
        <v>9</v>
      </c>
      <c r="U8362" s="21">
        <v>115432.49</v>
      </c>
      <c r="V8362" s="21" t="s">
        <v>368</v>
      </c>
      <c r="W8362" t="str">
        <f>VLOOKUP(Table_Query_from_Actuarial___Production[[#This Row],[Kor1]],$AI$3:$AK$105,3,FALSE)</f>
        <v>ALAE Paid</v>
      </c>
      <c r="X8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2"/>
      <c r="Z8362" t="s">
        <v>33</v>
      </c>
      <c r="AA8362" t="s">
        <v>254</v>
      </c>
      <c r="AB8362" t="s">
        <v>351</v>
      </c>
      <c r="AC8362" s="21">
        <v>16332.5</v>
      </c>
      <c r="AD8362" s="21" t="s">
        <v>368</v>
      </c>
      <c r="AE8362" t="str">
        <f>VLOOKUP(Table_Query_from_Actuarial___Production3[[#This Row],[Kor1]],$AI$3:$AK$105,3,FALSE)</f>
        <v>Misc. Expense</v>
      </c>
      <c r="AF8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3" spans="18:32" x14ac:dyDescent="0.2">
      <c r="R8363" t="s">
        <v>3</v>
      </c>
      <c r="S8363" t="s">
        <v>254</v>
      </c>
      <c r="T8363" t="s">
        <v>442</v>
      </c>
      <c r="U8363" s="21">
        <v>29448456</v>
      </c>
      <c r="V8363" s="21" t="s">
        <v>368</v>
      </c>
      <c r="W8363" t="str">
        <f>VLOOKUP(Table_Query_from_Actuarial___Production[[#This Row],[Kor1]],$AI$3:$AK$105,3,FALSE)</f>
        <v>Premiums Written</v>
      </c>
      <c r="X8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3"/>
      <c r="Z8363" t="s">
        <v>43</v>
      </c>
      <c r="AA8363" t="s">
        <v>249</v>
      </c>
      <c r="AB8363" t="s">
        <v>8</v>
      </c>
      <c r="AC8363" s="21">
        <v>1772.76</v>
      </c>
      <c r="AD8363" s="21" t="s">
        <v>368</v>
      </c>
      <c r="AE8363" t="str">
        <f>VLOOKUP(Table_Query_from_Actuarial___Production3[[#This Row],[Kor1]],$AI$3:$AK$105,3,FALSE)</f>
        <v>Charge-offs</v>
      </c>
      <c r="AF8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4" spans="18:32" x14ac:dyDescent="0.2">
      <c r="R8364" t="s">
        <v>11</v>
      </c>
      <c r="S8364" t="s">
        <v>354</v>
      </c>
      <c r="T8364" t="s">
        <v>443</v>
      </c>
      <c r="U8364" s="21">
        <v>28560918.120000001</v>
      </c>
      <c r="V8364" s="21" t="s">
        <v>368</v>
      </c>
      <c r="W8364" t="str">
        <f>VLOOKUP(Table_Query_from_Actuarial___Production[[#This Row],[Kor1]],$AI$3:$AK$105,3,FALSE)</f>
        <v>Losses Paid</v>
      </c>
      <c r="X8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364"/>
      <c r="Z8364" t="s">
        <v>17</v>
      </c>
      <c r="AA8364" t="s">
        <v>225</v>
      </c>
      <c r="AB8364" t="s">
        <v>443</v>
      </c>
      <c r="AC8364" s="21">
        <v>33820.120000000003</v>
      </c>
      <c r="AD8364" s="21" t="s">
        <v>369</v>
      </c>
      <c r="AE8364" t="str">
        <f>VLOOKUP(Table_Query_from_Actuarial___Production3[[#This Row],[Kor1]],$AI$3:$AK$105,3,FALSE)</f>
        <v>IBNR</v>
      </c>
      <c r="AF8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365" spans="18:32" x14ac:dyDescent="0.2">
      <c r="R8365" t="s">
        <v>12</v>
      </c>
      <c r="S8365" t="s">
        <v>248</v>
      </c>
      <c r="T8365" t="s">
        <v>443</v>
      </c>
      <c r="U8365" s="21">
        <v>8469.4599999999991</v>
      </c>
      <c r="V8365" s="21" t="s">
        <v>368</v>
      </c>
      <c r="W8365" t="str">
        <f>VLOOKUP(Table_Query_from_Actuarial___Production[[#This Row],[Kor1]],$AI$3:$AK$105,3,FALSE)</f>
        <v>Premium Tax</v>
      </c>
      <c r="X8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5"/>
      <c r="Z8365" t="s">
        <v>47</v>
      </c>
      <c r="AA8365" t="s">
        <v>255</v>
      </c>
      <c r="AB8365" t="s">
        <v>9</v>
      </c>
      <c r="AC8365" s="21">
        <v>303.60000000000002</v>
      </c>
      <c r="AD8365" s="21" t="s">
        <v>368</v>
      </c>
      <c r="AE8365" t="str">
        <f>VLOOKUP(Table_Query_from_Actuarial___Production3[[#This Row],[Kor1]],$AI$3:$AK$105,3,FALSE)</f>
        <v>Investment Income</v>
      </c>
      <c r="AF8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6" spans="18:32" x14ac:dyDescent="0.2">
      <c r="R8366" t="s">
        <v>44</v>
      </c>
      <c r="S8366" t="s">
        <v>255</v>
      </c>
      <c r="T8366" t="s">
        <v>441</v>
      </c>
      <c r="U8366" s="21">
        <v>31624.6</v>
      </c>
      <c r="V8366" s="21" t="s">
        <v>368</v>
      </c>
      <c r="W8366" t="str">
        <f>VLOOKUP(Table_Query_from_Actuarial___Production[[#This Row],[Kor1]],$AI$3:$AK$105,3,FALSE)</f>
        <v>Charge-offs</v>
      </c>
      <c r="X8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6"/>
      <c r="Z8366" t="s">
        <v>31</v>
      </c>
      <c r="AA8366" t="s">
        <v>235</v>
      </c>
      <c r="AB8366" t="s">
        <v>351</v>
      </c>
      <c r="AC8366" s="21">
        <v>1147.42</v>
      </c>
      <c r="AD8366" s="21" t="s">
        <v>368</v>
      </c>
      <c r="AE8366" t="str">
        <f>VLOOKUP(Table_Query_from_Actuarial___Production3[[#This Row],[Kor1]],$AI$3:$AK$105,3,FALSE)</f>
        <v>Misc. Expense</v>
      </c>
      <c r="AF8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7" spans="18:32" x14ac:dyDescent="0.2">
      <c r="R8367" t="s">
        <v>44</v>
      </c>
      <c r="S8367" t="s">
        <v>246</v>
      </c>
      <c r="T8367" t="s">
        <v>8</v>
      </c>
      <c r="U8367" s="21">
        <v>2</v>
      </c>
      <c r="V8367" s="21" t="s">
        <v>368</v>
      </c>
      <c r="W8367" t="str">
        <f>VLOOKUP(Table_Query_from_Actuarial___Production[[#This Row],[Kor1]],$AI$3:$AK$105,3,FALSE)</f>
        <v>Charge-offs</v>
      </c>
      <c r="X8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7"/>
      <c r="Z8367" t="s">
        <v>39</v>
      </c>
      <c r="AA8367" t="s">
        <v>230</v>
      </c>
      <c r="AB8367" t="s">
        <v>6</v>
      </c>
      <c r="AC8367" s="21">
        <v>386453.2</v>
      </c>
      <c r="AD8367" s="21" t="s">
        <v>368</v>
      </c>
      <c r="AE8367" t="str">
        <f>VLOOKUP(Table_Query_from_Actuarial___Production3[[#This Row],[Kor1]],$AI$3:$AK$105,3,FALSE)</f>
        <v>Misc. Income for Insolvent Companies</v>
      </c>
      <c r="AF8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8" spans="18:32" x14ac:dyDescent="0.2">
      <c r="R8368" t="s">
        <v>47</v>
      </c>
      <c r="S8368" t="s">
        <v>253</v>
      </c>
      <c r="T8368" t="s">
        <v>351</v>
      </c>
      <c r="U8368" s="21">
        <v>159.66999999999999</v>
      </c>
      <c r="V8368" s="21" t="s">
        <v>368</v>
      </c>
      <c r="W8368" t="str">
        <f>VLOOKUP(Table_Query_from_Actuarial___Production[[#This Row],[Kor1]],$AI$3:$AK$105,3,FALSE)</f>
        <v>Investment Income</v>
      </c>
      <c r="X8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8"/>
      <c r="Z8368" t="s">
        <v>41</v>
      </c>
      <c r="AA8368" t="s">
        <v>257</v>
      </c>
      <c r="AB8368" t="s">
        <v>7</v>
      </c>
      <c r="AC8368" s="21">
        <v>200.01</v>
      </c>
      <c r="AD8368" s="21" t="s">
        <v>368</v>
      </c>
      <c r="AE8368" t="str">
        <f>VLOOKUP(Table_Query_from_Actuarial___Production3[[#This Row],[Kor1]],$AI$3:$AK$105,3,FALSE)</f>
        <v>Misc. Income</v>
      </c>
      <c r="AF8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69" spans="18:32" x14ac:dyDescent="0.2">
      <c r="R8369" t="s">
        <v>47</v>
      </c>
      <c r="S8369" t="s">
        <v>258</v>
      </c>
      <c r="T8369" t="s">
        <v>356</v>
      </c>
      <c r="U8369" s="21">
        <v>15793.5</v>
      </c>
      <c r="V8369" s="21" t="s">
        <v>368</v>
      </c>
      <c r="W8369" t="str">
        <f>VLOOKUP(Table_Query_from_Actuarial___Production[[#This Row],[Kor1]],$AI$3:$AK$105,3,FALSE)</f>
        <v>Investment Income</v>
      </c>
      <c r="X8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69"/>
      <c r="Z8369" t="s">
        <v>20</v>
      </c>
      <c r="AA8369" t="s">
        <v>237</v>
      </c>
      <c r="AB8369" t="s">
        <v>356</v>
      </c>
      <c r="AC8369" s="21">
        <v>3348.74</v>
      </c>
      <c r="AD8369" s="21" t="s">
        <v>368</v>
      </c>
      <c r="AE8369" t="str">
        <f>VLOOKUP(Table_Query_from_Actuarial___Production3[[#This Row],[Kor1]],$AI$3:$AK$105,3,FALSE)</f>
        <v>Misc. Expense</v>
      </c>
      <c r="AF8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0" spans="18:32" x14ac:dyDescent="0.2">
      <c r="R8370" t="s">
        <v>3</v>
      </c>
      <c r="S8370" t="s">
        <v>261</v>
      </c>
      <c r="T8370" t="s">
        <v>427</v>
      </c>
      <c r="U8370" s="21">
        <v>433399</v>
      </c>
      <c r="V8370" s="21" t="s">
        <v>368</v>
      </c>
      <c r="W8370" t="str">
        <f>VLOOKUP(Table_Query_from_Actuarial___Production[[#This Row],[Kor1]],$AI$3:$AK$105,3,FALSE)</f>
        <v>Premiums Written</v>
      </c>
      <c r="X8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0"/>
      <c r="Z8370" t="s">
        <v>11</v>
      </c>
      <c r="AA8370" t="s">
        <v>265</v>
      </c>
      <c r="AB8370" t="s">
        <v>8</v>
      </c>
      <c r="AC8370" s="21">
        <v>128880.81</v>
      </c>
      <c r="AD8370" s="21" t="s">
        <v>368</v>
      </c>
      <c r="AE8370" t="str">
        <f>VLOOKUP(Table_Query_from_Actuarial___Production3[[#This Row],[Kor1]],$AI$3:$AK$105,3,FALSE)</f>
        <v>Losses Paid</v>
      </c>
      <c r="AF8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1" spans="18:32" x14ac:dyDescent="0.2">
      <c r="R8371" t="s">
        <v>13</v>
      </c>
      <c r="S8371" t="s">
        <v>234</v>
      </c>
      <c r="T8371" t="s">
        <v>433</v>
      </c>
      <c r="U8371" s="21">
        <v>173435.31</v>
      </c>
      <c r="V8371" s="21" t="s">
        <v>368</v>
      </c>
      <c r="W8371" t="str">
        <f>VLOOKUP(Table_Query_from_Actuarial___Production[[#This Row],[Kor1]],$AI$3:$AK$105,3,FALSE)</f>
        <v>Operating Service Fees</v>
      </c>
      <c r="X8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1"/>
      <c r="Z8371" t="s">
        <v>43</v>
      </c>
      <c r="AA8371" t="s">
        <v>246</v>
      </c>
      <c r="AB8371" t="s">
        <v>9</v>
      </c>
      <c r="AC8371" s="21">
        <v>-8.1999999999999993</v>
      </c>
      <c r="AD8371" s="21" t="s">
        <v>368</v>
      </c>
      <c r="AE8371" t="str">
        <f>VLOOKUP(Table_Query_from_Actuarial___Production3[[#This Row],[Kor1]],$AI$3:$AK$105,3,FALSE)</f>
        <v>Charge-offs</v>
      </c>
      <c r="AF8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2" spans="18:32" x14ac:dyDescent="0.2">
      <c r="R8372" t="s">
        <v>39</v>
      </c>
      <c r="S8372" t="s">
        <v>265</v>
      </c>
      <c r="T8372" t="s">
        <v>7</v>
      </c>
      <c r="U8372" s="21">
        <v>5.01</v>
      </c>
      <c r="V8372" s="21" t="s">
        <v>368</v>
      </c>
      <c r="W8372" t="str">
        <f>VLOOKUP(Table_Query_from_Actuarial___Production[[#This Row],[Kor1]],$AI$3:$AK$105,3,FALSE)</f>
        <v>Misc. Income for Insolvent Companies</v>
      </c>
      <c r="X8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2"/>
      <c r="Z8372" t="s">
        <v>47</v>
      </c>
      <c r="AA8372" t="s">
        <v>228</v>
      </c>
      <c r="AB8372" t="s">
        <v>443</v>
      </c>
      <c r="AC8372" s="21">
        <v>3154.14</v>
      </c>
      <c r="AD8372" s="21" t="s">
        <v>368</v>
      </c>
      <c r="AE8372" t="str">
        <f>VLOOKUP(Table_Query_from_Actuarial___Production3[[#This Row],[Kor1]],$AI$3:$AK$105,3,FALSE)</f>
        <v>Investment Income</v>
      </c>
      <c r="AF8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3" spans="18:32" x14ac:dyDescent="0.2">
      <c r="R8373" t="s">
        <v>439</v>
      </c>
      <c r="S8373" t="s">
        <v>252</v>
      </c>
      <c r="T8373" t="s">
        <v>433</v>
      </c>
      <c r="U8373" s="21">
        <v>501746</v>
      </c>
      <c r="V8373" s="21" t="s">
        <v>368</v>
      </c>
      <c r="W8373" t="str">
        <f>VLOOKUP(Table_Query_from_Actuarial___Production[[#This Row],[Kor1]],$AI$3:$AK$105,3,FALSE)</f>
        <v>Operating Service Fees</v>
      </c>
      <c r="X8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3"/>
      <c r="Z8373" t="s">
        <v>40</v>
      </c>
      <c r="AA8373" t="s">
        <v>261</v>
      </c>
      <c r="AB8373" t="s">
        <v>441</v>
      </c>
      <c r="AC8373" s="21">
        <v>21</v>
      </c>
      <c r="AD8373" s="21" t="s">
        <v>368</v>
      </c>
      <c r="AE8373" t="str">
        <f>VLOOKUP(Table_Query_from_Actuarial___Production3[[#This Row],[Kor1]],$AI$3:$AK$105,3,FALSE)</f>
        <v>Misc. Income</v>
      </c>
      <c r="AF8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4" spans="18:32" x14ac:dyDescent="0.2">
      <c r="R8374" t="s">
        <v>16</v>
      </c>
      <c r="S8374" t="s">
        <v>4</v>
      </c>
      <c r="T8374" t="s">
        <v>433</v>
      </c>
      <c r="U8374" s="21">
        <v>15454398.449999999</v>
      </c>
      <c r="V8374" s="21" t="s">
        <v>368</v>
      </c>
      <c r="W8374" t="str">
        <f>VLOOKUP(Table_Query_from_Actuarial___Production[[#This Row],[Kor1]],$AI$3:$AK$105,3,FALSE)</f>
        <v>Losses Outstanding</v>
      </c>
      <c r="X8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4"/>
      <c r="Z8374" t="s">
        <v>31</v>
      </c>
      <c r="AA8374" t="s">
        <v>233</v>
      </c>
      <c r="AB8374" t="s">
        <v>433</v>
      </c>
      <c r="AC8374" s="21">
        <v>872.19</v>
      </c>
      <c r="AD8374" s="21" t="s">
        <v>368</v>
      </c>
      <c r="AE8374" t="str">
        <f>VLOOKUP(Table_Query_from_Actuarial___Production3[[#This Row],[Kor1]],$AI$3:$AK$105,3,FALSE)</f>
        <v>Misc. Expense</v>
      </c>
      <c r="AF8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5" spans="18:32" x14ac:dyDescent="0.2">
      <c r="R8375" t="s">
        <v>40</v>
      </c>
      <c r="S8375" t="s">
        <v>266</v>
      </c>
      <c r="T8375" t="s">
        <v>433</v>
      </c>
      <c r="U8375" s="21">
        <v>1088.3399999999999</v>
      </c>
      <c r="V8375" s="21" t="s">
        <v>368</v>
      </c>
      <c r="W8375" t="str">
        <f>VLOOKUP(Table_Query_from_Actuarial___Production[[#This Row],[Kor1]],$AI$3:$AK$105,3,FALSE)</f>
        <v>Misc. Income</v>
      </c>
      <c r="X8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5"/>
      <c r="Z8375" t="s">
        <v>49</v>
      </c>
      <c r="AA8375" t="s">
        <v>229</v>
      </c>
      <c r="AB8375" t="s">
        <v>9</v>
      </c>
      <c r="AC8375" s="21">
        <v>104072.91</v>
      </c>
      <c r="AD8375" s="21" t="s">
        <v>368</v>
      </c>
      <c r="AE8375" t="str">
        <f>VLOOKUP(Table_Query_from_Actuarial___Production3[[#This Row],[Kor1]],$AI$3:$AK$105,3,FALSE)</f>
        <v>ALAE Paid</v>
      </c>
      <c r="AF8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6" spans="18:32" x14ac:dyDescent="0.2">
      <c r="R8376" t="s">
        <v>10</v>
      </c>
      <c r="S8376" t="s">
        <v>252</v>
      </c>
      <c r="T8376" t="s">
        <v>351</v>
      </c>
      <c r="U8376" s="21">
        <v>1548132.72</v>
      </c>
      <c r="V8376" s="21" t="s">
        <v>368</v>
      </c>
      <c r="W8376" t="str">
        <f>VLOOKUP(Table_Query_from_Actuarial___Production[[#This Row],[Kor1]],$AI$3:$AK$105,3,FALSE)</f>
        <v>Commissions</v>
      </c>
      <c r="X8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6"/>
      <c r="Z8376" t="s">
        <v>3</v>
      </c>
      <c r="AA8376" t="s">
        <v>254</v>
      </c>
      <c r="AB8376" t="s">
        <v>442</v>
      </c>
      <c r="AC8376" s="21">
        <v>33074082</v>
      </c>
      <c r="AD8376" s="21" t="s">
        <v>368</v>
      </c>
      <c r="AE8376" t="str">
        <f>VLOOKUP(Table_Query_from_Actuarial___Production3[[#This Row],[Kor1]],$AI$3:$AK$105,3,FALSE)</f>
        <v>Premiums Written</v>
      </c>
      <c r="AF8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7" spans="18:32" x14ac:dyDescent="0.2">
      <c r="R8377" t="s">
        <v>33</v>
      </c>
      <c r="S8377" t="s">
        <v>251</v>
      </c>
      <c r="T8377" t="s">
        <v>433</v>
      </c>
      <c r="U8377" s="21">
        <v>14447.49</v>
      </c>
      <c r="V8377" s="21" t="s">
        <v>368</v>
      </c>
      <c r="W8377" t="str">
        <f>VLOOKUP(Table_Query_from_Actuarial___Production[[#This Row],[Kor1]],$AI$3:$AK$105,3,FALSE)</f>
        <v>Misc. Expense</v>
      </c>
      <c r="X8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7"/>
      <c r="Z8377" t="s">
        <v>11</v>
      </c>
      <c r="AA8377" t="s">
        <v>354</v>
      </c>
      <c r="AB8377" t="s">
        <v>443</v>
      </c>
      <c r="AC8377" s="21">
        <v>1931209.78</v>
      </c>
      <c r="AD8377" s="21" t="s">
        <v>368</v>
      </c>
      <c r="AE8377" t="str">
        <f>VLOOKUP(Table_Query_from_Actuarial___Production3[[#This Row],[Kor1]],$AI$3:$AK$105,3,FALSE)</f>
        <v>Losses Paid</v>
      </c>
      <c r="AF8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378" spans="18:32" x14ac:dyDescent="0.2">
      <c r="R8378" t="s">
        <v>47</v>
      </c>
      <c r="S8378" t="s">
        <v>262</v>
      </c>
      <c r="T8378" t="s">
        <v>7</v>
      </c>
      <c r="U8378" s="21">
        <v>0.04</v>
      </c>
      <c r="V8378" s="21" t="s">
        <v>368</v>
      </c>
      <c r="W8378" t="str">
        <f>VLOOKUP(Table_Query_from_Actuarial___Production[[#This Row],[Kor1]],$AI$3:$AK$105,3,FALSE)</f>
        <v>Investment Income</v>
      </c>
      <c r="X8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78"/>
      <c r="Z8378" t="s">
        <v>12</v>
      </c>
      <c r="AA8378" t="s">
        <v>248</v>
      </c>
      <c r="AB8378" t="s">
        <v>443</v>
      </c>
      <c r="AC8378" s="21">
        <v>1302.02</v>
      </c>
      <c r="AD8378" s="21" t="s">
        <v>368</v>
      </c>
      <c r="AE8378" t="str">
        <f>VLOOKUP(Table_Query_from_Actuarial___Production3[[#This Row],[Kor1]],$AI$3:$AK$105,3,FALSE)</f>
        <v>Premium Tax</v>
      </c>
      <c r="AF8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79" spans="18:32" x14ac:dyDescent="0.2">
      <c r="R8379" t="s">
        <v>18</v>
      </c>
      <c r="S8379" t="s">
        <v>352</v>
      </c>
      <c r="T8379" t="s">
        <v>351</v>
      </c>
      <c r="U8379" s="21">
        <v>6158.91</v>
      </c>
      <c r="V8379" s="21" t="s">
        <v>368</v>
      </c>
      <c r="W8379" t="str">
        <f>VLOOKUP(Table_Query_from_Actuarial___Production[[#This Row],[Kor1]],$AI$3:$AK$105,3,FALSE)</f>
        <v>Misc. Expense</v>
      </c>
      <c r="X8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379"/>
      <c r="Z8379" t="s">
        <v>44</v>
      </c>
      <c r="AA8379" t="s">
        <v>255</v>
      </c>
      <c r="AB8379" t="s">
        <v>441</v>
      </c>
      <c r="AC8379" s="21">
        <v>31624.6</v>
      </c>
      <c r="AD8379" s="21" t="s">
        <v>368</v>
      </c>
      <c r="AE8379" t="str">
        <f>VLOOKUP(Table_Query_from_Actuarial___Production3[[#This Row],[Kor1]],$AI$3:$AK$105,3,FALSE)</f>
        <v>Charge-offs</v>
      </c>
      <c r="AF8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0" spans="18:32" x14ac:dyDescent="0.2">
      <c r="R8380" t="s">
        <v>12</v>
      </c>
      <c r="S8380" t="s">
        <v>249</v>
      </c>
      <c r="T8380" t="s">
        <v>433</v>
      </c>
      <c r="U8380" s="21">
        <v>23168.2</v>
      </c>
      <c r="V8380" s="21" t="s">
        <v>368</v>
      </c>
      <c r="W8380" t="str">
        <f>VLOOKUP(Table_Query_from_Actuarial___Production[[#This Row],[Kor1]],$AI$3:$AK$105,3,FALSE)</f>
        <v>Premium Tax</v>
      </c>
      <c r="X8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0"/>
      <c r="Z8380" t="s">
        <v>44</v>
      </c>
      <c r="AA8380" t="s">
        <v>246</v>
      </c>
      <c r="AB8380" t="s">
        <v>8</v>
      </c>
      <c r="AC8380" s="21">
        <v>2</v>
      </c>
      <c r="AD8380" s="21" t="s">
        <v>368</v>
      </c>
      <c r="AE8380" t="str">
        <f>VLOOKUP(Table_Query_from_Actuarial___Production3[[#This Row],[Kor1]],$AI$3:$AK$105,3,FALSE)</f>
        <v>Charge-offs</v>
      </c>
      <c r="AF8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1" spans="18:32" x14ac:dyDescent="0.2">
      <c r="R8381" t="s">
        <v>13</v>
      </c>
      <c r="S8381" t="s">
        <v>238</v>
      </c>
      <c r="T8381" t="s">
        <v>427</v>
      </c>
      <c r="U8381" s="21">
        <v>181164.14</v>
      </c>
      <c r="V8381" s="21" t="s">
        <v>368</v>
      </c>
      <c r="W8381" t="str">
        <f>VLOOKUP(Table_Query_from_Actuarial___Production[[#This Row],[Kor1]],$AI$3:$AK$105,3,FALSE)</f>
        <v>Operating Service Fees</v>
      </c>
      <c r="X8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1"/>
      <c r="Z8381" t="s">
        <v>47</v>
      </c>
      <c r="AA8381" t="s">
        <v>253</v>
      </c>
      <c r="AB8381" t="s">
        <v>351</v>
      </c>
      <c r="AC8381" s="21">
        <v>159.66999999999999</v>
      </c>
      <c r="AD8381" s="21" t="s">
        <v>368</v>
      </c>
      <c r="AE8381" t="str">
        <f>VLOOKUP(Table_Query_from_Actuarial___Production3[[#This Row],[Kor1]],$AI$3:$AK$105,3,FALSE)</f>
        <v>Investment Income</v>
      </c>
      <c r="AF8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2" spans="18:32" x14ac:dyDescent="0.2">
      <c r="R8382" t="s">
        <v>43</v>
      </c>
      <c r="S8382" t="s">
        <v>244</v>
      </c>
      <c r="T8382" t="s">
        <v>7</v>
      </c>
      <c r="U8382" s="21">
        <v>218.29</v>
      </c>
      <c r="V8382" s="21" t="s">
        <v>368</v>
      </c>
      <c r="W8382" t="str">
        <f>VLOOKUP(Table_Query_from_Actuarial___Production[[#This Row],[Kor1]],$AI$3:$AK$105,3,FALSE)</f>
        <v>Charge-offs</v>
      </c>
      <c r="X8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2"/>
      <c r="Z8382" t="s">
        <v>47</v>
      </c>
      <c r="AA8382" t="s">
        <v>258</v>
      </c>
      <c r="AB8382" t="s">
        <v>356</v>
      </c>
      <c r="AC8382" s="21">
        <v>15793.5</v>
      </c>
      <c r="AD8382" s="21" t="s">
        <v>368</v>
      </c>
      <c r="AE8382" t="str">
        <f>VLOOKUP(Table_Query_from_Actuarial___Production3[[#This Row],[Kor1]],$AI$3:$AK$105,3,FALSE)</f>
        <v>Investment Income</v>
      </c>
      <c r="AF8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3" spans="18:32" x14ac:dyDescent="0.2">
      <c r="R8383" t="s">
        <v>31</v>
      </c>
      <c r="S8383" t="s">
        <v>229</v>
      </c>
      <c r="T8383" t="s">
        <v>7</v>
      </c>
      <c r="U8383" s="21">
        <v>695.51</v>
      </c>
      <c r="V8383" s="21" t="s">
        <v>368</v>
      </c>
      <c r="W8383" t="str">
        <f>VLOOKUP(Table_Query_from_Actuarial___Production[[#This Row],[Kor1]],$AI$3:$AK$105,3,FALSE)</f>
        <v>Misc. Expense</v>
      </c>
      <c r="X8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3"/>
      <c r="Z8383" t="s">
        <v>3</v>
      </c>
      <c r="AA8383" t="s">
        <v>261</v>
      </c>
      <c r="AB8383" t="s">
        <v>427</v>
      </c>
      <c r="AC8383" s="21">
        <v>433399</v>
      </c>
      <c r="AD8383" s="21" t="s">
        <v>368</v>
      </c>
      <c r="AE8383" t="str">
        <f>VLOOKUP(Table_Query_from_Actuarial___Production3[[#This Row],[Kor1]],$AI$3:$AK$105,3,FALSE)</f>
        <v>Premiums Written</v>
      </c>
      <c r="AF8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4" spans="18:32" x14ac:dyDescent="0.2">
      <c r="R8384" t="s">
        <v>14</v>
      </c>
      <c r="S8384" t="s">
        <v>354</v>
      </c>
      <c r="T8384" t="s">
        <v>7</v>
      </c>
      <c r="U8384" s="21">
        <v>8163517.1600000001</v>
      </c>
      <c r="V8384" s="21" t="s">
        <v>368</v>
      </c>
      <c r="W8384" t="str">
        <f>VLOOKUP(Table_Query_from_Actuarial___Production[[#This Row],[Kor1]],$AI$3:$AK$105,3,FALSE)</f>
        <v>Claims Expense</v>
      </c>
      <c r="X8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384"/>
      <c r="Z8384" t="s">
        <v>13</v>
      </c>
      <c r="AA8384" t="s">
        <v>234</v>
      </c>
      <c r="AB8384" t="s">
        <v>433</v>
      </c>
      <c r="AC8384" s="21">
        <v>173435.31</v>
      </c>
      <c r="AD8384" s="21" t="s">
        <v>368</v>
      </c>
      <c r="AE8384" t="str">
        <f>VLOOKUP(Table_Query_from_Actuarial___Production3[[#This Row],[Kor1]],$AI$3:$AK$105,3,FALSE)</f>
        <v>Operating Service Fees</v>
      </c>
      <c r="AF8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5" spans="18:32" x14ac:dyDescent="0.2">
      <c r="R8385" t="s">
        <v>31</v>
      </c>
      <c r="S8385" t="s">
        <v>267</v>
      </c>
      <c r="T8385" t="s">
        <v>442</v>
      </c>
      <c r="U8385" s="21">
        <v>1155.57</v>
      </c>
      <c r="V8385" s="21" t="s">
        <v>368</v>
      </c>
      <c r="W8385" t="str">
        <f>VLOOKUP(Table_Query_from_Actuarial___Production[[#This Row],[Kor1]],$AI$3:$AK$105,3,FALSE)</f>
        <v>Misc. Expense</v>
      </c>
      <c r="X8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5"/>
      <c r="Z8385" t="s">
        <v>30</v>
      </c>
      <c r="AA8385" t="s">
        <v>4</v>
      </c>
      <c r="AB8385" t="s">
        <v>5</v>
      </c>
      <c r="AC8385" s="21">
        <v>218.23</v>
      </c>
      <c r="AD8385" s="21" t="s">
        <v>368</v>
      </c>
      <c r="AE8385" t="str">
        <f>VLOOKUP(Table_Query_from_Actuarial___Production3[[#This Row],[Kor1]],$AI$3:$AK$105,3,FALSE)</f>
        <v>Misc. Expense</v>
      </c>
      <c r="AF8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6" spans="18:32" x14ac:dyDescent="0.2">
      <c r="R8386" t="s">
        <v>13</v>
      </c>
      <c r="S8386" t="s">
        <v>354</v>
      </c>
      <c r="T8386" t="s">
        <v>9</v>
      </c>
      <c r="U8386" s="21">
        <v>223456404.06999999</v>
      </c>
      <c r="V8386" s="21" t="s">
        <v>369</v>
      </c>
      <c r="W8386" t="str">
        <f>VLOOKUP(Table_Query_from_Actuarial___Production[[#This Row],[Kor1]],$AI$3:$AK$105,3,FALSE)</f>
        <v>Operating Service Fees</v>
      </c>
      <c r="X8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386"/>
      <c r="Z8386" t="s">
        <v>39</v>
      </c>
      <c r="AA8386" t="s">
        <v>265</v>
      </c>
      <c r="AB8386" t="s">
        <v>7</v>
      </c>
      <c r="AC8386" s="21">
        <v>5.01</v>
      </c>
      <c r="AD8386" s="21" t="s">
        <v>368</v>
      </c>
      <c r="AE8386" t="str">
        <f>VLOOKUP(Table_Query_from_Actuarial___Production3[[#This Row],[Kor1]],$AI$3:$AK$105,3,FALSE)</f>
        <v>Misc. Income for Insolvent Companies</v>
      </c>
      <c r="AF8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7" spans="18:32" x14ac:dyDescent="0.2">
      <c r="R8387" t="s">
        <v>16</v>
      </c>
      <c r="S8387" t="s">
        <v>254</v>
      </c>
      <c r="T8387" t="s">
        <v>441</v>
      </c>
      <c r="U8387" s="21">
        <v>14838258.140000001</v>
      </c>
      <c r="V8387" s="21" t="s">
        <v>368</v>
      </c>
      <c r="W8387" t="str">
        <f>VLOOKUP(Table_Query_from_Actuarial___Production[[#This Row],[Kor1]],$AI$3:$AK$105,3,FALSE)</f>
        <v>Losses Outstanding</v>
      </c>
      <c r="X8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7"/>
      <c r="Z8387" t="s">
        <v>439</v>
      </c>
      <c r="AA8387" t="s">
        <v>252</v>
      </c>
      <c r="AB8387" t="s">
        <v>433</v>
      </c>
      <c r="AC8387" s="21">
        <v>501746</v>
      </c>
      <c r="AD8387" s="21" t="s">
        <v>368</v>
      </c>
      <c r="AE8387" t="str">
        <f>VLOOKUP(Table_Query_from_Actuarial___Production3[[#This Row],[Kor1]],$AI$3:$AK$105,3,FALSE)</f>
        <v>Operating Service Fees</v>
      </c>
      <c r="AF8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8" spans="18:32" x14ac:dyDescent="0.2">
      <c r="R8388" t="s">
        <v>11</v>
      </c>
      <c r="S8388" t="s">
        <v>231</v>
      </c>
      <c r="T8388" t="s">
        <v>9</v>
      </c>
      <c r="U8388" s="21">
        <v>413019.21</v>
      </c>
      <c r="V8388" s="21" t="s">
        <v>368</v>
      </c>
      <c r="W8388" t="str">
        <f>VLOOKUP(Table_Query_from_Actuarial___Production[[#This Row],[Kor1]],$AI$3:$AK$105,3,FALSE)</f>
        <v>Losses Paid</v>
      </c>
      <c r="X8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8"/>
      <c r="Z8388" t="s">
        <v>16</v>
      </c>
      <c r="AA8388" t="s">
        <v>4</v>
      </c>
      <c r="AB8388" t="s">
        <v>433</v>
      </c>
      <c r="AC8388" s="21">
        <v>20203210.079999998</v>
      </c>
      <c r="AD8388" s="21" t="s">
        <v>368</v>
      </c>
      <c r="AE8388" t="str">
        <f>VLOOKUP(Table_Query_from_Actuarial___Production3[[#This Row],[Kor1]],$AI$3:$AK$105,3,FALSE)</f>
        <v>Losses Outstanding</v>
      </c>
      <c r="AF8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89" spans="18:32" x14ac:dyDescent="0.2">
      <c r="R8389" t="s">
        <v>14</v>
      </c>
      <c r="S8389" t="s">
        <v>263</v>
      </c>
      <c r="T8389" t="s">
        <v>6</v>
      </c>
      <c r="U8389" s="21">
        <v>38226.51</v>
      </c>
      <c r="V8389" s="21" t="s">
        <v>368</v>
      </c>
      <c r="W8389" t="str">
        <f>VLOOKUP(Table_Query_from_Actuarial___Production[[#This Row],[Kor1]],$AI$3:$AK$105,3,FALSE)</f>
        <v>Claims Expense</v>
      </c>
      <c r="X8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89"/>
      <c r="Z8389" t="s">
        <v>40</v>
      </c>
      <c r="AA8389" t="s">
        <v>266</v>
      </c>
      <c r="AB8389" t="s">
        <v>433</v>
      </c>
      <c r="AC8389" s="21">
        <v>1088.3399999999999</v>
      </c>
      <c r="AD8389" s="21" t="s">
        <v>368</v>
      </c>
      <c r="AE8389" t="str">
        <f>VLOOKUP(Table_Query_from_Actuarial___Production3[[#This Row],[Kor1]],$AI$3:$AK$105,3,FALSE)</f>
        <v>Misc. Income</v>
      </c>
      <c r="AF8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0" spans="18:32" x14ac:dyDescent="0.2">
      <c r="R8390" t="s">
        <v>47</v>
      </c>
      <c r="S8390" t="s">
        <v>246</v>
      </c>
      <c r="T8390" t="s">
        <v>441</v>
      </c>
      <c r="U8390" s="21">
        <v>55.19</v>
      </c>
      <c r="V8390" s="21" t="s">
        <v>368</v>
      </c>
      <c r="W8390" t="str">
        <f>VLOOKUP(Table_Query_from_Actuarial___Production[[#This Row],[Kor1]],$AI$3:$AK$105,3,FALSE)</f>
        <v>Investment Income</v>
      </c>
      <c r="X8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0"/>
      <c r="Z8390" t="s">
        <v>10</v>
      </c>
      <c r="AA8390" t="s">
        <v>252</v>
      </c>
      <c r="AB8390" t="s">
        <v>351</v>
      </c>
      <c r="AC8390" s="21">
        <v>1548132.72</v>
      </c>
      <c r="AD8390" s="21" t="s">
        <v>368</v>
      </c>
      <c r="AE8390" t="str">
        <f>VLOOKUP(Table_Query_from_Actuarial___Production3[[#This Row],[Kor1]],$AI$3:$AK$105,3,FALSE)</f>
        <v>Commissions</v>
      </c>
      <c r="AF8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1" spans="18:32" x14ac:dyDescent="0.2">
      <c r="R8391" t="s">
        <v>34</v>
      </c>
      <c r="S8391" t="s">
        <v>264</v>
      </c>
      <c r="T8391" t="s">
        <v>445</v>
      </c>
      <c r="U8391" s="21">
        <v>2834.23</v>
      </c>
      <c r="V8391" s="21" t="s">
        <v>368</v>
      </c>
      <c r="W8391" t="str">
        <f>VLOOKUP(Table_Query_from_Actuarial___Production[[#This Row],[Kor1]],$AI$3:$AK$105,3,FALSE)</f>
        <v>Misc. Expense</v>
      </c>
      <c r="X8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1"/>
      <c r="Z8391" t="s">
        <v>33</v>
      </c>
      <c r="AA8391" t="s">
        <v>251</v>
      </c>
      <c r="AB8391" t="s">
        <v>433</v>
      </c>
      <c r="AC8391" s="21">
        <v>14447.49</v>
      </c>
      <c r="AD8391" s="21" t="s">
        <v>368</v>
      </c>
      <c r="AE8391" t="str">
        <f>VLOOKUP(Table_Query_from_Actuarial___Production3[[#This Row],[Kor1]],$AI$3:$AK$105,3,FALSE)</f>
        <v>Misc. Expense</v>
      </c>
      <c r="AF8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2" spans="18:32" x14ac:dyDescent="0.2">
      <c r="R8392" t="s">
        <v>19</v>
      </c>
      <c r="S8392" t="s">
        <v>231</v>
      </c>
      <c r="T8392" t="s">
        <v>9</v>
      </c>
      <c r="U8392" s="21">
        <v>3.99</v>
      </c>
      <c r="V8392" s="21" t="s">
        <v>368</v>
      </c>
      <c r="W8392" t="str">
        <f>VLOOKUP(Table_Query_from_Actuarial___Production[[#This Row],[Kor1]],$AI$3:$AK$105,3,FALSE)</f>
        <v>Misc. Expense for Insolvent Companies</v>
      </c>
      <c r="X8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2"/>
      <c r="Z8392" t="s">
        <v>47</v>
      </c>
      <c r="AA8392" t="s">
        <v>262</v>
      </c>
      <c r="AB8392" t="s">
        <v>7</v>
      </c>
      <c r="AC8392" s="21">
        <v>0.04</v>
      </c>
      <c r="AD8392" s="21" t="s">
        <v>368</v>
      </c>
      <c r="AE8392" t="str">
        <f>VLOOKUP(Table_Query_from_Actuarial___Production3[[#This Row],[Kor1]],$AI$3:$AK$105,3,FALSE)</f>
        <v>Investment Income</v>
      </c>
      <c r="AF8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3" spans="18:32" x14ac:dyDescent="0.2">
      <c r="R8393" t="s">
        <v>32</v>
      </c>
      <c r="S8393" t="s">
        <v>232</v>
      </c>
      <c r="T8393" t="s">
        <v>351</v>
      </c>
      <c r="U8393" s="21">
        <v>-9415.99</v>
      </c>
      <c r="V8393" s="21" t="s">
        <v>368</v>
      </c>
      <c r="W8393" t="str">
        <f>VLOOKUP(Table_Query_from_Actuarial___Production[[#This Row],[Kor1]],$AI$3:$AK$105,3,FALSE)</f>
        <v>Misc. Expense</v>
      </c>
      <c r="X8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3"/>
      <c r="Z8393" t="s">
        <v>18</v>
      </c>
      <c r="AA8393" t="s">
        <v>352</v>
      </c>
      <c r="AB8393" t="s">
        <v>351</v>
      </c>
      <c r="AC8393" s="21">
        <v>6158.91</v>
      </c>
      <c r="AD8393" s="21" t="s">
        <v>368</v>
      </c>
      <c r="AE8393" t="str">
        <f>VLOOKUP(Table_Query_from_Actuarial___Production3[[#This Row],[Kor1]],$AI$3:$AK$105,3,FALSE)</f>
        <v>Misc. Expense</v>
      </c>
      <c r="AF8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394" spans="18:32" x14ac:dyDescent="0.2">
      <c r="R8394" t="s">
        <v>41</v>
      </c>
      <c r="S8394" t="s">
        <v>233</v>
      </c>
      <c r="T8394" t="s">
        <v>445</v>
      </c>
      <c r="U8394" s="21">
        <v>100</v>
      </c>
      <c r="V8394" s="21" t="s">
        <v>368</v>
      </c>
      <c r="W8394" t="str">
        <f>VLOOKUP(Table_Query_from_Actuarial___Production[[#This Row],[Kor1]],$AI$3:$AK$105,3,FALSE)</f>
        <v>Misc. Income</v>
      </c>
      <c r="X8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4"/>
      <c r="Z8394" t="s">
        <v>12</v>
      </c>
      <c r="AA8394" t="s">
        <v>249</v>
      </c>
      <c r="AB8394" t="s">
        <v>433</v>
      </c>
      <c r="AC8394" s="21">
        <v>23168.2</v>
      </c>
      <c r="AD8394" s="21" t="s">
        <v>368</v>
      </c>
      <c r="AE8394" t="str">
        <f>VLOOKUP(Table_Query_from_Actuarial___Production3[[#This Row],[Kor1]],$AI$3:$AK$105,3,FALSE)</f>
        <v>Premium Tax</v>
      </c>
      <c r="AF8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5" spans="18:32" x14ac:dyDescent="0.2">
      <c r="R8395" t="s">
        <v>18</v>
      </c>
      <c r="S8395" t="s">
        <v>226</v>
      </c>
      <c r="T8395" t="s">
        <v>9</v>
      </c>
      <c r="U8395" s="21">
        <v>16366.37</v>
      </c>
      <c r="V8395" s="21" t="s">
        <v>368</v>
      </c>
      <c r="W8395" t="str">
        <f>VLOOKUP(Table_Query_from_Actuarial___Production[[#This Row],[Kor1]],$AI$3:$AK$105,3,FALSE)</f>
        <v>Misc. Expense</v>
      </c>
      <c r="X8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395"/>
      <c r="Z8395" t="s">
        <v>13</v>
      </c>
      <c r="AA8395" t="s">
        <v>238</v>
      </c>
      <c r="AB8395" t="s">
        <v>427</v>
      </c>
      <c r="AC8395" s="21">
        <v>181164.14</v>
      </c>
      <c r="AD8395" s="21" t="s">
        <v>368</v>
      </c>
      <c r="AE8395" t="str">
        <f>VLOOKUP(Table_Query_from_Actuarial___Production3[[#This Row],[Kor1]],$AI$3:$AK$105,3,FALSE)</f>
        <v>Operating Service Fees</v>
      </c>
      <c r="AF8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6" spans="18:32" x14ac:dyDescent="0.2">
      <c r="R8396" t="s">
        <v>31</v>
      </c>
      <c r="S8396" t="s">
        <v>234</v>
      </c>
      <c r="T8396" t="s">
        <v>7</v>
      </c>
      <c r="U8396" s="21">
        <v>900.19</v>
      </c>
      <c r="V8396" s="21" t="s">
        <v>368</v>
      </c>
      <c r="W8396" t="str">
        <f>VLOOKUP(Table_Query_from_Actuarial___Production[[#This Row],[Kor1]],$AI$3:$AK$105,3,FALSE)</f>
        <v>Misc. Expense</v>
      </c>
      <c r="X8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6"/>
      <c r="Z8396" t="s">
        <v>43</v>
      </c>
      <c r="AA8396" t="s">
        <v>244</v>
      </c>
      <c r="AB8396" t="s">
        <v>7</v>
      </c>
      <c r="AC8396" s="21">
        <v>218.29</v>
      </c>
      <c r="AD8396" s="21" t="s">
        <v>368</v>
      </c>
      <c r="AE8396" t="str">
        <f>VLOOKUP(Table_Query_from_Actuarial___Production3[[#This Row],[Kor1]],$AI$3:$AK$105,3,FALSE)</f>
        <v>Charge-offs</v>
      </c>
      <c r="AF8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7" spans="18:32" x14ac:dyDescent="0.2">
      <c r="R8397" t="s">
        <v>43</v>
      </c>
      <c r="S8397" t="s">
        <v>228</v>
      </c>
      <c r="T8397" t="s">
        <v>9</v>
      </c>
      <c r="U8397" s="21">
        <v>1747.47</v>
      </c>
      <c r="V8397" s="21" t="s">
        <v>368</v>
      </c>
      <c r="W8397" t="str">
        <f>VLOOKUP(Table_Query_from_Actuarial___Production[[#This Row],[Kor1]],$AI$3:$AK$105,3,FALSE)</f>
        <v>Charge-offs</v>
      </c>
      <c r="X8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7"/>
      <c r="Z8397" t="s">
        <v>31</v>
      </c>
      <c r="AA8397" t="s">
        <v>229</v>
      </c>
      <c r="AB8397" t="s">
        <v>7</v>
      </c>
      <c r="AC8397" s="21">
        <v>695.51</v>
      </c>
      <c r="AD8397" s="21" t="s">
        <v>368</v>
      </c>
      <c r="AE8397" t="str">
        <f>VLOOKUP(Table_Query_from_Actuarial___Production3[[#This Row],[Kor1]],$AI$3:$AK$105,3,FALSE)</f>
        <v>Misc. Expense</v>
      </c>
      <c r="AF8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398" spans="18:32" x14ac:dyDescent="0.2">
      <c r="R8398" t="s">
        <v>44</v>
      </c>
      <c r="S8398" t="s">
        <v>228</v>
      </c>
      <c r="T8398" t="s">
        <v>9</v>
      </c>
      <c r="U8398" s="21">
        <v>20189</v>
      </c>
      <c r="V8398" s="21" t="s">
        <v>368</v>
      </c>
      <c r="W8398" t="str">
        <f>VLOOKUP(Table_Query_from_Actuarial___Production[[#This Row],[Kor1]],$AI$3:$AK$105,3,FALSE)</f>
        <v>Charge-offs</v>
      </c>
      <c r="X8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8"/>
      <c r="Z8398" t="s">
        <v>14</v>
      </c>
      <c r="AA8398" t="s">
        <v>354</v>
      </c>
      <c r="AB8398" t="s">
        <v>7</v>
      </c>
      <c r="AC8398" s="21">
        <v>8163517.0800000001</v>
      </c>
      <c r="AD8398" s="21" t="s">
        <v>368</v>
      </c>
      <c r="AE8398" t="str">
        <f>VLOOKUP(Table_Query_from_Actuarial___Production3[[#This Row],[Kor1]],$AI$3:$AK$105,3,FALSE)</f>
        <v>Claims Expense</v>
      </c>
      <c r="AF8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399" spans="18:32" x14ac:dyDescent="0.2">
      <c r="R8399" t="s">
        <v>14</v>
      </c>
      <c r="S8399" t="s">
        <v>240</v>
      </c>
      <c r="T8399" t="s">
        <v>356</v>
      </c>
      <c r="U8399" s="21">
        <v>310033.34999999998</v>
      </c>
      <c r="V8399" s="21" t="s">
        <v>368</v>
      </c>
      <c r="W8399" t="str">
        <f>VLOOKUP(Table_Query_from_Actuarial___Production[[#This Row],[Kor1]],$AI$3:$AK$105,3,FALSE)</f>
        <v>Claims Expense</v>
      </c>
      <c r="X8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399"/>
      <c r="Z8399" t="s">
        <v>31</v>
      </c>
      <c r="AA8399" t="s">
        <v>267</v>
      </c>
      <c r="AB8399" t="s">
        <v>442</v>
      </c>
      <c r="AC8399" s="21">
        <v>1155.57</v>
      </c>
      <c r="AD8399" s="21" t="s">
        <v>368</v>
      </c>
      <c r="AE8399" t="str">
        <f>VLOOKUP(Table_Query_from_Actuarial___Production3[[#This Row],[Kor1]],$AI$3:$AK$105,3,FALSE)</f>
        <v>Misc. Expense</v>
      </c>
      <c r="AF8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0" spans="18:32" x14ac:dyDescent="0.2">
      <c r="R8400" t="s">
        <v>31</v>
      </c>
      <c r="S8400" t="s">
        <v>242</v>
      </c>
      <c r="T8400" t="s">
        <v>6</v>
      </c>
      <c r="U8400" s="21">
        <v>14</v>
      </c>
      <c r="V8400" s="21" t="s">
        <v>368</v>
      </c>
      <c r="W8400" t="str">
        <f>VLOOKUP(Table_Query_from_Actuarial___Production[[#This Row],[Kor1]],$AI$3:$AK$105,3,FALSE)</f>
        <v>Misc. Expense</v>
      </c>
      <c r="X8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0"/>
      <c r="Z8400" t="s">
        <v>13</v>
      </c>
      <c r="AA8400" t="s">
        <v>354</v>
      </c>
      <c r="AB8400" t="s">
        <v>9</v>
      </c>
      <c r="AC8400" s="21">
        <v>223456443.12</v>
      </c>
      <c r="AD8400" s="21" t="s">
        <v>369</v>
      </c>
      <c r="AE8400" t="str">
        <f>VLOOKUP(Table_Query_from_Actuarial___Production3[[#This Row],[Kor1]],$AI$3:$AK$105,3,FALSE)</f>
        <v>Operating Service Fees</v>
      </c>
      <c r="AF8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401" spans="18:32" x14ac:dyDescent="0.2">
      <c r="R8401" t="s">
        <v>14</v>
      </c>
      <c r="S8401" t="s">
        <v>237</v>
      </c>
      <c r="T8401" t="s">
        <v>356</v>
      </c>
      <c r="U8401" s="21">
        <v>5083172.5</v>
      </c>
      <c r="V8401" s="21" t="s">
        <v>368</v>
      </c>
      <c r="W8401" t="str">
        <f>VLOOKUP(Table_Query_from_Actuarial___Production[[#This Row],[Kor1]],$AI$3:$AK$105,3,FALSE)</f>
        <v>Claims Expense</v>
      </c>
      <c r="X8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1"/>
      <c r="Z8401" t="s">
        <v>16</v>
      </c>
      <c r="AA8401" t="s">
        <v>254</v>
      </c>
      <c r="AB8401" t="s">
        <v>441</v>
      </c>
      <c r="AC8401" s="21">
        <v>17919140.359999999</v>
      </c>
      <c r="AD8401" s="21" t="s">
        <v>368</v>
      </c>
      <c r="AE8401" t="str">
        <f>VLOOKUP(Table_Query_from_Actuarial___Production3[[#This Row],[Kor1]],$AI$3:$AK$105,3,FALSE)</f>
        <v>Losses Outstanding</v>
      </c>
      <c r="AF8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2" spans="18:32" x14ac:dyDescent="0.2">
      <c r="R8402" t="s">
        <v>33</v>
      </c>
      <c r="S8402" t="s">
        <v>254</v>
      </c>
      <c r="T8402" t="s">
        <v>433</v>
      </c>
      <c r="U8402" s="21">
        <v>14053.42</v>
      </c>
      <c r="V8402" s="21" t="s">
        <v>368</v>
      </c>
      <c r="W8402" t="str">
        <f>VLOOKUP(Table_Query_from_Actuarial___Production[[#This Row],[Kor1]],$AI$3:$AK$105,3,FALSE)</f>
        <v>Misc. Expense</v>
      </c>
      <c r="X8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2"/>
      <c r="Z8402" t="s">
        <v>11</v>
      </c>
      <c r="AA8402" t="s">
        <v>231</v>
      </c>
      <c r="AB8402" t="s">
        <v>9</v>
      </c>
      <c r="AC8402" s="21">
        <v>413019.21</v>
      </c>
      <c r="AD8402" s="21" t="s">
        <v>368</v>
      </c>
      <c r="AE8402" t="str">
        <f>VLOOKUP(Table_Query_from_Actuarial___Production3[[#This Row],[Kor1]],$AI$3:$AK$105,3,FALSE)</f>
        <v>Losses Paid</v>
      </c>
      <c r="AF8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3" spans="18:32" x14ac:dyDescent="0.2">
      <c r="R8403" t="s">
        <v>132</v>
      </c>
      <c r="S8403" t="s">
        <v>354</v>
      </c>
      <c r="T8403" t="s">
        <v>356</v>
      </c>
      <c r="U8403" s="21">
        <v>219216281.66999999</v>
      </c>
      <c r="V8403" s="21" t="s">
        <v>369</v>
      </c>
      <c r="W8403" t="str">
        <f>VLOOKUP(Table_Query_from_Actuarial___Production[[#This Row],[Kor1]],$AI$3:$AK$105,3,FALSE)</f>
        <v>Clean Risk Subsidy</v>
      </c>
      <c r="X8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03"/>
      <c r="Z8403" t="s">
        <v>17</v>
      </c>
      <c r="AA8403" t="s">
        <v>227</v>
      </c>
      <c r="AB8403" t="s">
        <v>427</v>
      </c>
      <c r="AC8403" s="21">
        <v>248.28</v>
      </c>
      <c r="AD8403" s="21" t="s">
        <v>368</v>
      </c>
      <c r="AE8403" t="str">
        <f>VLOOKUP(Table_Query_from_Actuarial___Production3[[#This Row],[Kor1]],$AI$3:$AK$105,3,FALSE)</f>
        <v>IBNR</v>
      </c>
      <c r="AF8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4" spans="18:32" x14ac:dyDescent="0.2">
      <c r="R8404" t="s">
        <v>3</v>
      </c>
      <c r="S8404" t="s">
        <v>261</v>
      </c>
      <c r="T8404" t="s">
        <v>443</v>
      </c>
      <c r="U8404" s="21">
        <v>186038</v>
      </c>
      <c r="V8404" s="21" t="s">
        <v>368</v>
      </c>
      <c r="W8404" t="str">
        <f>VLOOKUP(Table_Query_from_Actuarial___Production[[#This Row],[Kor1]],$AI$3:$AK$105,3,FALSE)</f>
        <v>Premiums Written</v>
      </c>
      <c r="X8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4"/>
      <c r="Z8404" t="s">
        <v>14</v>
      </c>
      <c r="AA8404" t="s">
        <v>263</v>
      </c>
      <c r="AB8404" t="s">
        <v>6</v>
      </c>
      <c r="AC8404" s="21">
        <v>38226.51</v>
      </c>
      <c r="AD8404" s="21" t="s">
        <v>368</v>
      </c>
      <c r="AE8404" t="str">
        <f>VLOOKUP(Table_Query_from_Actuarial___Production3[[#This Row],[Kor1]],$AI$3:$AK$105,3,FALSE)</f>
        <v>Claims Expense</v>
      </c>
      <c r="AF8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5" spans="18:32" x14ac:dyDescent="0.2">
      <c r="R8405" t="s">
        <v>11</v>
      </c>
      <c r="S8405" t="s">
        <v>233</v>
      </c>
      <c r="T8405" t="s">
        <v>427</v>
      </c>
      <c r="U8405" s="21">
        <v>719110.43</v>
      </c>
      <c r="V8405" s="21" t="s">
        <v>368</v>
      </c>
      <c r="W8405" t="str">
        <f>VLOOKUP(Table_Query_from_Actuarial___Production[[#This Row],[Kor1]],$AI$3:$AK$105,3,FALSE)</f>
        <v>Losses Paid</v>
      </c>
      <c r="X8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5"/>
      <c r="Z8405" t="s">
        <v>44</v>
      </c>
      <c r="AA8405" t="s">
        <v>230</v>
      </c>
      <c r="AB8405" t="s">
        <v>5</v>
      </c>
      <c r="AC8405" s="21">
        <v>512008.21</v>
      </c>
      <c r="AD8405" s="21" t="s">
        <v>368</v>
      </c>
      <c r="AE8405" t="str">
        <f>VLOOKUP(Table_Query_from_Actuarial___Production3[[#This Row],[Kor1]],$AI$3:$AK$105,3,FALSE)</f>
        <v>Charge-offs</v>
      </c>
      <c r="AF8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6" spans="18:32" x14ac:dyDescent="0.2">
      <c r="R8406" t="s">
        <v>33</v>
      </c>
      <c r="S8406" t="s">
        <v>244</v>
      </c>
      <c r="T8406" t="s">
        <v>7</v>
      </c>
      <c r="U8406" s="21">
        <v>13461.32</v>
      </c>
      <c r="V8406" s="21" t="s">
        <v>368</v>
      </c>
      <c r="W8406" t="str">
        <f>VLOOKUP(Table_Query_from_Actuarial___Production[[#This Row],[Kor1]],$AI$3:$AK$105,3,FALSE)</f>
        <v>Misc. Expense</v>
      </c>
      <c r="X8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6"/>
      <c r="Z8406" t="s">
        <v>47</v>
      </c>
      <c r="AA8406" t="s">
        <v>246</v>
      </c>
      <c r="AB8406" t="s">
        <v>441</v>
      </c>
      <c r="AC8406" s="21">
        <v>55.19</v>
      </c>
      <c r="AD8406" s="21" t="s">
        <v>368</v>
      </c>
      <c r="AE8406" t="str">
        <f>VLOOKUP(Table_Query_from_Actuarial___Production3[[#This Row],[Kor1]],$AI$3:$AK$105,3,FALSE)</f>
        <v>Investment Income</v>
      </c>
      <c r="AF8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7" spans="18:32" x14ac:dyDescent="0.2">
      <c r="R8407" t="s">
        <v>44</v>
      </c>
      <c r="S8407" t="s">
        <v>230</v>
      </c>
      <c r="T8407" t="s">
        <v>8</v>
      </c>
      <c r="U8407" s="21">
        <v>2595390.5499999998</v>
      </c>
      <c r="V8407" s="21" t="s">
        <v>368</v>
      </c>
      <c r="W8407" t="str">
        <f>VLOOKUP(Table_Query_from_Actuarial___Production[[#This Row],[Kor1]],$AI$3:$AK$105,3,FALSE)</f>
        <v>Charge-offs</v>
      </c>
      <c r="X8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7"/>
      <c r="Z8407" t="s">
        <v>19</v>
      </c>
      <c r="AA8407" t="s">
        <v>258</v>
      </c>
      <c r="AB8407" t="s">
        <v>5</v>
      </c>
      <c r="AC8407" s="21">
        <v>24480.99</v>
      </c>
      <c r="AD8407" s="21" t="s">
        <v>368</v>
      </c>
      <c r="AE8407" t="str">
        <f>VLOOKUP(Table_Query_from_Actuarial___Production3[[#This Row],[Kor1]],$AI$3:$AK$105,3,FALSE)</f>
        <v>Misc. Expense for Insolvent Companies</v>
      </c>
      <c r="AF8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8" spans="18:32" x14ac:dyDescent="0.2">
      <c r="R8408" t="s">
        <v>19</v>
      </c>
      <c r="S8408" t="s">
        <v>260</v>
      </c>
      <c r="T8408" t="s">
        <v>6</v>
      </c>
      <c r="U8408" s="21">
        <v>3</v>
      </c>
      <c r="V8408" s="21" t="s">
        <v>368</v>
      </c>
      <c r="W8408" t="str">
        <f>VLOOKUP(Table_Query_from_Actuarial___Production[[#This Row],[Kor1]],$AI$3:$AK$105,3,FALSE)</f>
        <v>Misc. Expense for Insolvent Companies</v>
      </c>
      <c r="X8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8"/>
      <c r="Z8408" t="s">
        <v>19</v>
      </c>
      <c r="AA8408" t="s">
        <v>231</v>
      </c>
      <c r="AB8408" t="s">
        <v>9</v>
      </c>
      <c r="AC8408" s="21">
        <v>3.99</v>
      </c>
      <c r="AD8408" s="21" t="s">
        <v>368</v>
      </c>
      <c r="AE8408" t="str">
        <f>VLOOKUP(Table_Query_from_Actuarial___Production3[[#This Row],[Kor1]],$AI$3:$AK$105,3,FALSE)</f>
        <v>Misc. Expense for Insolvent Companies</v>
      </c>
      <c r="AF8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09" spans="18:32" x14ac:dyDescent="0.2">
      <c r="R8409" t="s">
        <v>47</v>
      </c>
      <c r="S8409" t="s">
        <v>228</v>
      </c>
      <c r="T8409" t="s">
        <v>427</v>
      </c>
      <c r="U8409" s="21">
        <v>2876.32</v>
      </c>
      <c r="V8409" s="21" t="s">
        <v>368</v>
      </c>
      <c r="W8409" t="str">
        <f>VLOOKUP(Table_Query_from_Actuarial___Production[[#This Row],[Kor1]],$AI$3:$AK$105,3,FALSE)</f>
        <v>Investment Income</v>
      </c>
      <c r="X8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09"/>
      <c r="Z8409" t="s">
        <v>32</v>
      </c>
      <c r="AA8409" t="s">
        <v>232</v>
      </c>
      <c r="AB8409" t="s">
        <v>351</v>
      </c>
      <c r="AC8409" s="21">
        <v>-9415.99</v>
      </c>
      <c r="AD8409" s="21" t="s">
        <v>368</v>
      </c>
      <c r="AE8409" t="str">
        <f>VLOOKUP(Table_Query_from_Actuarial___Production3[[#This Row],[Kor1]],$AI$3:$AK$105,3,FALSE)</f>
        <v>Misc. Expense</v>
      </c>
      <c r="AF8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0" spans="18:32" x14ac:dyDescent="0.2">
      <c r="R8410" t="s">
        <v>13</v>
      </c>
      <c r="S8410" t="s">
        <v>225</v>
      </c>
      <c r="T8410" t="s">
        <v>445</v>
      </c>
      <c r="U8410" s="21">
        <v>35789.46</v>
      </c>
      <c r="V8410" s="21" t="s">
        <v>368</v>
      </c>
      <c r="W8410" t="str">
        <f>VLOOKUP(Table_Query_from_Actuarial___Production[[#This Row],[Kor1]],$AI$3:$AK$105,3,FALSE)</f>
        <v>Operating Service Fees</v>
      </c>
      <c r="X8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410"/>
      <c r="Z8410" t="s">
        <v>18</v>
      </c>
      <c r="AA8410" t="s">
        <v>226</v>
      </c>
      <c r="AB8410" t="s">
        <v>9</v>
      </c>
      <c r="AC8410" s="21">
        <v>16366.37</v>
      </c>
      <c r="AD8410" s="21" t="s">
        <v>368</v>
      </c>
      <c r="AE8410" t="str">
        <f>VLOOKUP(Table_Query_from_Actuarial___Production3[[#This Row],[Kor1]],$AI$3:$AK$105,3,FALSE)</f>
        <v>Misc. Expense</v>
      </c>
      <c r="AF8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11" spans="18:32" x14ac:dyDescent="0.2">
      <c r="R8411" t="s">
        <v>17</v>
      </c>
      <c r="S8411" t="s">
        <v>225</v>
      </c>
      <c r="T8411" t="s">
        <v>7</v>
      </c>
      <c r="U8411" s="21">
        <v>12171</v>
      </c>
      <c r="V8411" s="21" t="s">
        <v>369</v>
      </c>
      <c r="W8411" t="str">
        <f>VLOOKUP(Table_Query_from_Actuarial___Production[[#This Row],[Kor1]],$AI$3:$AK$105,3,FALSE)</f>
        <v>IBNR</v>
      </c>
      <c r="X8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411"/>
      <c r="Z8411" t="s">
        <v>31</v>
      </c>
      <c r="AA8411" t="s">
        <v>234</v>
      </c>
      <c r="AB8411" t="s">
        <v>7</v>
      </c>
      <c r="AC8411" s="21">
        <v>900.19</v>
      </c>
      <c r="AD8411" s="21" t="s">
        <v>368</v>
      </c>
      <c r="AE8411" t="str">
        <f>VLOOKUP(Table_Query_from_Actuarial___Production3[[#This Row],[Kor1]],$AI$3:$AK$105,3,FALSE)</f>
        <v>Misc. Expense</v>
      </c>
      <c r="AF8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2" spans="18:32" x14ac:dyDescent="0.2">
      <c r="R8412" t="s">
        <v>41</v>
      </c>
      <c r="S8412" t="s">
        <v>231</v>
      </c>
      <c r="T8412" t="s">
        <v>443</v>
      </c>
      <c r="U8412" s="21">
        <v>1593.95</v>
      </c>
      <c r="V8412" s="21" t="s">
        <v>368</v>
      </c>
      <c r="W8412" t="str">
        <f>VLOOKUP(Table_Query_from_Actuarial___Production[[#This Row],[Kor1]],$AI$3:$AK$105,3,FALSE)</f>
        <v>Misc. Income</v>
      </c>
      <c r="X8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2"/>
      <c r="Z8412" t="s">
        <v>43</v>
      </c>
      <c r="AA8412" t="s">
        <v>228</v>
      </c>
      <c r="AB8412" t="s">
        <v>9</v>
      </c>
      <c r="AC8412" s="21">
        <v>1747.47</v>
      </c>
      <c r="AD8412" s="21" t="s">
        <v>368</v>
      </c>
      <c r="AE8412" t="str">
        <f>VLOOKUP(Table_Query_from_Actuarial___Production3[[#This Row],[Kor1]],$AI$3:$AK$105,3,FALSE)</f>
        <v>Charge-offs</v>
      </c>
      <c r="AF8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3" spans="18:32" x14ac:dyDescent="0.2">
      <c r="R8413" t="s">
        <v>31</v>
      </c>
      <c r="S8413" t="s">
        <v>250</v>
      </c>
      <c r="T8413" t="s">
        <v>443</v>
      </c>
      <c r="U8413" s="21">
        <v>1071.78</v>
      </c>
      <c r="V8413" s="21" t="s">
        <v>368</v>
      </c>
      <c r="W8413" t="str">
        <f>VLOOKUP(Table_Query_from_Actuarial___Production[[#This Row],[Kor1]],$AI$3:$AK$105,3,FALSE)</f>
        <v>Misc. Expense</v>
      </c>
      <c r="X8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3"/>
      <c r="Z8413" t="s">
        <v>44</v>
      </c>
      <c r="AA8413" t="s">
        <v>228</v>
      </c>
      <c r="AB8413" t="s">
        <v>9</v>
      </c>
      <c r="AC8413" s="21">
        <v>20189</v>
      </c>
      <c r="AD8413" s="21" t="s">
        <v>368</v>
      </c>
      <c r="AE8413" t="str">
        <f>VLOOKUP(Table_Query_from_Actuarial___Production3[[#This Row],[Kor1]],$AI$3:$AK$105,3,FALSE)</f>
        <v>Charge-offs</v>
      </c>
      <c r="AF8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4" spans="18:32" x14ac:dyDescent="0.2">
      <c r="R8414" t="s">
        <v>12</v>
      </c>
      <c r="S8414" t="s">
        <v>227</v>
      </c>
      <c r="T8414" t="s">
        <v>441</v>
      </c>
      <c r="U8414" s="21">
        <v>1658.38</v>
      </c>
      <c r="V8414" s="21" t="s">
        <v>368</v>
      </c>
      <c r="W8414" t="str">
        <f>VLOOKUP(Table_Query_from_Actuarial___Production[[#This Row],[Kor1]],$AI$3:$AK$105,3,FALSE)</f>
        <v>Premium Tax</v>
      </c>
      <c r="X8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4"/>
      <c r="Z8414" t="s">
        <v>14</v>
      </c>
      <c r="AA8414" t="s">
        <v>240</v>
      </c>
      <c r="AB8414" t="s">
        <v>356</v>
      </c>
      <c r="AC8414" s="21">
        <v>310033.34999999998</v>
      </c>
      <c r="AD8414" s="21" t="s">
        <v>368</v>
      </c>
      <c r="AE8414" t="str">
        <f>VLOOKUP(Table_Query_from_Actuarial___Production3[[#This Row],[Kor1]],$AI$3:$AK$105,3,FALSE)</f>
        <v>Claims Expense</v>
      </c>
      <c r="AF8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5" spans="18:32" x14ac:dyDescent="0.2">
      <c r="R8415" t="s">
        <v>18</v>
      </c>
      <c r="S8415" t="s">
        <v>352</v>
      </c>
      <c r="T8415" t="s">
        <v>356</v>
      </c>
      <c r="U8415" s="21">
        <v>138122.16</v>
      </c>
      <c r="V8415" s="21" t="s">
        <v>369</v>
      </c>
      <c r="W8415" t="str">
        <f>VLOOKUP(Table_Query_from_Actuarial___Production[[#This Row],[Kor1]],$AI$3:$AK$105,3,FALSE)</f>
        <v>Misc. Expense</v>
      </c>
      <c r="X8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415"/>
      <c r="Z8415" t="s">
        <v>31</v>
      </c>
      <c r="AA8415" t="s">
        <v>242</v>
      </c>
      <c r="AB8415" t="s">
        <v>6</v>
      </c>
      <c r="AC8415" s="21">
        <v>14</v>
      </c>
      <c r="AD8415" s="21" t="s">
        <v>368</v>
      </c>
      <c r="AE8415" t="str">
        <f>VLOOKUP(Table_Query_from_Actuarial___Production3[[#This Row],[Kor1]],$AI$3:$AK$105,3,FALSE)</f>
        <v>Misc. Expense</v>
      </c>
      <c r="AF8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6" spans="18:32" x14ac:dyDescent="0.2">
      <c r="R8416" t="s">
        <v>49</v>
      </c>
      <c r="S8416" t="s">
        <v>234</v>
      </c>
      <c r="T8416" t="s">
        <v>8</v>
      </c>
      <c r="U8416" s="21">
        <v>4988.87</v>
      </c>
      <c r="V8416" s="21" t="s">
        <v>368</v>
      </c>
      <c r="W8416" t="str">
        <f>VLOOKUP(Table_Query_from_Actuarial___Production[[#This Row],[Kor1]],$AI$3:$AK$105,3,FALSE)</f>
        <v>ALAE Paid</v>
      </c>
      <c r="X8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6"/>
      <c r="Z8416" t="s">
        <v>14</v>
      </c>
      <c r="AA8416" t="s">
        <v>237</v>
      </c>
      <c r="AB8416" t="s">
        <v>356</v>
      </c>
      <c r="AC8416" s="21">
        <v>5083172.5</v>
      </c>
      <c r="AD8416" s="21" t="s">
        <v>368</v>
      </c>
      <c r="AE8416" t="str">
        <f>VLOOKUP(Table_Query_from_Actuarial___Production3[[#This Row],[Kor1]],$AI$3:$AK$105,3,FALSE)</f>
        <v>Claims Expense</v>
      </c>
      <c r="AF8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7" spans="18:32" x14ac:dyDescent="0.2">
      <c r="R8417" t="s">
        <v>33</v>
      </c>
      <c r="S8417" t="s">
        <v>236</v>
      </c>
      <c r="T8417" t="s">
        <v>442</v>
      </c>
      <c r="U8417" s="21">
        <v>16307.14</v>
      </c>
      <c r="V8417" s="21" t="s">
        <v>368</v>
      </c>
      <c r="W8417" t="str">
        <f>VLOOKUP(Table_Query_from_Actuarial___Production[[#This Row],[Kor1]],$AI$3:$AK$105,3,FALSE)</f>
        <v>Misc. Expense</v>
      </c>
      <c r="X8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7"/>
      <c r="Z8417" t="s">
        <v>33</v>
      </c>
      <c r="AA8417" t="s">
        <v>248</v>
      </c>
      <c r="AB8417" t="s">
        <v>5</v>
      </c>
      <c r="AC8417" s="21">
        <v>16568.080000000002</v>
      </c>
      <c r="AD8417" s="21" t="s">
        <v>368</v>
      </c>
      <c r="AE8417" t="str">
        <f>VLOOKUP(Table_Query_from_Actuarial___Production3[[#This Row],[Kor1]],$AI$3:$AK$105,3,FALSE)</f>
        <v>Misc. Expense</v>
      </c>
      <c r="AF8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8" spans="18:32" x14ac:dyDescent="0.2">
      <c r="R8418" t="s">
        <v>50</v>
      </c>
      <c r="S8418" t="s">
        <v>262</v>
      </c>
      <c r="T8418" t="s">
        <v>442</v>
      </c>
      <c r="U8418" s="21">
        <v>399.13</v>
      </c>
      <c r="V8418" s="21" t="s">
        <v>368</v>
      </c>
      <c r="W8418" t="str">
        <f>VLOOKUP(Table_Query_from_Actuarial___Production[[#This Row],[Kor1]],$AI$3:$AK$105,3,FALSE)</f>
        <v>ALAE Reserve</v>
      </c>
      <c r="X8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8"/>
      <c r="Z8418" t="s">
        <v>33</v>
      </c>
      <c r="AA8418" t="s">
        <v>254</v>
      </c>
      <c r="AB8418" t="s">
        <v>433</v>
      </c>
      <c r="AC8418" s="21">
        <v>14053.42</v>
      </c>
      <c r="AD8418" s="21" t="s">
        <v>368</v>
      </c>
      <c r="AE8418" t="str">
        <f>VLOOKUP(Table_Query_from_Actuarial___Production3[[#This Row],[Kor1]],$AI$3:$AK$105,3,FALSE)</f>
        <v>Misc. Expense</v>
      </c>
      <c r="AF8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19" spans="18:32" x14ac:dyDescent="0.2">
      <c r="R8419" t="s">
        <v>33</v>
      </c>
      <c r="S8419" t="s">
        <v>249</v>
      </c>
      <c r="T8419" t="s">
        <v>6</v>
      </c>
      <c r="U8419" s="21">
        <v>11115.76</v>
      </c>
      <c r="V8419" s="21" t="s">
        <v>368</v>
      </c>
      <c r="W8419" t="str">
        <f>VLOOKUP(Table_Query_from_Actuarial___Production[[#This Row],[Kor1]],$AI$3:$AK$105,3,FALSE)</f>
        <v>Misc. Expense</v>
      </c>
      <c r="X8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19"/>
      <c r="Z8419" t="s">
        <v>132</v>
      </c>
      <c r="AA8419" t="s">
        <v>354</v>
      </c>
      <c r="AB8419" t="s">
        <v>356</v>
      </c>
      <c r="AC8419" s="21">
        <v>219184764.47999999</v>
      </c>
      <c r="AD8419" s="21" t="s">
        <v>369</v>
      </c>
      <c r="AE8419" t="str">
        <f>VLOOKUP(Table_Query_from_Actuarial___Production3[[#This Row],[Kor1]],$AI$3:$AK$105,3,FALSE)</f>
        <v>Clean Risk Subsidy</v>
      </c>
      <c r="AF8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420" spans="18:32" x14ac:dyDescent="0.2">
      <c r="R8420" t="s">
        <v>37</v>
      </c>
      <c r="S8420" t="s">
        <v>232</v>
      </c>
      <c r="T8420" t="s">
        <v>9</v>
      </c>
      <c r="U8420" s="21">
        <v>756.43</v>
      </c>
      <c r="V8420" s="21" t="s">
        <v>368</v>
      </c>
      <c r="W8420" t="str">
        <f>VLOOKUP(Table_Query_from_Actuarial___Production[[#This Row],[Kor1]],$AI$3:$AK$105,3,FALSE)</f>
        <v>Misc. Expense</v>
      </c>
      <c r="X8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0"/>
      <c r="Z8420" t="s">
        <v>3</v>
      </c>
      <c r="AA8420" t="s">
        <v>261</v>
      </c>
      <c r="AB8420" t="s">
        <v>443</v>
      </c>
      <c r="AC8420" s="21">
        <v>19279</v>
      </c>
      <c r="AD8420" s="21" t="s">
        <v>368</v>
      </c>
      <c r="AE8420" t="str">
        <f>VLOOKUP(Table_Query_from_Actuarial___Production3[[#This Row],[Kor1]],$AI$3:$AK$105,3,FALSE)</f>
        <v>Premiums Written</v>
      </c>
      <c r="AF8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1" spans="18:32" x14ac:dyDescent="0.2">
      <c r="R8421" t="s">
        <v>34</v>
      </c>
      <c r="S8421" t="s">
        <v>259</v>
      </c>
      <c r="T8421" t="s">
        <v>356</v>
      </c>
      <c r="U8421" s="21">
        <v>801.23</v>
      </c>
      <c r="V8421" s="21" t="s">
        <v>368</v>
      </c>
      <c r="W8421" t="str">
        <f>VLOOKUP(Table_Query_from_Actuarial___Production[[#This Row],[Kor1]],$AI$3:$AK$105,3,FALSE)</f>
        <v>Misc. Expense</v>
      </c>
      <c r="X8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1"/>
      <c r="Z8421" t="s">
        <v>11</v>
      </c>
      <c r="AA8421" t="s">
        <v>233</v>
      </c>
      <c r="AB8421" t="s">
        <v>427</v>
      </c>
      <c r="AC8421" s="21">
        <v>719110.43</v>
      </c>
      <c r="AD8421" s="21" t="s">
        <v>368</v>
      </c>
      <c r="AE8421" t="str">
        <f>VLOOKUP(Table_Query_from_Actuarial___Production3[[#This Row],[Kor1]],$AI$3:$AK$105,3,FALSE)</f>
        <v>Losses Paid</v>
      </c>
      <c r="AF8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2" spans="18:32" x14ac:dyDescent="0.2">
      <c r="R8422" t="s">
        <v>41</v>
      </c>
      <c r="S8422" t="s">
        <v>243</v>
      </c>
      <c r="T8422" t="s">
        <v>427</v>
      </c>
      <c r="U8422" s="21">
        <v>50</v>
      </c>
      <c r="V8422" s="21" t="s">
        <v>368</v>
      </c>
      <c r="W8422" t="str">
        <f>VLOOKUP(Table_Query_from_Actuarial___Production[[#This Row],[Kor1]],$AI$3:$AK$105,3,FALSE)</f>
        <v>Misc. Income</v>
      </c>
      <c r="X8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2"/>
      <c r="Z8422" t="s">
        <v>33</v>
      </c>
      <c r="AA8422" t="s">
        <v>244</v>
      </c>
      <c r="AB8422" t="s">
        <v>7</v>
      </c>
      <c r="AC8422" s="21">
        <v>13461.32</v>
      </c>
      <c r="AD8422" s="21" t="s">
        <v>368</v>
      </c>
      <c r="AE8422" t="str">
        <f>VLOOKUP(Table_Query_from_Actuarial___Production3[[#This Row],[Kor1]],$AI$3:$AK$105,3,FALSE)</f>
        <v>Misc. Expense</v>
      </c>
      <c r="AF8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3" spans="18:32" x14ac:dyDescent="0.2">
      <c r="R8423" t="s">
        <v>41</v>
      </c>
      <c r="S8423" t="s">
        <v>245</v>
      </c>
      <c r="T8423" t="s">
        <v>7</v>
      </c>
      <c r="U8423" s="21">
        <v>450</v>
      </c>
      <c r="V8423" s="21" t="s">
        <v>368</v>
      </c>
      <c r="W8423" t="str">
        <f>VLOOKUP(Table_Query_from_Actuarial___Production[[#This Row],[Kor1]],$AI$3:$AK$105,3,FALSE)</f>
        <v>Misc. Income</v>
      </c>
      <c r="X8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3"/>
      <c r="Z8423" t="s">
        <v>44</v>
      </c>
      <c r="AA8423" t="s">
        <v>230</v>
      </c>
      <c r="AB8423" t="s">
        <v>8</v>
      </c>
      <c r="AC8423" s="21">
        <v>2595390.5499999998</v>
      </c>
      <c r="AD8423" s="21" t="s">
        <v>368</v>
      </c>
      <c r="AE8423" t="str">
        <f>VLOOKUP(Table_Query_from_Actuarial___Production3[[#This Row],[Kor1]],$AI$3:$AK$105,3,FALSE)</f>
        <v>Charge-offs</v>
      </c>
      <c r="AF8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4" spans="18:32" x14ac:dyDescent="0.2">
      <c r="R8424" t="s">
        <v>167</v>
      </c>
      <c r="S8424" t="s">
        <v>354</v>
      </c>
      <c r="T8424" t="s">
        <v>441</v>
      </c>
      <c r="U8424" s="21">
        <v>123307718</v>
      </c>
      <c r="V8424" s="21" t="s">
        <v>369</v>
      </c>
      <c r="W8424" t="str">
        <f>VLOOKUP(Table_Query_from_Actuarial___Production[[#This Row],[Kor1]],$AI$3:$AK$105,3,FALSE)</f>
        <v>Recoupment</v>
      </c>
      <c r="X8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24"/>
      <c r="Z8424" t="s">
        <v>19</v>
      </c>
      <c r="AA8424" t="s">
        <v>260</v>
      </c>
      <c r="AB8424" t="s">
        <v>6</v>
      </c>
      <c r="AC8424" s="21">
        <v>3</v>
      </c>
      <c r="AD8424" s="21" t="s">
        <v>368</v>
      </c>
      <c r="AE8424" t="str">
        <f>VLOOKUP(Table_Query_from_Actuarial___Production3[[#This Row],[Kor1]],$AI$3:$AK$105,3,FALSE)</f>
        <v>Misc. Expense for Insolvent Companies</v>
      </c>
      <c r="AF8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5" spans="18:32" x14ac:dyDescent="0.2">
      <c r="R8425" t="s">
        <v>44</v>
      </c>
      <c r="S8425" t="s">
        <v>224</v>
      </c>
      <c r="T8425" t="s">
        <v>7</v>
      </c>
      <c r="U8425" s="21">
        <v>2884.1</v>
      </c>
      <c r="V8425" s="21" t="s">
        <v>368</v>
      </c>
      <c r="W8425" t="str">
        <f>VLOOKUP(Table_Query_from_Actuarial___Production[[#This Row],[Kor1]],$AI$3:$AK$105,3,FALSE)</f>
        <v>Charge-offs</v>
      </c>
      <c r="X8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425"/>
      <c r="Z8425" t="s">
        <v>47</v>
      </c>
      <c r="AA8425" t="s">
        <v>228</v>
      </c>
      <c r="AB8425" t="s">
        <v>427</v>
      </c>
      <c r="AC8425" s="21">
        <v>2876.32</v>
      </c>
      <c r="AD8425" s="21" t="s">
        <v>368</v>
      </c>
      <c r="AE8425" t="str">
        <f>VLOOKUP(Table_Query_from_Actuarial___Production3[[#This Row],[Kor1]],$AI$3:$AK$105,3,FALSE)</f>
        <v>Investment Income</v>
      </c>
      <c r="AF8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6" spans="18:32" x14ac:dyDescent="0.2">
      <c r="R8426" t="s">
        <v>11</v>
      </c>
      <c r="S8426" t="s">
        <v>354</v>
      </c>
      <c r="T8426" t="s">
        <v>7</v>
      </c>
      <c r="U8426" s="21">
        <v>69392498.989999995</v>
      </c>
      <c r="V8426" s="21" t="s">
        <v>368</v>
      </c>
      <c r="W8426" t="str">
        <f>VLOOKUP(Table_Query_from_Actuarial___Production[[#This Row],[Kor1]],$AI$3:$AK$105,3,FALSE)</f>
        <v>Losses Paid</v>
      </c>
      <c r="X8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426"/>
      <c r="Z8426" t="s">
        <v>17</v>
      </c>
      <c r="AA8426" t="s">
        <v>225</v>
      </c>
      <c r="AB8426" t="s">
        <v>7</v>
      </c>
      <c r="AC8426" s="21">
        <v>12071</v>
      </c>
      <c r="AD8426" s="21" t="s">
        <v>369</v>
      </c>
      <c r="AE8426" t="str">
        <f>VLOOKUP(Table_Query_from_Actuarial___Production3[[#This Row],[Kor1]],$AI$3:$AK$105,3,FALSE)</f>
        <v>IBNR</v>
      </c>
      <c r="AF8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427" spans="18:32" x14ac:dyDescent="0.2">
      <c r="R8427" t="s">
        <v>3</v>
      </c>
      <c r="S8427" t="s">
        <v>239</v>
      </c>
      <c r="T8427" t="s">
        <v>443</v>
      </c>
      <c r="U8427" s="21">
        <v>4033313</v>
      </c>
      <c r="V8427" s="21" t="s">
        <v>368</v>
      </c>
      <c r="W8427" t="str">
        <f>VLOOKUP(Table_Query_from_Actuarial___Production[[#This Row],[Kor1]],$AI$3:$AK$105,3,FALSE)</f>
        <v>Premiums Written</v>
      </c>
      <c r="X8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7"/>
      <c r="Z8427" t="s">
        <v>41</v>
      </c>
      <c r="AA8427" t="s">
        <v>231</v>
      </c>
      <c r="AB8427" t="s">
        <v>443</v>
      </c>
      <c r="AC8427" s="21">
        <v>661.09</v>
      </c>
      <c r="AD8427" s="21" t="s">
        <v>368</v>
      </c>
      <c r="AE8427" t="str">
        <f>VLOOKUP(Table_Query_from_Actuarial___Production3[[#This Row],[Kor1]],$AI$3:$AK$105,3,FALSE)</f>
        <v>Misc. Income</v>
      </c>
      <c r="AF8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8" spans="18:32" x14ac:dyDescent="0.2">
      <c r="R8428" t="s">
        <v>17</v>
      </c>
      <c r="S8428" t="s">
        <v>354</v>
      </c>
      <c r="T8428" t="s">
        <v>445</v>
      </c>
      <c r="U8428" s="21">
        <v>101250013.39</v>
      </c>
      <c r="V8428" s="21" t="s">
        <v>369</v>
      </c>
      <c r="W8428" t="str">
        <f>VLOOKUP(Table_Query_from_Actuarial___Production[[#This Row],[Kor1]],$AI$3:$AK$105,3,FALSE)</f>
        <v>IBNR</v>
      </c>
      <c r="X8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28"/>
      <c r="Z8428" t="s">
        <v>31</v>
      </c>
      <c r="AA8428" t="s">
        <v>250</v>
      </c>
      <c r="AB8428" t="s">
        <v>443</v>
      </c>
      <c r="AC8428" s="21">
        <v>793.76</v>
      </c>
      <c r="AD8428" s="21" t="s">
        <v>368</v>
      </c>
      <c r="AE8428" t="str">
        <f>VLOOKUP(Table_Query_from_Actuarial___Production3[[#This Row],[Kor1]],$AI$3:$AK$105,3,FALSE)</f>
        <v>Misc. Expense</v>
      </c>
      <c r="AF8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29" spans="18:32" x14ac:dyDescent="0.2">
      <c r="R8429" t="s">
        <v>33</v>
      </c>
      <c r="S8429" t="s">
        <v>239</v>
      </c>
      <c r="T8429" t="s">
        <v>443</v>
      </c>
      <c r="U8429" s="21">
        <v>12750.72</v>
      </c>
      <c r="V8429" s="21" t="s">
        <v>368</v>
      </c>
      <c r="W8429" t="str">
        <f>VLOOKUP(Table_Query_from_Actuarial___Production[[#This Row],[Kor1]],$AI$3:$AK$105,3,FALSE)</f>
        <v>Misc. Expense</v>
      </c>
      <c r="X8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29"/>
      <c r="Z8429" t="s">
        <v>12</v>
      </c>
      <c r="AA8429" t="s">
        <v>227</v>
      </c>
      <c r="AB8429" t="s">
        <v>441</v>
      </c>
      <c r="AC8429" s="21">
        <v>1658.38</v>
      </c>
      <c r="AD8429" s="21" t="s">
        <v>368</v>
      </c>
      <c r="AE8429" t="str">
        <f>VLOOKUP(Table_Query_from_Actuarial___Production3[[#This Row],[Kor1]],$AI$3:$AK$105,3,FALSE)</f>
        <v>Premium Tax</v>
      </c>
      <c r="AF8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0" spans="18:32" x14ac:dyDescent="0.2">
      <c r="R8430" t="s">
        <v>33</v>
      </c>
      <c r="S8430" t="s">
        <v>265</v>
      </c>
      <c r="T8430" t="s">
        <v>351</v>
      </c>
      <c r="U8430" s="21">
        <v>16696.419999999998</v>
      </c>
      <c r="V8430" s="21" t="s">
        <v>368</v>
      </c>
      <c r="W8430" t="str">
        <f>VLOOKUP(Table_Query_from_Actuarial___Production[[#This Row],[Kor1]],$AI$3:$AK$105,3,FALSE)</f>
        <v>Misc. Expense</v>
      </c>
      <c r="X8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0"/>
      <c r="Z8430" t="s">
        <v>18</v>
      </c>
      <c r="AA8430" t="s">
        <v>352</v>
      </c>
      <c r="AB8430" t="s">
        <v>356</v>
      </c>
      <c r="AC8430" s="21">
        <v>138122.16</v>
      </c>
      <c r="AD8430" s="21" t="s">
        <v>369</v>
      </c>
      <c r="AE8430" t="str">
        <f>VLOOKUP(Table_Query_from_Actuarial___Production3[[#This Row],[Kor1]],$AI$3:$AK$105,3,FALSE)</f>
        <v>Misc. Expense</v>
      </c>
      <c r="AF8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431" spans="18:32" x14ac:dyDescent="0.2">
      <c r="R8431" t="s">
        <v>13</v>
      </c>
      <c r="S8431" t="s">
        <v>241</v>
      </c>
      <c r="T8431" t="s">
        <v>427</v>
      </c>
      <c r="U8431" s="21">
        <v>145986.09</v>
      </c>
      <c r="V8431" s="21" t="s">
        <v>368</v>
      </c>
      <c r="W8431" t="str">
        <f>VLOOKUP(Table_Query_from_Actuarial___Production[[#This Row],[Kor1]],$AI$3:$AK$105,3,FALSE)</f>
        <v>Operating Service Fees</v>
      </c>
      <c r="X8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1"/>
      <c r="Z8431" t="s">
        <v>49</v>
      </c>
      <c r="AA8431" t="s">
        <v>234</v>
      </c>
      <c r="AB8431" t="s">
        <v>8</v>
      </c>
      <c r="AC8431" s="21">
        <v>4988.87</v>
      </c>
      <c r="AD8431" s="21" t="s">
        <v>368</v>
      </c>
      <c r="AE8431" t="str">
        <f>VLOOKUP(Table_Query_from_Actuarial___Production3[[#This Row],[Kor1]],$AI$3:$AK$105,3,FALSE)</f>
        <v>ALAE Paid</v>
      </c>
      <c r="AF8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2" spans="18:32" x14ac:dyDescent="0.2">
      <c r="R8432" t="s">
        <v>21</v>
      </c>
      <c r="S8432" t="s">
        <v>252</v>
      </c>
      <c r="T8432" t="s">
        <v>441</v>
      </c>
      <c r="U8432" s="21">
        <v>58325.65</v>
      </c>
      <c r="V8432" s="21" t="s">
        <v>368</v>
      </c>
      <c r="W8432" t="str">
        <f>VLOOKUP(Table_Query_from_Actuarial___Production[[#This Row],[Kor1]],$AI$3:$AK$105,3,FALSE)</f>
        <v>Misc. Expense</v>
      </c>
      <c r="X8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2"/>
      <c r="Z8432" t="s">
        <v>33</v>
      </c>
      <c r="AA8432" t="s">
        <v>236</v>
      </c>
      <c r="AB8432" t="s">
        <v>442</v>
      </c>
      <c r="AC8432" s="21">
        <v>16307.14</v>
      </c>
      <c r="AD8432" s="21" t="s">
        <v>368</v>
      </c>
      <c r="AE8432" t="str">
        <f>VLOOKUP(Table_Query_from_Actuarial___Production3[[#This Row],[Kor1]],$AI$3:$AK$105,3,FALSE)</f>
        <v>Misc. Expense</v>
      </c>
      <c r="AF8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3" spans="18:32" x14ac:dyDescent="0.2">
      <c r="R8433" t="s">
        <v>43</v>
      </c>
      <c r="S8433" t="s">
        <v>243</v>
      </c>
      <c r="T8433" t="s">
        <v>356</v>
      </c>
      <c r="U8433" s="21">
        <v>-116.54</v>
      </c>
      <c r="V8433" s="21" t="s">
        <v>368</v>
      </c>
      <c r="W8433" t="str">
        <f>VLOOKUP(Table_Query_from_Actuarial___Production[[#This Row],[Kor1]],$AI$3:$AK$105,3,FALSE)</f>
        <v>Charge-offs</v>
      </c>
      <c r="X8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3"/>
      <c r="Z8433" t="s">
        <v>50</v>
      </c>
      <c r="AA8433" t="s">
        <v>262</v>
      </c>
      <c r="AB8433" t="s">
        <v>442</v>
      </c>
      <c r="AC8433" s="21">
        <v>545.77</v>
      </c>
      <c r="AD8433" s="21" t="s">
        <v>368</v>
      </c>
      <c r="AE8433" t="str">
        <f>VLOOKUP(Table_Query_from_Actuarial___Production3[[#This Row],[Kor1]],$AI$3:$AK$105,3,FALSE)</f>
        <v>ALAE Reserve</v>
      </c>
      <c r="AF8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4" spans="18:32" x14ac:dyDescent="0.2">
      <c r="R8434" t="s">
        <v>39</v>
      </c>
      <c r="S8434" t="s">
        <v>233</v>
      </c>
      <c r="T8434" t="s">
        <v>8</v>
      </c>
      <c r="U8434" s="21">
        <v>68</v>
      </c>
      <c r="V8434" s="21" t="s">
        <v>368</v>
      </c>
      <c r="W8434" t="str">
        <f>VLOOKUP(Table_Query_from_Actuarial___Production[[#This Row],[Kor1]],$AI$3:$AK$105,3,FALSE)</f>
        <v>Misc. Income for Insolvent Companies</v>
      </c>
      <c r="X8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4"/>
      <c r="Z8434" t="s">
        <v>33</v>
      </c>
      <c r="AA8434" t="s">
        <v>249</v>
      </c>
      <c r="AB8434" t="s">
        <v>6</v>
      </c>
      <c r="AC8434" s="21">
        <v>11115.76</v>
      </c>
      <c r="AD8434" s="21" t="s">
        <v>368</v>
      </c>
      <c r="AE8434" t="str">
        <f>VLOOKUP(Table_Query_from_Actuarial___Production3[[#This Row],[Kor1]],$AI$3:$AK$105,3,FALSE)</f>
        <v>Misc. Expense</v>
      </c>
      <c r="AF8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5" spans="18:32" x14ac:dyDescent="0.2">
      <c r="R8435" t="s">
        <v>14</v>
      </c>
      <c r="S8435" t="s">
        <v>247</v>
      </c>
      <c r="T8435" t="s">
        <v>9</v>
      </c>
      <c r="U8435" s="21">
        <v>517.9</v>
      </c>
      <c r="V8435" s="21" t="s">
        <v>368</v>
      </c>
      <c r="W8435" t="str">
        <f>VLOOKUP(Table_Query_from_Actuarial___Production[[#This Row],[Kor1]],$AI$3:$AK$105,3,FALSE)</f>
        <v>Claims Expense</v>
      </c>
      <c r="X8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5"/>
      <c r="Z8435" t="s">
        <v>37</v>
      </c>
      <c r="AA8435" t="s">
        <v>232</v>
      </c>
      <c r="AB8435" t="s">
        <v>9</v>
      </c>
      <c r="AC8435" s="21">
        <v>756.43</v>
      </c>
      <c r="AD8435" s="21" t="s">
        <v>368</v>
      </c>
      <c r="AE8435" t="str">
        <f>VLOOKUP(Table_Query_from_Actuarial___Production3[[#This Row],[Kor1]],$AI$3:$AK$105,3,FALSE)</f>
        <v>Misc. Expense</v>
      </c>
      <c r="AF8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6" spans="18:32" x14ac:dyDescent="0.2">
      <c r="R8436" t="s">
        <v>34</v>
      </c>
      <c r="S8436" t="s">
        <v>238</v>
      </c>
      <c r="T8436" t="s">
        <v>6</v>
      </c>
      <c r="U8436" s="21">
        <v>5.01</v>
      </c>
      <c r="V8436" s="21" t="s">
        <v>368</v>
      </c>
      <c r="W8436" t="str">
        <f>VLOOKUP(Table_Query_from_Actuarial___Production[[#This Row],[Kor1]],$AI$3:$AK$105,3,FALSE)</f>
        <v>Misc. Expense</v>
      </c>
      <c r="X8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6"/>
      <c r="Z8436" t="s">
        <v>47</v>
      </c>
      <c r="AA8436" t="s">
        <v>4</v>
      </c>
      <c r="AB8436" t="s">
        <v>5</v>
      </c>
      <c r="AC8436" s="21">
        <v>77.77</v>
      </c>
      <c r="AD8436" s="21" t="s">
        <v>368</v>
      </c>
      <c r="AE8436" t="str">
        <f>VLOOKUP(Table_Query_from_Actuarial___Production3[[#This Row],[Kor1]],$AI$3:$AK$105,3,FALSE)</f>
        <v>Investment Income</v>
      </c>
      <c r="AF8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7" spans="18:32" x14ac:dyDescent="0.2">
      <c r="R8437" t="s">
        <v>41</v>
      </c>
      <c r="S8437" t="s">
        <v>257</v>
      </c>
      <c r="T8437" t="s">
        <v>443</v>
      </c>
      <c r="U8437" s="21">
        <v>979.84</v>
      </c>
      <c r="V8437" s="21" t="s">
        <v>368</v>
      </c>
      <c r="W8437" t="str">
        <f>VLOOKUP(Table_Query_from_Actuarial___Production[[#This Row],[Kor1]],$AI$3:$AK$105,3,FALSE)</f>
        <v>Misc. Income</v>
      </c>
      <c r="X8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7"/>
      <c r="Z8437" t="s">
        <v>34</v>
      </c>
      <c r="AA8437" t="s">
        <v>259</v>
      </c>
      <c r="AB8437" t="s">
        <v>356</v>
      </c>
      <c r="AC8437" s="21">
        <v>801.23</v>
      </c>
      <c r="AD8437" s="21" t="s">
        <v>368</v>
      </c>
      <c r="AE8437" t="str">
        <f>VLOOKUP(Table_Query_from_Actuarial___Production3[[#This Row],[Kor1]],$AI$3:$AK$105,3,FALSE)</f>
        <v>Misc. Expense</v>
      </c>
      <c r="AF8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8" spans="18:32" x14ac:dyDescent="0.2">
      <c r="R8438" t="s">
        <v>3</v>
      </c>
      <c r="S8438" t="s">
        <v>352</v>
      </c>
      <c r="T8438" t="s">
        <v>433</v>
      </c>
      <c r="U8438" s="21">
        <v>208</v>
      </c>
      <c r="V8438" s="21" t="s">
        <v>368</v>
      </c>
      <c r="W8438" t="str">
        <f>VLOOKUP(Table_Query_from_Actuarial___Production[[#This Row],[Kor1]],$AI$3:$AK$105,3,FALSE)</f>
        <v>Premiums Written</v>
      </c>
      <c r="X8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438"/>
      <c r="Z8438" t="s">
        <v>40</v>
      </c>
      <c r="AA8438" t="s">
        <v>261</v>
      </c>
      <c r="AB8438" t="s">
        <v>5</v>
      </c>
      <c r="AC8438" s="21">
        <v>20</v>
      </c>
      <c r="AD8438" s="21" t="s">
        <v>368</v>
      </c>
      <c r="AE8438" t="str">
        <f>VLOOKUP(Table_Query_from_Actuarial___Production3[[#This Row],[Kor1]],$AI$3:$AK$105,3,FALSE)</f>
        <v>Misc. Income</v>
      </c>
      <c r="AF8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39" spans="18:32" x14ac:dyDescent="0.2">
      <c r="R8439" t="s">
        <v>47</v>
      </c>
      <c r="S8439" t="s">
        <v>266</v>
      </c>
      <c r="T8439" t="s">
        <v>351</v>
      </c>
      <c r="U8439" s="21">
        <v>1065.53</v>
      </c>
      <c r="V8439" s="21" t="s">
        <v>368</v>
      </c>
      <c r="W8439" t="str">
        <f>VLOOKUP(Table_Query_from_Actuarial___Production[[#This Row],[Kor1]],$AI$3:$AK$105,3,FALSE)</f>
        <v>Investment Income</v>
      </c>
      <c r="X8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39"/>
      <c r="Z8439" t="s">
        <v>41</v>
      </c>
      <c r="AA8439" t="s">
        <v>243</v>
      </c>
      <c r="AB8439" t="s">
        <v>427</v>
      </c>
      <c r="AC8439" s="21">
        <v>50</v>
      </c>
      <c r="AD8439" s="21" t="s">
        <v>368</v>
      </c>
      <c r="AE8439" t="str">
        <f>VLOOKUP(Table_Query_from_Actuarial___Production3[[#This Row],[Kor1]],$AI$3:$AK$105,3,FALSE)</f>
        <v>Misc. Income</v>
      </c>
      <c r="AF8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0" spans="18:32" x14ac:dyDescent="0.2">
      <c r="R8440" t="s">
        <v>13</v>
      </c>
      <c r="S8440" t="s">
        <v>224</v>
      </c>
      <c r="T8440" t="s">
        <v>356</v>
      </c>
      <c r="U8440" s="21">
        <v>5522.8</v>
      </c>
      <c r="V8440" s="21" t="s">
        <v>425</v>
      </c>
      <c r="W8440" t="str">
        <f>VLOOKUP(Table_Query_from_Actuarial___Production[[#This Row],[Kor1]],$AI$3:$AK$105,3,FALSE)</f>
        <v>Operating Service Fees</v>
      </c>
      <c r="X8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440"/>
      <c r="Z8440" t="s">
        <v>41</v>
      </c>
      <c r="AA8440" t="s">
        <v>245</v>
      </c>
      <c r="AB8440" t="s">
        <v>7</v>
      </c>
      <c r="AC8440" s="21">
        <v>450</v>
      </c>
      <c r="AD8440" s="21" t="s">
        <v>368</v>
      </c>
      <c r="AE8440" t="str">
        <f>VLOOKUP(Table_Query_from_Actuarial___Production3[[#This Row],[Kor1]],$AI$3:$AK$105,3,FALSE)</f>
        <v>Misc. Income</v>
      </c>
      <c r="AF8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1" spans="18:32" x14ac:dyDescent="0.2">
      <c r="R8441" t="s">
        <v>12</v>
      </c>
      <c r="S8441" t="s">
        <v>227</v>
      </c>
      <c r="T8441" t="s">
        <v>351</v>
      </c>
      <c r="U8441" s="21">
        <v>1385.68</v>
      </c>
      <c r="V8441" s="21" t="s">
        <v>368</v>
      </c>
      <c r="W8441" t="str">
        <f>VLOOKUP(Table_Query_from_Actuarial___Production[[#This Row],[Kor1]],$AI$3:$AK$105,3,FALSE)</f>
        <v>Premium Tax</v>
      </c>
      <c r="X8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1"/>
      <c r="Z8441" t="s">
        <v>167</v>
      </c>
      <c r="AA8441" t="s">
        <v>354</v>
      </c>
      <c r="AB8441" t="s">
        <v>441</v>
      </c>
      <c r="AC8441" s="21">
        <v>119801534</v>
      </c>
      <c r="AD8441" s="21" t="s">
        <v>369</v>
      </c>
      <c r="AE8441" t="str">
        <f>VLOOKUP(Table_Query_from_Actuarial___Production3[[#This Row],[Kor1]],$AI$3:$AK$105,3,FALSE)</f>
        <v>Recoupment</v>
      </c>
      <c r="AF8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442" spans="18:32" x14ac:dyDescent="0.2">
      <c r="R8442" t="s">
        <v>48</v>
      </c>
      <c r="S8442" t="s">
        <v>226</v>
      </c>
      <c r="T8442" t="s">
        <v>433</v>
      </c>
      <c r="U8442" s="21">
        <v>8450.4</v>
      </c>
      <c r="V8442" s="21" t="s">
        <v>368</v>
      </c>
      <c r="W8442" t="str">
        <f>VLOOKUP(Table_Query_from_Actuarial___Production[[#This Row],[Kor1]],$AI$3:$AK$105,3,FALSE)</f>
        <v>Anticipated Salvage</v>
      </c>
      <c r="X8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442"/>
      <c r="Z8442" t="s">
        <v>44</v>
      </c>
      <c r="AA8442" t="s">
        <v>224</v>
      </c>
      <c r="AB8442" t="s">
        <v>7</v>
      </c>
      <c r="AC8442" s="21">
        <v>2884.1</v>
      </c>
      <c r="AD8442" s="21" t="s">
        <v>368</v>
      </c>
      <c r="AE8442" t="str">
        <f>VLOOKUP(Table_Query_from_Actuarial___Production3[[#This Row],[Kor1]],$AI$3:$AK$105,3,FALSE)</f>
        <v>Charge-offs</v>
      </c>
      <c r="AF8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443" spans="18:32" x14ac:dyDescent="0.2">
      <c r="R8443" t="s">
        <v>39</v>
      </c>
      <c r="S8443" t="s">
        <v>265</v>
      </c>
      <c r="T8443" t="s">
        <v>443</v>
      </c>
      <c r="U8443" s="21">
        <v>42.34</v>
      </c>
      <c r="V8443" s="21" t="s">
        <v>368</v>
      </c>
      <c r="W8443" t="str">
        <f>VLOOKUP(Table_Query_from_Actuarial___Production[[#This Row],[Kor1]],$AI$3:$AK$105,3,FALSE)</f>
        <v>Misc. Income for Insolvent Companies</v>
      </c>
      <c r="X8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3"/>
      <c r="Z8443" t="s">
        <v>11</v>
      </c>
      <c r="AA8443" t="s">
        <v>354</v>
      </c>
      <c r="AB8443" t="s">
        <v>7</v>
      </c>
      <c r="AC8443" s="21">
        <v>69392498.989999995</v>
      </c>
      <c r="AD8443" s="21" t="s">
        <v>368</v>
      </c>
      <c r="AE8443" t="str">
        <f>VLOOKUP(Table_Query_from_Actuarial___Production3[[#This Row],[Kor1]],$AI$3:$AK$105,3,FALSE)</f>
        <v>Losses Paid</v>
      </c>
      <c r="AF8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444" spans="18:32" x14ac:dyDescent="0.2">
      <c r="R8444" t="s">
        <v>29</v>
      </c>
      <c r="S8444" t="s">
        <v>4</v>
      </c>
      <c r="T8444" t="s">
        <v>8</v>
      </c>
      <c r="U8444" s="21">
        <v>284.37</v>
      </c>
      <c r="V8444" s="21" t="s">
        <v>368</v>
      </c>
      <c r="W8444" t="str">
        <f>VLOOKUP(Table_Query_from_Actuarial___Production[[#This Row],[Kor1]],$AI$3:$AK$105,3,FALSE)</f>
        <v>Misc. Expense</v>
      </c>
      <c r="X8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4"/>
      <c r="Z8444" t="s">
        <v>3</v>
      </c>
      <c r="AA8444" t="s">
        <v>239</v>
      </c>
      <c r="AB8444" t="s">
        <v>443</v>
      </c>
      <c r="AC8444" s="21">
        <v>1503288</v>
      </c>
      <c r="AD8444" s="21" t="s">
        <v>368</v>
      </c>
      <c r="AE8444" t="str">
        <f>VLOOKUP(Table_Query_from_Actuarial___Production3[[#This Row],[Kor1]],$AI$3:$AK$105,3,FALSE)</f>
        <v>Premiums Written</v>
      </c>
      <c r="AF8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5" spans="18:32" x14ac:dyDescent="0.2">
      <c r="R8445" t="s">
        <v>38</v>
      </c>
      <c r="S8445" t="s">
        <v>354</v>
      </c>
      <c r="T8445" t="s">
        <v>433</v>
      </c>
      <c r="U8445" s="21">
        <v>288247.76</v>
      </c>
      <c r="V8445" s="21" t="s">
        <v>369</v>
      </c>
      <c r="W8445" t="str">
        <f>VLOOKUP(Table_Query_from_Actuarial___Production[[#This Row],[Kor1]],$AI$3:$AK$105,3,FALSE)</f>
        <v>Misc. Income</v>
      </c>
      <c r="X8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45"/>
      <c r="Z8445" t="s">
        <v>33</v>
      </c>
      <c r="AA8445" t="s">
        <v>239</v>
      </c>
      <c r="AB8445" t="s">
        <v>443</v>
      </c>
      <c r="AC8445" s="21">
        <v>4361.6400000000003</v>
      </c>
      <c r="AD8445" s="21" t="s">
        <v>368</v>
      </c>
      <c r="AE8445" t="str">
        <f>VLOOKUP(Table_Query_from_Actuarial___Production3[[#This Row],[Kor1]],$AI$3:$AK$105,3,FALSE)</f>
        <v>Misc. Expense</v>
      </c>
      <c r="AF8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6" spans="18:32" x14ac:dyDescent="0.2">
      <c r="R8446" t="s">
        <v>13</v>
      </c>
      <c r="S8446" t="s">
        <v>258</v>
      </c>
      <c r="T8446" t="s">
        <v>6</v>
      </c>
      <c r="U8446" s="21">
        <v>353501.88</v>
      </c>
      <c r="V8446" s="21" t="s">
        <v>368</v>
      </c>
      <c r="W8446" t="str">
        <f>VLOOKUP(Table_Query_from_Actuarial___Production[[#This Row],[Kor1]],$AI$3:$AK$105,3,FALSE)</f>
        <v>Operating Service Fees</v>
      </c>
      <c r="X8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6"/>
      <c r="Z8446" t="s">
        <v>33</v>
      </c>
      <c r="AA8446" t="s">
        <v>265</v>
      </c>
      <c r="AB8446" t="s">
        <v>351</v>
      </c>
      <c r="AC8446" s="21">
        <v>16696.419999999998</v>
      </c>
      <c r="AD8446" s="21" t="s">
        <v>368</v>
      </c>
      <c r="AE8446" t="str">
        <f>VLOOKUP(Table_Query_from_Actuarial___Production3[[#This Row],[Kor1]],$AI$3:$AK$105,3,FALSE)</f>
        <v>Misc. Expense</v>
      </c>
      <c r="AF8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7" spans="18:32" x14ac:dyDescent="0.2">
      <c r="R8447" t="s">
        <v>14</v>
      </c>
      <c r="S8447" t="s">
        <v>235</v>
      </c>
      <c r="T8447" t="s">
        <v>433</v>
      </c>
      <c r="U8447" s="21">
        <v>33715.68</v>
      </c>
      <c r="V8447" s="21" t="s">
        <v>368</v>
      </c>
      <c r="W8447" t="str">
        <f>VLOOKUP(Table_Query_from_Actuarial___Production[[#This Row],[Kor1]],$AI$3:$AK$105,3,FALSE)</f>
        <v>Claims Expense</v>
      </c>
      <c r="X8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7"/>
      <c r="Z8447" t="s">
        <v>13</v>
      </c>
      <c r="AA8447" t="s">
        <v>241</v>
      </c>
      <c r="AB8447" t="s">
        <v>427</v>
      </c>
      <c r="AC8447" s="21">
        <v>145986.09</v>
      </c>
      <c r="AD8447" s="21" t="s">
        <v>368</v>
      </c>
      <c r="AE8447" t="str">
        <f>VLOOKUP(Table_Query_from_Actuarial___Production3[[#This Row],[Kor1]],$AI$3:$AK$105,3,FALSE)</f>
        <v>Operating Service Fees</v>
      </c>
      <c r="AF8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8" spans="18:32" x14ac:dyDescent="0.2">
      <c r="R8448" t="s">
        <v>21</v>
      </c>
      <c r="S8448" t="s">
        <v>256</v>
      </c>
      <c r="T8448" t="s">
        <v>9</v>
      </c>
      <c r="U8448" s="21">
        <v>272.49</v>
      </c>
      <c r="V8448" s="21" t="s">
        <v>368</v>
      </c>
      <c r="W8448" t="str">
        <f>VLOOKUP(Table_Query_from_Actuarial___Production[[#This Row],[Kor1]],$AI$3:$AK$105,3,FALSE)</f>
        <v>Misc. Expense</v>
      </c>
      <c r="X8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48"/>
      <c r="Z8448" t="s">
        <v>21</v>
      </c>
      <c r="AA8448" t="s">
        <v>252</v>
      </c>
      <c r="AB8448" t="s">
        <v>441</v>
      </c>
      <c r="AC8448" s="21">
        <v>58325.65</v>
      </c>
      <c r="AD8448" s="21" t="s">
        <v>368</v>
      </c>
      <c r="AE8448" t="str">
        <f>VLOOKUP(Table_Query_from_Actuarial___Production3[[#This Row],[Kor1]],$AI$3:$AK$105,3,FALSE)</f>
        <v>Misc. Expense</v>
      </c>
      <c r="AF8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49" spans="18:32" x14ac:dyDescent="0.2">
      <c r="R8449" t="s">
        <v>14</v>
      </c>
      <c r="S8449" t="s">
        <v>225</v>
      </c>
      <c r="T8449" t="s">
        <v>6</v>
      </c>
      <c r="U8449" s="21">
        <v>327693</v>
      </c>
      <c r="V8449" s="21" t="s">
        <v>368</v>
      </c>
      <c r="W8449" t="str">
        <f>VLOOKUP(Table_Query_from_Actuarial___Production[[#This Row],[Kor1]],$AI$3:$AK$105,3,FALSE)</f>
        <v>Claims Expense</v>
      </c>
      <c r="X8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449"/>
      <c r="Z8449" t="s">
        <v>43</v>
      </c>
      <c r="AA8449" t="s">
        <v>243</v>
      </c>
      <c r="AB8449" t="s">
        <v>356</v>
      </c>
      <c r="AC8449" s="21">
        <v>-116.54</v>
      </c>
      <c r="AD8449" s="21" t="s">
        <v>368</v>
      </c>
      <c r="AE8449" t="str">
        <f>VLOOKUP(Table_Query_from_Actuarial___Production3[[#This Row],[Kor1]],$AI$3:$AK$105,3,FALSE)</f>
        <v>Charge-offs</v>
      </c>
      <c r="AF8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0" spans="18:32" x14ac:dyDescent="0.2">
      <c r="R8450" t="s">
        <v>12</v>
      </c>
      <c r="S8450" t="s">
        <v>248</v>
      </c>
      <c r="T8450" t="s">
        <v>7</v>
      </c>
      <c r="U8450" s="21">
        <v>773.5</v>
      </c>
      <c r="V8450" s="21" t="s">
        <v>368</v>
      </c>
      <c r="W8450" t="str">
        <f>VLOOKUP(Table_Query_from_Actuarial___Production[[#This Row],[Kor1]],$AI$3:$AK$105,3,FALSE)</f>
        <v>Premium Tax</v>
      </c>
      <c r="X8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0"/>
      <c r="Z8450" t="s">
        <v>39</v>
      </c>
      <c r="AA8450" t="s">
        <v>233</v>
      </c>
      <c r="AB8450" t="s">
        <v>8</v>
      </c>
      <c r="AC8450" s="21">
        <v>68</v>
      </c>
      <c r="AD8450" s="21" t="s">
        <v>368</v>
      </c>
      <c r="AE8450" t="str">
        <f>VLOOKUP(Table_Query_from_Actuarial___Production3[[#This Row],[Kor1]],$AI$3:$AK$105,3,FALSE)</f>
        <v>Misc. Income for Insolvent Companies</v>
      </c>
      <c r="AF8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1" spans="18:32" x14ac:dyDescent="0.2">
      <c r="R8451" t="s">
        <v>48</v>
      </c>
      <c r="S8451" t="s">
        <v>243</v>
      </c>
      <c r="T8451" t="s">
        <v>442</v>
      </c>
      <c r="U8451" s="21">
        <v>6652.23</v>
      </c>
      <c r="V8451" s="21" t="s">
        <v>368</v>
      </c>
      <c r="W8451" t="str">
        <f>VLOOKUP(Table_Query_from_Actuarial___Production[[#This Row],[Kor1]],$AI$3:$AK$105,3,FALSE)</f>
        <v>Anticipated Salvage</v>
      </c>
      <c r="X8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1"/>
      <c r="Z8451" t="s">
        <v>14</v>
      </c>
      <c r="AA8451" t="s">
        <v>247</v>
      </c>
      <c r="AB8451" t="s">
        <v>9</v>
      </c>
      <c r="AC8451" s="21">
        <v>517.9</v>
      </c>
      <c r="AD8451" s="21" t="s">
        <v>368</v>
      </c>
      <c r="AE8451" t="str">
        <f>VLOOKUP(Table_Query_from_Actuarial___Production3[[#This Row],[Kor1]],$AI$3:$AK$105,3,FALSE)</f>
        <v>Claims Expense</v>
      </c>
      <c r="AF8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2" spans="18:32" x14ac:dyDescent="0.2">
      <c r="R8452" t="s">
        <v>32</v>
      </c>
      <c r="S8452" t="s">
        <v>237</v>
      </c>
      <c r="T8452" t="s">
        <v>9</v>
      </c>
      <c r="U8452" s="21">
        <v>294955.52000000002</v>
      </c>
      <c r="V8452" s="21" t="s">
        <v>368</v>
      </c>
      <c r="W8452" t="str">
        <f>VLOOKUP(Table_Query_from_Actuarial___Production[[#This Row],[Kor1]],$AI$3:$AK$105,3,FALSE)</f>
        <v>Misc. Expense</v>
      </c>
      <c r="X8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2"/>
      <c r="Z8452" t="s">
        <v>34</v>
      </c>
      <c r="AA8452" t="s">
        <v>238</v>
      </c>
      <c r="AB8452" t="s">
        <v>6</v>
      </c>
      <c r="AC8452" s="21">
        <v>5.01</v>
      </c>
      <c r="AD8452" s="21" t="s">
        <v>368</v>
      </c>
      <c r="AE8452" t="str">
        <f>VLOOKUP(Table_Query_from_Actuarial___Production3[[#This Row],[Kor1]],$AI$3:$AK$105,3,FALSE)</f>
        <v>Misc. Expense</v>
      </c>
      <c r="AF8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3" spans="18:32" x14ac:dyDescent="0.2">
      <c r="R8453" t="s">
        <v>18</v>
      </c>
      <c r="S8453" t="s">
        <v>226</v>
      </c>
      <c r="T8453" t="s">
        <v>427</v>
      </c>
      <c r="U8453" s="21">
        <v>188505.81</v>
      </c>
      <c r="V8453" s="21" t="s">
        <v>368</v>
      </c>
      <c r="W8453" t="str">
        <f>VLOOKUP(Table_Query_from_Actuarial___Production[[#This Row],[Kor1]],$AI$3:$AK$105,3,FALSE)</f>
        <v>Misc. Expense</v>
      </c>
      <c r="X8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453"/>
      <c r="Z8453" t="s">
        <v>3</v>
      </c>
      <c r="AA8453" t="s">
        <v>352</v>
      </c>
      <c r="AB8453" t="s">
        <v>433</v>
      </c>
      <c r="AC8453" s="21">
        <v>208</v>
      </c>
      <c r="AD8453" s="21" t="s">
        <v>368</v>
      </c>
      <c r="AE8453" t="str">
        <f>VLOOKUP(Table_Query_from_Actuarial___Production3[[#This Row],[Kor1]],$AI$3:$AK$105,3,FALSE)</f>
        <v>Premiums Written</v>
      </c>
      <c r="AF8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454" spans="18:32" x14ac:dyDescent="0.2">
      <c r="R8454" t="s">
        <v>10</v>
      </c>
      <c r="S8454" t="s">
        <v>242</v>
      </c>
      <c r="T8454" t="s">
        <v>356</v>
      </c>
      <c r="U8454" s="21">
        <v>48152.32</v>
      </c>
      <c r="V8454" s="21" t="s">
        <v>368</v>
      </c>
      <c r="W8454" t="str">
        <f>VLOOKUP(Table_Query_from_Actuarial___Production[[#This Row],[Kor1]],$AI$3:$AK$105,3,FALSE)</f>
        <v>Commissions</v>
      </c>
      <c r="X8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4"/>
      <c r="Z8454" t="s">
        <v>47</v>
      </c>
      <c r="AA8454" t="s">
        <v>266</v>
      </c>
      <c r="AB8454" t="s">
        <v>351</v>
      </c>
      <c r="AC8454" s="21">
        <v>1065.53</v>
      </c>
      <c r="AD8454" s="21" t="s">
        <v>368</v>
      </c>
      <c r="AE8454" t="str">
        <f>VLOOKUP(Table_Query_from_Actuarial___Production3[[#This Row],[Kor1]],$AI$3:$AK$105,3,FALSE)</f>
        <v>Investment Income</v>
      </c>
      <c r="AF8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5" spans="18:32" x14ac:dyDescent="0.2">
      <c r="R8455" t="s">
        <v>31</v>
      </c>
      <c r="S8455" t="s">
        <v>231</v>
      </c>
      <c r="T8455" t="s">
        <v>433</v>
      </c>
      <c r="U8455" s="21">
        <v>993.92</v>
      </c>
      <c r="V8455" s="21" t="s">
        <v>368</v>
      </c>
      <c r="W8455" t="str">
        <f>VLOOKUP(Table_Query_from_Actuarial___Production[[#This Row],[Kor1]],$AI$3:$AK$105,3,FALSE)</f>
        <v>Misc. Expense</v>
      </c>
      <c r="X8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5"/>
      <c r="Z8455" t="s">
        <v>13</v>
      </c>
      <c r="AA8455" t="s">
        <v>224</v>
      </c>
      <c r="AB8455" t="s">
        <v>356</v>
      </c>
      <c r="AC8455" s="21">
        <v>5705.89</v>
      </c>
      <c r="AD8455" s="21" t="s">
        <v>425</v>
      </c>
      <c r="AE8455" t="str">
        <f>VLOOKUP(Table_Query_from_Actuarial___Production3[[#This Row],[Kor1]],$AI$3:$AK$105,3,FALSE)</f>
        <v>Operating Service Fees</v>
      </c>
      <c r="AF8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456" spans="18:32" x14ac:dyDescent="0.2">
      <c r="R8456" t="s">
        <v>10</v>
      </c>
      <c r="S8456" t="s">
        <v>226</v>
      </c>
      <c r="T8456" t="s">
        <v>433</v>
      </c>
      <c r="U8456" s="21">
        <v>405928.58</v>
      </c>
      <c r="V8456" s="21" t="s">
        <v>368</v>
      </c>
      <c r="W8456" t="str">
        <f>VLOOKUP(Table_Query_from_Actuarial___Production[[#This Row],[Kor1]],$AI$3:$AK$105,3,FALSE)</f>
        <v>Commissions</v>
      </c>
      <c r="X8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456"/>
      <c r="Z8456" t="s">
        <v>12</v>
      </c>
      <c r="AA8456" t="s">
        <v>227</v>
      </c>
      <c r="AB8456" t="s">
        <v>351</v>
      </c>
      <c r="AC8456" s="21">
        <v>1385.68</v>
      </c>
      <c r="AD8456" s="21" t="s">
        <v>368</v>
      </c>
      <c r="AE8456" t="str">
        <f>VLOOKUP(Table_Query_from_Actuarial___Production3[[#This Row],[Kor1]],$AI$3:$AK$105,3,FALSE)</f>
        <v>Premium Tax</v>
      </c>
      <c r="AF8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7" spans="18:32" x14ac:dyDescent="0.2">
      <c r="R8457" t="s">
        <v>48</v>
      </c>
      <c r="S8457" t="s">
        <v>228</v>
      </c>
      <c r="T8457" t="s">
        <v>443</v>
      </c>
      <c r="U8457" s="21">
        <v>2513.7800000000002</v>
      </c>
      <c r="V8457" s="21" t="s">
        <v>368</v>
      </c>
      <c r="W8457" t="str">
        <f>VLOOKUP(Table_Query_from_Actuarial___Production[[#This Row],[Kor1]],$AI$3:$AK$105,3,FALSE)</f>
        <v>Anticipated Salvage</v>
      </c>
      <c r="X8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7"/>
      <c r="Z8457" t="s">
        <v>48</v>
      </c>
      <c r="AA8457" t="s">
        <v>226</v>
      </c>
      <c r="AB8457" t="s">
        <v>433</v>
      </c>
      <c r="AC8457" s="21">
        <v>43098.26</v>
      </c>
      <c r="AD8457" s="21" t="s">
        <v>368</v>
      </c>
      <c r="AE8457" t="str">
        <f>VLOOKUP(Table_Query_from_Actuarial___Production3[[#This Row],[Kor1]],$AI$3:$AK$105,3,FALSE)</f>
        <v>Anticipated Salvage</v>
      </c>
      <c r="AF8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58" spans="18:32" x14ac:dyDescent="0.2">
      <c r="R8458" t="s">
        <v>43</v>
      </c>
      <c r="S8458" t="s">
        <v>225</v>
      </c>
      <c r="T8458" t="s">
        <v>8</v>
      </c>
      <c r="U8458" s="21">
        <v>-9727.7000000000007</v>
      </c>
      <c r="V8458" s="21" t="s">
        <v>369</v>
      </c>
      <c r="W8458" t="str">
        <f>VLOOKUP(Table_Query_from_Actuarial___Production[[#This Row],[Kor1]],$AI$3:$AK$105,3,FALSE)</f>
        <v>Charge-offs</v>
      </c>
      <c r="X8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458"/>
      <c r="Z8458" t="s">
        <v>3</v>
      </c>
      <c r="AA8458" t="s">
        <v>245</v>
      </c>
      <c r="AB8458" t="s">
        <v>5</v>
      </c>
      <c r="AC8458" s="21">
        <v>28992</v>
      </c>
      <c r="AD8458" s="21" t="s">
        <v>368</v>
      </c>
      <c r="AE8458" t="str">
        <f>VLOOKUP(Table_Query_from_Actuarial___Production3[[#This Row],[Kor1]],$AI$3:$AK$105,3,FALSE)</f>
        <v>Premiums Written</v>
      </c>
      <c r="AF8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59" spans="18:32" x14ac:dyDescent="0.2">
      <c r="R8459" t="s">
        <v>19</v>
      </c>
      <c r="S8459" t="s">
        <v>244</v>
      </c>
      <c r="T8459" t="s">
        <v>356</v>
      </c>
      <c r="U8459" s="21">
        <v>10379</v>
      </c>
      <c r="V8459" s="21" t="s">
        <v>368</v>
      </c>
      <c r="W8459" t="str">
        <f>VLOOKUP(Table_Query_from_Actuarial___Production[[#This Row],[Kor1]],$AI$3:$AK$105,3,FALSE)</f>
        <v>Misc. Expense for Insolvent Companies</v>
      </c>
      <c r="X8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59"/>
      <c r="Z8459" t="s">
        <v>39</v>
      </c>
      <c r="AA8459" t="s">
        <v>265</v>
      </c>
      <c r="AB8459" t="s">
        <v>443</v>
      </c>
      <c r="AC8459" s="21">
        <v>42.34</v>
      </c>
      <c r="AD8459" s="21" t="s">
        <v>368</v>
      </c>
      <c r="AE8459" t="str">
        <f>VLOOKUP(Table_Query_from_Actuarial___Production3[[#This Row],[Kor1]],$AI$3:$AK$105,3,FALSE)</f>
        <v>Misc. Income for Insolvent Companies</v>
      </c>
      <c r="AF8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0" spans="18:32" x14ac:dyDescent="0.2">
      <c r="R8460" t="s">
        <v>167</v>
      </c>
      <c r="S8460" t="s">
        <v>354</v>
      </c>
      <c r="T8460" t="s">
        <v>351</v>
      </c>
      <c r="U8460" s="21">
        <v>138269949</v>
      </c>
      <c r="V8460" s="21" t="s">
        <v>369</v>
      </c>
      <c r="W8460" t="str">
        <f>VLOOKUP(Table_Query_from_Actuarial___Production[[#This Row],[Kor1]],$AI$3:$AK$105,3,FALSE)</f>
        <v>Recoupment</v>
      </c>
      <c r="X8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60"/>
      <c r="Z8460" t="s">
        <v>29</v>
      </c>
      <c r="AA8460" t="s">
        <v>4</v>
      </c>
      <c r="AB8460" t="s">
        <v>8</v>
      </c>
      <c r="AC8460" s="21">
        <v>284.37</v>
      </c>
      <c r="AD8460" s="21" t="s">
        <v>368</v>
      </c>
      <c r="AE8460" t="str">
        <f>VLOOKUP(Table_Query_from_Actuarial___Production3[[#This Row],[Kor1]],$AI$3:$AK$105,3,FALSE)</f>
        <v>Misc. Expense</v>
      </c>
      <c r="AF8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1" spans="18:32" x14ac:dyDescent="0.2">
      <c r="R8461" t="s">
        <v>39</v>
      </c>
      <c r="S8461" t="s">
        <v>4</v>
      </c>
      <c r="T8461" t="s">
        <v>7</v>
      </c>
      <c r="U8461" s="21">
        <v>14667.97</v>
      </c>
      <c r="V8461" s="21" t="s">
        <v>368</v>
      </c>
      <c r="W8461" t="str">
        <f>VLOOKUP(Table_Query_from_Actuarial___Production[[#This Row],[Kor1]],$AI$3:$AK$105,3,FALSE)</f>
        <v>Misc. Income for Insolvent Companies</v>
      </c>
      <c r="X8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1"/>
      <c r="Z8461" t="s">
        <v>38</v>
      </c>
      <c r="AA8461" t="s">
        <v>354</v>
      </c>
      <c r="AB8461" t="s">
        <v>433</v>
      </c>
      <c r="AC8461" s="21">
        <v>288247.76</v>
      </c>
      <c r="AD8461" s="21" t="s">
        <v>369</v>
      </c>
      <c r="AE8461" t="str">
        <f>VLOOKUP(Table_Query_from_Actuarial___Production3[[#This Row],[Kor1]],$AI$3:$AK$105,3,FALSE)</f>
        <v>Misc. Income</v>
      </c>
      <c r="AF8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462" spans="18:32" x14ac:dyDescent="0.2">
      <c r="R8462" t="s">
        <v>43</v>
      </c>
      <c r="S8462" t="s">
        <v>234</v>
      </c>
      <c r="T8462" t="s">
        <v>433</v>
      </c>
      <c r="U8462" s="21">
        <v>602.55999999999995</v>
      </c>
      <c r="V8462" s="21" t="s">
        <v>368</v>
      </c>
      <c r="W8462" t="str">
        <f>VLOOKUP(Table_Query_from_Actuarial___Production[[#This Row],[Kor1]],$AI$3:$AK$105,3,FALSE)</f>
        <v>Charge-offs</v>
      </c>
      <c r="X8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2"/>
      <c r="Z8462" t="s">
        <v>13</v>
      </c>
      <c r="AA8462" t="s">
        <v>258</v>
      </c>
      <c r="AB8462" t="s">
        <v>6</v>
      </c>
      <c r="AC8462" s="21">
        <v>353501.88</v>
      </c>
      <c r="AD8462" s="21" t="s">
        <v>368</v>
      </c>
      <c r="AE8462" t="str">
        <f>VLOOKUP(Table_Query_from_Actuarial___Production3[[#This Row],[Kor1]],$AI$3:$AK$105,3,FALSE)</f>
        <v>Operating Service Fees</v>
      </c>
      <c r="AF8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3" spans="18:32" x14ac:dyDescent="0.2">
      <c r="R8463" t="s">
        <v>50</v>
      </c>
      <c r="S8463" t="s">
        <v>226</v>
      </c>
      <c r="T8463" t="s">
        <v>441</v>
      </c>
      <c r="U8463" s="21">
        <v>10440</v>
      </c>
      <c r="V8463" s="21" t="s">
        <v>368</v>
      </c>
      <c r="W8463" t="str">
        <f>VLOOKUP(Table_Query_from_Actuarial___Production[[#This Row],[Kor1]],$AI$3:$AK$105,3,FALSE)</f>
        <v>ALAE Reserve</v>
      </c>
      <c r="X8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463"/>
      <c r="Z8463" t="s">
        <v>14</v>
      </c>
      <c r="AA8463" t="s">
        <v>235</v>
      </c>
      <c r="AB8463" t="s">
        <v>433</v>
      </c>
      <c r="AC8463" s="21">
        <v>33715.68</v>
      </c>
      <c r="AD8463" s="21" t="s">
        <v>368</v>
      </c>
      <c r="AE8463" t="str">
        <f>VLOOKUP(Table_Query_from_Actuarial___Production3[[#This Row],[Kor1]],$AI$3:$AK$105,3,FALSE)</f>
        <v>Claims Expense</v>
      </c>
      <c r="AF8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4" spans="18:32" x14ac:dyDescent="0.2">
      <c r="R8464" t="s">
        <v>10</v>
      </c>
      <c r="S8464" t="s">
        <v>240</v>
      </c>
      <c r="T8464" t="s">
        <v>6</v>
      </c>
      <c r="U8464" s="21">
        <v>76918</v>
      </c>
      <c r="V8464" s="21" t="s">
        <v>368</v>
      </c>
      <c r="W8464" t="str">
        <f>VLOOKUP(Table_Query_from_Actuarial___Production[[#This Row],[Kor1]],$AI$3:$AK$105,3,FALSE)</f>
        <v>Commissions</v>
      </c>
      <c r="X8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4"/>
      <c r="Z8464" t="s">
        <v>21</v>
      </c>
      <c r="AA8464" t="s">
        <v>256</v>
      </c>
      <c r="AB8464" t="s">
        <v>9</v>
      </c>
      <c r="AC8464" s="21">
        <v>272.49</v>
      </c>
      <c r="AD8464" s="21" t="s">
        <v>368</v>
      </c>
      <c r="AE8464" t="str">
        <f>VLOOKUP(Table_Query_from_Actuarial___Production3[[#This Row],[Kor1]],$AI$3:$AK$105,3,FALSE)</f>
        <v>Misc. Expense</v>
      </c>
      <c r="AF8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5" spans="18:32" x14ac:dyDescent="0.2">
      <c r="R8465" t="s">
        <v>13</v>
      </c>
      <c r="S8465" t="s">
        <v>253</v>
      </c>
      <c r="T8465" t="s">
        <v>9</v>
      </c>
      <c r="U8465" s="21">
        <v>473.04</v>
      </c>
      <c r="V8465" s="21" t="s">
        <v>368</v>
      </c>
      <c r="W8465" t="str">
        <f>VLOOKUP(Table_Query_from_Actuarial___Production[[#This Row],[Kor1]],$AI$3:$AK$105,3,FALSE)</f>
        <v>Operating Service Fees</v>
      </c>
      <c r="X8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5"/>
      <c r="Z8465" t="s">
        <v>14</v>
      </c>
      <c r="AA8465" t="s">
        <v>225</v>
      </c>
      <c r="AB8465" t="s">
        <v>6</v>
      </c>
      <c r="AC8465" s="21">
        <v>327796</v>
      </c>
      <c r="AD8465" s="21" t="s">
        <v>368</v>
      </c>
      <c r="AE8465" t="str">
        <f>VLOOKUP(Table_Query_from_Actuarial___Production3[[#This Row],[Kor1]],$AI$3:$AK$105,3,FALSE)</f>
        <v>Claims Expense</v>
      </c>
      <c r="AF8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466" spans="18:32" x14ac:dyDescent="0.2">
      <c r="R8466" t="s">
        <v>14</v>
      </c>
      <c r="S8466" t="s">
        <v>233</v>
      </c>
      <c r="T8466" t="s">
        <v>443</v>
      </c>
      <c r="U8466" s="21">
        <v>88915.54</v>
      </c>
      <c r="V8466" s="21" t="s">
        <v>368</v>
      </c>
      <c r="W8466" t="str">
        <f>VLOOKUP(Table_Query_from_Actuarial___Production[[#This Row],[Kor1]],$AI$3:$AK$105,3,FALSE)</f>
        <v>Claims Expense</v>
      </c>
      <c r="X8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6"/>
      <c r="Z8466" t="s">
        <v>12</v>
      </c>
      <c r="AA8466" t="s">
        <v>248</v>
      </c>
      <c r="AB8466" t="s">
        <v>7</v>
      </c>
      <c r="AC8466" s="21">
        <v>773.5</v>
      </c>
      <c r="AD8466" s="21" t="s">
        <v>368</v>
      </c>
      <c r="AE8466" t="str">
        <f>VLOOKUP(Table_Query_from_Actuarial___Production3[[#This Row],[Kor1]],$AI$3:$AK$105,3,FALSE)</f>
        <v>Premium Tax</v>
      </c>
      <c r="AF8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7" spans="18:32" x14ac:dyDescent="0.2">
      <c r="R8467" t="s">
        <v>39</v>
      </c>
      <c r="S8467" t="s">
        <v>249</v>
      </c>
      <c r="T8467" t="s">
        <v>9</v>
      </c>
      <c r="U8467" s="21">
        <v>1327.01</v>
      </c>
      <c r="V8467" s="21" t="s">
        <v>368</v>
      </c>
      <c r="W8467" t="str">
        <f>VLOOKUP(Table_Query_from_Actuarial___Production[[#This Row],[Kor1]],$AI$3:$AK$105,3,FALSE)</f>
        <v>Misc. Income for Insolvent Companies</v>
      </c>
      <c r="X8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7"/>
      <c r="Z8467" t="s">
        <v>48</v>
      </c>
      <c r="AA8467" t="s">
        <v>242</v>
      </c>
      <c r="AB8467" t="s">
        <v>356</v>
      </c>
      <c r="AC8467" s="21">
        <v>178.35</v>
      </c>
      <c r="AD8467" s="21" t="s">
        <v>368</v>
      </c>
      <c r="AE8467" t="str">
        <f>VLOOKUP(Table_Query_from_Actuarial___Production3[[#This Row],[Kor1]],$AI$3:$AK$105,3,FALSE)</f>
        <v>Anticipated Salvage</v>
      </c>
      <c r="AF8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8" spans="18:32" x14ac:dyDescent="0.2">
      <c r="R8468" t="s">
        <v>3</v>
      </c>
      <c r="S8468" t="s">
        <v>260</v>
      </c>
      <c r="T8468" t="s">
        <v>433</v>
      </c>
      <c r="U8468" s="21">
        <v>11164</v>
      </c>
      <c r="V8468" s="21" t="s">
        <v>368</v>
      </c>
      <c r="W8468" t="str">
        <f>VLOOKUP(Table_Query_from_Actuarial___Production[[#This Row],[Kor1]],$AI$3:$AK$105,3,FALSE)</f>
        <v>Premiums Written</v>
      </c>
      <c r="X8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8"/>
      <c r="Z8468" t="s">
        <v>48</v>
      </c>
      <c r="AA8468" t="s">
        <v>243</v>
      </c>
      <c r="AB8468" t="s">
        <v>442</v>
      </c>
      <c r="AC8468" s="21">
        <v>11666.89</v>
      </c>
      <c r="AD8468" s="21" t="s">
        <v>368</v>
      </c>
      <c r="AE8468" t="str">
        <f>VLOOKUP(Table_Query_from_Actuarial___Production3[[#This Row],[Kor1]],$AI$3:$AK$105,3,FALSE)</f>
        <v>Anticipated Salvage</v>
      </c>
      <c r="AF8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69" spans="18:32" x14ac:dyDescent="0.2">
      <c r="R8469" t="s">
        <v>3</v>
      </c>
      <c r="S8469" t="s">
        <v>235</v>
      </c>
      <c r="T8469" t="s">
        <v>356</v>
      </c>
      <c r="U8469" s="21">
        <v>716469</v>
      </c>
      <c r="V8469" s="21" t="s">
        <v>368</v>
      </c>
      <c r="W8469" t="str">
        <f>VLOOKUP(Table_Query_from_Actuarial___Production[[#This Row],[Kor1]],$AI$3:$AK$105,3,FALSE)</f>
        <v>Premiums Written</v>
      </c>
      <c r="X8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69"/>
      <c r="Z8469" t="s">
        <v>32</v>
      </c>
      <c r="AA8469" t="s">
        <v>237</v>
      </c>
      <c r="AB8469" t="s">
        <v>9</v>
      </c>
      <c r="AC8469" s="21">
        <v>294955.52000000002</v>
      </c>
      <c r="AD8469" s="21" t="s">
        <v>368</v>
      </c>
      <c r="AE8469" t="str">
        <f>VLOOKUP(Table_Query_from_Actuarial___Production3[[#This Row],[Kor1]],$AI$3:$AK$105,3,FALSE)</f>
        <v>Misc. Expense</v>
      </c>
      <c r="AF8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0" spans="18:32" x14ac:dyDescent="0.2">
      <c r="R8470" t="s">
        <v>11</v>
      </c>
      <c r="S8470" t="s">
        <v>257</v>
      </c>
      <c r="T8470" t="s">
        <v>445</v>
      </c>
      <c r="U8470" s="21">
        <v>4730.41</v>
      </c>
      <c r="V8470" s="21" t="s">
        <v>368</v>
      </c>
      <c r="W8470" t="str">
        <f>VLOOKUP(Table_Query_from_Actuarial___Production[[#This Row],[Kor1]],$AI$3:$AK$105,3,FALSE)</f>
        <v>Losses Paid</v>
      </c>
      <c r="X8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0"/>
      <c r="Z8470" t="s">
        <v>18</v>
      </c>
      <c r="AA8470" t="s">
        <v>226</v>
      </c>
      <c r="AB8470" t="s">
        <v>427</v>
      </c>
      <c r="AC8470" s="21">
        <v>188505.81</v>
      </c>
      <c r="AD8470" s="21" t="s">
        <v>368</v>
      </c>
      <c r="AE8470" t="str">
        <f>VLOOKUP(Table_Query_from_Actuarial___Production3[[#This Row],[Kor1]],$AI$3:$AK$105,3,FALSE)</f>
        <v>Misc. Expense</v>
      </c>
      <c r="AF8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71" spans="18:32" x14ac:dyDescent="0.2">
      <c r="R8471" t="s">
        <v>13</v>
      </c>
      <c r="S8471" t="s">
        <v>231</v>
      </c>
      <c r="T8471" t="s">
        <v>351</v>
      </c>
      <c r="U8471" s="21">
        <v>30652.27</v>
      </c>
      <c r="V8471" s="21" t="s">
        <v>368</v>
      </c>
      <c r="W8471" t="str">
        <f>VLOOKUP(Table_Query_from_Actuarial___Production[[#This Row],[Kor1]],$AI$3:$AK$105,3,FALSE)</f>
        <v>Operating Service Fees</v>
      </c>
      <c r="X8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1"/>
      <c r="Z8471" t="s">
        <v>48</v>
      </c>
      <c r="AA8471" t="s">
        <v>231</v>
      </c>
      <c r="AB8471" t="s">
        <v>356</v>
      </c>
      <c r="AC8471" s="21">
        <v>281.20999999999998</v>
      </c>
      <c r="AD8471" s="21" t="s">
        <v>368</v>
      </c>
      <c r="AE8471" t="str">
        <f>VLOOKUP(Table_Query_from_Actuarial___Production3[[#This Row],[Kor1]],$AI$3:$AK$105,3,FALSE)</f>
        <v>Anticipated Salvage</v>
      </c>
      <c r="AF8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2" spans="18:32" x14ac:dyDescent="0.2">
      <c r="R8472" t="s">
        <v>32</v>
      </c>
      <c r="S8472" t="s">
        <v>240</v>
      </c>
      <c r="T8472" t="s">
        <v>356</v>
      </c>
      <c r="U8472" s="21">
        <v>-24276.34</v>
      </c>
      <c r="V8472" s="21" t="s">
        <v>368</v>
      </c>
      <c r="W8472" t="str">
        <f>VLOOKUP(Table_Query_from_Actuarial___Production[[#This Row],[Kor1]],$AI$3:$AK$105,3,FALSE)</f>
        <v>Misc. Expense</v>
      </c>
      <c r="X8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2"/>
      <c r="Z8472" t="s">
        <v>10</v>
      </c>
      <c r="AA8472" t="s">
        <v>242</v>
      </c>
      <c r="AB8472" t="s">
        <v>356</v>
      </c>
      <c r="AC8472" s="21">
        <v>48152.32</v>
      </c>
      <c r="AD8472" s="21" t="s">
        <v>368</v>
      </c>
      <c r="AE8472" t="str">
        <f>VLOOKUP(Table_Query_from_Actuarial___Production3[[#This Row],[Kor1]],$AI$3:$AK$105,3,FALSE)</f>
        <v>Commissions</v>
      </c>
      <c r="AF8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3" spans="18:32" x14ac:dyDescent="0.2">
      <c r="R8473" t="s">
        <v>3</v>
      </c>
      <c r="S8473" t="s">
        <v>224</v>
      </c>
      <c r="T8473" t="s">
        <v>351</v>
      </c>
      <c r="U8473" s="21">
        <v>55643.14</v>
      </c>
      <c r="V8473" s="21" t="s">
        <v>425</v>
      </c>
      <c r="W8473" t="str">
        <f>VLOOKUP(Table_Query_from_Actuarial___Production[[#This Row],[Kor1]],$AI$3:$AK$105,3,FALSE)</f>
        <v>Premiums Written</v>
      </c>
      <c r="X8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473"/>
      <c r="Z8473" t="s">
        <v>31</v>
      </c>
      <c r="AA8473" t="s">
        <v>231</v>
      </c>
      <c r="AB8473" t="s">
        <v>433</v>
      </c>
      <c r="AC8473" s="21">
        <v>993.92</v>
      </c>
      <c r="AD8473" s="21" t="s">
        <v>368</v>
      </c>
      <c r="AE8473" t="str">
        <f>VLOOKUP(Table_Query_from_Actuarial___Production3[[#This Row],[Kor1]],$AI$3:$AK$105,3,FALSE)</f>
        <v>Misc. Expense</v>
      </c>
      <c r="AF8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4" spans="18:32" x14ac:dyDescent="0.2">
      <c r="R8474" t="s">
        <v>49</v>
      </c>
      <c r="S8474" t="s">
        <v>240</v>
      </c>
      <c r="T8474" t="s">
        <v>356</v>
      </c>
      <c r="U8474" s="21">
        <v>49566.82</v>
      </c>
      <c r="V8474" s="21" t="s">
        <v>368</v>
      </c>
      <c r="W8474" t="str">
        <f>VLOOKUP(Table_Query_from_Actuarial___Production[[#This Row],[Kor1]],$AI$3:$AK$105,3,FALSE)</f>
        <v>ALAE Paid</v>
      </c>
      <c r="X8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4"/>
      <c r="Z8474" t="s">
        <v>10</v>
      </c>
      <c r="AA8474" t="s">
        <v>226</v>
      </c>
      <c r="AB8474" t="s">
        <v>433</v>
      </c>
      <c r="AC8474" s="21">
        <v>405945.59999999998</v>
      </c>
      <c r="AD8474" s="21" t="s">
        <v>368</v>
      </c>
      <c r="AE8474" t="str">
        <f>VLOOKUP(Table_Query_from_Actuarial___Production3[[#This Row],[Kor1]],$AI$3:$AK$105,3,FALSE)</f>
        <v>Commissions</v>
      </c>
      <c r="AF8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75" spans="18:32" x14ac:dyDescent="0.2">
      <c r="R8475" t="s">
        <v>3</v>
      </c>
      <c r="S8475" t="s">
        <v>239</v>
      </c>
      <c r="T8475" t="s">
        <v>427</v>
      </c>
      <c r="U8475" s="21">
        <v>1557697</v>
      </c>
      <c r="V8475" s="21" t="s">
        <v>368</v>
      </c>
      <c r="W8475" t="str">
        <f>VLOOKUP(Table_Query_from_Actuarial___Production[[#This Row],[Kor1]],$AI$3:$AK$105,3,FALSE)</f>
        <v>Premiums Written</v>
      </c>
      <c r="X8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5"/>
      <c r="Z8475" t="s">
        <v>48</v>
      </c>
      <c r="AA8475" t="s">
        <v>228</v>
      </c>
      <c r="AB8475" t="s">
        <v>443</v>
      </c>
      <c r="AC8475" s="21">
        <v>387.47</v>
      </c>
      <c r="AD8475" s="21" t="s">
        <v>368</v>
      </c>
      <c r="AE8475" t="str">
        <f>VLOOKUP(Table_Query_from_Actuarial___Production3[[#This Row],[Kor1]],$AI$3:$AK$105,3,FALSE)</f>
        <v>Anticipated Salvage</v>
      </c>
      <c r="AF8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6" spans="18:32" x14ac:dyDescent="0.2">
      <c r="R8476" t="s">
        <v>33</v>
      </c>
      <c r="S8476" t="s">
        <v>253</v>
      </c>
      <c r="T8476" t="s">
        <v>6</v>
      </c>
      <c r="U8476" s="21">
        <v>21339.439999999999</v>
      </c>
      <c r="V8476" s="21" t="s">
        <v>368</v>
      </c>
      <c r="W8476" t="str">
        <f>VLOOKUP(Table_Query_from_Actuarial___Production[[#This Row],[Kor1]],$AI$3:$AK$105,3,FALSE)</f>
        <v>Misc. Expense</v>
      </c>
      <c r="X8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6"/>
      <c r="Z8476" t="s">
        <v>43</v>
      </c>
      <c r="AA8476" t="s">
        <v>225</v>
      </c>
      <c r="AB8476" t="s">
        <v>8</v>
      </c>
      <c r="AC8476" s="21">
        <v>-9727.7000000000007</v>
      </c>
      <c r="AD8476" s="21" t="s">
        <v>369</v>
      </c>
      <c r="AE8476" t="str">
        <f>VLOOKUP(Table_Query_from_Actuarial___Production3[[#This Row],[Kor1]],$AI$3:$AK$105,3,FALSE)</f>
        <v>Charge-offs</v>
      </c>
      <c r="AF8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477" spans="18:32" x14ac:dyDescent="0.2">
      <c r="R8477" t="s">
        <v>20</v>
      </c>
      <c r="S8477" t="s">
        <v>267</v>
      </c>
      <c r="T8477" t="s">
        <v>427</v>
      </c>
      <c r="U8477" s="21">
        <v>255.31</v>
      </c>
      <c r="V8477" s="21" t="s">
        <v>368</v>
      </c>
      <c r="W8477" t="str">
        <f>VLOOKUP(Table_Query_from_Actuarial___Production[[#This Row],[Kor1]],$AI$3:$AK$105,3,FALSE)</f>
        <v>Misc. Expense</v>
      </c>
      <c r="X8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7"/>
      <c r="Z8477" t="s">
        <v>19</v>
      </c>
      <c r="AA8477" t="s">
        <v>244</v>
      </c>
      <c r="AB8477" t="s">
        <v>356</v>
      </c>
      <c r="AC8477" s="21">
        <v>10379</v>
      </c>
      <c r="AD8477" s="21" t="s">
        <v>368</v>
      </c>
      <c r="AE8477" t="str">
        <f>VLOOKUP(Table_Query_from_Actuarial___Production3[[#This Row],[Kor1]],$AI$3:$AK$105,3,FALSE)</f>
        <v>Misc. Expense for Insolvent Companies</v>
      </c>
      <c r="AF8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78" spans="18:32" x14ac:dyDescent="0.2">
      <c r="R8478" t="s">
        <v>33</v>
      </c>
      <c r="S8478" t="s">
        <v>239</v>
      </c>
      <c r="T8478" t="s">
        <v>427</v>
      </c>
      <c r="U8478" s="21">
        <v>13369.51</v>
      </c>
      <c r="V8478" s="21" t="s">
        <v>368</v>
      </c>
      <c r="W8478" t="str">
        <f>VLOOKUP(Table_Query_from_Actuarial___Production[[#This Row],[Kor1]],$AI$3:$AK$105,3,FALSE)</f>
        <v>Misc. Expense</v>
      </c>
      <c r="X8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78"/>
      <c r="Z8478" t="s">
        <v>167</v>
      </c>
      <c r="AA8478" t="s">
        <v>354</v>
      </c>
      <c r="AB8478" t="s">
        <v>351</v>
      </c>
      <c r="AC8478" s="21">
        <v>138396720</v>
      </c>
      <c r="AD8478" s="21" t="s">
        <v>369</v>
      </c>
      <c r="AE8478" t="str">
        <f>VLOOKUP(Table_Query_from_Actuarial___Production3[[#This Row],[Kor1]],$AI$3:$AK$105,3,FALSE)</f>
        <v>Recoupment</v>
      </c>
      <c r="AF8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479" spans="18:32" x14ac:dyDescent="0.2">
      <c r="R8479" t="s">
        <v>11</v>
      </c>
      <c r="S8479" t="s">
        <v>224</v>
      </c>
      <c r="T8479" t="s">
        <v>6</v>
      </c>
      <c r="U8479" s="21">
        <v>524780.22</v>
      </c>
      <c r="V8479" s="21" t="s">
        <v>368</v>
      </c>
      <c r="W8479" t="str">
        <f>VLOOKUP(Table_Query_from_Actuarial___Production[[#This Row],[Kor1]],$AI$3:$AK$105,3,FALSE)</f>
        <v>Losses Paid</v>
      </c>
      <c r="X8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479"/>
      <c r="Z8479" t="s">
        <v>39</v>
      </c>
      <c r="AA8479" t="s">
        <v>4</v>
      </c>
      <c r="AB8479" t="s">
        <v>7</v>
      </c>
      <c r="AC8479" s="21">
        <v>12540.97</v>
      </c>
      <c r="AD8479" s="21" t="s">
        <v>368</v>
      </c>
      <c r="AE8479" t="str">
        <f>VLOOKUP(Table_Query_from_Actuarial___Production3[[#This Row],[Kor1]],$AI$3:$AK$105,3,FALSE)</f>
        <v>Misc. Income for Insolvent Companies</v>
      </c>
      <c r="AF8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0" spans="18:32" x14ac:dyDescent="0.2">
      <c r="R8480" t="s">
        <v>14</v>
      </c>
      <c r="S8480" t="s">
        <v>263</v>
      </c>
      <c r="T8480" t="s">
        <v>445</v>
      </c>
      <c r="U8480" s="21">
        <v>594.62</v>
      </c>
      <c r="V8480" s="21" t="s">
        <v>368</v>
      </c>
      <c r="W8480" t="str">
        <f>VLOOKUP(Table_Query_from_Actuarial___Production[[#This Row],[Kor1]],$AI$3:$AK$105,3,FALSE)</f>
        <v>Claims Expense</v>
      </c>
      <c r="X8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0"/>
      <c r="Z8480" t="s">
        <v>43</v>
      </c>
      <c r="AA8480" t="s">
        <v>234</v>
      </c>
      <c r="AB8480" t="s">
        <v>433</v>
      </c>
      <c r="AC8480" s="21">
        <v>602.55999999999995</v>
      </c>
      <c r="AD8480" s="21" t="s">
        <v>368</v>
      </c>
      <c r="AE8480" t="str">
        <f>VLOOKUP(Table_Query_from_Actuarial___Production3[[#This Row],[Kor1]],$AI$3:$AK$105,3,FALSE)</f>
        <v>Charge-offs</v>
      </c>
      <c r="AF8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1" spans="18:32" x14ac:dyDescent="0.2">
      <c r="R8481" t="s">
        <v>34</v>
      </c>
      <c r="S8481" t="s">
        <v>242</v>
      </c>
      <c r="T8481" t="s">
        <v>441</v>
      </c>
      <c r="U8481" s="21">
        <v>15.93</v>
      </c>
      <c r="V8481" s="21" t="s">
        <v>368</v>
      </c>
      <c r="W8481" t="str">
        <f>VLOOKUP(Table_Query_from_Actuarial___Production[[#This Row],[Kor1]],$AI$3:$AK$105,3,FALSE)</f>
        <v>Misc. Expense</v>
      </c>
      <c r="X8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1"/>
      <c r="Z8481" t="s">
        <v>50</v>
      </c>
      <c r="AA8481" t="s">
        <v>226</v>
      </c>
      <c r="AB8481" t="s">
        <v>441</v>
      </c>
      <c r="AC8481" s="21">
        <v>40140</v>
      </c>
      <c r="AD8481" s="21" t="s">
        <v>368</v>
      </c>
      <c r="AE8481" t="str">
        <f>VLOOKUP(Table_Query_from_Actuarial___Production3[[#This Row],[Kor1]],$AI$3:$AK$105,3,FALSE)</f>
        <v>ALAE Reserve</v>
      </c>
      <c r="AF8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482" spans="18:32" x14ac:dyDescent="0.2">
      <c r="R8482" t="s">
        <v>44</v>
      </c>
      <c r="S8482" t="s">
        <v>232</v>
      </c>
      <c r="T8482" t="s">
        <v>433</v>
      </c>
      <c r="U8482" s="21">
        <v>117244.6</v>
      </c>
      <c r="V8482" s="21" t="s">
        <v>368</v>
      </c>
      <c r="W8482" t="str">
        <f>VLOOKUP(Table_Query_from_Actuarial___Production[[#This Row],[Kor1]],$AI$3:$AK$105,3,FALSE)</f>
        <v>Charge-offs</v>
      </c>
      <c r="X8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2"/>
      <c r="Z8482" t="s">
        <v>10</v>
      </c>
      <c r="AA8482" t="s">
        <v>240</v>
      </c>
      <c r="AB8482" t="s">
        <v>6</v>
      </c>
      <c r="AC8482" s="21">
        <v>76918</v>
      </c>
      <c r="AD8482" s="21" t="s">
        <v>368</v>
      </c>
      <c r="AE8482" t="str">
        <f>VLOOKUP(Table_Query_from_Actuarial___Production3[[#This Row],[Kor1]],$AI$3:$AK$105,3,FALSE)</f>
        <v>Commissions</v>
      </c>
      <c r="AF8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3" spans="18:32" x14ac:dyDescent="0.2">
      <c r="R8483" t="s">
        <v>17</v>
      </c>
      <c r="S8483" t="s">
        <v>226</v>
      </c>
      <c r="T8483" t="s">
        <v>356</v>
      </c>
      <c r="U8483" s="21">
        <v>1743127.96</v>
      </c>
      <c r="V8483" s="21" t="s">
        <v>368</v>
      </c>
      <c r="W8483" t="str">
        <f>VLOOKUP(Table_Query_from_Actuarial___Production[[#This Row],[Kor1]],$AI$3:$AK$105,3,FALSE)</f>
        <v>IBNR</v>
      </c>
      <c r="X8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483"/>
      <c r="Z8483" t="s">
        <v>13</v>
      </c>
      <c r="AA8483" t="s">
        <v>253</v>
      </c>
      <c r="AB8483" t="s">
        <v>9</v>
      </c>
      <c r="AC8483" s="21">
        <v>473.04</v>
      </c>
      <c r="AD8483" s="21" t="s">
        <v>368</v>
      </c>
      <c r="AE8483" t="str">
        <f>VLOOKUP(Table_Query_from_Actuarial___Production3[[#This Row],[Kor1]],$AI$3:$AK$105,3,FALSE)</f>
        <v>Operating Service Fees</v>
      </c>
      <c r="AF8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4" spans="18:32" x14ac:dyDescent="0.2">
      <c r="R8484" t="s">
        <v>14</v>
      </c>
      <c r="S8484" t="s">
        <v>4</v>
      </c>
      <c r="T8484" t="s">
        <v>441</v>
      </c>
      <c r="U8484" s="21">
        <v>5728999.5300000003</v>
      </c>
      <c r="V8484" s="21" t="s">
        <v>368</v>
      </c>
      <c r="W8484" t="str">
        <f>VLOOKUP(Table_Query_from_Actuarial___Production[[#This Row],[Kor1]],$AI$3:$AK$105,3,FALSE)</f>
        <v>Claims Expense</v>
      </c>
      <c r="X8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4"/>
      <c r="Z8484" t="s">
        <v>14</v>
      </c>
      <c r="AA8484" t="s">
        <v>233</v>
      </c>
      <c r="AB8484" t="s">
        <v>443</v>
      </c>
      <c r="AC8484" s="21">
        <v>8199.57</v>
      </c>
      <c r="AD8484" s="21" t="s">
        <v>368</v>
      </c>
      <c r="AE8484" t="str">
        <f>VLOOKUP(Table_Query_from_Actuarial___Production3[[#This Row],[Kor1]],$AI$3:$AK$105,3,FALSE)</f>
        <v>Claims Expense</v>
      </c>
      <c r="AF8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5" spans="18:32" x14ac:dyDescent="0.2">
      <c r="R8485" t="s">
        <v>3</v>
      </c>
      <c r="S8485" t="s">
        <v>239</v>
      </c>
      <c r="T8485" t="s">
        <v>7</v>
      </c>
      <c r="U8485" s="21">
        <v>165047</v>
      </c>
      <c r="V8485" s="21" t="s">
        <v>368</v>
      </c>
      <c r="W8485" t="str">
        <f>VLOOKUP(Table_Query_from_Actuarial___Production[[#This Row],[Kor1]],$AI$3:$AK$105,3,FALSE)</f>
        <v>Premiums Written</v>
      </c>
      <c r="X8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5"/>
      <c r="Z8485" t="s">
        <v>37</v>
      </c>
      <c r="AA8485" t="s">
        <v>253</v>
      </c>
      <c r="AB8485" t="s">
        <v>5</v>
      </c>
      <c r="AC8485" s="21">
        <v>26.61</v>
      </c>
      <c r="AD8485" s="21" t="s">
        <v>368</v>
      </c>
      <c r="AE8485" t="str">
        <f>VLOOKUP(Table_Query_from_Actuarial___Production3[[#This Row],[Kor1]],$AI$3:$AK$105,3,FALSE)</f>
        <v>Misc. Expense</v>
      </c>
      <c r="AF8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6" spans="18:32" x14ac:dyDescent="0.2">
      <c r="R8486" t="s">
        <v>20</v>
      </c>
      <c r="S8486" t="s">
        <v>257</v>
      </c>
      <c r="T8486" t="s">
        <v>445</v>
      </c>
      <c r="U8486" s="21">
        <v>85.47</v>
      </c>
      <c r="V8486" s="21" t="s">
        <v>368</v>
      </c>
      <c r="W8486" t="str">
        <f>VLOOKUP(Table_Query_from_Actuarial___Production[[#This Row],[Kor1]],$AI$3:$AK$105,3,FALSE)</f>
        <v>Misc. Expense</v>
      </c>
      <c r="X8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6"/>
      <c r="Z8486" t="s">
        <v>39</v>
      </c>
      <c r="AA8486" t="s">
        <v>249</v>
      </c>
      <c r="AB8486" t="s">
        <v>9</v>
      </c>
      <c r="AC8486" s="21">
        <v>1327.01</v>
      </c>
      <c r="AD8486" s="21" t="s">
        <v>368</v>
      </c>
      <c r="AE8486" t="str">
        <f>VLOOKUP(Table_Query_from_Actuarial___Production3[[#This Row],[Kor1]],$AI$3:$AK$105,3,FALSE)</f>
        <v>Misc. Income for Insolvent Companies</v>
      </c>
      <c r="AF8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7" spans="18:32" x14ac:dyDescent="0.2">
      <c r="R8487" t="s">
        <v>13</v>
      </c>
      <c r="S8487" t="s">
        <v>248</v>
      </c>
      <c r="T8487" t="s">
        <v>441</v>
      </c>
      <c r="U8487" s="21">
        <v>112456.84</v>
      </c>
      <c r="V8487" s="21" t="s">
        <v>368</v>
      </c>
      <c r="W8487" t="str">
        <f>VLOOKUP(Table_Query_from_Actuarial___Production[[#This Row],[Kor1]],$AI$3:$AK$105,3,FALSE)</f>
        <v>Operating Service Fees</v>
      </c>
      <c r="X8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7"/>
      <c r="Z8487" t="s">
        <v>3</v>
      </c>
      <c r="AA8487" t="s">
        <v>260</v>
      </c>
      <c r="AB8487" t="s">
        <v>433</v>
      </c>
      <c r="AC8487" s="21">
        <v>11164</v>
      </c>
      <c r="AD8487" s="21" t="s">
        <v>368</v>
      </c>
      <c r="AE8487" t="str">
        <f>VLOOKUP(Table_Query_from_Actuarial___Production3[[#This Row],[Kor1]],$AI$3:$AK$105,3,FALSE)</f>
        <v>Premiums Written</v>
      </c>
      <c r="AF8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8" spans="18:32" x14ac:dyDescent="0.2">
      <c r="R8488" t="s">
        <v>21</v>
      </c>
      <c r="S8488" t="s">
        <v>227</v>
      </c>
      <c r="T8488" t="s">
        <v>6</v>
      </c>
      <c r="U8488" s="21">
        <v>5653.04</v>
      </c>
      <c r="V8488" s="21" t="s">
        <v>368</v>
      </c>
      <c r="W8488" t="str">
        <f>VLOOKUP(Table_Query_from_Actuarial___Production[[#This Row],[Kor1]],$AI$3:$AK$105,3,FALSE)</f>
        <v>Misc. Expense</v>
      </c>
      <c r="X8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8"/>
      <c r="Z8488" t="s">
        <v>3</v>
      </c>
      <c r="AA8488" t="s">
        <v>235</v>
      </c>
      <c r="AB8488" t="s">
        <v>356</v>
      </c>
      <c r="AC8488" s="21">
        <v>716469</v>
      </c>
      <c r="AD8488" s="21" t="s">
        <v>368</v>
      </c>
      <c r="AE8488" t="str">
        <f>VLOOKUP(Table_Query_from_Actuarial___Production3[[#This Row],[Kor1]],$AI$3:$AK$105,3,FALSE)</f>
        <v>Premiums Written</v>
      </c>
      <c r="AF8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89" spans="18:32" x14ac:dyDescent="0.2">
      <c r="R8489" t="s">
        <v>13</v>
      </c>
      <c r="S8489" t="s">
        <v>256</v>
      </c>
      <c r="T8489" t="s">
        <v>6</v>
      </c>
      <c r="U8489" s="21">
        <v>10033.35</v>
      </c>
      <c r="V8489" s="21" t="s">
        <v>368</v>
      </c>
      <c r="W8489" t="str">
        <f>VLOOKUP(Table_Query_from_Actuarial___Production[[#This Row],[Kor1]],$AI$3:$AK$105,3,FALSE)</f>
        <v>Operating Service Fees</v>
      </c>
      <c r="X8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89"/>
      <c r="Z8489" t="s">
        <v>13</v>
      </c>
      <c r="AA8489" t="s">
        <v>231</v>
      </c>
      <c r="AB8489" t="s">
        <v>351</v>
      </c>
      <c r="AC8489" s="21">
        <v>30652.27</v>
      </c>
      <c r="AD8489" s="21" t="s">
        <v>368</v>
      </c>
      <c r="AE8489" t="str">
        <f>VLOOKUP(Table_Query_from_Actuarial___Production3[[#This Row],[Kor1]],$AI$3:$AK$105,3,FALSE)</f>
        <v>Operating Service Fees</v>
      </c>
      <c r="AF8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0" spans="18:32" x14ac:dyDescent="0.2">
      <c r="R8490" t="s">
        <v>47</v>
      </c>
      <c r="S8490" t="s">
        <v>4</v>
      </c>
      <c r="T8490" t="s">
        <v>8</v>
      </c>
      <c r="U8490" s="21">
        <v>13.84</v>
      </c>
      <c r="V8490" s="21" t="s">
        <v>368</v>
      </c>
      <c r="W8490" t="str">
        <f>VLOOKUP(Table_Query_from_Actuarial___Production[[#This Row],[Kor1]],$AI$3:$AK$105,3,FALSE)</f>
        <v>Investment Income</v>
      </c>
      <c r="X8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0"/>
      <c r="Z8490" t="s">
        <v>32</v>
      </c>
      <c r="AA8490" t="s">
        <v>240</v>
      </c>
      <c r="AB8490" t="s">
        <v>356</v>
      </c>
      <c r="AC8490" s="21">
        <v>-24276.34</v>
      </c>
      <c r="AD8490" s="21" t="s">
        <v>368</v>
      </c>
      <c r="AE8490" t="str">
        <f>VLOOKUP(Table_Query_from_Actuarial___Production3[[#This Row],[Kor1]],$AI$3:$AK$105,3,FALSE)</f>
        <v>Misc. Expense</v>
      </c>
      <c r="AF8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1" spans="18:32" x14ac:dyDescent="0.2">
      <c r="R8491" t="s">
        <v>17</v>
      </c>
      <c r="S8491" t="s">
        <v>231</v>
      </c>
      <c r="T8491" t="s">
        <v>441</v>
      </c>
      <c r="U8491" s="21">
        <v>170469.31</v>
      </c>
      <c r="V8491" s="21" t="s">
        <v>368</v>
      </c>
      <c r="W8491" t="str">
        <f>VLOOKUP(Table_Query_from_Actuarial___Production[[#This Row],[Kor1]],$AI$3:$AK$105,3,FALSE)</f>
        <v>IBNR</v>
      </c>
      <c r="X8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1"/>
      <c r="Z8491" t="s">
        <v>3</v>
      </c>
      <c r="AA8491" t="s">
        <v>224</v>
      </c>
      <c r="AB8491" t="s">
        <v>351</v>
      </c>
      <c r="AC8491" s="21">
        <v>55142.14</v>
      </c>
      <c r="AD8491" s="21" t="s">
        <v>425</v>
      </c>
      <c r="AE8491" t="str">
        <f>VLOOKUP(Table_Query_from_Actuarial___Production3[[#This Row],[Kor1]],$AI$3:$AK$105,3,FALSE)</f>
        <v>Premiums Written</v>
      </c>
      <c r="AF8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492" spans="18:32" x14ac:dyDescent="0.2">
      <c r="R8492" t="s">
        <v>14</v>
      </c>
      <c r="S8492" t="s">
        <v>354</v>
      </c>
      <c r="T8492" t="s">
        <v>442</v>
      </c>
      <c r="U8492" s="21">
        <v>120698170.58</v>
      </c>
      <c r="V8492" s="21" t="s">
        <v>369</v>
      </c>
      <c r="W8492" t="str">
        <f>VLOOKUP(Table_Query_from_Actuarial___Production[[#This Row],[Kor1]],$AI$3:$AK$105,3,FALSE)</f>
        <v>Claims Expense</v>
      </c>
      <c r="X8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492"/>
      <c r="Z8492" t="s">
        <v>49</v>
      </c>
      <c r="AA8492" t="s">
        <v>240</v>
      </c>
      <c r="AB8492" t="s">
        <v>356</v>
      </c>
      <c r="AC8492" s="21">
        <v>44084.33</v>
      </c>
      <c r="AD8492" s="21" t="s">
        <v>368</v>
      </c>
      <c r="AE8492" t="str">
        <f>VLOOKUP(Table_Query_from_Actuarial___Production3[[#This Row],[Kor1]],$AI$3:$AK$105,3,FALSE)</f>
        <v>ALAE Paid</v>
      </c>
      <c r="AF8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3" spans="18:32" x14ac:dyDescent="0.2">
      <c r="R8493" t="s">
        <v>21</v>
      </c>
      <c r="S8493" t="s">
        <v>252</v>
      </c>
      <c r="T8493" t="s">
        <v>351</v>
      </c>
      <c r="U8493" s="21">
        <v>36445.839999999997</v>
      </c>
      <c r="V8493" s="21" t="s">
        <v>368</v>
      </c>
      <c r="W8493" t="str">
        <f>VLOOKUP(Table_Query_from_Actuarial___Production[[#This Row],[Kor1]],$AI$3:$AK$105,3,FALSE)</f>
        <v>Misc. Expense</v>
      </c>
      <c r="X8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3"/>
      <c r="Z8493" t="s">
        <v>3</v>
      </c>
      <c r="AA8493" t="s">
        <v>239</v>
      </c>
      <c r="AB8493" t="s">
        <v>427</v>
      </c>
      <c r="AC8493" s="21">
        <v>1557697</v>
      </c>
      <c r="AD8493" s="21" t="s">
        <v>368</v>
      </c>
      <c r="AE8493" t="str">
        <f>VLOOKUP(Table_Query_from_Actuarial___Production3[[#This Row],[Kor1]],$AI$3:$AK$105,3,FALSE)</f>
        <v>Premiums Written</v>
      </c>
      <c r="AF8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4" spans="18:32" x14ac:dyDescent="0.2">
      <c r="R8494" t="s">
        <v>31</v>
      </c>
      <c r="S8494" t="s">
        <v>242</v>
      </c>
      <c r="T8494" t="s">
        <v>445</v>
      </c>
      <c r="U8494" s="21">
        <v>288.91000000000003</v>
      </c>
      <c r="V8494" s="21" t="s">
        <v>368</v>
      </c>
      <c r="W8494" t="str">
        <f>VLOOKUP(Table_Query_from_Actuarial___Production[[#This Row],[Kor1]],$AI$3:$AK$105,3,FALSE)</f>
        <v>Misc. Expense</v>
      </c>
      <c r="X8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4"/>
      <c r="Z8494" t="s">
        <v>33</v>
      </c>
      <c r="AA8494" t="s">
        <v>253</v>
      </c>
      <c r="AB8494" t="s">
        <v>6</v>
      </c>
      <c r="AC8494" s="21">
        <v>21339.439999999999</v>
      </c>
      <c r="AD8494" s="21" t="s">
        <v>368</v>
      </c>
      <c r="AE8494" t="str">
        <f>VLOOKUP(Table_Query_from_Actuarial___Production3[[#This Row],[Kor1]],$AI$3:$AK$105,3,FALSE)</f>
        <v>Misc. Expense</v>
      </c>
      <c r="AF8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5" spans="18:32" x14ac:dyDescent="0.2">
      <c r="R8495" t="s">
        <v>34</v>
      </c>
      <c r="S8495" t="s">
        <v>250</v>
      </c>
      <c r="T8495" t="s">
        <v>427</v>
      </c>
      <c r="U8495" s="21">
        <v>1543.02</v>
      </c>
      <c r="V8495" s="21" t="s">
        <v>368</v>
      </c>
      <c r="W8495" t="str">
        <f>VLOOKUP(Table_Query_from_Actuarial___Production[[#This Row],[Kor1]],$AI$3:$AK$105,3,FALSE)</f>
        <v>Misc. Expense</v>
      </c>
      <c r="X8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5"/>
      <c r="Z8495" t="s">
        <v>20</v>
      </c>
      <c r="AA8495" t="s">
        <v>267</v>
      </c>
      <c r="AB8495" t="s">
        <v>427</v>
      </c>
      <c r="AC8495" s="21">
        <v>255.31</v>
      </c>
      <c r="AD8495" s="21" t="s">
        <v>368</v>
      </c>
      <c r="AE8495" t="str">
        <f>VLOOKUP(Table_Query_from_Actuarial___Production3[[#This Row],[Kor1]],$AI$3:$AK$105,3,FALSE)</f>
        <v>Misc. Expense</v>
      </c>
      <c r="AF8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6" spans="18:32" x14ac:dyDescent="0.2">
      <c r="R8496" t="s">
        <v>49</v>
      </c>
      <c r="S8496" t="s">
        <v>264</v>
      </c>
      <c r="T8496" t="s">
        <v>7</v>
      </c>
      <c r="U8496" s="21">
        <v>58891.94</v>
      </c>
      <c r="V8496" s="21" t="s">
        <v>368</v>
      </c>
      <c r="W8496" t="str">
        <f>VLOOKUP(Table_Query_from_Actuarial___Production[[#This Row],[Kor1]],$AI$3:$AK$105,3,FALSE)</f>
        <v>ALAE Paid</v>
      </c>
      <c r="X8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6"/>
      <c r="Z8496" t="s">
        <v>33</v>
      </c>
      <c r="AA8496" t="s">
        <v>239</v>
      </c>
      <c r="AB8496" t="s">
        <v>427</v>
      </c>
      <c r="AC8496" s="21">
        <v>13369.51</v>
      </c>
      <c r="AD8496" s="21" t="s">
        <v>368</v>
      </c>
      <c r="AE8496" t="str">
        <f>VLOOKUP(Table_Query_from_Actuarial___Production3[[#This Row],[Kor1]],$AI$3:$AK$105,3,FALSE)</f>
        <v>Misc. Expense</v>
      </c>
      <c r="AF8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7" spans="18:32" x14ac:dyDescent="0.2">
      <c r="R8497" t="s">
        <v>13</v>
      </c>
      <c r="S8497" t="s">
        <v>244</v>
      </c>
      <c r="T8497" t="s">
        <v>443</v>
      </c>
      <c r="U8497" s="21">
        <v>565487.14</v>
      </c>
      <c r="V8497" s="21" t="s">
        <v>368</v>
      </c>
      <c r="W8497" t="str">
        <f>VLOOKUP(Table_Query_from_Actuarial___Production[[#This Row],[Kor1]],$AI$3:$AK$105,3,FALSE)</f>
        <v>Operating Service Fees</v>
      </c>
      <c r="X8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7"/>
      <c r="Z8497" t="s">
        <v>11</v>
      </c>
      <c r="AA8497" t="s">
        <v>224</v>
      </c>
      <c r="AB8497" t="s">
        <v>6</v>
      </c>
      <c r="AC8497" s="21">
        <v>524780.22</v>
      </c>
      <c r="AD8497" s="21" t="s">
        <v>368</v>
      </c>
      <c r="AE8497" t="str">
        <f>VLOOKUP(Table_Query_from_Actuarial___Production3[[#This Row],[Kor1]],$AI$3:$AK$105,3,FALSE)</f>
        <v>Losses Paid</v>
      </c>
      <c r="AF8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498" spans="18:32" x14ac:dyDescent="0.2">
      <c r="R8498" t="s">
        <v>39</v>
      </c>
      <c r="S8498" t="s">
        <v>265</v>
      </c>
      <c r="T8498" t="s">
        <v>427</v>
      </c>
      <c r="U8498" s="21">
        <v>14089.48</v>
      </c>
      <c r="V8498" s="21" t="s">
        <v>368</v>
      </c>
      <c r="W8498" t="str">
        <f>VLOOKUP(Table_Query_from_Actuarial___Production[[#This Row],[Kor1]],$AI$3:$AK$105,3,FALSE)</f>
        <v>Misc. Income for Insolvent Companies</v>
      </c>
      <c r="X8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498"/>
      <c r="Z8498" t="s">
        <v>34</v>
      </c>
      <c r="AA8498" t="s">
        <v>242</v>
      </c>
      <c r="AB8498" t="s">
        <v>441</v>
      </c>
      <c r="AC8498" s="21">
        <v>15.93</v>
      </c>
      <c r="AD8498" s="21" t="s">
        <v>368</v>
      </c>
      <c r="AE8498" t="str">
        <f>VLOOKUP(Table_Query_from_Actuarial___Production3[[#This Row],[Kor1]],$AI$3:$AK$105,3,FALSE)</f>
        <v>Misc. Expense</v>
      </c>
      <c r="AF8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499" spans="18:32" x14ac:dyDescent="0.2">
      <c r="R8499" t="s">
        <v>38</v>
      </c>
      <c r="S8499" t="s">
        <v>225</v>
      </c>
      <c r="T8499" t="s">
        <v>443</v>
      </c>
      <c r="U8499" s="21">
        <v>42593.48</v>
      </c>
      <c r="V8499" s="21" t="s">
        <v>368</v>
      </c>
      <c r="W8499" t="str">
        <f>VLOOKUP(Table_Query_from_Actuarial___Production[[#This Row],[Kor1]],$AI$3:$AK$105,3,FALSE)</f>
        <v>Misc. Income</v>
      </c>
      <c r="X8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499"/>
      <c r="Z8499" t="s">
        <v>44</v>
      </c>
      <c r="AA8499" t="s">
        <v>232</v>
      </c>
      <c r="AB8499" t="s">
        <v>433</v>
      </c>
      <c r="AC8499" s="21">
        <v>117244.6</v>
      </c>
      <c r="AD8499" s="21" t="s">
        <v>368</v>
      </c>
      <c r="AE8499" t="str">
        <f>VLOOKUP(Table_Query_from_Actuarial___Production3[[#This Row],[Kor1]],$AI$3:$AK$105,3,FALSE)</f>
        <v>Charge-offs</v>
      </c>
      <c r="AF8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0" spans="18:32" x14ac:dyDescent="0.2">
      <c r="R8500" t="s">
        <v>50</v>
      </c>
      <c r="S8500" t="s">
        <v>236</v>
      </c>
      <c r="T8500" t="s">
        <v>441</v>
      </c>
      <c r="U8500" s="21">
        <v>142.22</v>
      </c>
      <c r="V8500" s="21" t="s">
        <v>368</v>
      </c>
      <c r="W8500" t="str">
        <f>VLOOKUP(Table_Query_from_Actuarial___Production[[#This Row],[Kor1]],$AI$3:$AK$105,3,FALSE)</f>
        <v>ALAE Reserve</v>
      </c>
      <c r="X8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0"/>
      <c r="Z8500" t="s">
        <v>17</v>
      </c>
      <c r="AA8500" t="s">
        <v>226</v>
      </c>
      <c r="AB8500" t="s">
        <v>356</v>
      </c>
      <c r="AC8500" s="21">
        <v>817103.45</v>
      </c>
      <c r="AD8500" s="21" t="s">
        <v>368</v>
      </c>
      <c r="AE8500" t="str">
        <f>VLOOKUP(Table_Query_from_Actuarial___Production3[[#This Row],[Kor1]],$AI$3:$AK$105,3,FALSE)</f>
        <v>IBNR</v>
      </c>
      <c r="AF8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501" spans="18:32" x14ac:dyDescent="0.2">
      <c r="R8501" t="s">
        <v>3</v>
      </c>
      <c r="S8501" t="s">
        <v>261</v>
      </c>
      <c r="T8501" t="s">
        <v>7</v>
      </c>
      <c r="U8501" s="21">
        <v>561763</v>
      </c>
      <c r="V8501" s="21" t="s">
        <v>368</v>
      </c>
      <c r="W8501" t="str">
        <f>VLOOKUP(Table_Query_from_Actuarial___Production[[#This Row],[Kor1]],$AI$3:$AK$105,3,FALSE)</f>
        <v>Premiums Written</v>
      </c>
      <c r="X8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1"/>
      <c r="Z8501" t="s">
        <v>14</v>
      </c>
      <c r="AA8501" t="s">
        <v>4</v>
      </c>
      <c r="AB8501" t="s">
        <v>441</v>
      </c>
      <c r="AC8501" s="21">
        <v>5772143.2800000003</v>
      </c>
      <c r="AD8501" s="21" t="s">
        <v>368</v>
      </c>
      <c r="AE8501" t="str">
        <f>VLOOKUP(Table_Query_from_Actuarial___Production3[[#This Row],[Kor1]],$AI$3:$AK$105,3,FALSE)</f>
        <v>Claims Expense</v>
      </c>
      <c r="AF8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2" spans="18:32" x14ac:dyDescent="0.2">
      <c r="R8502" t="s">
        <v>47</v>
      </c>
      <c r="S8502" t="s">
        <v>262</v>
      </c>
      <c r="T8502" t="s">
        <v>427</v>
      </c>
      <c r="U8502" s="21">
        <v>1461.56</v>
      </c>
      <c r="V8502" s="21" t="s">
        <v>368</v>
      </c>
      <c r="W8502" t="str">
        <f>VLOOKUP(Table_Query_from_Actuarial___Production[[#This Row],[Kor1]],$AI$3:$AK$105,3,FALSE)</f>
        <v>Investment Income</v>
      </c>
      <c r="X8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2"/>
      <c r="Z8502" t="s">
        <v>3</v>
      </c>
      <c r="AA8502" t="s">
        <v>239</v>
      </c>
      <c r="AB8502" t="s">
        <v>7</v>
      </c>
      <c r="AC8502" s="21">
        <v>165047</v>
      </c>
      <c r="AD8502" s="21" t="s">
        <v>368</v>
      </c>
      <c r="AE8502" t="str">
        <f>VLOOKUP(Table_Query_from_Actuarial___Production3[[#This Row],[Kor1]],$AI$3:$AK$105,3,FALSE)</f>
        <v>Premiums Written</v>
      </c>
      <c r="AF8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3" spans="18:32" x14ac:dyDescent="0.2">
      <c r="R8503" t="s">
        <v>32</v>
      </c>
      <c r="S8503" t="s">
        <v>258</v>
      </c>
      <c r="T8503" t="s">
        <v>7</v>
      </c>
      <c r="U8503" s="21">
        <v>-846.51</v>
      </c>
      <c r="V8503" s="21" t="s">
        <v>368</v>
      </c>
      <c r="W8503" t="str">
        <f>VLOOKUP(Table_Query_from_Actuarial___Production[[#This Row],[Kor1]],$AI$3:$AK$105,3,FALSE)</f>
        <v>Misc. Expense</v>
      </c>
      <c r="X8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3"/>
      <c r="Z8503" t="s">
        <v>13</v>
      </c>
      <c r="AA8503" t="s">
        <v>248</v>
      </c>
      <c r="AB8503" t="s">
        <v>441</v>
      </c>
      <c r="AC8503" s="21">
        <v>112456.84</v>
      </c>
      <c r="AD8503" s="21" t="s">
        <v>368</v>
      </c>
      <c r="AE8503" t="str">
        <f>VLOOKUP(Table_Query_from_Actuarial___Production3[[#This Row],[Kor1]],$AI$3:$AK$105,3,FALSE)</f>
        <v>Operating Service Fees</v>
      </c>
      <c r="AF8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4" spans="18:32" x14ac:dyDescent="0.2">
      <c r="R8504" t="s">
        <v>39</v>
      </c>
      <c r="S8504" t="s">
        <v>256</v>
      </c>
      <c r="T8504" t="s">
        <v>8</v>
      </c>
      <c r="U8504" s="21">
        <v>496</v>
      </c>
      <c r="V8504" s="21" t="s">
        <v>368</v>
      </c>
      <c r="W8504" t="str">
        <f>VLOOKUP(Table_Query_from_Actuarial___Production[[#This Row],[Kor1]],$AI$3:$AK$105,3,FALSE)</f>
        <v>Misc. Income for Insolvent Companies</v>
      </c>
      <c r="X8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4"/>
      <c r="Z8504" t="s">
        <v>21</v>
      </c>
      <c r="AA8504" t="s">
        <v>227</v>
      </c>
      <c r="AB8504" t="s">
        <v>6</v>
      </c>
      <c r="AC8504" s="21">
        <v>5653.04</v>
      </c>
      <c r="AD8504" s="21" t="s">
        <v>368</v>
      </c>
      <c r="AE8504" t="str">
        <f>VLOOKUP(Table_Query_from_Actuarial___Production3[[#This Row],[Kor1]],$AI$3:$AK$105,3,FALSE)</f>
        <v>Misc. Expense</v>
      </c>
      <c r="AF8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5" spans="18:32" x14ac:dyDescent="0.2">
      <c r="R8505" t="s">
        <v>18</v>
      </c>
      <c r="S8505" t="s">
        <v>224</v>
      </c>
      <c r="T8505" t="s">
        <v>443</v>
      </c>
      <c r="U8505" s="21">
        <v>66847.5</v>
      </c>
      <c r="V8505" s="21" t="s">
        <v>370</v>
      </c>
      <c r="W8505" t="str">
        <f>VLOOKUP(Table_Query_from_Actuarial___Production[[#This Row],[Kor1]],$AI$3:$AK$105,3,FALSE)</f>
        <v>Misc. Expense</v>
      </c>
      <c r="X8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505"/>
      <c r="Z8505" t="s">
        <v>41</v>
      </c>
      <c r="AA8505" t="s">
        <v>228</v>
      </c>
      <c r="AB8505" t="s">
        <v>5</v>
      </c>
      <c r="AC8505" s="21">
        <v>-50.01</v>
      </c>
      <c r="AD8505" s="21" t="s">
        <v>368</v>
      </c>
      <c r="AE8505" t="str">
        <f>VLOOKUP(Table_Query_from_Actuarial___Production3[[#This Row],[Kor1]],$AI$3:$AK$105,3,FALSE)</f>
        <v>Misc. Income</v>
      </c>
      <c r="AF8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6" spans="18:32" x14ac:dyDescent="0.2">
      <c r="R8506" t="s">
        <v>31</v>
      </c>
      <c r="S8506" t="s">
        <v>234</v>
      </c>
      <c r="T8506" t="s">
        <v>351</v>
      </c>
      <c r="U8506" s="21">
        <v>451.68</v>
      </c>
      <c r="V8506" s="21" t="s">
        <v>368</v>
      </c>
      <c r="W8506" t="str">
        <f>VLOOKUP(Table_Query_from_Actuarial___Production[[#This Row],[Kor1]],$AI$3:$AK$105,3,FALSE)</f>
        <v>Misc. Expense</v>
      </c>
      <c r="X8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6"/>
      <c r="Z8506" t="s">
        <v>13</v>
      </c>
      <c r="AA8506" t="s">
        <v>256</v>
      </c>
      <c r="AB8506" t="s">
        <v>6</v>
      </c>
      <c r="AC8506" s="21">
        <v>10033.35</v>
      </c>
      <c r="AD8506" s="21" t="s">
        <v>368</v>
      </c>
      <c r="AE8506" t="str">
        <f>VLOOKUP(Table_Query_from_Actuarial___Production3[[#This Row],[Kor1]],$AI$3:$AK$105,3,FALSE)</f>
        <v>Operating Service Fees</v>
      </c>
      <c r="AF8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7" spans="18:32" x14ac:dyDescent="0.2">
      <c r="R8507" t="s">
        <v>39</v>
      </c>
      <c r="S8507" t="s">
        <v>234</v>
      </c>
      <c r="T8507" t="s">
        <v>9</v>
      </c>
      <c r="U8507" s="21">
        <v>117.98</v>
      </c>
      <c r="V8507" s="21" t="s">
        <v>368</v>
      </c>
      <c r="W8507" t="str">
        <f>VLOOKUP(Table_Query_from_Actuarial___Production[[#This Row],[Kor1]],$AI$3:$AK$105,3,FALSE)</f>
        <v>Misc. Income for Insolvent Companies</v>
      </c>
      <c r="X8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7"/>
      <c r="Z8507" t="s">
        <v>47</v>
      </c>
      <c r="AA8507" t="s">
        <v>4</v>
      </c>
      <c r="AB8507" t="s">
        <v>8</v>
      </c>
      <c r="AC8507" s="21">
        <v>14.01</v>
      </c>
      <c r="AD8507" s="21" t="s">
        <v>368</v>
      </c>
      <c r="AE8507" t="str">
        <f>VLOOKUP(Table_Query_from_Actuarial___Production3[[#This Row],[Kor1]],$AI$3:$AK$105,3,FALSE)</f>
        <v>Investment Income</v>
      </c>
      <c r="AF8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8" spans="18:32" x14ac:dyDescent="0.2">
      <c r="R8508" t="s">
        <v>10</v>
      </c>
      <c r="S8508" t="s">
        <v>246</v>
      </c>
      <c r="T8508" t="s">
        <v>9</v>
      </c>
      <c r="U8508" s="21">
        <v>26741.7</v>
      </c>
      <c r="V8508" s="21" t="s">
        <v>368</v>
      </c>
      <c r="W8508" t="str">
        <f>VLOOKUP(Table_Query_from_Actuarial___Production[[#This Row],[Kor1]],$AI$3:$AK$105,3,FALSE)</f>
        <v>Commissions</v>
      </c>
      <c r="X8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8"/>
      <c r="Z8508" t="s">
        <v>17</v>
      </c>
      <c r="AA8508" t="s">
        <v>231</v>
      </c>
      <c r="AB8508" t="s">
        <v>441</v>
      </c>
      <c r="AC8508" s="21">
        <v>258103.18</v>
      </c>
      <c r="AD8508" s="21" t="s">
        <v>368</v>
      </c>
      <c r="AE8508" t="str">
        <f>VLOOKUP(Table_Query_from_Actuarial___Production3[[#This Row],[Kor1]],$AI$3:$AK$105,3,FALSE)</f>
        <v>IBNR</v>
      </c>
      <c r="AF8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09" spans="18:32" x14ac:dyDescent="0.2">
      <c r="R8509" t="s">
        <v>39</v>
      </c>
      <c r="S8509" t="s">
        <v>4</v>
      </c>
      <c r="T8509" t="s">
        <v>427</v>
      </c>
      <c r="U8509" s="21">
        <v>762600.52</v>
      </c>
      <c r="V8509" s="21" t="s">
        <v>368</v>
      </c>
      <c r="W8509" t="str">
        <f>VLOOKUP(Table_Query_from_Actuarial___Production[[#This Row],[Kor1]],$AI$3:$AK$105,3,FALSE)</f>
        <v>Misc. Income for Insolvent Companies</v>
      </c>
      <c r="X8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09"/>
      <c r="Z8509" t="s">
        <v>14</v>
      </c>
      <c r="AA8509" t="s">
        <v>354</v>
      </c>
      <c r="AB8509" t="s">
        <v>442</v>
      </c>
      <c r="AC8509" s="21">
        <v>120763024.91</v>
      </c>
      <c r="AD8509" s="21" t="s">
        <v>369</v>
      </c>
      <c r="AE8509" t="str">
        <f>VLOOKUP(Table_Query_from_Actuarial___Production3[[#This Row],[Kor1]],$AI$3:$AK$105,3,FALSE)</f>
        <v>Claims Expense</v>
      </c>
      <c r="AF8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510" spans="18:32" x14ac:dyDescent="0.2">
      <c r="R8510" t="s">
        <v>14</v>
      </c>
      <c r="S8510" t="s">
        <v>241</v>
      </c>
      <c r="T8510" t="s">
        <v>443</v>
      </c>
      <c r="U8510" s="21">
        <v>31596.720000000001</v>
      </c>
      <c r="V8510" s="21" t="s">
        <v>368</v>
      </c>
      <c r="W8510" t="str">
        <f>VLOOKUP(Table_Query_from_Actuarial___Production[[#This Row],[Kor1]],$AI$3:$AK$105,3,FALSE)</f>
        <v>Claims Expense</v>
      </c>
      <c r="X8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0"/>
      <c r="Z8510" t="s">
        <v>21</v>
      </c>
      <c r="AA8510" t="s">
        <v>252</v>
      </c>
      <c r="AB8510" t="s">
        <v>351</v>
      </c>
      <c r="AC8510" s="21">
        <v>36445.839999999997</v>
      </c>
      <c r="AD8510" s="21" t="s">
        <v>368</v>
      </c>
      <c r="AE8510" t="str">
        <f>VLOOKUP(Table_Query_from_Actuarial___Production3[[#This Row],[Kor1]],$AI$3:$AK$105,3,FALSE)</f>
        <v>Misc. Expense</v>
      </c>
      <c r="AF8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1" spans="18:32" x14ac:dyDescent="0.2">
      <c r="R8511" t="s">
        <v>33</v>
      </c>
      <c r="S8511" t="s">
        <v>264</v>
      </c>
      <c r="T8511" t="s">
        <v>433</v>
      </c>
      <c r="U8511" s="21">
        <v>14068.08</v>
      </c>
      <c r="V8511" s="21" t="s">
        <v>368</v>
      </c>
      <c r="W8511" t="str">
        <f>VLOOKUP(Table_Query_from_Actuarial___Production[[#This Row],[Kor1]],$AI$3:$AK$105,3,FALSE)</f>
        <v>Misc. Expense</v>
      </c>
      <c r="X8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1"/>
      <c r="Z8511" t="s">
        <v>34</v>
      </c>
      <c r="AA8511" t="s">
        <v>250</v>
      </c>
      <c r="AB8511" t="s">
        <v>427</v>
      </c>
      <c r="AC8511" s="21">
        <v>1543.02</v>
      </c>
      <c r="AD8511" s="21" t="s">
        <v>368</v>
      </c>
      <c r="AE8511" t="str">
        <f>VLOOKUP(Table_Query_from_Actuarial___Production3[[#This Row],[Kor1]],$AI$3:$AK$105,3,FALSE)</f>
        <v>Misc. Expense</v>
      </c>
      <c r="AF8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2" spans="18:32" x14ac:dyDescent="0.2">
      <c r="R8512" t="s">
        <v>50</v>
      </c>
      <c r="S8512" t="s">
        <v>267</v>
      </c>
      <c r="T8512" t="s">
        <v>441</v>
      </c>
      <c r="U8512" s="21">
        <v>19262.16</v>
      </c>
      <c r="V8512" s="21" t="s">
        <v>368</v>
      </c>
      <c r="W8512" t="str">
        <f>VLOOKUP(Table_Query_from_Actuarial___Production[[#This Row],[Kor1]],$AI$3:$AK$105,3,FALSE)</f>
        <v>ALAE Reserve</v>
      </c>
      <c r="X8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2"/>
      <c r="Z8512" t="s">
        <v>49</v>
      </c>
      <c r="AA8512" t="s">
        <v>264</v>
      </c>
      <c r="AB8512" t="s">
        <v>7</v>
      </c>
      <c r="AC8512" s="21">
        <v>58891.94</v>
      </c>
      <c r="AD8512" s="21" t="s">
        <v>368</v>
      </c>
      <c r="AE8512" t="str">
        <f>VLOOKUP(Table_Query_from_Actuarial___Production3[[#This Row],[Kor1]],$AI$3:$AK$105,3,FALSE)</f>
        <v>ALAE Paid</v>
      </c>
      <c r="AF8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3" spans="18:32" x14ac:dyDescent="0.2">
      <c r="R8513" t="s">
        <v>19</v>
      </c>
      <c r="S8513" t="s">
        <v>238</v>
      </c>
      <c r="T8513" t="s">
        <v>9</v>
      </c>
      <c r="U8513" s="21">
        <v>252</v>
      </c>
      <c r="V8513" s="21" t="s">
        <v>368</v>
      </c>
      <c r="W8513" t="str">
        <f>VLOOKUP(Table_Query_from_Actuarial___Production[[#This Row],[Kor1]],$AI$3:$AK$105,3,FALSE)</f>
        <v>Misc. Expense for Insolvent Companies</v>
      </c>
      <c r="X8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3"/>
      <c r="Z8513" t="s">
        <v>13</v>
      </c>
      <c r="AA8513" t="s">
        <v>244</v>
      </c>
      <c r="AB8513" t="s">
        <v>443</v>
      </c>
      <c r="AC8513" s="21">
        <v>187067.01</v>
      </c>
      <c r="AD8513" s="21" t="s">
        <v>368</v>
      </c>
      <c r="AE8513" t="str">
        <f>VLOOKUP(Table_Query_from_Actuarial___Production3[[#This Row],[Kor1]],$AI$3:$AK$105,3,FALSE)</f>
        <v>Operating Service Fees</v>
      </c>
      <c r="AF8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4" spans="18:32" x14ac:dyDescent="0.2">
      <c r="R8514" t="s">
        <v>31</v>
      </c>
      <c r="S8514" t="s">
        <v>252</v>
      </c>
      <c r="T8514" t="s">
        <v>8</v>
      </c>
      <c r="U8514" s="21">
        <v>-456.54</v>
      </c>
      <c r="V8514" s="21" t="s">
        <v>368</v>
      </c>
      <c r="W8514" t="str">
        <f>VLOOKUP(Table_Query_from_Actuarial___Production[[#This Row],[Kor1]],$AI$3:$AK$105,3,FALSE)</f>
        <v>Misc. Expense</v>
      </c>
      <c r="X8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4"/>
      <c r="Z8514" t="s">
        <v>39</v>
      </c>
      <c r="AA8514" t="s">
        <v>265</v>
      </c>
      <c r="AB8514" t="s">
        <v>427</v>
      </c>
      <c r="AC8514" s="21">
        <v>14089.48</v>
      </c>
      <c r="AD8514" s="21" t="s">
        <v>368</v>
      </c>
      <c r="AE8514" t="str">
        <f>VLOOKUP(Table_Query_from_Actuarial___Production3[[#This Row],[Kor1]],$AI$3:$AK$105,3,FALSE)</f>
        <v>Misc. Income for Insolvent Companies</v>
      </c>
      <c r="AF8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5" spans="18:32" x14ac:dyDescent="0.2">
      <c r="R8515" t="s">
        <v>41</v>
      </c>
      <c r="S8515" t="s">
        <v>258</v>
      </c>
      <c r="T8515" t="s">
        <v>443</v>
      </c>
      <c r="U8515" s="21">
        <v>1164.3699999999999</v>
      </c>
      <c r="V8515" s="21" t="s">
        <v>368</v>
      </c>
      <c r="W8515" t="str">
        <f>VLOOKUP(Table_Query_from_Actuarial___Production[[#This Row],[Kor1]],$AI$3:$AK$105,3,FALSE)</f>
        <v>Misc. Income</v>
      </c>
      <c r="X8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5"/>
      <c r="Z8515" t="s">
        <v>38</v>
      </c>
      <c r="AA8515" t="s">
        <v>225</v>
      </c>
      <c r="AB8515" t="s">
        <v>443</v>
      </c>
      <c r="AC8515" s="21">
        <v>2209.5100000000002</v>
      </c>
      <c r="AD8515" s="21" t="s">
        <v>368</v>
      </c>
      <c r="AE8515" t="str">
        <f>VLOOKUP(Table_Query_from_Actuarial___Production3[[#This Row],[Kor1]],$AI$3:$AK$105,3,FALSE)</f>
        <v>Misc. Income</v>
      </c>
      <c r="AF8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516" spans="18:32" x14ac:dyDescent="0.2">
      <c r="R8516" t="s">
        <v>3</v>
      </c>
      <c r="S8516" t="s">
        <v>224</v>
      </c>
      <c r="T8516" t="s">
        <v>441</v>
      </c>
      <c r="U8516" s="21">
        <v>22223.22</v>
      </c>
      <c r="V8516" s="21" t="s">
        <v>425</v>
      </c>
      <c r="W8516" t="str">
        <f>VLOOKUP(Table_Query_from_Actuarial___Production[[#This Row],[Kor1]],$AI$3:$AK$105,3,FALSE)</f>
        <v>Premiums Written</v>
      </c>
      <c r="X8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516"/>
      <c r="Z8516" t="s">
        <v>50</v>
      </c>
      <c r="AA8516" t="s">
        <v>236</v>
      </c>
      <c r="AB8516" t="s">
        <v>441</v>
      </c>
      <c r="AC8516" s="21">
        <v>194.15</v>
      </c>
      <c r="AD8516" s="21" t="s">
        <v>368</v>
      </c>
      <c r="AE8516" t="str">
        <f>VLOOKUP(Table_Query_from_Actuarial___Production3[[#This Row],[Kor1]],$AI$3:$AK$105,3,FALSE)</f>
        <v>ALAE Reserve</v>
      </c>
      <c r="AF8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7" spans="18:32" x14ac:dyDescent="0.2">
      <c r="R8517" t="s">
        <v>31</v>
      </c>
      <c r="S8517" t="s">
        <v>260</v>
      </c>
      <c r="T8517" t="s">
        <v>6</v>
      </c>
      <c r="U8517" s="21">
        <v>650.84</v>
      </c>
      <c r="V8517" s="21" t="s">
        <v>368</v>
      </c>
      <c r="W8517" t="str">
        <f>VLOOKUP(Table_Query_from_Actuarial___Production[[#This Row],[Kor1]],$AI$3:$AK$105,3,FALSE)</f>
        <v>Misc. Expense</v>
      </c>
      <c r="X8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7"/>
      <c r="Z8517" t="s">
        <v>18</v>
      </c>
      <c r="AA8517" t="s">
        <v>352</v>
      </c>
      <c r="AB8517" t="s">
        <v>5</v>
      </c>
      <c r="AC8517" s="21">
        <v>4163.3999999999996</v>
      </c>
      <c r="AD8517" s="21" t="s">
        <v>368</v>
      </c>
      <c r="AE8517" t="str">
        <f>VLOOKUP(Table_Query_from_Actuarial___Production3[[#This Row],[Kor1]],$AI$3:$AK$105,3,FALSE)</f>
        <v>Misc. Expense</v>
      </c>
      <c r="AF8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518" spans="18:32" x14ac:dyDescent="0.2">
      <c r="R8518" t="s">
        <v>439</v>
      </c>
      <c r="S8518" t="s">
        <v>231</v>
      </c>
      <c r="T8518" t="s">
        <v>433</v>
      </c>
      <c r="U8518" s="21">
        <v>26385</v>
      </c>
      <c r="V8518" s="21" t="s">
        <v>368</v>
      </c>
      <c r="W8518" t="str">
        <f>VLOOKUP(Table_Query_from_Actuarial___Production[[#This Row],[Kor1]],$AI$3:$AK$105,3,FALSE)</f>
        <v>Operating Service Fees</v>
      </c>
      <c r="X8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8"/>
      <c r="Z8518" t="s">
        <v>3</v>
      </c>
      <c r="AA8518" t="s">
        <v>261</v>
      </c>
      <c r="AB8518" t="s">
        <v>7</v>
      </c>
      <c r="AC8518" s="21">
        <v>561763</v>
      </c>
      <c r="AD8518" s="21" t="s">
        <v>368</v>
      </c>
      <c r="AE8518" t="str">
        <f>VLOOKUP(Table_Query_from_Actuarial___Production3[[#This Row],[Kor1]],$AI$3:$AK$105,3,FALSE)</f>
        <v>Premiums Written</v>
      </c>
      <c r="AF8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19" spans="18:32" x14ac:dyDescent="0.2">
      <c r="R8519" t="s">
        <v>13</v>
      </c>
      <c r="S8519" t="s">
        <v>237</v>
      </c>
      <c r="T8519" t="s">
        <v>427</v>
      </c>
      <c r="U8519" s="21">
        <v>8702885.5399999991</v>
      </c>
      <c r="V8519" s="21" t="s">
        <v>368</v>
      </c>
      <c r="W8519" t="str">
        <f>VLOOKUP(Table_Query_from_Actuarial___Production[[#This Row],[Kor1]],$AI$3:$AK$105,3,FALSE)</f>
        <v>Operating Service Fees</v>
      </c>
      <c r="X8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19"/>
      <c r="Z8519" t="s">
        <v>47</v>
      </c>
      <c r="AA8519" t="s">
        <v>262</v>
      </c>
      <c r="AB8519" t="s">
        <v>427</v>
      </c>
      <c r="AC8519" s="21">
        <v>1461.56</v>
      </c>
      <c r="AD8519" s="21" t="s">
        <v>368</v>
      </c>
      <c r="AE8519" t="str">
        <f>VLOOKUP(Table_Query_from_Actuarial___Production3[[#This Row],[Kor1]],$AI$3:$AK$105,3,FALSE)</f>
        <v>Investment Income</v>
      </c>
      <c r="AF8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0" spans="18:32" x14ac:dyDescent="0.2">
      <c r="R8520" t="s">
        <v>21</v>
      </c>
      <c r="S8520" t="s">
        <v>232</v>
      </c>
      <c r="T8520" t="s">
        <v>6</v>
      </c>
      <c r="U8520" s="21">
        <v>1643.14</v>
      </c>
      <c r="V8520" s="21" t="s">
        <v>368</v>
      </c>
      <c r="W8520" t="str">
        <f>VLOOKUP(Table_Query_from_Actuarial___Production[[#This Row],[Kor1]],$AI$3:$AK$105,3,FALSE)</f>
        <v>Misc. Expense</v>
      </c>
      <c r="X8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0"/>
      <c r="Z8520" t="s">
        <v>32</v>
      </c>
      <c r="AA8520" t="s">
        <v>258</v>
      </c>
      <c r="AB8520" t="s">
        <v>7</v>
      </c>
      <c r="AC8520" s="21">
        <v>-846.51</v>
      </c>
      <c r="AD8520" s="21" t="s">
        <v>368</v>
      </c>
      <c r="AE8520" t="str">
        <f>VLOOKUP(Table_Query_from_Actuarial___Production3[[#This Row],[Kor1]],$AI$3:$AK$105,3,FALSE)</f>
        <v>Misc. Expense</v>
      </c>
      <c r="AF8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1" spans="18:32" x14ac:dyDescent="0.2">
      <c r="R8521" t="s">
        <v>3</v>
      </c>
      <c r="S8521" t="s">
        <v>244</v>
      </c>
      <c r="T8521" t="s">
        <v>6</v>
      </c>
      <c r="U8521" s="21">
        <v>1024120</v>
      </c>
      <c r="V8521" s="21" t="s">
        <v>368</v>
      </c>
      <c r="W8521" t="str">
        <f>VLOOKUP(Table_Query_from_Actuarial___Production[[#This Row],[Kor1]],$AI$3:$AK$105,3,FALSE)</f>
        <v>Premiums Written</v>
      </c>
      <c r="X8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1"/>
      <c r="Z8521" t="s">
        <v>39</v>
      </c>
      <c r="AA8521" t="s">
        <v>256</v>
      </c>
      <c r="AB8521" t="s">
        <v>8</v>
      </c>
      <c r="AC8521" s="21">
        <v>496</v>
      </c>
      <c r="AD8521" s="21" t="s">
        <v>368</v>
      </c>
      <c r="AE8521" t="str">
        <f>VLOOKUP(Table_Query_from_Actuarial___Production3[[#This Row],[Kor1]],$AI$3:$AK$105,3,FALSE)</f>
        <v>Misc. Income for Insolvent Companies</v>
      </c>
      <c r="AF8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2" spans="18:32" x14ac:dyDescent="0.2">
      <c r="R8522" t="s">
        <v>12</v>
      </c>
      <c r="S8522" t="s">
        <v>249</v>
      </c>
      <c r="T8522" t="s">
        <v>351</v>
      </c>
      <c r="U8522" s="21">
        <v>18701.87</v>
      </c>
      <c r="V8522" s="21" t="s">
        <v>368</v>
      </c>
      <c r="W8522" t="str">
        <f>VLOOKUP(Table_Query_from_Actuarial___Production[[#This Row],[Kor1]],$AI$3:$AK$105,3,FALSE)</f>
        <v>Premium Tax</v>
      </c>
      <c r="X8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2"/>
      <c r="Z8522" t="s">
        <v>18</v>
      </c>
      <c r="AA8522" t="s">
        <v>224</v>
      </c>
      <c r="AB8522" t="s">
        <v>443</v>
      </c>
      <c r="AC8522" s="21">
        <v>47559.82</v>
      </c>
      <c r="AD8522" s="21" t="s">
        <v>370</v>
      </c>
      <c r="AE8522" t="str">
        <f>VLOOKUP(Table_Query_from_Actuarial___Production3[[#This Row],[Kor1]],$AI$3:$AK$105,3,FALSE)</f>
        <v>Misc. Expense</v>
      </c>
      <c r="AF8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523" spans="18:32" x14ac:dyDescent="0.2">
      <c r="R8523" t="s">
        <v>31</v>
      </c>
      <c r="S8523" t="s">
        <v>250</v>
      </c>
      <c r="T8523" t="s">
        <v>8</v>
      </c>
      <c r="U8523" s="21">
        <v>920.99</v>
      </c>
      <c r="V8523" s="21" t="s">
        <v>368</v>
      </c>
      <c r="W8523" t="str">
        <f>VLOOKUP(Table_Query_from_Actuarial___Production[[#This Row],[Kor1]],$AI$3:$AK$105,3,FALSE)</f>
        <v>Misc. Expense</v>
      </c>
      <c r="X8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3"/>
      <c r="Z8523" t="s">
        <v>31</v>
      </c>
      <c r="AA8523" t="s">
        <v>234</v>
      </c>
      <c r="AB8523" t="s">
        <v>351</v>
      </c>
      <c r="AC8523" s="21">
        <v>451.68</v>
      </c>
      <c r="AD8523" s="21" t="s">
        <v>368</v>
      </c>
      <c r="AE8523" t="str">
        <f>VLOOKUP(Table_Query_from_Actuarial___Production3[[#This Row],[Kor1]],$AI$3:$AK$105,3,FALSE)</f>
        <v>Misc. Expense</v>
      </c>
      <c r="AF8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4" spans="18:32" x14ac:dyDescent="0.2">
      <c r="R8524" t="s">
        <v>31</v>
      </c>
      <c r="S8524" t="s">
        <v>259</v>
      </c>
      <c r="T8524" t="s">
        <v>351</v>
      </c>
      <c r="U8524" s="21">
        <v>312.77</v>
      </c>
      <c r="V8524" s="21" t="s">
        <v>368</v>
      </c>
      <c r="W8524" t="str">
        <f>VLOOKUP(Table_Query_from_Actuarial___Production[[#This Row],[Kor1]],$AI$3:$AK$105,3,FALSE)</f>
        <v>Misc. Expense</v>
      </c>
      <c r="X8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4"/>
      <c r="Z8524" t="s">
        <v>39</v>
      </c>
      <c r="AA8524" t="s">
        <v>234</v>
      </c>
      <c r="AB8524" t="s">
        <v>9</v>
      </c>
      <c r="AC8524" s="21">
        <v>117.98</v>
      </c>
      <c r="AD8524" s="21" t="s">
        <v>368</v>
      </c>
      <c r="AE8524" t="str">
        <f>VLOOKUP(Table_Query_from_Actuarial___Production3[[#This Row],[Kor1]],$AI$3:$AK$105,3,FALSE)</f>
        <v>Misc. Income for Insolvent Companies</v>
      </c>
      <c r="AF8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5" spans="18:32" x14ac:dyDescent="0.2">
      <c r="R8525" t="s">
        <v>33</v>
      </c>
      <c r="S8525" t="s">
        <v>4</v>
      </c>
      <c r="T8525" t="s">
        <v>7</v>
      </c>
      <c r="U8525" s="21">
        <v>123010.16</v>
      </c>
      <c r="V8525" s="21" t="s">
        <v>368</v>
      </c>
      <c r="W8525" t="str">
        <f>VLOOKUP(Table_Query_from_Actuarial___Production[[#This Row],[Kor1]],$AI$3:$AK$105,3,FALSE)</f>
        <v>Misc. Expense</v>
      </c>
      <c r="X8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5"/>
      <c r="Z8525" t="s">
        <v>10</v>
      </c>
      <c r="AA8525" t="s">
        <v>246</v>
      </c>
      <c r="AB8525" t="s">
        <v>9</v>
      </c>
      <c r="AC8525" s="21">
        <v>26741.7</v>
      </c>
      <c r="AD8525" s="21" t="s">
        <v>368</v>
      </c>
      <c r="AE8525" t="str">
        <f>VLOOKUP(Table_Query_from_Actuarial___Production3[[#This Row],[Kor1]],$AI$3:$AK$105,3,FALSE)</f>
        <v>Commissions</v>
      </c>
      <c r="AF8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6" spans="18:32" x14ac:dyDescent="0.2">
      <c r="R8526" t="s">
        <v>11</v>
      </c>
      <c r="S8526" t="s">
        <v>263</v>
      </c>
      <c r="T8526" t="s">
        <v>442</v>
      </c>
      <c r="U8526" s="21">
        <v>45232.46</v>
      </c>
      <c r="V8526" s="21" t="s">
        <v>368</v>
      </c>
      <c r="W8526" t="str">
        <f>VLOOKUP(Table_Query_from_Actuarial___Production[[#This Row],[Kor1]],$AI$3:$AK$105,3,FALSE)</f>
        <v>Losses Paid</v>
      </c>
      <c r="X8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6"/>
      <c r="Z8526" t="s">
        <v>39</v>
      </c>
      <c r="AA8526" t="s">
        <v>4</v>
      </c>
      <c r="AB8526" t="s">
        <v>427</v>
      </c>
      <c r="AC8526" s="21">
        <v>762600.52</v>
      </c>
      <c r="AD8526" s="21" t="s">
        <v>368</v>
      </c>
      <c r="AE8526" t="str">
        <f>VLOOKUP(Table_Query_from_Actuarial___Production3[[#This Row],[Kor1]],$AI$3:$AK$105,3,FALSE)</f>
        <v>Misc. Income for Insolvent Companies</v>
      </c>
      <c r="AF8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7" spans="18:32" x14ac:dyDescent="0.2">
      <c r="R8527" t="s">
        <v>21</v>
      </c>
      <c r="S8527" t="s">
        <v>250</v>
      </c>
      <c r="T8527" t="s">
        <v>442</v>
      </c>
      <c r="U8527" s="21">
        <v>1180.97</v>
      </c>
      <c r="V8527" s="21" t="s">
        <v>368</v>
      </c>
      <c r="W8527" t="str">
        <f>VLOOKUP(Table_Query_from_Actuarial___Production[[#This Row],[Kor1]],$AI$3:$AK$105,3,FALSE)</f>
        <v>Misc. Expense</v>
      </c>
      <c r="X8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7"/>
      <c r="Z8527" t="s">
        <v>14</v>
      </c>
      <c r="AA8527" t="s">
        <v>241</v>
      </c>
      <c r="AB8527" t="s">
        <v>443</v>
      </c>
      <c r="AC8527" s="21">
        <v>2870.44</v>
      </c>
      <c r="AD8527" s="21" t="s">
        <v>368</v>
      </c>
      <c r="AE8527" t="str">
        <f>VLOOKUP(Table_Query_from_Actuarial___Production3[[#This Row],[Kor1]],$AI$3:$AK$105,3,FALSE)</f>
        <v>Claims Expense</v>
      </c>
      <c r="AF8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8" spans="18:32" x14ac:dyDescent="0.2">
      <c r="R8528" t="s">
        <v>33</v>
      </c>
      <c r="S8528" t="s">
        <v>232</v>
      </c>
      <c r="T8528" t="s">
        <v>351</v>
      </c>
      <c r="U8528" s="21">
        <v>17401.23</v>
      </c>
      <c r="V8528" s="21" t="s">
        <v>368</v>
      </c>
      <c r="W8528" t="str">
        <f>VLOOKUP(Table_Query_from_Actuarial___Production[[#This Row],[Kor1]],$AI$3:$AK$105,3,FALSE)</f>
        <v>Misc. Expense</v>
      </c>
      <c r="X8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8"/>
      <c r="Z8528" t="s">
        <v>33</v>
      </c>
      <c r="AA8528" t="s">
        <v>264</v>
      </c>
      <c r="AB8528" t="s">
        <v>433</v>
      </c>
      <c r="AC8528" s="21">
        <v>14068.08</v>
      </c>
      <c r="AD8528" s="21" t="s">
        <v>368</v>
      </c>
      <c r="AE8528" t="str">
        <f>VLOOKUP(Table_Query_from_Actuarial___Production3[[#This Row],[Kor1]],$AI$3:$AK$105,3,FALSE)</f>
        <v>Misc. Expense</v>
      </c>
      <c r="AF8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29" spans="18:32" x14ac:dyDescent="0.2">
      <c r="R8529" t="s">
        <v>34</v>
      </c>
      <c r="S8529" t="s">
        <v>248</v>
      </c>
      <c r="T8529" t="s">
        <v>445</v>
      </c>
      <c r="U8529" s="21">
        <v>2909.88</v>
      </c>
      <c r="V8529" s="21" t="s">
        <v>368</v>
      </c>
      <c r="W8529" t="str">
        <f>VLOOKUP(Table_Query_from_Actuarial___Production[[#This Row],[Kor1]],$AI$3:$AK$105,3,FALSE)</f>
        <v>Misc. Expense</v>
      </c>
      <c r="X8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29"/>
      <c r="Z8529" t="s">
        <v>50</v>
      </c>
      <c r="AA8529" t="s">
        <v>267</v>
      </c>
      <c r="AB8529" t="s">
        <v>441</v>
      </c>
      <c r="AC8529" s="21">
        <v>44799.98</v>
      </c>
      <c r="AD8529" s="21" t="s">
        <v>368</v>
      </c>
      <c r="AE8529" t="str">
        <f>VLOOKUP(Table_Query_from_Actuarial___Production3[[#This Row],[Kor1]],$AI$3:$AK$105,3,FALSE)</f>
        <v>ALAE Reserve</v>
      </c>
      <c r="AF8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0" spans="18:32" x14ac:dyDescent="0.2">
      <c r="R8530" t="s">
        <v>49</v>
      </c>
      <c r="S8530" t="s">
        <v>238</v>
      </c>
      <c r="T8530" t="s">
        <v>433</v>
      </c>
      <c r="U8530" s="21">
        <v>9710.5</v>
      </c>
      <c r="V8530" s="21" t="s">
        <v>368</v>
      </c>
      <c r="W8530" t="str">
        <f>VLOOKUP(Table_Query_from_Actuarial___Production[[#This Row],[Kor1]],$AI$3:$AK$105,3,FALSE)</f>
        <v>ALAE Paid</v>
      </c>
      <c r="X8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0"/>
      <c r="Z8530" t="s">
        <v>19</v>
      </c>
      <c r="AA8530" t="s">
        <v>232</v>
      </c>
      <c r="AB8530" t="s">
        <v>5</v>
      </c>
      <c r="AC8530" s="21">
        <v>5069</v>
      </c>
      <c r="AD8530" s="21" t="s">
        <v>368</v>
      </c>
      <c r="AE8530" t="str">
        <f>VLOOKUP(Table_Query_from_Actuarial___Production3[[#This Row],[Kor1]],$AI$3:$AK$105,3,FALSE)</f>
        <v>Misc. Expense for Insolvent Companies</v>
      </c>
      <c r="AF8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1" spans="18:32" x14ac:dyDescent="0.2">
      <c r="R8531" t="s">
        <v>44</v>
      </c>
      <c r="S8531" t="s">
        <v>224</v>
      </c>
      <c r="T8531" t="s">
        <v>443</v>
      </c>
      <c r="U8531" s="21">
        <v>823.96</v>
      </c>
      <c r="V8531" s="21" t="s">
        <v>368</v>
      </c>
      <c r="W8531" t="str">
        <f>VLOOKUP(Table_Query_from_Actuarial___Production[[#This Row],[Kor1]],$AI$3:$AK$105,3,FALSE)</f>
        <v>Charge-offs</v>
      </c>
      <c r="X8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531"/>
      <c r="Z8531" t="s">
        <v>19</v>
      </c>
      <c r="AA8531" t="s">
        <v>238</v>
      </c>
      <c r="AB8531" t="s">
        <v>9</v>
      </c>
      <c r="AC8531" s="21">
        <v>252</v>
      </c>
      <c r="AD8531" s="21" t="s">
        <v>368</v>
      </c>
      <c r="AE8531" t="str">
        <f>VLOOKUP(Table_Query_from_Actuarial___Production3[[#This Row],[Kor1]],$AI$3:$AK$105,3,FALSE)</f>
        <v>Misc. Expense for Insolvent Companies</v>
      </c>
      <c r="AF8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2" spans="18:32" x14ac:dyDescent="0.2">
      <c r="R8532" t="s">
        <v>37</v>
      </c>
      <c r="S8532" t="s">
        <v>252</v>
      </c>
      <c r="T8532" t="s">
        <v>6</v>
      </c>
      <c r="U8532" s="21">
        <v>72445.8</v>
      </c>
      <c r="V8532" s="21" t="s">
        <v>368</v>
      </c>
      <c r="W8532" t="str">
        <f>VLOOKUP(Table_Query_from_Actuarial___Production[[#This Row],[Kor1]],$AI$3:$AK$105,3,FALSE)</f>
        <v>Misc. Expense</v>
      </c>
      <c r="X8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2"/>
      <c r="Z8532" t="s">
        <v>31</v>
      </c>
      <c r="AA8532" t="s">
        <v>252</v>
      </c>
      <c r="AB8532" t="s">
        <v>8</v>
      </c>
      <c r="AC8532" s="21">
        <v>-456.54</v>
      </c>
      <c r="AD8532" s="21" t="s">
        <v>368</v>
      </c>
      <c r="AE8532" t="str">
        <f>VLOOKUP(Table_Query_from_Actuarial___Production3[[#This Row],[Kor1]],$AI$3:$AK$105,3,FALSE)</f>
        <v>Misc. Expense</v>
      </c>
      <c r="AF8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3" spans="18:32" x14ac:dyDescent="0.2">
      <c r="R8533" t="s">
        <v>31</v>
      </c>
      <c r="S8533" t="s">
        <v>247</v>
      </c>
      <c r="T8533" t="s">
        <v>8</v>
      </c>
      <c r="U8533" s="21">
        <v>7441.51</v>
      </c>
      <c r="V8533" s="21" t="s">
        <v>368</v>
      </c>
      <c r="W8533" t="str">
        <f>VLOOKUP(Table_Query_from_Actuarial___Production[[#This Row],[Kor1]],$AI$3:$AK$105,3,FALSE)</f>
        <v>Misc. Expense</v>
      </c>
      <c r="X8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3"/>
      <c r="Z8533" t="s">
        <v>41</v>
      </c>
      <c r="AA8533" t="s">
        <v>258</v>
      </c>
      <c r="AB8533" t="s">
        <v>443</v>
      </c>
      <c r="AC8533" s="21">
        <v>99.99</v>
      </c>
      <c r="AD8533" s="21" t="s">
        <v>368</v>
      </c>
      <c r="AE8533" t="str">
        <f>VLOOKUP(Table_Query_from_Actuarial___Production3[[#This Row],[Kor1]],$AI$3:$AK$105,3,FALSE)</f>
        <v>Misc. Income</v>
      </c>
      <c r="AF8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4" spans="18:32" x14ac:dyDescent="0.2">
      <c r="R8534" t="s">
        <v>36</v>
      </c>
      <c r="S8534" t="s">
        <v>252</v>
      </c>
      <c r="T8534" t="s">
        <v>6</v>
      </c>
      <c r="U8534" s="21">
        <v>35156.949999999997</v>
      </c>
      <c r="V8534" s="21" t="s">
        <v>368</v>
      </c>
      <c r="W8534" t="str">
        <f>VLOOKUP(Table_Query_from_Actuarial___Production[[#This Row],[Kor1]],$AI$3:$AK$105,3,FALSE)</f>
        <v>Misc. Expense</v>
      </c>
      <c r="X8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4"/>
      <c r="Z8534" t="s">
        <v>3</v>
      </c>
      <c r="AA8534" t="s">
        <v>224</v>
      </c>
      <c r="AB8534" t="s">
        <v>441</v>
      </c>
      <c r="AC8534" s="21">
        <v>26849.22</v>
      </c>
      <c r="AD8534" s="21" t="s">
        <v>425</v>
      </c>
      <c r="AE8534" t="str">
        <f>VLOOKUP(Table_Query_from_Actuarial___Production3[[#This Row],[Kor1]],$AI$3:$AK$105,3,FALSE)</f>
        <v>Premiums Written</v>
      </c>
      <c r="AF8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535" spans="18:32" x14ac:dyDescent="0.2">
      <c r="R8535" t="s">
        <v>50</v>
      </c>
      <c r="S8535" t="s">
        <v>252</v>
      </c>
      <c r="T8535" t="s">
        <v>7</v>
      </c>
      <c r="U8535" s="21">
        <v>2277</v>
      </c>
      <c r="V8535" s="21" t="s">
        <v>368</v>
      </c>
      <c r="W8535" t="str">
        <f>VLOOKUP(Table_Query_from_Actuarial___Production[[#This Row],[Kor1]],$AI$3:$AK$105,3,FALSE)</f>
        <v>ALAE Reserve</v>
      </c>
      <c r="X8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5"/>
      <c r="Z8535" t="s">
        <v>31</v>
      </c>
      <c r="AA8535" t="s">
        <v>260</v>
      </c>
      <c r="AB8535" t="s">
        <v>6</v>
      </c>
      <c r="AC8535" s="21">
        <v>650.84</v>
      </c>
      <c r="AD8535" s="21" t="s">
        <v>368</v>
      </c>
      <c r="AE8535" t="str">
        <f>VLOOKUP(Table_Query_from_Actuarial___Production3[[#This Row],[Kor1]],$AI$3:$AK$105,3,FALSE)</f>
        <v>Misc. Expense</v>
      </c>
      <c r="AF8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6" spans="18:32" x14ac:dyDescent="0.2">
      <c r="R8536" t="s">
        <v>14</v>
      </c>
      <c r="S8536" t="s">
        <v>244</v>
      </c>
      <c r="T8536" t="s">
        <v>442</v>
      </c>
      <c r="U8536" s="21">
        <v>191508.54</v>
      </c>
      <c r="V8536" s="21" t="s">
        <v>368</v>
      </c>
      <c r="W8536" t="str">
        <f>VLOOKUP(Table_Query_from_Actuarial___Production[[#This Row],[Kor1]],$AI$3:$AK$105,3,FALSE)</f>
        <v>Claims Expense</v>
      </c>
      <c r="X8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6"/>
      <c r="Z8536" t="s">
        <v>439</v>
      </c>
      <c r="AA8536" t="s">
        <v>231</v>
      </c>
      <c r="AB8536" t="s">
        <v>433</v>
      </c>
      <c r="AC8536" s="21">
        <v>26385</v>
      </c>
      <c r="AD8536" s="21" t="s">
        <v>368</v>
      </c>
      <c r="AE8536" t="str">
        <f>VLOOKUP(Table_Query_from_Actuarial___Production3[[#This Row],[Kor1]],$AI$3:$AK$105,3,FALSE)</f>
        <v>Operating Service Fees</v>
      </c>
      <c r="AF8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7" spans="18:32" x14ac:dyDescent="0.2">
      <c r="R8537" t="s">
        <v>13</v>
      </c>
      <c r="S8537" t="s">
        <v>237</v>
      </c>
      <c r="T8537" t="s">
        <v>443</v>
      </c>
      <c r="U8537" s="21">
        <v>10827704.59</v>
      </c>
      <c r="V8537" s="21" t="s">
        <v>368</v>
      </c>
      <c r="W8537" t="str">
        <f>VLOOKUP(Table_Query_from_Actuarial___Production[[#This Row],[Kor1]],$AI$3:$AK$105,3,FALSE)</f>
        <v>Operating Service Fees</v>
      </c>
      <c r="X8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7"/>
      <c r="Z8537" t="s">
        <v>13</v>
      </c>
      <c r="AA8537" t="s">
        <v>237</v>
      </c>
      <c r="AB8537" t="s">
        <v>427</v>
      </c>
      <c r="AC8537" s="21">
        <v>8702885.5399999991</v>
      </c>
      <c r="AD8537" s="21" t="s">
        <v>368</v>
      </c>
      <c r="AE8537" t="str">
        <f>VLOOKUP(Table_Query_from_Actuarial___Production3[[#This Row],[Kor1]],$AI$3:$AK$105,3,FALSE)</f>
        <v>Operating Service Fees</v>
      </c>
      <c r="AF8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8" spans="18:32" x14ac:dyDescent="0.2">
      <c r="R8538" t="s">
        <v>14</v>
      </c>
      <c r="S8538" t="s">
        <v>256</v>
      </c>
      <c r="T8538" t="s">
        <v>7</v>
      </c>
      <c r="U8538" s="21">
        <v>4157.18</v>
      </c>
      <c r="V8538" s="21" t="s">
        <v>368</v>
      </c>
      <c r="W8538" t="str">
        <f>VLOOKUP(Table_Query_from_Actuarial___Production[[#This Row],[Kor1]],$AI$3:$AK$105,3,FALSE)</f>
        <v>Claims Expense</v>
      </c>
      <c r="X8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8"/>
      <c r="Z8538" t="s">
        <v>21</v>
      </c>
      <c r="AA8538" t="s">
        <v>232</v>
      </c>
      <c r="AB8538" t="s">
        <v>6</v>
      </c>
      <c r="AC8538" s="21">
        <v>1643.14</v>
      </c>
      <c r="AD8538" s="21" t="s">
        <v>368</v>
      </c>
      <c r="AE8538" t="str">
        <f>VLOOKUP(Table_Query_from_Actuarial___Production3[[#This Row],[Kor1]],$AI$3:$AK$105,3,FALSE)</f>
        <v>Misc. Expense</v>
      </c>
      <c r="AF8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39" spans="18:32" x14ac:dyDescent="0.2">
      <c r="R8539" t="s">
        <v>37</v>
      </c>
      <c r="S8539" t="s">
        <v>238</v>
      </c>
      <c r="T8539" t="s">
        <v>9</v>
      </c>
      <c r="U8539" s="21">
        <v>-9.3800000000000008</v>
      </c>
      <c r="V8539" s="21" t="s">
        <v>368</v>
      </c>
      <c r="W8539" t="str">
        <f>VLOOKUP(Table_Query_from_Actuarial___Production[[#This Row],[Kor1]],$AI$3:$AK$105,3,FALSE)</f>
        <v>Misc. Expense</v>
      </c>
      <c r="X8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39"/>
      <c r="Z8539" t="s">
        <v>3</v>
      </c>
      <c r="AA8539" t="s">
        <v>244</v>
      </c>
      <c r="AB8539" t="s">
        <v>6</v>
      </c>
      <c r="AC8539" s="21">
        <v>1024120</v>
      </c>
      <c r="AD8539" s="21" t="s">
        <v>368</v>
      </c>
      <c r="AE8539" t="str">
        <f>VLOOKUP(Table_Query_from_Actuarial___Production3[[#This Row],[Kor1]],$AI$3:$AK$105,3,FALSE)</f>
        <v>Premiums Written</v>
      </c>
      <c r="AF8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0" spans="18:32" x14ac:dyDescent="0.2">
      <c r="R8540" t="s">
        <v>3</v>
      </c>
      <c r="S8540" t="s">
        <v>233</v>
      </c>
      <c r="T8540" t="s">
        <v>445</v>
      </c>
      <c r="U8540" s="21">
        <v>494109</v>
      </c>
      <c r="V8540" s="21" t="s">
        <v>368</v>
      </c>
      <c r="W8540" t="str">
        <f>VLOOKUP(Table_Query_from_Actuarial___Production[[#This Row],[Kor1]],$AI$3:$AK$105,3,FALSE)</f>
        <v>Premiums Written</v>
      </c>
      <c r="X8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0"/>
      <c r="Z8540" t="s">
        <v>12</v>
      </c>
      <c r="AA8540" t="s">
        <v>249</v>
      </c>
      <c r="AB8540" t="s">
        <v>351</v>
      </c>
      <c r="AC8540" s="21">
        <v>18701.87</v>
      </c>
      <c r="AD8540" s="21" t="s">
        <v>368</v>
      </c>
      <c r="AE8540" t="str">
        <f>VLOOKUP(Table_Query_from_Actuarial___Production3[[#This Row],[Kor1]],$AI$3:$AK$105,3,FALSE)</f>
        <v>Premium Tax</v>
      </c>
      <c r="AF8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1" spans="18:32" x14ac:dyDescent="0.2">
      <c r="R8541" t="s">
        <v>48</v>
      </c>
      <c r="S8541" t="s">
        <v>229</v>
      </c>
      <c r="T8541" t="s">
        <v>442</v>
      </c>
      <c r="U8541" s="21">
        <v>34.35</v>
      </c>
      <c r="V8541" s="21" t="s">
        <v>368</v>
      </c>
      <c r="W8541" t="str">
        <f>VLOOKUP(Table_Query_from_Actuarial___Production[[#This Row],[Kor1]],$AI$3:$AK$105,3,FALSE)</f>
        <v>Anticipated Salvage</v>
      </c>
      <c r="X8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1"/>
      <c r="Z8541" t="s">
        <v>31</v>
      </c>
      <c r="AA8541" t="s">
        <v>250</v>
      </c>
      <c r="AB8541" t="s">
        <v>8</v>
      </c>
      <c r="AC8541" s="21">
        <v>920.99</v>
      </c>
      <c r="AD8541" s="21" t="s">
        <v>368</v>
      </c>
      <c r="AE8541" t="str">
        <f>VLOOKUP(Table_Query_from_Actuarial___Production3[[#This Row],[Kor1]],$AI$3:$AK$105,3,FALSE)</f>
        <v>Misc. Expense</v>
      </c>
      <c r="AF8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2" spans="18:32" x14ac:dyDescent="0.2">
      <c r="R8542" t="s">
        <v>3</v>
      </c>
      <c r="S8542" t="s">
        <v>4</v>
      </c>
      <c r="T8542" t="s">
        <v>6</v>
      </c>
      <c r="U8542" s="21">
        <v>4554255</v>
      </c>
      <c r="V8542" s="21" t="s">
        <v>368</v>
      </c>
      <c r="W8542" t="str">
        <f>VLOOKUP(Table_Query_from_Actuarial___Production[[#This Row],[Kor1]],$AI$3:$AK$105,3,FALSE)</f>
        <v>Premiums Written</v>
      </c>
      <c r="X8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2"/>
      <c r="Z8542" t="s">
        <v>31</v>
      </c>
      <c r="AA8542" t="s">
        <v>259</v>
      </c>
      <c r="AB8542" t="s">
        <v>351</v>
      </c>
      <c r="AC8542" s="21">
        <v>312.77</v>
      </c>
      <c r="AD8542" s="21" t="s">
        <v>368</v>
      </c>
      <c r="AE8542" t="str">
        <f>VLOOKUP(Table_Query_from_Actuarial___Production3[[#This Row],[Kor1]],$AI$3:$AK$105,3,FALSE)</f>
        <v>Misc. Expense</v>
      </c>
      <c r="AF8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3" spans="18:32" x14ac:dyDescent="0.2">
      <c r="R8543" t="s">
        <v>12</v>
      </c>
      <c r="S8543" t="s">
        <v>249</v>
      </c>
      <c r="T8543" t="s">
        <v>441</v>
      </c>
      <c r="U8543" s="21">
        <v>42534.61</v>
      </c>
      <c r="V8543" s="21" t="s">
        <v>368</v>
      </c>
      <c r="W8543" t="str">
        <f>VLOOKUP(Table_Query_from_Actuarial___Production[[#This Row],[Kor1]],$AI$3:$AK$105,3,FALSE)</f>
        <v>Premium Tax</v>
      </c>
      <c r="X8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3"/>
      <c r="Z8543" t="s">
        <v>33</v>
      </c>
      <c r="AA8543" t="s">
        <v>4</v>
      </c>
      <c r="AB8543" t="s">
        <v>7</v>
      </c>
      <c r="AC8543" s="21">
        <v>123010.16</v>
      </c>
      <c r="AD8543" s="21" t="s">
        <v>368</v>
      </c>
      <c r="AE8543" t="str">
        <f>VLOOKUP(Table_Query_from_Actuarial___Production3[[#This Row],[Kor1]],$AI$3:$AK$105,3,FALSE)</f>
        <v>Misc. Expense</v>
      </c>
      <c r="AF8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4" spans="18:32" x14ac:dyDescent="0.2">
      <c r="R8544" t="s">
        <v>27</v>
      </c>
      <c r="S8544" t="s">
        <v>259</v>
      </c>
      <c r="T8544" t="s">
        <v>427</v>
      </c>
      <c r="U8544" s="21">
        <v>124.89</v>
      </c>
      <c r="V8544" s="21" t="s">
        <v>368</v>
      </c>
      <c r="W8544" t="str">
        <f>VLOOKUP(Table_Query_from_Actuarial___Production[[#This Row],[Kor1]],$AI$3:$AK$105,3,FALSE)</f>
        <v>Misc. Expense</v>
      </c>
      <c r="X8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4"/>
      <c r="Z8544" t="s">
        <v>11</v>
      </c>
      <c r="AA8544" t="s">
        <v>263</v>
      </c>
      <c r="AB8544" t="s">
        <v>442</v>
      </c>
      <c r="AC8544" s="21">
        <v>4722.5200000000004</v>
      </c>
      <c r="AD8544" s="21" t="s">
        <v>368</v>
      </c>
      <c r="AE8544" t="str">
        <f>VLOOKUP(Table_Query_from_Actuarial___Production3[[#This Row],[Kor1]],$AI$3:$AK$105,3,FALSE)</f>
        <v>Losses Paid</v>
      </c>
      <c r="AF8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5" spans="18:32" x14ac:dyDescent="0.2">
      <c r="R8545" t="s">
        <v>14</v>
      </c>
      <c r="S8545" t="s">
        <v>226</v>
      </c>
      <c r="T8545" t="s">
        <v>445</v>
      </c>
      <c r="U8545" s="21">
        <v>164862.37</v>
      </c>
      <c r="V8545" s="21" t="s">
        <v>368</v>
      </c>
      <c r="W8545" t="str">
        <f>VLOOKUP(Table_Query_from_Actuarial___Production[[#This Row],[Kor1]],$AI$3:$AK$105,3,FALSE)</f>
        <v>Claims Expense</v>
      </c>
      <c r="X8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545"/>
      <c r="Z8545" t="s">
        <v>21</v>
      </c>
      <c r="AA8545" t="s">
        <v>250</v>
      </c>
      <c r="AB8545" t="s">
        <v>442</v>
      </c>
      <c r="AC8545" s="21">
        <v>1180.97</v>
      </c>
      <c r="AD8545" s="21" t="s">
        <v>368</v>
      </c>
      <c r="AE8545" t="str">
        <f>VLOOKUP(Table_Query_from_Actuarial___Production3[[#This Row],[Kor1]],$AI$3:$AK$105,3,FALSE)</f>
        <v>Misc. Expense</v>
      </c>
      <c r="AF8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6" spans="18:32" x14ac:dyDescent="0.2">
      <c r="R8546" t="s">
        <v>10</v>
      </c>
      <c r="S8546" t="s">
        <v>229</v>
      </c>
      <c r="T8546" t="s">
        <v>442</v>
      </c>
      <c r="U8546" s="21">
        <v>6941.45</v>
      </c>
      <c r="V8546" s="21" t="s">
        <v>368</v>
      </c>
      <c r="W8546" t="str">
        <f>VLOOKUP(Table_Query_from_Actuarial___Production[[#This Row],[Kor1]],$AI$3:$AK$105,3,FALSE)</f>
        <v>Commissions</v>
      </c>
      <c r="X8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6"/>
      <c r="Z8546" t="s">
        <v>33</v>
      </c>
      <c r="AA8546" t="s">
        <v>232</v>
      </c>
      <c r="AB8546" t="s">
        <v>351</v>
      </c>
      <c r="AC8546" s="21">
        <v>17401.23</v>
      </c>
      <c r="AD8546" s="21" t="s">
        <v>368</v>
      </c>
      <c r="AE8546" t="str">
        <f>VLOOKUP(Table_Query_from_Actuarial___Production3[[#This Row],[Kor1]],$AI$3:$AK$105,3,FALSE)</f>
        <v>Misc. Expense</v>
      </c>
      <c r="AF8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7" spans="18:32" x14ac:dyDescent="0.2">
      <c r="R8547" t="s">
        <v>16</v>
      </c>
      <c r="S8547" t="s">
        <v>254</v>
      </c>
      <c r="T8547" t="s">
        <v>433</v>
      </c>
      <c r="U8547" s="21">
        <v>6279446.1500000004</v>
      </c>
      <c r="V8547" s="21" t="s">
        <v>368</v>
      </c>
      <c r="W8547" t="str">
        <f>VLOOKUP(Table_Query_from_Actuarial___Production[[#This Row],[Kor1]],$AI$3:$AK$105,3,FALSE)</f>
        <v>Losses Outstanding</v>
      </c>
      <c r="X8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7"/>
      <c r="Z8547" t="s">
        <v>49</v>
      </c>
      <c r="AA8547" t="s">
        <v>238</v>
      </c>
      <c r="AB8547" t="s">
        <v>433</v>
      </c>
      <c r="AC8547" s="21">
        <v>4602</v>
      </c>
      <c r="AD8547" s="21" t="s">
        <v>368</v>
      </c>
      <c r="AE8547" t="str">
        <f>VLOOKUP(Table_Query_from_Actuarial___Production3[[#This Row],[Kor1]],$AI$3:$AK$105,3,FALSE)</f>
        <v>ALAE Paid</v>
      </c>
      <c r="AF8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48" spans="18:32" x14ac:dyDescent="0.2">
      <c r="R8548" t="s">
        <v>47</v>
      </c>
      <c r="S8548" t="s">
        <v>241</v>
      </c>
      <c r="T8548" t="s">
        <v>7</v>
      </c>
      <c r="U8548" s="21">
        <v>0.03</v>
      </c>
      <c r="V8548" s="21" t="s">
        <v>368</v>
      </c>
      <c r="W8548" t="str">
        <f>VLOOKUP(Table_Query_from_Actuarial___Production[[#This Row],[Kor1]],$AI$3:$AK$105,3,FALSE)</f>
        <v>Investment Income</v>
      </c>
      <c r="X8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8"/>
      <c r="Z8548" t="s">
        <v>44</v>
      </c>
      <c r="AA8548" t="s">
        <v>224</v>
      </c>
      <c r="AB8548" t="s">
        <v>443</v>
      </c>
      <c r="AC8548" s="21">
        <v>5</v>
      </c>
      <c r="AD8548" s="21" t="s">
        <v>368</v>
      </c>
      <c r="AE8548" t="str">
        <f>VLOOKUP(Table_Query_from_Actuarial___Production3[[#This Row],[Kor1]],$AI$3:$AK$105,3,FALSE)</f>
        <v>Charge-offs</v>
      </c>
      <c r="AF8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549" spans="18:32" x14ac:dyDescent="0.2">
      <c r="R8549" t="s">
        <v>39</v>
      </c>
      <c r="S8549" t="s">
        <v>4</v>
      </c>
      <c r="T8549" t="s">
        <v>443</v>
      </c>
      <c r="U8549" s="21">
        <v>79.87</v>
      </c>
      <c r="V8549" s="21" t="s">
        <v>368</v>
      </c>
      <c r="W8549" t="str">
        <f>VLOOKUP(Table_Query_from_Actuarial___Production[[#This Row],[Kor1]],$AI$3:$AK$105,3,FALSE)</f>
        <v>Misc. Income for Insolvent Companies</v>
      </c>
      <c r="X8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49"/>
      <c r="Z8549" t="s">
        <v>37</v>
      </c>
      <c r="AA8549" t="s">
        <v>252</v>
      </c>
      <c r="AB8549" t="s">
        <v>6</v>
      </c>
      <c r="AC8549" s="21">
        <v>72445.8</v>
      </c>
      <c r="AD8549" s="21" t="s">
        <v>368</v>
      </c>
      <c r="AE8549" t="str">
        <f>VLOOKUP(Table_Query_from_Actuarial___Production3[[#This Row],[Kor1]],$AI$3:$AK$105,3,FALSE)</f>
        <v>Misc. Expense</v>
      </c>
      <c r="AF8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0" spans="18:32" x14ac:dyDescent="0.2">
      <c r="R8550" t="s">
        <v>11</v>
      </c>
      <c r="S8550" t="s">
        <v>224</v>
      </c>
      <c r="T8550" t="s">
        <v>427</v>
      </c>
      <c r="U8550" s="21">
        <v>47783.35</v>
      </c>
      <c r="V8550" s="21" t="s">
        <v>369</v>
      </c>
      <c r="W8550" t="str">
        <f>VLOOKUP(Table_Query_from_Actuarial___Production[[#This Row],[Kor1]],$AI$3:$AK$105,3,FALSE)</f>
        <v>Losses Paid</v>
      </c>
      <c r="X8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550"/>
      <c r="Z8550" t="s">
        <v>31</v>
      </c>
      <c r="AA8550" t="s">
        <v>247</v>
      </c>
      <c r="AB8550" t="s">
        <v>8</v>
      </c>
      <c r="AC8550" s="21">
        <v>7441.51</v>
      </c>
      <c r="AD8550" s="21" t="s">
        <v>368</v>
      </c>
      <c r="AE8550" t="str">
        <f>VLOOKUP(Table_Query_from_Actuarial___Production3[[#This Row],[Kor1]],$AI$3:$AK$105,3,FALSE)</f>
        <v>Misc. Expense</v>
      </c>
      <c r="AF8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1" spans="18:32" x14ac:dyDescent="0.2">
      <c r="R8551" t="s">
        <v>11</v>
      </c>
      <c r="S8551" t="s">
        <v>251</v>
      </c>
      <c r="T8551" t="s">
        <v>442</v>
      </c>
      <c r="U8551" s="21">
        <v>15512.01</v>
      </c>
      <c r="V8551" s="21" t="s">
        <v>368</v>
      </c>
      <c r="W8551" t="str">
        <f>VLOOKUP(Table_Query_from_Actuarial___Production[[#This Row],[Kor1]],$AI$3:$AK$105,3,FALSE)</f>
        <v>Losses Paid</v>
      </c>
      <c r="X8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1"/>
      <c r="Z8551" t="s">
        <v>36</v>
      </c>
      <c r="AA8551" t="s">
        <v>252</v>
      </c>
      <c r="AB8551" t="s">
        <v>6</v>
      </c>
      <c r="AC8551" s="21">
        <v>35156.949999999997</v>
      </c>
      <c r="AD8551" s="21" t="s">
        <v>368</v>
      </c>
      <c r="AE8551" t="str">
        <f>VLOOKUP(Table_Query_from_Actuarial___Production3[[#This Row],[Kor1]],$AI$3:$AK$105,3,FALSE)</f>
        <v>Misc. Expense</v>
      </c>
      <c r="AF8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2" spans="18:32" x14ac:dyDescent="0.2">
      <c r="R8552" t="s">
        <v>50</v>
      </c>
      <c r="S8552" t="s">
        <v>228</v>
      </c>
      <c r="T8552" t="s">
        <v>442</v>
      </c>
      <c r="U8552" s="21">
        <v>841.91</v>
      </c>
      <c r="V8552" s="21" t="s">
        <v>368</v>
      </c>
      <c r="W8552" t="str">
        <f>VLOOKUP(Table_Query_from_Actuarial___Production[[#This Row],[Kor1]],$AI$3:$AK$105,3,FALSE)</f>
        <v>ALAE Reserve</v>
      </c>
      <c r="X8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2"/>
      <c r="Z8552" t="s">
        <v>50</v>
      </c>
      <c r="AA8552" t="s">
        <v>252</v>
      </c>
      <c r="AB8552" t="s">
        <v>7</v>
      </c>
      <c r="AC8552" s="21">
        <v>1641.57</v>
      </c>
      <c r="AD8552" s="21" t="s">
        <v>368</v>
      </c>
      <c r="AE8552" t="str">
        <f>VLOOKUP(Table_Query_from_Actuarial___Production3[[#This Row],[Kor1]],$AI$3:$AK$105,3,FALSE)</f>
        <v>ALAE Reserve</v>
      </c>
      <c r="AF8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3" spans="18:32" x14ac:dyDescent="0.2">
      <c r="R8553" t="s">
        <v>39</v>
      </c>
      <c r="S8553" t="s">
        <v>253</v>
      </c>
      <c r="T8553" t="s">
        <v>9</v>
      </c>
      <c r="U8553" s="21">
        <v>4</v>
      </c>
      <c r="V8553" s="21" t="s">
        <v>368</v>
      </c>
      <c r="W8553" t="str">
        <f>VLOOKUP(Table_Query_from_Actuarial___Production[[#This Row],[Kor1]],$AI$3:$AK$105,3,FALSE)</f>
        <v>Misc. Income for Insolvent Companies</v>
      </c>
      <c r="X8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3"/>
      <c r="Z8553" t="s">
        <v>14</v>
      </c>
      <c r="AA8553" t="s">
        <v>244</v>
      </c>
      <c r="AB8553" t="s">
        <v>442</v>
      </c>
      <c r="AC8553" s="21">
        <v>172248.47</v>
      </c>
      <c r="AD8553" s="21" t="s">
        <v>368</v>
      </c>
      <c r="AE8553" t="str">
        <f>VLOOKUP(Table_Query_from_Actuarial___Production3[[#This Row],[Kor1]],$AI$3:$AK$105,3,FALSE)</f>
        <v>Claims Expense</v>
      </c>
      <c r="AF8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4" spans="18:32" x14ac:dyDescent="0.2">
      <c r="R8554" t="s">
        <v>11</v>
      </c>
      <c r="S8554" t="s">
        <v>225</v>
      </c>
      <c r="T8554" t="s">
        <v>427</v>
      </c>
      <c r="U8554" s="21">
        <v>3562131.85</v>
      </c>
      <c r="V8554" s="21" t="s">
        <v>368</v>
      </c>
      <c r="W8554" t="str">
        <f>VLOOKUP(Table_Query_from_Actuarial___Production[[#This Row],[Kor1]],$AI$3:$AK$105,3,FALSE)</f>
        <v>Losses Paid</v>
      </c>
      <c r="X8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554"/>
      <c r="Z8554" t="s">
        <v>13</v>
      </c>
      <c r="AA8554" t="s">
        <v>237</v>
      </c>
      <c r="AB8554" t="s">
        <v>443</v>
      </c>
      <c r="AC8554" s="21">
        <v>5622514.8099999996</v>
      </c>
      <c r="AD8554" s="21" t="s">
        <v>368</v>
      </c>
      <c r="AE8554" t="str">
        <f>VLOOKUP(Table_Query_from_Actuarial___Production3[[#This Row],[Kor1]],$AI$3:$AK$105,3,FALSE)</f>
        <v>Operating Service Fees</v>
      </c>
      <c r="AF8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5" spans="18:32" x14ac:dyDescent="0.2">
      <c r="R8555" t="s">
        <v>37</v>
      </c>
      <c r="S8555" t="s">
        <v>228</v>
      </c>
      <c r="T8555" t="s">
        <v>442</v>
      </c>
      <c r="U8555" s="21">
        <v>4.32</v>
      </c>
      <c r="V8555" s="21" t="s">
        <v>368</v>
      </c>
      <c r="W8555" t="str">
        <f>VLOOKUP(Table_Query_from_Actuarial___Production[[#This Row],[Kor1]],$AI$3:$AK$105,3,FALSE)</f>
        <v>Misc. Expense</v>
      </c>
      <c r="X8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5"/>
      <c r="Z8555" t="s">
        <v>14</v>
      </c>
      <c r="AA8555" t="s">
        <v>256</v>
      </c>
      <c r="AB8555" t="s">
        <v>7</v>
      </c>
      <c r="AC8555" s="21">
        <v>4157.18</v>
      </c>
      <c r="AD8555" s="21" t="s">
        <v>368</v>
      </c>
      <c r="AE8555" t="str">
        <f>VLOOKUP(Table_Query_from_Actuarial___Production3[[#This Row],[Kor1]],$AI$3:$AK$105,3,FALSE)</f>
        <v>Claims Expense</v>
      </c>
      <c r="AF8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6" spans="18:32" x14ac:dyDescent="0.2">
      <c r="R8556" t="s">
        <v>38</v>
      </c>
      <c r="S8556" t="s">
        <v>225</v>
      </c>
      <c r="T8556" t="s">
        <v>7</v>
      </c>
      <c r="U8556" s="21">
        <v>1037545.2</v>
      </c>
      <c r="V8556" s="21" t="s">
        <v>368</v>
      </c>
      <c r="W8556" t="str">
        <f>VLOOKUP(Table_Query_from_Actuarial___Production[[#This Row],[Kor1]],$AI$3:$AK$105,3,FALSE)</f>
        <v>Misc. Income</v>
      </c>
      <c r="X8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556"/>
      <c r="Z8556" t="s">
        <v>37</v>
      </c>
      <c r="AA8556" t="s">
        <v>238</v>
      </c>
      <c r="AB8556" t="s">
        <v>9</v>
      </c>
      <c r="AC8556" s="21">
        <v>-9.3800000000000008</v>
      </c>
      <c r="AD8556" s="21" t="s">
        <v>368</v>
      </c>
      <c r="AE8556" t="str">
        <f>VLOOKUP(Table_Query_from_Actuarial___Production3[[#This Row],[Kor1]],$AI$3:$AK$105,3,FALSE)</f>
        <v>Misc. Expense</v>
      </c>
      <c r="AF8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7" spans="18:32" x14ac:dyDescent="0.2">
      <c r="R8557" t="s">
        <v>31</v>
      </c>
      <c r="S8557" t="s">
        <v>258</v>
      </c>
      <c r="T8557" t="s">
        <v>442</v>
      </c>
      <c r="U8557" s="21">
        <v>1128.76</v>
      </c>
      <c r="V8557" s="21" t="s">
        <v>368</v>
      </c>
      <c r="W8557" t="str">
        <f>VLOOKUP(Table_Query_from_Actuarial___Production[[#This Row],[Kor1]],$AI$3:$AK$105,3,FALSE)</f>
        <v>Misc. Expense</v>
      </c>
      <c r="X8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7"/>
      <c r="Z8557" t="s">
        <v>48</v>
      </c>
      <c r="AA8557" t="s">
        <v>229</v>
      </c>
      <c r="AB8557" t="s">
        <v>442</v>
      </c>
      <c r="AC8557" s="21">
        <v>76.73</v>
      </c>
      <c r="AD8557" s="21" t="s">
        <v>368</v>
      </c>
      <c r="AE8557" t="str">
        <f>VLOOKUP(Table_Query_from_Actuarial___Production3[[#This Row],[Kor1]],$AI$3:$AK$105,3,FALSE)</f>
        <v>Anticipated Salvage</v>
      </c>
      <c r="AF8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8" spans="18:32" x14ac:dyDescent="0.2">
      <c r="R8558" t="s">
        <v>19</v>
      </c>
      <c r="S8558" t="s">
        <v>257</v>
      </c>
      <c r="T8558" t="s">
        <v>6</v>
      </c>
      <c r="U8558" s="21">
        <v>1</v>
      </c>
      <c r="V8558" s="21" t="s">
        <v>368</v>
      </c>
      <c r="W8558" t="str">
        <f>VLOOKUP(Table_Query_from_Actuarial___Production[[#This Row],[Kor1]],$AI$3:$AK$105,3,FALSE)</f>
        <v>Misc. Expense for Insolvent Companies</v>
      </c>
      <c r="X8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8"/>
      <c r="Z8558" t="s">
        <v>3</v>
      </c>
      <c r="AA8558" t="s">
        <v>4</v>
      </c>
      <c r="AB8558" t="s">
        <v>6</v>
      </c>
      <c r="AC8558" s="21">
        <v>4554255</v>
      </c>
      <c r="AD8558" s="21" t="s">
        <v>368</v>
      </c>
      <c r="AE8558" t="str">
        <f>VLOOKUP(Table_Query_from_Actuarial___Production3[[#This Row],[Kor1]],$AI$3:$AK$105,3,FALSE)</f>
        <v>Premiums Written</v>
      </c>
      <c r="AF8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59" spans="18:32" x14ac:dyDescent="0.2">
      <c r="R8559" t="s">
        <v>12</v>
      </c>
      <c r="S8559" t="s">
        <v>260</v>
      </c>
      <c r="T8559" t="s">
        <v>433</v>
      </c>
      <c r="U8559" s="21">
        <v>279.08999999999997</v>
      </c>
      <c r="V8559" s="21" t="s">
        <v>368</v>
      </c>
      <c r="W8559" t="str">
        <f>VLOOKUP(Table_Query_from_Actuarial___Production[[#This Row],[Kor1]],$AI$3:$AK$105,3,FALSE)</f>
        <v>Premium Tax</v>
      </c>
      <c r="X8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59"/>
      <c r="Z8559" t="s">
        <v>12</v>
      </c>
      <c r="AA8559" t="s">
        <v>249</v>
      </c>
      <c r="AB8559" t="s">
        <v>441</v>
      </c>
      <c r="AC8559" s="21">
        <v>42534.61</v>
      </c>
      <c r="AD8559" s="21" t="s">
        <v>368</v>
      </c>
      <c r="AE8559" t="str">
        <f>VLOOKUP(Table_Query_from_Actuarial___Production3[[#This Row],[Kor1]],$AI$3:$AK$105,3,FALSE)</f>
        <v>Premium Tax</v>
      </c>
      <c r="AF8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0" spans="18:32" x14ac:dyDescent="0.2">
      <c r="R8560" t="s">
        <v>37</v>
      </c>
      <c r="S8560" t="s">
        <v>236</v>
      </c>
      <c r="T8560" t="s">
        <v>351</v>
      </c>
      <c r="U8560" s="21">
        <v>-0.7</v>
      </c>
      <c r="V8560" s="21" t="s">
        <v>368</v>
      </c>
      <c r="W8560" t="str">
        <f>VLOOKUP(Table_Query_from_Actuarial___Production[[#This Row],[Kor1]],$AI$3:$AK$105,3,FALSE)</f>
        <v>Misc. Expense</v>
      </c>
      <c r="X8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0"/>
      <c r="Z8560" t="s">
        <v>27</v>
      </c>
      <c r="AA8560" t="s">
        <v>259</v>
      </c>
      <c r="AB8560" t="s">
        <v>427</v>
      </c>
      <c r="AC8560" s="21">
        <v>124.89</v>
      </c>
      <c r="AD8560" s="21" t="s">
        <v>368</v>
      </c>
      <c r="AE8560" t="str">
        <f>VLOOKUP(Table_Query_from_Actuarial___Production3[[#This Row],[Kor1]],$AI$3:$AK$105,3,FALSE)</f>
        <v>Misc. Expense</v>
      </c>
      <c r="AF8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1" spans="18:32" x14ac:dyDescent="0.2">
      <c r="R8561" t="s">
        <v>44</v>
      </c>
      <c r="S8561" t="s">
        <v>243</v>
      </c>
      <c r="T8561" t="s">
        <v>442</v>
      </c>
      <c r="U8561" s="21">
        <v>1022.4</v>
      </c>
      <c r="V8561" s="21" t="s">
        <v>368</v>
      </c>
      <c r="W8561" t="str">
        <f>VLOOKUP(Table_Query_from_Actuarial___Production[[#This Row],[Kor1]],$AI$3:$AK$105,3,FALSE)</f>
        <v>Charge-offs</v>
      </c>
      <c r="X8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1"/>
      <c r="Z8561" t="s">
        <v>10</v>
      </c>
      <c r="AA8561" t="s">
        <v>229</v>
      </c>
      <c r="AB8561" t="s">
        <v>442</v>
      </c>
      <c r="AC8561" s="21">
        <v>6941.45</v>
      </c>
      <c r="AD8561" s="21" t="s">
        <v>368</v>
      </c>
      <c r="AE8561" t="str">
        <f>VLOOKUP(Table_Query_from_Actuarial___Production3[[#This Row],[Kor1]],$AI$3:$AK$105,3,FALSE)</f>
        <v>Commissions</v>
      </c>
      <c r="AF8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2" spans="18:32" x14ac:dyDescent="0.2">
      <c r="R8562" t="s">
        <v>49</v>
      </c>
      <c r="S8562" t="s">
        <v>249</v>
      </c>
      <c r="T8562" t="s">
        <v>8</v>
      </c>
      <c r="U8562" s="21">
        <v>14173.21</v>
      </c>
      <c r="V8562" s="21" t="s">
        <v>368</v>
      </c>
      <c r="W8562" t="str">
        <f>VLOOKUP(Table_Query_from_Actuarial___Production[[#This Row],[Kor1]],$AI$3:$AK$105,3,FALSE)</f>
        <v>ALAE Paid</v>
      </c>
      <c r="X8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2"/>
      <c r="Z8562" t="s">
        <v>16</v>
      </c>
      <c r="AA8562" t="s">
        <v>254</v>
      </c>
      <c r="AB8562" t="s">
        <v>433</v>
      </c>
      <c r="AC8562" s="21">
        <v>8440373.3699999992</v>
      </c>
      <c r="AD8562" s="21" t="s">
        <v>368</v>
      </c>
      <c r="AE8562" t="str">
        <f>VLOOKUP(Table_Query_from_Actuarial___Production3[[#This Row],[Kor1]],$AI$3:$AK$105,3,FALSE)</f>
        <v>Losses Outstanding</v>
      </c>
      <c r="AF8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3" spans="18:32" x14ac:dyDescent="0.2">
      <c r="R8563" t="s">
        <v>19</v>
      </c>
      <c r="S8563" t="s">
        <v>247</v>
      </c>
      <c r="T8563" t="s">
        <v>6</v>
      </c>
      <c r="U8563" s="21">
        <v>1</v>
      </c>
      <c r="V8563" s="21" t="s">
        <v>368</v>
      </c>
      <c r="W8563" t="str">
        <f>VLOOKUP(Table_Query_from_Actuarial___Production[[#This Row],[Kor1]],$AI$3:$AK$105,3,FALSE)</f>
        <v>Misc. Expense for Insolvent Companies</v>
      </c>
      <c r="X8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3"/>
      <c r="Z8563" t="s">
        <v>47</v>
      </c>
      <c r="AA8563" t="s">
        <v>241</v>
      </c>
      <c r="AB8563" t="s">
        <v>7</v>
      </c>
      <c r="AC8563" s="21">
        <v>0.03</v>
      </c>
      <c r="AD8563" s="21" t="s">
        <v>368</v>
      </c>
      <c r="AE8563" t="str">
        <f>VLOOKUP(Table_Query_from_Actuarial___Production3[[#This Row],[Kor1]],$AI$3:$AK$105,3,FALSE)</f>
        <v>Investment Income</v>
      </c>
      <c r="AF8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4" spans="18:32" x14ac:dyDescent="0.2">
      <c r="R8564" t="s">
        <v>25</v>
      </c>
      <c r="S8564" t="s">
        <v>4</v>
      </c>
      <c r="T8564" t="s">
        <v>9</v>
      </c>
      <c r="U8564" s="21">
        <v>14594.44</v>
      </c>
      <c r="V8564" s="21" t="s">
        <v>368</v>
      </c>
      <c r="W8564" t="str">
        <f>VLOOKUP(Table_Query_from_Actuarial___Production[[#This Row],[Kor1]],$AI$3:$AK$105,3,FALSE)</f>
        <v>Misc. Expense</v>
      </c>
      <c r="X8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4"/>
      <c r="Z8564" t="s">
        <v>39</v>
      </c>
      <c r="AA8564" t="s">
        <v>4</v>
      </c>
      <c r="AB8564" t="s">
        <v>443</v>
      </c>
      <c r="AC8564" s="21">
        <v>79.87</v>
      </c>
      <c r="AD8564" s="21" t="s">
        <v>368</v>
      </c>
      <c r="AE8564" t="str">
        <f>VLOOKUP(Table_Query_from_Actuarial___Production3[[#This Row],[Kor1]],$AI$3:$AK$105,3,FALSE)</f>
        <v>Misc. Income for Insolvent Companies</v>
      </c>
      <c r="AF8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5" spans="18:32" x14ac:dyDescent="0.2">
      <c r="R8565" t="s">
        <v>33</v>
      </c>
      <c r="S8565" t="s">
        <v>248</v>
      </c>
      <c r="T8565" t="s">
        <v>441</v>
      </c>
      <c r="U8565" s="21">
        <v>15112.87</v>
      </c>
      <c r="V8565" s="21" t="s">
        <v>368</v>
      </c>
      <c r="W8565" t="str">
        <f>VLOOKUP(Table_Query_from_Actuarial___Production[[#This Row],[Kor1]],$AI$3:$AK$105,3,FALSE)</f>
        <v>Misc. Expense</v>
      </c>
      <c r="X8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5"/>
      <c r="Z8565" t="s">
        <v>11</v>
      </c>
      <c r="AA8565" t="s">
        <v>224</v>
      </c>
      <c r="AB8565" t="s">
        <v>427</v>
      </c>
      <c r="AC8565" s="21">
        <v>47783.35</v>
      </c>
      <c r="AD8565" s="21" t="s">
        <v>369</v>
      </c>
      <c r="AE8565" t="str">
        <f>VLOOKUP(Table_Query_from_Actuarial___Production3[[#This Row],[Kor1]],$AI$3:$AK$105,3,FALSE)</f>
        <v>Losses Paid</v>
      </c>
      <c r="AF8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566" spans="18:32" x14ac:dyDescent="0.2">
      <c r="R8566" t="s">
        <v>3</v>
      </c>
      <c r="S8566" t="s">
        <v>354</v>
      </c>
      <c r="T8566" t="s">
        <v>9</v>
      </c>
      <c r="U8566" s="21">
        <v>875482482.16999996</v>
      </c>
      <c r="V8566" s="21" t="s">
        <v>369</v>
      </c>
      <c r="W8566" t="str">
        <f>VLOOKUP(Table_Query_from_Actuarial___Production[[#This Row],[Kor1]],$AI$3:$AK$105,3,FALSE)</f>
        <v>Premiums Written</v>
      </c>
      <c r="X8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566"/>
      <c r="Z8566" t="s">
        <v>11</v>
      </c>
      <c r="AA8566" t="s">
        <v>251</v>
      </c>
      <c r="AB8566" t="s">
        <v>442</v>
      </c>
      <c r="AC8566" s="21">
        <v>15512.01</v>
      </c>
      <c r="AD8566" s="21" t="s">
        <v>368</v>
      </c>
      <c r="AE8566" t="str">
        <f>VLOOKUP(Table_Query_from_Actuarial___Production3[[#This Row],[Kor1]],$AI$3:$AK$105,3,FALSE)</f>
        <v>Losses Paid</v>
      </c>
      <c r="AF8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7" spans="18:32" x14ac:dyDescent="0.2">
      <c r="R8567" t="s">
        <v>38</v>
      </c>
      <c r="S8567" t="s">
        <v>226</v>
      </c>
      <c r="T8567" t="s">
        <v>7</v>
      </c>
      <c r="U8567" s="21">
        <v>1646.78</v>
      </c>
      <c r="V8567" s="21" t="s">
        <v>368</v>
      </c>
      <c r="W8567" t="str">
        <f>VLOOKUP(Table_Query_from_Actuarial___Production[[#This Row],[Kor1]],$AI$3:$AK$105,3,FALSE)</f>
        <v>Misc. Income</v>
      </c>
      <c r="X8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567"/>
      <c r="Z8567" t="s">
        <v>50</v>
      </c>
      <c r="AA8567" t="s">
        <v>228</v>
      </c>
      <c r="AB8567" t="s">
        <v>442</v>
      </c>
      <c r="AC8567" s="21">
        <v>338.92</v>
      </c>
      <c r="AD8567" s="21" t="s">
        <v>368</v>
      </c>
      <c r="AE8567" t="str">
        <f>VLOOKUP(Table_Query_from_Actuarial___Production3[[#This Row],[Kor1]],$AI$3:$AK$105,3,FALSE)</f>
        <v>ALAE Reserve</v>
      </c>
      <c r="AF8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8" spans="18:32" x14ac:dyDescent="0.2">
      <c r="R8568" t="s">
        <v>31</v>
      </c>
      <c r="S8568" t="s">
        <v>257</v>
      </c>
      <c r="T8568" t="s">
        <v>356</v>
      </c>
      <c r="U8568" s="21">
        <v>325.36</v>
      </c>
      <c r="V8568" s="21" t="s">
        <v>368</v>
      </c>
      <c r="W8568" t="str">
        <f>VLOOKUP(Table_Query_from_Actuarial___Production[[#This Row],[Kor1]],$AI$3:$AK$105,3,FALSE)</f>
        <v>Misc. Expense</v>
      </c>
      <c r="X8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8"/>
      <c r="Z8568" t="s">
        <v>39</v>
      </c>
      <c r="AA8568" t="s">
        <v>253</v>
      </c>
      <c r="AB8568" t="s">
        <v>9</v>
      </c>
      <c r="AC8568" s="21">
        <v>4</v>
      </c>
      <c r="AD8568" s="21" t="s">
        <v>368</v>
      </c>
      <c r="AE8568" t="str">
        <f>VLOOKUP(Table_Query_from_Actuarial___Production3[[#This Row],[Kor1]],$AI$3:$AK$105,3,FALSE)</f>
        <v>Misc. Income for Insolvent Companies</v>
      </c>
      <c r="AF8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69" spans="18:32" x14ac:dyDescent="0.2">
      <c r="R8569" t="s">
        <v>41</v>
      </c>
      <c r="S8569" t="s">
        <v>243</v>
      </c>
      <c r="T8569" t="s">
        <v>443</v>
      </c>
      <c r="U8569" s="21">
        <v>420.32</v>
      </c>
      <c r="V8569" s="21" t="s">
        <v>368</v>
      </c>
      <c r="W8569" t="str">
        <f>VLOOKUP(Table_Query_from_Actuarial___Production[[#This Row],[Kor1]],$AI$3:$AK$105,3,FALSE)</f>
        <v>Misc. Income</v>
      </c>
      <c r="X8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69"/>
      <c r="Z8569" t="s">
        <v>11</v>
      </c>
      <c r="AA8569" t="s">
        <v>225</v>
      </c>
      <c r="AB8569" t="s">
        <v>427</v>
      </c>
      <c r="AC8569" s="21">
        <v>3166139.65</v>
      </c>
      <c r="AD8569" s="21" t="s">
        <v>368</v>
      </c>
      <c r="AE8569" t="str">
        <f>VLOOKUP(Table_Query_from_Actuarial___Production3[[#This Row],[Kor1]],$AI$3:$AK$105,3,FALSE)</f>
        <v>Losses Paid</v>
      </c>
      <c r="AF8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570" spans="18:32" x14ac:dyDescent="0.2">
      <c r="R8570" t="s">
        <v>38</v>
      </c>
      <c r="S8570" t="s">
        <v>224</v>
      </c>
      <c r="T8570" t="s">
        <v>445</v>
      </c>
      <c r="U8570" s="21">
        <v>3120.77</v>
      </c>
      <c r="V8570" s="21" t="s">
        <v>425</v>
      </c>
      <c r="W8570" t="str">
        <f>VLOOKUP(Table_Query_from_Actuarial___Production[[#This Row],[Kor1]],$AI$3:$AK$105,3,FALSE)</f>
        <v>Misc. Income</v>
      </c>
      <c r="X8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570"/>
      <c r="Z8570" t="s">
        <v>37</v>
      </c>
      <c r="AA8570" t="s">
        <v>228</v>
      </c>
      <c r="AB8570" t="s">
        <v>442</v>
      </c>
      <c r="AC8570" s="21">
        <v>4.32</v>
      </c>
      <c r="AD8570" s="21" t="s">
        <v>368</v>
      </c>
      <c r="AE8570" t="str">
        <f>VLOOKUP(Table_Query_from_Actuarial___Production3[[#This Row],[Kor1]],$AI$3:$AK$105,3,FALSE)</f>
        <v>Misc. Expense</v>
      </c>
      <c r="AF8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1" spans="18:32" x14ac:dyDescent="0.2">
      <c r="R8571" t="s">
        <v>44</v>
      </c>
      <c r="S8571" t="s">
        <v>224</v>
      </c>
      <c r="T8571" t="s">
        <v>427</v>
      </c>
      <c r="U8571" s="21">
        <v>8208.16</v>
      </c>
      <c r="V8571" s="21" t="s">
        <v>368</v>
      </c>
      <c r="W8571" t="str">
        <f>VLOOKUP(Table_Query_from_Actuarial___Production[[#This Row],[Kor1]],$AI$3:$AK$105,3,FALSE)</f>
        <v>Charge-offs</v>
      </c>
      <c r="X8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571"/>
      <c r="Z8571" t="s">
        <v>38</v>
      </c>
      <c r="AA8571" t="s">
        <v>225</v>
      </c>
      <c r="AB8571" t="s">
        <v>7</v>
      </c>
      <c r="AC8571" s="21">
        <v>1037545.2</v>
      </c>
      <c r="AD8571" s="21" t="s">
        <v>368</v>
      </c>
      <c r="AE8571" t="str">
        <f>VLOOKUP(Table_Query_from_Actuarial___Production3[[#This Row],[Kor1]],$AI$3:$AK$105,3,FALSE)</f>
        <v>Misc. Income</v>
      </c>
      <c r="AF8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572" spans="18:32" x14ac:dyDescent="0.2">
      <c r="R8572" t="s">
        <v>49</v>
      </c>
      <c r="S8572" t="s">
        <v>261</v>
      </c>
      <c r="T8572" t="s">
        <v>427</v>
      </c>
      <c r="U8572" s="21">
        <v>20</v>
      </c>
      <c r="V8572" s="21" t="s">
        <v>368</v>
      </c>
      <c r="W8572" t="str">
        <f>VLOOKUP(Table_Query_from_Actuarial___Production[[#This Row],[Kor1]],$AI$3:$AK$105,3,FALSE)</f>
        <v>ALAE Paid</v>
      </c>
      <c r="X8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2"/>
      <c r="Z8572" t="s">
        <v>31</v>
      </c>
      <c r="AA8572" t="s">
        <v>258</v>
      </c>
      <c r="AB8572" t="s">
        <v>442</v>
      </c>
      <c r="AC8572" s="21">
        <v>1128.76</v>
      </c>
      <c r="AD8572" s="21" t="s">
        <v>368</v>
      </c>
      <c r="AE8572" t="str">
        <f>VLOOKUP(Table_Query_from_Actuarial___Production3[[#This Row],[Kor1]],$AI$3:$AK$105,3,FALSE)</f>
        <v>Misc. Expense</v>
      </c>
      <c r="AF8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3" spans="18:32" x14ac:dyDescent="0.2">
      <c r="R8573" t="s">
        <v>13</v>
      </c>
      <c r="S8573" t="s">
        <v>241</v>
      </c>
      <c r="T8573" t="s">
        <v>443</v>
      </c>
      <c r="U8573" s="21">
        <v>68996.08</v>
      </c>
      <c r="V8573" s="21" t="s">
        <v>368</v>
      </c>
      <c r="W8573" t="str">
        <f>VLOOKUP(Table_Query_from_Actuarial___Production[[#This Row],[Kor1]],$AI$3:$AK$105,3,FALSE)</f>
        <v>Operating Service Fees</v>
      </c>
      <c r="X8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3"/>
      <c r="Z8573" t="s">
        <v>20</v>
      </c>
      <c r="AA8573" t="s">
        <v>4</v>
      </c>
      <c r="AB8573" t="s">
        <v>5</v>
      </c>
      <c r="AC8573" s="21">
        <v>3992.34</v>
      </c>
      <c r="AD8573" s="21" t="s">
        <v>368</v>
      </c>
      <c r="AE8573" t="str">
        <f>VLOOKUP(Table_Query_from_Actuarial___Production3[[#This Row],[Kor1]],$AI$3:$AK$105,3,FALSE)</f>
        <v>Misc. Expense</v>
      </c>
      <c r="AF8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4" spans="18:32" x14ac:dyDescent="0.2">
      <c r="R8574" t="s">
        <v>48</v>
      </c>
      <c r="S8574" t="s">
        <v>250</v>
      </c>
      <c r="T8574" t="s">
        <v>443</v>
      </c>
      <c r="U8574" s="21">
        <v>4606.3900000000003</v>
      </c>
      <c r="V8574" s="21" t="s">
        <v>368</v>
      </c>
      <c r="W8574" t="str">
        <f>VLOOKUP(Table_Query_from_Actuarial___Production[[#This Row],[Kor1]],$AI$3:$AK$105,3,FALSE)</f>
        <v>Anticipated Salvage</v>
      </c>
      <c r="X8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4"/>
      <c r="Z8574" t="s">
        <v>19</v>
      </c>
      <c r="AA8574" t="s">
        <v>257</v>
      </c>
      <c r="AB8574" t="s">
        <v>6</v>
      </c>
      <c r="AC8574" s="21">
        <v>1</v>
      </c>
      <c r="AD8574" s="21" t="s">
        <v>368</v>
      </c>
      <c r="AE8574" t="str">
        <f>VLOOKUP(Table_Query_from_Actuarial___Production3[[#This Row],[Kor1]],$AI$3:$AK$105,3,FALSE)</f>
        <v>Misc. Expense for Insolvent Companies</v>
      </c>
      <c r="AF8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5" spans="18:32" x14ac:dyDescent="0.2">
      <c r="R8575" t="s">
        <v>49</v>
      </c>
      <c r="S8575" t="s">
        <v>246</v>
      </c>
      <c r="T8575" t="s">
        <v>442</v>
      </c>
      <c r="U8575" s="21">
        <v>12392</v>
      </c>
      <c r="V8575" s="21" t="s">
        <v>368</v>
      </c>
      <c r="W8575" t="str">
        <f>VLOOKUP(Table_Query_from_Actuarial___Production[[#This Row],[Kor1]],$AI$3:$AK$105,3,FALSE)</f>
        <v>ALAE Paid</v>
      </c>
      <c r="X8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5"/>
      <c r="Z8575" t="s">
        <v>33</v>
      </c>
      <c r="AA8575" t="s">
        <v>254</v>
      </c>
      <c r="AB8575" t="s">
        <v>5</v>
      </c>
      <c r="AC8575" s="21">
        <v>18841.900000000001</v>
      </c>
      <c r="AD8575" s="21" t="s">
        <v>368</v>
      </c>
      <c r="AE8575" t="str">
        <f>VLOOKUP(Table_Query_from_Actuarial___Production3[[#This Row],[Kor1]],$AI$3:$AK$105,3,FALSE)</f>
        <v>Misc. Expense</v>
      </c>
      <c r="AF8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6" spans="18:32" x14ac:dyDescent="0.2">
      <c r="R8576" t="s">
        <v>13</v>
      </c>
      <c r="S8576" t="s">
        <v>256</v>
      </c>
      <c r="T8576" t="s">
        <v>445</v>
      </c>
      <c r="U8576" s="21">
        <v>6185.35</v>
      </c>
      <c r="V8576" s="21" t="s">
        <v>368</v>
      </c>
      <c r="W8576" t="str">
        <f>VLOOKUP(Table_Query_from_Actuarial___Production[[#This Row],[Kor1]],$AI$3:$AK$105,3,FALSE)</f>
        <v>Operating Service Fees</v>
      </c>
      <c r="X8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76"/>
      <c r="Z8576" t="s">
        <v>12</v>
      </c>
      <c r="AA8576" t="s">
        <v>260</v>
      </c>
      <c r="AB8576" t="s">
        <v>433</v>
      </c>
      <c r="AC8576" s="21">
        <v>279.08999999999997</v>
      </c>
      <c r="AD8576" s="21" t="s">
        <v>368</v>
      </c>
      <c r="AE8576" t="str">
        <f>VLOOKUP(Table_Query_from_Actuarial___Production3[[#This Row],[Kor1]],$AI$3:$AK$105,3,FALSE)</f>
        <v>Premium Tax</v>
      </c>
      <c r="AF8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7" spans="18:32" x14ac:dyDescent="0.2">
      <c r="R8577" t="s">
        <v>38</v>
      </c>
      <c r="S8577" t="s">
        <v>224</v>
      </c>
      <c r="T8577" t="s">
        <v>6</v>
      </c>
      <c r="U8577" s="21">
        <v>14162.14</v>
      </c>
      <c r="V8577" s="21" t="s">
        <v>425</v>
      </c>
      <c r="W8577" t="str">
        <f>VLOOKUP(Table_Query_from_Actuarial___Production[[#This Row],[Kor1]],$AI$3:$AK$105,3,FALSE)</f>
        <v>Misc. Income</v>
      </c>
      <c r="X8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577"/>
      <c r="Z8577" t="s">
        <v>50</v>
      </c>
      <c r="AA8577" t="s">
        <v>236</v>
      </c>
      <c r="AB8577" t="s">
        <v>351</v>
      </c>
      <c r="AC8577" s="21">
        <v>10792.55</v>
      </c>
      <c r="AD8577" s="21" t="s">
        <v>368</v>
      </c>
      <c r="AE8577" t="str">
        <f>VLOOKUP(Table_Query_from_Actuarial___Production3[[#This Row],[Kor1]],$AI$3:$AK$105,3,FALSE)</f>
        <v>ALAE Reserve</v>
      </c>
      <c r="AF8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8" spans="18:32" x14ac:dyDescent="0.2">
      <c r="R8578" t="s">
        <v>13</v>
      </c>
      <c r="S8578" t="s">
        <v>354</v>
      </c>
      <c r="T8578" t="s">
        <v>427</v>
      </c>
      <c r="U8578" s="21">
        <v>235866444.66999999</v>
      </c>
      <c r="V8578" s="21" t="s">
        <v>369</v>
      </c>
      <c r="W8578" t="str">
        <f>VLOOKUP(Table_Query_from_Actuarial___Production[[#This Row],[Kor1]],$AI$3:$AK$105,3,FALSE)</f>
        <v>Operating Service Fees</v>
      </c>
      <c r="X8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578"/>
      <c r="Z8578" t="s">
        <v>37</v>
      </c>
      <c r="AA8578" t="s">
        <v>236</v>
      </c>
      <c r="AB8578" t="s">
        <v>351</v>
      </c>
      <c r="AC8578" s="21">
        <v>-0.7</v>
      </c>
      <c r="AD8578" s="21" t="s">
        <v>368</v>
      </c>
      <c r="AE8578" t="str">
        <f>VLOOKUP(Table_Query_from_Actuarial___Production3[[#This Row],[Kor1]],$AI$3:$AK$105,3,FALSE)</f>
        <v>Misc. Expense</v>
      </c>
      <c r="AF8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79" spans="18:32" x14ac:dyDescent="0.2">
      <c r="R8579" t="s">
        <v>46</v>
      </c>
      <c r="S8579" t="s">
        <v>352</v>
      </c>
      <c r="T8579" t="s">
        <v>433</v>
      </c>
      <c r="U8579" s="21">
        <v>1419.16</v>
      </c>
      <c r="V8579" s="21" t="s">
        <v>369</v>
      </c>
      <c r="W8579" t="str">
        <f>VLOOKUP(Table_Query_from_Actuarial___Production[[#This Row],[Kor1]],$AI$3:$AK$105,3,FALSE)</f>
        <v>Investment Income</v>
      </c>
      <c r="X8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8579"/>
      <c r="Z8579" t="s">
        <v>44</v>
      </c>
      <c r="AA8579" t="s">
        <v>243</v>
      </c>
      <c r="AB8579" t="s">
        <v>442</v>
      </c>
      <c r="AC8579" s="21">
        <v>1022.4</v>
      </c>
      <c r="AD8579" s="21" t="s">
        <v>368</v>
      </c>
      <c r="AE8579" t="str">
        <f>VLOOKUP(Table_Query_from_Actuarial___Production3[[#This Row],[Kor1]],$AI$3:$AK$105,3,FALSE)</f>
        <v>Charge-offs</v>
      </c>
      <c r="AF8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0" spans="18:32" x14ac:dyDescent="0.2">
      <c r="R8580" t="s">
        <v>33</v>
      </c>
      <c r="S8580" t="s">
        <v>232</v>
      </c>
      <c r="T8580" t="s">
        <v>441</v>
      </c>
      <c r="U8580" s="21">
        <v>14765.62</v>
      </c>
      <c r="V8580" s="21" t="s">
        <v>368</v>
      </c>
      <c r="W8580" t="str">
        <f>VLOOKUP(Table_Query_from_Actuarial___Production[[#This Row],[Kor1]],$AI$3:$AK$105,3,FALSE)</f>
        <v>Misc. Expense</v>
      </c>
      <c r="X8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0"/>
      <c r="Z8580" t="s">
        <v>49</v>
      </c>
      <c r="AA8580" t="s">
        <v>249</v>
      </c>
      <c r="AB8580" t="s">
        <v>8</v>
      </c>
      <c r="AC8580" s="21">
        <v>14173.21</v>
      </c>
      <c r="AD8580" s="21" t="s">
        <v>368</v>
      </c>
      <c r="AE8580" t="str">
        <f>VLOOKUP(Table_Query_from_Actuarial___Production3[[#This Row],[Kor1]],$AI$3:$AK$105,3,FALSE)</f>
        <v>ALAE Paid</v>
      </c>
      <c r="AF8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1" spans="18:32" x14ac:dyDescent="0.2">
      <c r="R8581" t="s">
        <v>33</v>
      </c>
      <c r="S8581" t="s">
        <v>4</v>
      </c>
      <c r="T8581" t="s">
        <v>443</v>
      </c>
      <c r="U8581" s="21">
        <v>51750.29</v>
      </c>
      <c r="V8581" s="21" t="s">
        <v>368</v>
      </c>
      <c r="W8581" t="str">
        <f>VLOOKUP(Table_Query_from_Actuarial___Production[[#This Row],[Kor1]],$AI$3:$AK$105,3,FALSE)</f>
        <v>Misc. Expense</v>
      </c>
      <c r="X8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1"/>
      <c r="Z8581" t="s">
        <v>19</v>
      </c>
      <c r="AA8581" t="s">
        <v>247</v>
      </c>
      <c r="AB8581" t="s">
        <v>6</v>
      </c>
      <c r="AC8581" s="21">
        <v>1</v>
      </c>
      <c r="AD8581" s="21" t="s">
        <v>368</v>
      </c>
      <c r="AE8581" t="str">
        <f>VLOOKUP(Table_Query_from_Actuarial___Production3[[#This Row],[Kor1]],$AI$3:$AK$105,3,FALSE)</f>
        <v>Misc. Expense for Insolvent Companies</v>
      </c>
      <c r="AF8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2" spans="18:32" x14ac:dyDescent="0.2">
      <c r="R8582" t="s">
        <v>44</v>
      </c>
      <c r="S8582" t="s">
        <v>258</v>
      </c>
      <c r="T8582" t="s">
        <v>356</v>
      </c>
      <c r="U8582" s="21">
        <v>17968.27</v>
      </c>
      <c r="V8582" s="21" t="s">
        <v>368</v>
      </c>
      <c r="W8582" t="str">
        <f>VLOOKUP(Table_Query_from_Actuarial___Production[[#This Row],[Kor1]],$AI$3:$AK$105,3,FALSE)</f>
        <v>Charge-offs</v>
      </c>
      <c r="X8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2"/>
      <c r="Z8582" t="s">
        <v>25</v>
      </c>
      <c r="AA8582" t="s">
        <v>4</v>
      </c>
      <c r="AB8582" t="s">
        <v>9</v>
      </c>
      <c r="AC8582" s="21">
        <v>14594.44</v>
      </c>
      <c r="AD8582" s="21" t="s">
        <v>368</v>
      </c>
      <c r="AE8582" t="str">
        <f>VLOOKUP(Table_Query_from_Actuarial___Production3[[#This Row],[Kor1]],$AI$3:$AK$105,3,FALSE)</f>
        <v>Misc. Expense</v>
      </c>
      <c r="AF8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3" spans="18:32" x14ac:dyDescent="0.2">
      <c r="R8583" t="s">
        <v>18</v>
      </c>
      <c r="S8583" t="s">
        <v>224</v>
      </c>
      <c r="T8583" t="s">
        <v>442</v>
      </c>
      <c r="U8583" s="21">
        <v>3810.54</v>
      </c>
      <c r="V8583" s="21" t="s">
        <v>369</v>
      </c>
      <c r="W8583" t="str">
        <f>VLOOKUP(Table_Query_from_Actuarial___Production[[#This Row],[Kor1]],$AI$3:$AK$105,3,FALSE)</f>
        <v>Misc. Expense</v>
      </c>
      <c r="X8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583"/>
      <c r="Z8583" t="s">
        <v>33</v>
      </c>
      <c r="AA8583" t="s">
        <v>248</v>
      </c>
      <c r="AB8583" t="s">
        <v>441</v>
      </c>
      <c r="AC8583" s="21">
        <v>15112.87</v>
      </c>
      <c r="AD8583" s="21" t="s">
        <v>368</v>
      </c>
      <c r="AE8583" t="str">
        <f>VLOOKUP(Table_Query_from_Actuarial___Production3[[#This Row],[Kor1]],$AI$3:$AK$105,3,FALSE)</f>
        <v>Misc. Expense</v>
      </c>
      <c r="AF8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4" spans="18:32" x14ac:dyDescent="0.2">
      <c r="R8584" t="s">
        <v>12</v>
      </c>
      <c r="S8584" t="s">
        <v>237</v>
      </c>
      <c r="T8584" t="s">
        <v>427</v>
      </c>
      <c r="U8584" s="21">
        <v>946605.88</v>
      </c>
      <c r="V8584" s="21" t="s">
        <v>368</v>
      </c>
      <c r="W8584" t="str">
        <f>VLOOKUP(Table_Query_from_Actuarial___Production[[#This Row],[Kor1]],$AI$3:$AK$105,3,FALSE)</f>
        <v>Premium Tax</v>
      </c>
      <c r="X8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4"/>
      <c r="Z8584" t="s">
        <v>3</v>
      </c>
      <c r="AA8584" t="s">
        <v>354</v>
      </c>
      <c r="AB8584" t="s">
        <v>9</v>
      </c>
      <c r="AC8584" s="21">
        <v>875482648.50999999</v>
      </c>
      <c r="AD8584" s="21" t="s">
        <v>369</v>
      </c>
      <c r="AE8584" t="str">
        <f>VLOOKUP(Table_Query_from_Actuarial___Production3[[#This Row],[Kor1]],$AI$3:$AK$105,3,FALSE)</f>
        <v>Premiums Written</v>
      </c>
      <c r="AF8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585" spans="18:32" x14ac:dyDescent="0.2">
      <c r="R8585" t="s">
        <v>19</v>
      </c>
      <c r="S8585" t="s">
        <v>232</v>
      </c>
      <c r="T8585" t="s">
        <v>8</v>
      </c>
      <c r="U8585" s="21">
        <v>310</v>
      </c>
      <c r="V8585" s="21" t="s">
        <v>368</v>
      </c>
      <c r="W8585" t="str">
        <f>VLOOKUP(Table_Query_from_Actuarial___Production[[#This Row],[Kor1]],$AI$3:$AK$105,3,FALSE)</f>
        <v>Misc. Expense for Insolvent Companies</v>
      </c>
      <c r="X8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5"/>
      <c r="Z8585" t="s">
        <v>38</v>
      </c>
      <c r="AA8585" t="s">
        <v>226</v>
      </c>
      <c r="AB8585" t="s">
        <v>7</v>
      </c>
      <c r="AC8585" s="21">
        <v>1646.78</v>
      </c>
      <c r="AD8585" s="21" t="s">
        <v>368</v>
      </c>
      <c r="AE8585" t="str">
        <f>VLOOKUP(Table_Query_from_Actuarial___Production3[[#This Row],[Kor1]],$AI$3:$AK$105,3,FALSE)</f>
        <v>Misc. Income</v>
      </c>
      <c r="AF8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586" spans="18:32" x14ac:dyDescent="0.2">
      <c r="R8586" t="s">
        <v>44</v>
      </c>
      <c r="S8586" t="s">
        <v>242</v>
      </c>
      <c r="T8586" t="s">
        <v>356</v>
      </c>
      <c r="U8586" s="21">
        <v>93.77</v>
      </c>
      <c r="V8586" s="21" t="s">
        <v>368</v>
      </c>
      <c r="W8586" t="str">
        <f>VLOOKUP(Table_Query_from_Actuarial___Production[[#This Row],[Kor1]],$AI$3:$AK$105,3,FALSE)</f>
        <v>Charge-offs</v>
      </c>
      <c r="X8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6"/>
      <c r="Z8586" t="s">
        <v>31</v>
      </c>
      <c r="AA8586" t="s">
        <v>257</v>
      </c>
      <c r="AB8586" t="s">
        <v>356</v>
      </c>
      <c r="AC8586" s="21">
        <v>325.36</v>
      </c>
      <c r="AD8586" s="21" t="s">
        <v>368</v>
      </c>
      <c r="AE8586" t="str">
        <f>VLOOKUP(Table_Query_from_Actuarial___Production3[[#This Row],[Kor1]],$AI$3:$AK$105,3,FALSE)</f>
        <v>Misc. Expense</v>
      </c>
      <c r="AF8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7" spans="18:32" x14ac:dyDescent="0.2">
      <c r="R8587" t="s">
        <v>20</v>
      </c>
      <c r="S8587" t="s">
        <v>263</v>
      </c>
      <c r="T8587" t="s">
        <v>6</v>
      </c>
      <c r="U8587" s="21">
        <v>161.34</v>
      </c>
      <c r="V8587" s="21" t="s">
        <v>368</v>
      </c>
      <c r="W8587" t="str">
        <f>VLOOKUP(Table_Query_from_Actuarial___Production[[#This Row],[Kor1]],$AI$3:$AK$105,3,FALSE)</f>
        <v>Misc. Expense</v>
      </c>
      <c r="X8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7"/>
      <c r="Z8587" t="s">
        <v>41</v>
      </c>
      <c r="AA8587" t="s">
        <v>243</v>
      </c>
      <c r="AB8587" t="s">
        <v>443</v>
      </c>
      <c r="AC8587" s="21">
        <v>150</v>
      </c>
      <c r="AD8587" s="21" t="s">
        <v>368</v>
      </c>
      <c r="AE8587" t="str">
        <f>VLOOKUP(Table_Query_from_Actuarial___Production3[[#This Row],[Kor1]],$AI$3:$AK$105,3,FALSE)</f>
        <v>Misc. Income</v>
      </c>
      <c r="AF8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88" spans="18:32" x14ac:dyDescent="0.2">
      <c r="R8588" t="s">
        <v>31</v>
      </c>
      <c r="S8588" t="s">
        <v>238</v>
      </c>
      <c r="T8588" t="s">
        <v>445</v>
      </c>
      <c r="U8588" s="21">
        <v>1367</v>
      </c>
      <c r="V8588" s="21" t="s">
        <v>368</v>
      </c>
      <c r="W8588" t="str">
        <f>VLOOKUP(Table_Query_from_Actuarial___Production[[#This Row],[Kor1]],$AI$3:$AK$105,3,FALSE)</f>
        <v>Misc. Expense</v>
      </c>
      <c r="X8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8"/>
      <c r="Z8588" t="s">
        <v>44</v>
      </c>
      <c r="AA8588" t="s">
        <v>224</v>
      </c>
      <c r="AB8588" t="s">
        <v>427</v>
      </c>
      <c r="AC8588" s="21">
        <v>8208.16</v>
      </c>
      <c r="AD8588" s="21" t="s">
        <v>368</v>
      </c>
      <c r="AE8588" t="str">
        <f>VLOOKUP(Table_Query_from_Actuarial___Production3[[#This Row],[Kor1]],$AI$3:$AK$105,3,FALSE)</f>
        <v>Charge-offs</v>
      </c>
      <c r="AF8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589" spans="18:32" x14ac:dyDescent="0.2">
      <c r="R8589" t="s">
        <v>14</v>
      </c>
      <c r="S8589" t="s">
        <v>241</v>
      </c>
      <c r="T8589" t="s">
        <v>7</v>
      </c>
      <c r="U8589" s="21">
        <v>53169.18</v>
      </c>
      <c r="V8589" s="21" t="s">
        <v>368</v>
      </c>
      <c r="W8589" t="str">
        <f>VLOOKUP(Table_Query_from_Actuarial___Production[[#This Row],[Kor1]],$AI$3:$AK$105,3,FALSE)</f>
        <v>Claims Expense</v>
      </c>
      <c r="X8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89"/>
      <c r="Z8589" t="s">
        <v>49</v>
      </c>
      <c r="AA8589" t="s">
        <v>261</v>
      </c>
      <c r="AB8589" t="s">
        <v>427</v>
      </c>
      <c r="AC8589" s="21">
        <v>20</v>
      </c>
      <c r="AD8589" s="21" t="s">
        <v>368</v>
      </c>
      <c r="AE8589" t="str">
        <f>VLOOKUP(Table_Query_from_Actuarial___Production3[[#This Row],[Kor1]],$AI$3:$AK$105,3,FALSE)</f>
        <v>ALAE Paid</v>
      </c>
      <c r="AF8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0" spans="18:32" x14ac:dyDescent="0.2">
      <c r="R8590" t="s">
        <v>10</v>
      </c>
      <c r="S8590" t="s">
        <v>267</v>
      </c>
      <c r="T8590" t="s">
        <v>441</v>
      </c>
      <c r="U8590" s="21">
        <v>18485.900000000001</v>
      </c>
      <c r="V8590" s="21" t="s">
        <v>368</v>
      </c>
      <c r="W8590" t="str">
        <f>VLOOKUP(Table_Query_from_Actuarial___Production[[#This Row],[Kor1]],$AI$3:$AK$105,3,FALSE)</f>
        <v>Commissions</v>
      </c>
      <c r="X8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0"/>
      <c r="Z8590" t="s">
        <v>13</v>
      </c>
      <c r="AA8590" t="s">
        <v>241</v>
      </c>
      <c r="AB8590" t="s">
        <v>443</v>
      </c>
      <c r="AC8590" s="21">
        <v>22202.38</v>
      </c>
      <c r="AD8590" s="21" t="s">
        <v>368</v>
      </c>
      <c r="AE8590" t="str">
        <f>VLOOKUP(Table_Query_from_Actuarial___Production3[[#This Row],[Kor1]],$AI$3:$AK$105,3,FALSE)</f>
        <v>Operating Service Fees</v>
      </c>
      <c r="AF8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1" spans="18:32" x14ac:dyDescent="0.2">
      <c r="R8591" t="s">
        <v>16</v>
      </c>
      <c r="S8591" t="s">
        <v>230</v>
      </c>
      <c r="T8591" t="s">
        <v>443</v>
      </c>
      <c r="U8591" s="21">
        <v>4077256.75</v>
      </c>
      <c r="V8591" s="21" t="s">
        <v>368</v>
      </c>
      <c r="W8591" t="str">
        <f>VLOOKUP(Table_Query_from_Actuarial___Production[[#This Row],[Kor1]],$AI$3:$AK$105,3,FALSE)</f>
        <v>Losses Outstanding</v>
      </c>
      <c r="X8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1"/>
      <c r="Z8591" t="s">
        <v>48</v>
      </c>
      <c r="AA8591" t="s">
        <v>250</v>
      </c>
      <c r="AB8591" t="s">
        <v>443</v>
      </c>
      <c r="AC8591" s="21">
        <v>1461.4</v>
      </c>
      <c r="AD8591" s="21" t="s">
        <v>368</v>
      </c>
      <c r="AE8591" t="str">
        <f>VLOOKUP(Table_Query_from_Actuarial___Production3[[#This Row],[Kor1]],$AI$3:$AK$105,3,FALSE)</f>
        <v>Anticipated Salvage</v>
      </c>
      <c r="AF8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2" spans="18:32" x14ac:dyDescent="0.2">
      <c r="R8592" t="s">
        <v>33</v>
      </c>
      <c r="S8592" t="s">
        <v>254</v>
      </c>
      <c r="T8592" t="s">
        <v>441</v>
      </c>
      <c r="U8592" s="21">
        <v>14762.91</v>
      </c>
      <c r="V8592" s="21" t="s">
        <v>368</v>
      </c>
      <c r="W8592" t="str">
        <f>VLOOKUP(Table_Query_from_Actuarial___Production[[#This Row],[Kor1]],$AI$3:$AK$105,3,FALSE)</f>
        <v>Misc. Expense</v>
      </c>
      <c r="X8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2"/>
      <c r="Z8592" t="s">
        <v>49</v>
      </c>
      <c r="AA8592" t="s">
        <v>246</v>
      </c>
      <c r="AB8592" t="s">
        <v>442</v>
      </c>
      <c r="AC8592" s="21">
        <v>2355</v>
      </c>
      <c r="AD8592" s="21" t="s">
        <v>368</v>
      </c>
      <c r="AE8592" t="str">
        <f>VLOOKUP(Table_Query_from_Actuarial___Production3[[#This Row],[Kor1]],$AI$3:$AK$105,3,FALSE)</f>
        <v>ALAE Paid</v>
      </c>
      <c r="AF8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3" spans="18:32" x14ac:dyDescent="0.2">
      <c r="R8593" t="s">
        <v>48</v>
      </c>
      <c r="S8593" t="s">
        <v>253</v>
      </c>
      <c r="T8593" t="s">
        <v>433</v>
      </c>
      <c r="U8593" s="21">
        <v>8.0399999999999991</v>
      </c>
      <c r="V8593" s="21" t="s">
        <v>368</v>
      </c>
      <c r="W8593" t="str">
        <f>VLOOKUP(Table_Query_from_Actuarial___Production[[#This Row],[Kor1]],$AI$3:$AK$105,3,FALSE)</f>
        <v>Anticipated Salvage</v>
      </c>
      <c r="X8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3"/>
      <c r="Z8593" t="s">
        <v>38</v>
      </c>
      <c r="AA8593" t="s">
        <v>224</v>
      </c>
      <c r="AB8593" t="s">
        <v>6</v>
      </c>
      <c r="AC8593" s="21">
        <v>14162.14</v>
      </c>
      <c r="AD8593" s="21" t="s">
        <v>425</v>
      </c>
      <c r="AE8593" t="str">
        <f>VLOOKUP(Table_Query_from_Actuarial___Production3[[#This Row],[Kor1]],$AI$3:$AK$105,3,FALSE)</f>
        <v>Misc. Income</v>
      </c>
      <c r="AF8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594" spans="18:32" x14ac:dyDescent="0.2">
      <c r="R8594" t="s">
        <v>39</v>
      </c>
      <c r="S8594" t="s">
        <v>230</v>
      </c>
      <c r="T8594" t="s">
        <v>445</v>
      </c>
      <c r="U8594" s="21">
        <v>8439.69</v>
      </c>
      <c r="V8594" s="21" t="s">
        <v>368</v>
      </c>
      <c r="W8594" t="str">
        <f>VLOOKUP(Table_Query_from_Actuarial___Production[[#This Row],[Kor1]],$AI$3:$AK$105,3,FALSE)</f>
        <v>Misc. Income for Insolvent Companies</v>
      </c>
      <c r="X8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4"/>
      <c r="Z8594" t="s">
        <v>13</v>
      </c>
      <c r="AA8594" t="s">
        <v>354</v>
      </c>
      <c r="AB8594" t="s">
        <v>427</v>
      </c>
      <c r="AC8594" s="21">
        <v>235789938.77000001</v>
      </c>
      <c r="AD8594" s="21" t="s">
        <v>369</v>
      </c>
      <c r="AE8594" t="str">
        <f>VLOOKUP(Table_Query_from_Actuarial___Production3[[#This Row],[Kor1]],$AI$3:$AK$105,3,FALSE)</f>
        <v>Operating Service Fees</v>
      </c>
      <c r="AF8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595" spans="18:32" x14ac:dyDescent="0.2">
      <c r="R8595" t="s">
        <v>10</v>
      </c>
      <c r="S8595" t="s">
        <v>259</v>
      </c>
      <c r="T8595" t="s">
        <v>356</v>
      </c>
      <c r="U8595" s="21">
        <v>45165.31</v>
      </c>
      <c r="V8595" s="21" t="s">
        <v>368</v>
      </c>
      <c r="W8595" t="str">
        <f>VLOOKUP(Table_Query_from_Actuarial___Production[[#This Row],[Kor1]],$AI$3:$AK$105,3,FALSE)</f>
        <v>Commissions</v>
      </c>
      <c r="X8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5"/>
      <c r="Z8595" t="s">
        <v>46</v>
      </c>
      <c r="AA8595" t="s">
        <v>352</v>
      </c>
      <c r="AB8595" t="s">
        <v>433</v>
      </c>
      <c r="AC8595" s="21">
        <v>1419.16</v>
      </c>
      <c r="AD8595" s="21" t="s">
        <v>369</v>
      </c>
      <c r="AE8595" t="str">
        <f>VLOOKUP(Table_Query_from_Actuarial___Production3[[#This Row],[Kor1]],$AI$3:$AK$105,3,FALSE)</f>
        <v>Investment Income</v>
      </c>
      <c r="AF8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8596" spans="18:32" x14ac:dyDescent="0.2">
      <c r="R8596" t="s">
        <v>17</v>
      </c>
      <c r="S8596" t="s">
        <v>227</v>
      </c>
      <c r="T8596" t="s">
        <v>443</v>
      </c>
      <c r="U8596" s="21">
        <v>50768.160000000003</v>
      </c>
      <c r="V8596" s="21" t="s">
        <v>368</v>
      </c>
      <c r="W8596" t="str">
        <f>VLOOKUP(Table_Query_from_Actuarial___Production[[#This Row],[Kor1]],$AI$3:$AK$105,3,FALSE)</f>
        <v>IBNR</v>
      </c>
      <c r="X8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6"/>
      <c r="Z8596" t="s">
        <v>33</v>
      </c>
      <c r="AA8596" t="s">
        <v>232</v>
      </c>
      <c r="AB8596" t="s">
        <v>441</v>
      </c>
      <c r="AC8596" s="21">
        <v>14765.62</v>
      </c>
      <c r="AD8596" s="21" t="s">
        <v>368</v>
      </c>
      <c r="AE8596" t="str">
        <f>VLOOKUP(Table_Query_from_Actuarial___Production3[[#This Row],[Kor1]],$AI$3:$AK$105,3,FALSE)</f>
        <v>Misc. Expense</v>
      </c>
      <c r="AF8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7" spans="18:32" x14ac:dyDescent="0.2">
      <c r="R8597" t="s">
        <v>47</v>
      </c>
      <c r="S8597" t="s">
        <v>247</v>
      </c>
      <c r="T8597" t="s">
        <v>9</v>
      </c>
      <c r="U8597" s="21">
        <v>131.16</v>
      </c>
      <c r="V8597" s="21" t="s">
        <v>368</v>
      </c>
      <c r="W8597" t="str">
        <f>VLOOKUP(Table_Query_from_Actuarial___Production[[#This Row],[Kor1]],$AI$3:$AK$105,3,FALSE)</f>
        <v>Investment Income</v>
      </c>
      <c r="X8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7"/>
      <c r="Z8597" t="s">
        <v>33</v>
      </c>
      <c r="AA8597" t="s">
        <v>4</v>
      </c>
      <c r="AB8597" t="s">
        <v>443</v>
      </c>
      <c r="AC8597" s="21">
        <v>12959.66</v>
      </c>
      <c r="AD8597" s="21" t="s">
        <v>368</v>
      </c>
      <c r="AE8597" t="str">
        <f>VLOOKUP(Table_Query_from_Actuarial___Production3[[#This Row],[Kor1]],$AI$3:$AK$105,3,FALSE)</f>
        <v>Misc. Expense</v>
      </c>
      <c r="AF8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8" spans="18:32" x14ac:dyDescent="0.2">
      <c r="R8598" t="s">
        <v>21</v>
      </c>
      <c r="S8598" t="s">
        <v>252</v>
      </c>
      <c r="T8598" t="s">
        <v>433</v>
      </c>
      <c r="U8598" s="21">
        <v>37837.800000000003</v>
      </c>
      <c r="V8598" s="21" t="s">
        <v>368</v>
      </c>
      <c r="W8598" t="str">
        <f>VLOOKUP(Table_Query_from_Actuarial___Production[[#This Row],[Kor1]],$AI$3:$AK$105,3,FALSE)</f>
        <v>Misc. Expense</v>
      </c>
      <c r="X8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598"/>
      <c r="Z8598" t="s">
        <v>44</v>
      </c>
      <c r="AA8598" t="s">
        <v>258</v>
      </c>
      <c r="AB8598" t="s">
        <v>356</v>
      </c>
      <c r="AC8598" s="21">
        <v>17968.27</v>
      </c>
      <c r="AD8598" s="21" t="s">
        <v>368</v>
      </c>
      <c r="AE8598" t="str">
        <f>VLOOKUP(Table_Query_from_Actuarial___Production3[[#This Row],[Kor1]],$AI$3:$AK$105,3,FALSE)</f>
        <v>Charge-offs</v>
      </c>
      <c r="AF8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599" spans="18:32" x14ac:dyDescent="0.2">
      <c r="R8599" t="s">
        <v>11</v>
      </c>
      <c r="S8599" t="s">
        <v>225</v>
      </c>
      <c r="T8599" t="s">
        <v>443</v>
      </c>
      <c r="U8599" s="21">
        <v>30372.62</v>
      </c>
      <c r="V8599" s="21" t="s">
        <v>368</v>
      </c>
      <c r="W8599" t="str">
        <f>VLOOKUP(Table_Query_from_Actuarial___Production[[#This Row],[Kor1]],$AI$3:$AK$105,3,FALSE)</f>
        <v>Losses Paid</v>
      </c>
      <c r="X8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599"/>
      <c r="Z8599" t="s">
        <v>18</v>
      </c>
      <c r="AA8599" t="s">
        <v>224</v>
      </c>
      <c r="AB8599" t="s">
        <v>442</v>
      </c>
      <c r="AC8599" s="21">
        <v>3810.54</v>
      </c>
      <c r="AD8599" s="21" t="s">
        <v>369</v>
      </c>
      <c r="AE8599" t="str">
        <f>VLOOKUP(Table_Query_from_Actuarial___Production3[[#This Row],[Kor1]],$AI$3:$AK$105,3,FALSE)</f>
        <v>Misc. Expense</v>
      </c>
      <c r="AF8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600" spans="18:32" x14ac:dyDescent="0.2">
      <c r="R8600" t="s">
        <v>31</v>
      </c>
      <c r="S8600" t="s">
        <v>229</v>
      </c>
      <c r="T8600" t="s">
        <v>427</v>
      </c>
      <c r="U8600" s="21">
        <v>744.08</v>
      </c>
      <c r="V8600" s="21" t="s">
        <v>368</v>
      </c>
      <c r="W8600" t="str">
        <f>VLOOKUP(Table_Query_from_Actuarial___Production[[#This Row],[Kor1]],$AI$3:$AK$105,3,FALSE)</f>
        <v>Misc. Expense</v>
      </c>
      <c r="X8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0"/>
      <c r="Z8600" t="s">
        <v>12</v>
      </c>
      <c r="AA8600" t="s">
        <v>237</v>
      </c>
      <c r="AB8600" t="s">
        <v>427</v>
      </c>
      <c r="AC8600" s="21">
        <v>946605.88</v>
      </c>
      <c r="AD8600" s="21" t="s">
        <v>368</v>
      </c>
      <c r="AE8600" t="str">
        <f>VLOOKUP(Table_Query_from_Actuarial___Production3[[#This Row],[Kor1]],$AI$3:$AK$105,3,FALSE)</f>
        <v>Premium Tax</v>
      </c>
      <c r="AF8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1" spans="18:32" x14ac:dyDescent="0.2">
      <c r="R8601" t="s">
        <v>21</v>
      </c>
      <c r="S8601" t="s">
        <v>252</v>
      </c>
      <c r="T8601" t="s">
        <v>7</v>
      </c>
      <c r="U8601" s="21">
        <v>19661.330000000002</v>
      </c>
      <c r="V8601" s="21" t="s">
        <v>368</v>
      </c>
      <c r="W8601" t="str">
        <f>VLOOKUP(Table_Query_from_Actuarial___Production[[#This Row],[Kor1]],$AI$3:$AK$105,3,FALSE)</f>
        <v>Misc. Expense</v>
      </c>
      <c r="X8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1"/>
      <c r="Z8601" t="s">
        <v>19</v>
      </c>
      <c r="AA8601" t="s">
        <v>232</v>
      </c>
      <c r="AB8601" t="s">
        <v>8</v>
      </c>
      <c r="AC8601" s="21">
        <v>310</v>
      </c>
      <c r="AD8601" s="21" t="s">
        <v>368</v>
      </c>
      <c r="AE8601" t="str">
        <f>VLOOKUP(Table_Query_from_Actuarial___Production3[[#This Row],[Kor1]],$AI$3:$AK$105,3,FALSE)</f>
        <v>Misc. Expense for Insolvent Companies</v>
      </c>
      <c r="AF8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2" spans="18:32" x14ac:dyDescent="0.2">
      <c r="R8602" t="s">
        <v>44</v>
      </c>
      <c r="S8602" t="s">
        <v>257</v>
      </c>
      <c r="T8602" t="s">
        <v>9</v>
      </c>
      <c r="U8602" s="21">
        <v>32867.199999999997</v>
      </c>
      <c r="V8602" s="21" t="s">
        <v>368</v>
      </c>
      <c r="W8602" t="str">
        <f>VLOOKUP(Table_Query_from_Actuarial___Production[[#This Row],[Kor1]],$AI$3:$AK$105,3,FALSE)</f>
        <v>Charge-offs</v>
      </c>
      <c r="X8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2"/>
      <c r="Z8602" t="s">
        <v>44</v>
      </c>
      <c r="AA8602" t="s">
        <v>242</v>
      </c>
      <c r="AB8602" t="s">
        <v>356</v>
      </c>
      <c r="AC8602" s="21">
        <v>93.77</v>
      </c>
      <c r="AD8602" s="21" t="s">
        <v>368</v>
      </c>
      <c r="AE8602" t="str">
        <f>VLOOKUP(Table_Query_from_Actuarial___Production3[[#This Row],[Kor1]],$AI$3:$AK$105,3,FALSE)</f>
        <v>Charge-offs</v>
      </c>
      <c r="AF8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3" spans="18:32" x14ac:dyDescent="0.2">
      <c r="R8603" t="s">
        <v>20</v>
      </c>
      <c r="S8603" t="s">
        <v>267</v>
      </c>
      <c r="T8603" t="s">
        <v>7</v>
      </c>
      <c r="U8603" s="21">
        <v>670.37</v>
      </c>
      <c r="V8603" s="21" t="s">
        <v>368</v>
      </c>
      <c r="W8603" t="str">
        <f>VLOOKUP(Table_Query_from_Actuarial___Production[[#This Row],[Kor1]],$AI$3:$AK$105,3,FALSE)</f>
        <v>Misc. Expense</v>
      </c>
      <c r="X8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3"/>
      <c r="Z8603" t="s">
        <v>20</v>
      </c>
      <c r="AA8603" t="s">
        <v>263</v>
      </c>
      <c r="AB8603" t="s">
        <v>6</v>
      </c>
      <c r="AC8603" s="21">
        <v>161.34</v>
      </c>
      <c r="AD8603" s="21" t="s">
        <v>368</v>
      </c>
      <c r="AE8603" t="str">
        <f>VLOOKUP(Table_Query_from_Actuarial___Production3[[#This Row],[Kor1]],$AI$3:$AK$105,3,FALSE)</f>
        <v>Misc. Expense</v>
      </c>
      <c r="AF8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4" spans="18:32" x14ac:dyDescent="0.2">
      <c r="R8604" t="s">
        <v>11</v>
      </c>
      <c r="S8604" t="s">
        <v>249</v>
      </c>
      <c r="T8604" t="s">
        <v>8</v>
      </c>
      <c r="U8604" s="21">
        <v>488624.92</v>
      </c>
      <c r="V8604" s="21" t="s">
        <v>368</v>
      </c>
      <c r="W8604" t="str">
        <f>VLOOKUP(Table_Query_from_Actuarial___Production[[#This Row],[Kor1]],$AI$3:$AK$105,3,FALSE)</f>
        <v>Losses Paid</v>
      </c>
      <c r="X8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4"/>
      <c r="Z8604" t="s">
        <v>14</v>
      </c>
      <c r="AA8604" t="s">
        <v>241</v>
      </c>
      <c r="AB8604" t="s">
        <v>7</v>
      </c>
      <c r="AC8604" s="21">
        <v>53169.18</v>
      </c>
      <c r="AD8604" s="21" t="s">
        <v>368</v>
      </c>
      <c r="AE8604" t="str">
        <f>VLOOKUP(Table_Query_from_Actuarial___Production3[[#This Row],[Kor1]],$AI$3:$AK$105,3,FALSE)</f>
        <v>Claims Expense</v>
      </c>
      <c r="AF8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5" spans="18:32" x14ac:dyDescent="0.2">
      <c r="R8605" t="s">
        <v>20</v>
      </c>
      <c r="S8605" t="s">
        <v>265</v>
      </c>
      <c r="T8605" t="s">
        <v>442</v>
      </c>
      <c r="U8605" s="21">
        <v>142.6</v>
      </c>
      <c r="V8605" s="21" t="s">
        <v>368</v>
      </c>
      <c r="W8605" t="str">
        <f>VLOOKUP(Table_Query_from_Actuarial___Production[[#This Row],[Kor1]],$AI$3:$AK$105,3,FALSE)</f>
        <v>Misc. Expense</v>
      </c>
      <c r="X8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5"/>
      <c r="Z8605" t="s">
        <v>10</v>
      </c>
      <c r="AA8605" t="s">
        <v>267</v>
      </c>
      <c r="AB8605" t="s">
        <v>441</v>
      </c>
      <c r="AC8605" s="21">
        <v>18485.900000000001</v>
      </c>
      <c r="AD8605" s="21" t="s">
        <v>368</v>
      </c>
      <c r="AE8605" t="str">
        <f>VLOOKUP(Table_Query_from_Actuarial___Production3[[#This Row],[Kor1]],$AI$3:$AK$105,3,FALSE)</f>
        <v>Commissions</v>
      </c>
      <c r="AF8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6" spans="18:32" x14ac:dyDescent="0.2">
      <c r="R8606" t="s">
        <v>3</v>
      </c>
      <c r="S8606" t="s">
        <v>246</v>
      </c>
      <c r="T8606" t="s">
        <v>9</v>
      </c>
      <c r="U8606" s="21">
        <v>289736</v>
      </c>
      <c r="V8606" s="21" t="s">
        <v>368</v>
      </c>
      <c r="W8606" t="str">
        <f>VLOOKUP(Table_Query_from_Actuarial___Production[[#This Row],[Kor1]],$AI$3:$AK$105,3,FALSE)</f>
        <v>Premiums Written</v>
      </c>
      <c r="X8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6"/>
      <c r="Z8606" t="s">
        <v>16</v>
      </c>
      <c r="AA8606" t="s">
        <v>230</v>
      </c>
      <c r="AB8606" t="s">
        <v>443</v>
      </c>
      <c r="AC8606" s="21">
        <v>67084.539999999994</v>
      </c>
      <c r="AD8606" s="21" t="s">
        <v>368</v>
      </c>
      <c r="AE8606" t="str">
        <f>VLOOKUP(Table_Query_from_Actuarial___Production3[[#This Row],[Kor1]],$AI$3:$AK$105,3,FALSE)</f>
        <v>Losses Outstanding</v>
      </c>
      <c r="AF8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7" spans="18:32" x14ac:dyDescent="0.2">
      <c r="R8607" t="s">
        <v>16</v>
      </c>
      <c r="S8607" t="s">
        <v>264</v>
      </c>
      <c r="T8607" t="s">
        <v>433</v>
      </c>
      <c r="U8607" s="21">
        <v>506200.2</v>
      </c>
      <c r="V8607" s="21" t="s">
        <v>368</v>
      </c>
      <c r="W8607" t="str">
        <f>VLOOKUP(Table_Query_from_Actuarial___Production[[#This Row],[Kor1]],$AI$3:$AK$105,3,FALSE)</f>
        <v>Losses Outstanding</v>
      </c>
      <c r="X8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7"/>
      <c r="Z8607" t="s">
        <v>33</v>
      </c>
      <c r="AA8607" t="s">
        <v>254</v>
      </c>
      <c r="AB8607" t="s">
        <v>441</v>
      </c>
      <c r="AC8607" s="21">
        <v>14762.91</v>
      </c>
      <c r="AD8607" s="21" t="s">
        <v>368</v>
      </c>
      <c r="AE8607" t="str">
        <f>VLOOKUP(Table_Query_from_Actuarial___Production3[[#This Row],[Kor1]],$AI$3:$AK$105,3,FALSE)</f>
        <v>Misc. Expense</v>
      </c>
      <c r="AF8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8" spans="18:32" x14ac:dyDescent="0.2">
      <c r="R8608" t="s">
        <v>33</v>
      </c>
      <c r="S8608" t="s">
        <v>234</v>
      </c>
      <c r="T8608" t="s">
        <v>9</v>
      </c>
      <c r="U8608" s="21">
        <v>16271.83</v>
      </c>
      <c r="V8608" s="21" t="s">
        <v>368</v>
      </c>
      <c r="W8608" t="str">
        <f>VLOOKUP(Table_Query_from_Actuarial___Production[[#This Row],[Kor1]],$AI$3:$AK$105,3,FALSE)</f>
        <v>Misc. Expense</v>
      </c>
      <c r="X8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8"/>
      <c r="Z8608" t="s">
        <v>47</v>
      </c>
      <c r="AA8608" t="s">
        <v>266</v>
      </c>
      <c r="AB8608" t="s">
        <v>5</v>
      </c>
      <c r="AC8608" s="21">
        <v>0.9</v>
      </c>
      <c r="AD8608" s="21" t="s">
        <v>368</v>
      </c>
      <c r="AE8608" t="str">
        <f>VLOOKUP(Table_Query_from_Actuarial___Production3[[#This Row],[Kor1]],$AI$3:$AK$105,3,FALSE)</f>
        <v>Investment Income</v>
      </c>
      <c r="AF8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09" spans="18:32" x14ac:dyDescent="0.2">
      <c r="R8609" t="s">
        <v>10</v>
      </c>
      <c r="S8609" t="s">
        <v>247</v>
      </c>
      <c r="T8609" t="s">
        <v>433</v>
      </c>
      <c r="U8609" s="21">
        <v>486.8</v>
      </c>
      <c r="V8609" s="21" t="s">
        <v>368</v>
      </c>
      <c r="W8609" t="str">
        <f>VLOOKUP(Table_Query_from_Actuarial___Production[[#This Row],[Kor1]],$AI$3:$AK$105,3,FALSE)</f>
        <v>Commissions</v>
      </c>
      <c r="X8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09"/>
      <c r="Z8609" t="s">
        <v>48</v>
      </c>
      <c r="AA8609" t="s">
        <v>253</v>
      </c>
      <c r="AB8609" t="s">
        <v>433</v>
      </c>
      <c r="AC8609" s="21">
        <v>15.88</v>
      </c>
      <c r="AD8609" s="21" t="s">
        <v>368</v>
      </c>
      <c r="AE8609" t="str">
        <f>VLOOKUP(Table_Query_from_Actuarial___Production3[[#This Row],[Kor1]],$AI$3:$AK$105,3,FALSE)</f>
        <v>Anticipated Salvage</v>
      </c>
      <c r="AF8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0" spans="18:32" x14ac:dyDescent="0.2">
      <c r="R8610" t="s">
        <v>32</v>
      </c>
      <c r="S8610" t="s">
        <v>258</v>
      </c>
      <c r="T8610" t="s">
        <v>351</v>
      </c>
      <c r="U8610" s="21">
        <v>2547</v>
      </c>
      <c r="V8610" s="21" t="s">
        <v>368</v>
      </c>
      <c r="W8610" t="str">
        <f>VLOOKUP(Table_Query_from_Actuarial___Production[[#This Row],[Kor1]],$AI$3:$AK$105,3,FALSE)</f>
        <v>Misc. Expense</v>
      </c>
      <c r="X8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0"/>
      <c r="Z8610" t="s">
        <v>17</v>
      </c>
      <c r="AA8610" t="s">
        <v>224</v>
      </c>
      <c r="AB8610" t="s">
        <v>427</v>
      </c>
      <c r="AC8610" s="21">
        <v>-392.19</v>
      </c>
      <c r="AD8610" s="21" t="s">
        <v>370</v>
      </c>
      <c r="AE8610" t="str">
        <f>VLOOKUP(Table_Query_from_Actuarial___Production3[[#This Row],[Kor1]],$AI$3:$AK$105,3,FALSE)</f>
        <v>IBNR</v>
      </c>
      <c r="AF8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611" spans="18:32" x14ac:dyDescent="0.2">
      <c r="R8611" t="s">
        <v>48</v>
      </c>
      <c r="S8611" t="s">
        <v>258</v>
      </c>
      <c r="T8611" t="s">
        <v>441</v>
      </c>
      <c r="U8611" s="21">
        <v>10096.16</v>
      </c>
      <c r="V8611" s="21" t="s">
        <v>368</v>
      </c>
      <c r="W8611" t="str">
        <f>VLOOKUP(Table_Query_from_Actuarial___Production[[#This Row],[Kor1]],$AI$3:$AK$105,3,FALSE)</f>
        <v>Anticipated Salvage</v>
      </c>
      <c r="X8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1"/>
      <c r="Z8611" t="s">
        <v>10</v>
      </c>
      <c r="AA8611" t="s">
        <v>259</v>
      </c>
      <c r="AB8611" t="s">
        <v>356</v>
      </c>
      <c r="AC8611" s="21">
        <v>45165.31</v>
      </c>
      <c r="AD8611" s="21" t="s">
        <v>368</v>
      </c>
      <c r="AE8611" t="str">
        <f>VLOOKUP(Table_Query_from_Actuarial___Production3[[#This Row],[Kor1]],$AI$3:$AK$105,3,FALSE)</f>
        <v>Commissions</v>
      </c>
      <c r="AF8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2" spans="18:32" x14ac:dyDescent="0.2">
      <c r="R8612" t="s">
        <v>11</v>
      </c>
      <c r="S8612" t="s">
        <v>237</v>
      </c>
      <c r="T8612" t="s">
        <v>356</v>
      </c>
      <c r="U8612" s="21">
        <v>44281047.159999996</v>
      </c>
      <c r="V8612" s="21" t="s">
        <v>368</v>
      </c>
      <c r="W8612" t="str">
        <f>VLOOKUP(Table_Query_from_Actuarial___Production[[#This Row],[Kor1]],$AI$3:$AK$105,3,FALSE)</f>
        <v>Losses Paid</v>
      </c>
      <c r="X8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2"/>
      <c r="Z8612" t="s">
        <v>50</v>
      </c>
      <c r="AA8612" t="s">
        <v>231</v>
      </c>
      <c r="AB8612" t="s">
        <v>427</v>
      </c>
      <c r="AC8612" s="21">
        <v>16648.8</v>
      </c>
      <c r="AD8612" s="21" t="s">
        <v>368</v>
      </c>
      <c r="AE8612" t="str">
        <f>VLOOKUP(Table_Query_from_Actuarial___Production3[[#This Row],[Kor1]],$AI$3:$AK$105,3,FALSE)</f>
        <v>ALAE Reserve</v>
      </c>
      <c r="AF8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3" spans="18:32" x14ac:dyDescent="0.2">
      <c r="R8613" t="s">
        <v>13</v>
      </c>
      <c r="S8613" t="s">
        <v>248</v>
      </c>
      <c r="T8613" t="s">
        <v>351</v>
      </c>
      <c r="U8613" s="21">
        <v>12917.05</v>
      </c>
      <c r="V8613" s="21" t="s">
        <v>368</v>
      </c>
      <c r="W8613" t="str">
        <f>VLOOKUP(Table_Query_from_Actuarial___Production[[#This Row],[Kor1]],$AI$3:$AK$105,3,FALSE)</f>
        <v>Operating Service Fees</v>
      </c>
      <c r="X8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3"/>
      <c r="Z8613" t="s">
        <v>47</v>
      </c>
      <c r="AA8613" t="s">
        <v>247</v>
      </c>
      <c r="AB8613" t="s">
        <v>9</v>
      </c>
      <c r="AC8613" s="21">
        <v>131.16</v>
      </c>
      <c r="AD8613" s="21" t="s">
        <v>368</v>
      </c>
      <c r="AE8613" t="str">
        <f>VLOOKUP(Table_Query_from_Actuarial___Production3[[#This Row],[Kor1]],$AI$3:$AK$105,3,FALSE)</f>
        <v>Investment Income</v>
      </c>
      <c r="AF8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4" spans="18:32" x14ac:dyDescent="0.2">
      <c r="R8614" t="s">
        <v>11</v>
      </c>
      <c r="S8614" t="s">
        <v>250</v>
      </c>
      <c r="T8614" t="s">
        <v>356</v>
      </c>
      <c r="U8614" s="21">
        <v>301851.74</v>
      </c>
      <c r="V8614" s="21" t="s">
        <v>368</v>
      </c>
      <c r="W8614" t="str">
        <f>VLOOKUP(Table_Query_from_Actuarial___Production[[#This Row],[Kor1]],$AI$3:$AK$105,3,FALSE)</f>
        <v>Losses Paid</v>
      </c>
      <c r="X8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4"/>
      <c r="Z8614" t="s">
        <v>21</v>
      </c>
      <c r="AA8614" t="s">
        <v>252</v>
      </c>
      <c r="AB8614" t="s">
        <v>433</v>
      </c>
      <c r="AC8614" s="21">
        <v>37837.800000000003</v>
      </c>
      <c r="AD8614" s="21" t="s">
        <v>368</v>
      </c>
      <c r="AE8614" t="str">
        <f>VLOOKUP(Table_Query_from_Actuarial___Production3[[#This Row],[Kor1]],$AI$3:$AK$105,3,FALSE)</f>
        <v>Misc. Expense</v>
      </c>
      <c r="AF8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5" spans="18:32" x14ac:dyDescent="0.2">
      <c r="R8615" t="s">
        <v>12</v>
      </c>
      <c r="S8615" t="s">
        <v>265</v>
      </c>
      <c r="T8615" t="s">
        <v>6</v>
      </c>
      <c r="U8615" s="21">
        <v>3885.66</v>
      </c>
      <c r="V8615" s="21" t="s">
        <v>368</v>
      </c>
      <c r="W8615" t="str">
        <f>VLOOKUP(Table_Query_from_Actuarial___Production[[#This Row],[Kor1]],$AI$3:$AK$105,3,FALSE)</f>
        <v>Premium Tax</v>
      </c>
      <c r="X8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5"/>
      <c r="Z8615" t="s">
        <v>11</v>
      </c>
      <c r="AA8615" t="s">
        <v>225</v>
      </c>
      <c r="AB8615" t="s">
        <v>443</v>
      </c>
      <c r="AC8615" s="21">
        <v>8405.98</v>
      </c>
      <c r="AD8615" s="21" t="s">
        <v>368</v>
      </c>
      <c r="AE8615" t="str">
        <f>VLOOKUP(Table_Query_from_Actuarial___Production3[[#This Row],[Kor1]],$AI$3:$AK$105,3,FALSE)</f>
        <v>Losses Paid</v>
      </c>
      <c r="AF8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616" spans="18:32" x14ac:dyDescent="0.2">
      <c r="R8616" t="s">
        <v>33</v>
      </c>
      <c r="S8616" t="s">
        <v>230</v>
      </c>
      <c r="T8616" t="s">
        <v>445</v>
      </c>
      <c r="U8616" s="21">
        <v>12177.39</v>
      </c>
      <c r="V8616" s="21" t="s">
        <v>368</v>
      </c>
      <c r="W8616" t="str">
        <f>VLOOKUP(Table_Query_from_Actuarial___Production[[#This Row],[Kor1]],$AI$3:$AK$105,3,FALSE)</f>
        <v>Misc. Expense</v>
      </c>
      <c r="X8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6"/>
      <c r="Z8616" t="s">
        <v>31</v>
      </c>
      <c r="AA8616" t="s">
        <v>229</v>
      </c>
      <c r="AB8616" t="s">
        <v>427</v>
      </c>
      <c r="AC8616" s="21">
        <v>744.08</v>
      </c>
      <c r="AD8616" s="21" t="s">
        <v>368</v>
      </c>
      <c r="AE8616" t="str">
        <f>VLOOKUP(Table_Query_from_Actuarial___Production3[[#This Row],[Kor1]],$AI$3:$AK$105,3,FALSE)</f>
        <v>Misc. Expense</v>
      </c>
      <c r="AF8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7" spans="18:32" x14ac:dyDescent="0.2">
      <c r="R8617" t="s">
        <v>47</v>
      </c>
      <c r="S8617" t="s">
        <v>241</v>
      </c>
      <c r="T8617" t="s">
        <v>443</v>
      </c>
      <c r="U8617" s="21">
        <v>10262.6</v>
      </c>
      <c r="V8617" s="21" t="s">
        <v>368</v>
      </c>
      <c r="W8617" t="str">
        <f>VLOOKUP(Table_Query_from_Actuarial___Production[[#This Row],[Kor1]],$AI$3:$AK$105,3,FALSE)</f>
        <v>Investment Income</v>
      </c>
      <c r="X8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7"/>
      <c r="Z8617" t="s">
        <v>21</v>
      </c>
      <c r="AA8617" t="s">
        <v>252</v>
      </c>
      <c r="AB8617" t="s">
        <v>7</v>
      </c>
      <c r="AC8617" s="21">
        <v>19661.330000000002</v>
      </c>
      <c r="AD8617" s="21" t="s">
        <v>368</v>
      </c>
      <c r="AE8617" t="str">
        <f>VLOOKUP(Table_Query_from_Actuarial___Production3[[#This Row],[Kor1]],$AI$3:$AK$105,3,FALSE)</f>
        <v>Misc. Expense</v>
      </c>
      <c r="AF8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8" spans="18:32" x14ac:dyDescent="0.2">
      <c r="R8618" t="s">
        <v>439</v>
      </c>
      <c r="S8618" t="s">
        <v>243</v>
      </c>
      <c r="T8618" t="s">
        <v>443</v>
      </c>
      <c r="U8618" s="21">
        <v>-11123.65</v>
      </c>
      <c r="V8618" s="21" t="s">
        <v>368</v>
      </c>
      <c r="W8618" t="str">
        <f>VLOOKUP(Table_Query_from_Actuarial___Production[[#This Row],[Kor1]],$AI$3:$AK$105,3,FALSE)</f>
        <v>Operating Service Fees</v>
      </c>
      <c r="X8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18"/>
      <c r="Z8618" t="s">
        <v>44</v>
      </c>
      <c r="AA8618" t="s">
        <v>257</v>
      </c>
      <c r="AB8618" t="s">
        <v>9</v>
      </c>
      <c r="AC8618" s="21">
        <v>32867.199999999997</v>
      </c>
      <c r="AD8618" s="21" t="s">
        <v>368</v>
      </c>
      <c r="AE8618" t="str">
        <f>VLOOKUP(Table_Query_from_Actuarial___Production3[[#This Row],[Kor1]],$AI$3:$AK$105,3,FALSE)</f>
        <v>Charge-offs</v>
      </c>
      <c r="AF8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19" spans="18:32" x14ac:dyDescent="0.2">
      <c r="R8619" t="s">
        <v>14</v>
      </c>
      <c r="S8619" t="s">
        <v>226</v>
      </c>
      <c r="T8619" t="s">
        <v>6</v>
      </c>
      <c r="U8619" s="21">
        <v>441034.14</v>
      </c>
      <c r="V8619" s="21" t="s">
        <v>368</v>
      </c>
      <c r="W8619" t="str">
        <f>VLOOKUP(Table_Query_from_Actuarial___Production[[#This Row],[Kor1]],$AI$3:$AK$105,3,FALSE)</f>
        <v>Claims Expense</v>
      </c>
      <c r="X8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619"/>
      <c r="Z8619" t="s">
        <v>3</v>
      </c>
      <c r="AA8619" t="s">
        <v>224</v>
      </c>
      <c r="AB8619" t="s">
        <v>5</v>
      </c>
      <c r="AC8619" s="21">
        <v>416468.04</v>
      </c>
      <c r="AD8619" s="21" t="s">
        <v>425</v>
      </c>
      <c r="AE8619" t="str">
        <f>VLOOKUP(Table_Query_from_Actuarial___Production3[[#This Row],[Kor1]],$AI$3:$AK$105,3,FALSE)</f>
        <v>Premiums Written</v>
      </c>
      <c r="AF8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620" spans="18:32" x14ac:dyDescent="0.2">
      <c r="R8620" t="s">
        <v>16</v>
      </c>
      <c r="S8620" t="s">
        <v>232</v>
      </c>
      <c r="T8620" t="s">
        <v>441</v>
      </c>
      <c r="U8620" s="21">
        <v>215716.89</v>
      </c>
      <c r="V8620" s="21" t="s">
        <v>368</v>
      </c>
      <c r="W8620" t="str">
        <f>VLOOKUP(Table_Query_from_Actuarial___Production[[#This Row],[Kor1]],$AI$3:$AK$105,3,FALSE)</f>
        <v>Losses Outstanding</v>
      </c>
      <c r="X8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0"/>
      <c r="Z8620" t="s">
        <v>20</v>
      </c>
      <c r="AA8620" t="s">
        <v>267</v>
      </c>
      <c r="AB8620" t="s">
        <v>7</v>
      </c>
      <c r="AC8620" s="21">
        <v>670.37</v>
      </c>
      <c r="AD8620" s="21" t="s">
        <v>368</v>
      </c>
      <c r="AE8620" t="str">
        <f>VLOOKUP(Table_Query_from_Actuarial___Production3[[#This Row],[Kor1]],$AI$3:$AK$105,3,FALSE)</f>
        <v>Misc. Expense</v>
      </c>
      <c r="AF8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1" spans="18:32" x14ac:dyDescent="0.2">
      <c r="R8621" t="s">
        <v>24</v>
      </c>
      <c r="S8621" t="s">
        <v>4</v>
      </c>
      <c r="T8621" t="s">
        <v>9</v>
      </c>
      <c r="U8621" s="21">
        <v>-0.21</v>
      </c>
      <c r="V8621" s="21" t="s">
        <v>368</v>
      </c>
      <c r="W8621" t="str">
        <f>VLOOKUP(Table_Query_from_Actuarial___Production[[#This Row],[Kor1]],$AI$3:$AK$105,3,FALSE)</f>
        <v>Misc. Expense</v>
      </c>
      <c r="X8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1"/>
      <c r="Z8621" t="s">
        <v>11</v>
      </c>
      <c r="AA8621" t="s">
        <v>249</v>
      </c>
      <c r="AB8621" t="s">
        <v>8</v>
      </c>
      <c r="AC8621" s="21">
        <v>488624.92</v>
      </c>
      <c r="AD8621" s="21" t="s">
        <v>368</v>
      </c>
      <c r="AE8621" t="str">
        <f>VLOOKUP(Table_Query_from_Actuarial___Production3[[#This Row],[Kor1]],$AI$3:$AK$105,3,FALSE)</f>
        <v>Losses Paid</v>
      </c>
      <c r="AF8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2" spans="18:32" x14ac:dyDescent="0.2">
      <c r="R8622" t="s">
        <v>31</v>
      </c>
      <c r="S8622" t="s">
        <v>231</v>
      </c>
      <c r="T8622" t="s">
        <v>441</v>
      </c>
      <c r="U8622" s="21">
        <v>918.52</v>
      </c>
      <c r="V8622" s="21" t="s">
        <v>368</v>
      </c>
      <c r="W8622" t="str">
        <f>VLOOKUP(Table_Query_from_Actuarial___Production[[#This Row],[Kor1]],$AI$3:$AK$105,3,FALSE)</f>
        <v>Misc. Expense</v>
      </c>
      <c r="X8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2"/>
      <c r="Z8622" t="s">
        <v>20</v>
      </c>
      <c r="AA8622" t="s">
        <v>265</v>
      </c>
      <c r="AB8622" t="s">
        <v>442</v>
      </c>
      <c r="AC8622" s="21">
        <v>142.6</v>
      </c>
      <c r="AD8622" s="21" t="s">
        <v>368</v>
      </c>
      <c r="AE8622" t="str">
        <f>VLOOKUP(Table_Query_from_Actuarial___Production3[[#This Row],[Kor1]],$AI$3:$AK$105,3,FALSE)</f>
        <v>Misc. Expense</v>
      </c>
      <c r="AF8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3" spans="18:32" x14ac:dyDescent="0.2">
      <c r="R8623" t="s">
        <v>33</v>
      </c>
      <c r="S8623" t="s">
        <v>248</v>
      </c>
      <c r="T8623" t="s">
        <v>351</v>
      </c>
      <c r="U8623" s="21">
        <v>15659.29</v>
      </c>
      <c r="V8623" s="21" t="s">
        <v>368</v>
      </c>
      <c r="W8623" t="str">
        <f>VLOOKUP(Table_Query_from_Actuarial___Production[[#This Row],[Kor1]],$AI$3:$AK$105,3,FALSE)</f>
        <v>Misc. Expense</v>
      </c>
      <c r="X8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3"/>
      <c r="Z8623" t="s">
        <v>3</v>
      </c>
      <c r="AA8623" t="s">
        <v>246</v>
      </c>
      <c r="AB8623" t="s">
        <v>9</v>
      </c>
      <c r="AC8623" s="21">
        <v>289736</v>
      </c>
      <c r="AD8623" s="21" t="s">
        <v>368</v>
      </c>
      <c r="AE8623" t="str">
        <f>VLOOKUP(Table_Query_from_Actuarial___Production3[[#This Row],[Kor1]],$AI$3:$AK$105,3,FALSE)</f>
        <v>Premiums Written</v>
      </c>
      <c r="AF8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4" spans="18:32" x14ac:dyDescent="0.2">
      <c r="R8624" t="s">
        <v>44</v>
      </c>
      <c r="S8624" t="s">
        <v>250</v>
      </c>
      <c r="T8624" t="s">
        <v>433</v>
      </c>
      <c r="U8624" s="21">
        <v>0.06</v>
      </c>
      <c r="V8624" s="21" t="s">
        <v>368</v>
      </c>
      <c r="W8624" t="str">
        <f>VLOOKUP(Table_Query_from_Actuarial___Production[[#This Row],[Kor1]],$AI$3:$AK$105,3,FALSE)</f>
        <v>Charge-offs</v>
      </c>
      <c r="X8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4"/>
      <c r="Z8624" t="s">
        <v>16</v>
      </c>
      <c r="AA8624" t="s">
        <v>264</v>
      </c>
      <c r="AB8624" t="s">
        <v>433</v>
      </c>
      <c r="AC8624" s="21">
        <v>4198.49</v>
      </c>
      <c r="AD8624" s="21" t="s">
        <v>368</v>
      </c>
      <c r="AE8624" t="str">
        <f>VLOOKUP(Table_Query_from_Actuarial___Production3[[#This Row],[Kor1]],$AI$3:$AK$105,3,FALSE)</f>
        <v>Losses Outstanding</v>
      </c>
      <c r="AF8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5" spans="18:32" x14ac:dyDescent="0.2">
      <c r="R8625" t="s">
        <v>34</v>
      </c>
      <c r="S8625" t="s">
        <v>254</v>
      </c>
      <c r="T8625" t="s">
        <v>445</v>
      </c>
      <c r="U8625" s="21">
        <v>131441.64000000001</v>
      </c>
      <c r="V8625" s="21" t="s">
        <v>368</v>
      </c>
      <c r="W8625" t="str">
        <f>VLOOKUP(Table_Query_from_Actuarial___Production[[#This Row],[Kor1]],$AI$3:$AK$105,3,FALSE)</f>
        <v>Misc. Expense</v>
      </c>
      <c r="X8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5"/>
      <c r="Z8625" t="s">
        <v>33</v>
      </c>
      <c r="AA8625" t="s">
        <v>234</v>
      </c>
      <c r="AB8625" t="s">
        <v>9</v>
      </c>
      <c r="AC8625" s="21">
        <v>16271.83</v>
      </c>
      <c r="AD8625" s="21" t="s">
        <v>368</v>
      </c>
      <c r="AE8625" t="str">
        <f>VLOOKUP(Table_Query_from_Actuarial___Production3[[#This Row],[Kor1]],$AI$3:$AK$105,3,FALSE)</f>
        <v>Misc. Expense</v>
      </c>
      <c r="AF8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6" spans="18:32" x14ac:dyDescent="0.2">
      <c r="R8626" t="s">
        <v>12</v>
      </c>
      <c r="S8626" t="s">
        <v>263</v>
      </c>
      <c r="T8626" t="s">
        <v>8</v>
      </c>
      <c r="U8626" s="21">
        <v>8469.4</v>
      </c>
      <c r="V8626" s="21" t="s">
        <v>368</v>
      </c>
      <c r="W8626" t="str">
        <f>VLOOKUP(Table_Query_from_Actuarial___Production[[#This Row],[Kor1]],$AI$3:$AK$105,3,FALSE)</f>
        <v>Premium Tax</v>
      </c>
      <c r="X8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6"/>
      <c r="Z8626" t="s">
        <v>10</v>
      </c>
      <c r="AA8626" t="s">
        <v>247</v>
      </c>
      <c r="AB8626" t="s">
        <v>433</v>
      </c>
      <c r="AC8626" s="21">
        <v>486.8</v>
      </c>
      <c r="AD8626" s="21" t="s">
        <v>368</v>
      </c>
      <c r="AE8626" t="str">
        <f>VLOOKUP(Table_Query_from_Actuarial___Production3[[#This Row],[Kor1]],$AI$3:$AK$105,3,FALSE)</f>
        <v>Commissions</v>
      </c>
      <c r="AF8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7" spans="18:32" x14ac:dyDescent="0.2">
      <c r="R8627" t="s">
        <v>144</v>
      </c>
      <c r="S8627" t="s">
        <v>224</v>
      </c>
      <c r="T8627" t="s">
        <v>427</v>
      </c>
      <c r="U8627" s="21">
        <v>-10200</v>
      </c>
      <c r="V8627" s="21" t="s">
        <v>370</v>
      </c>
      <c r="W8627" t="str">
        <f>VLOOKUP(Table_Query_from_Actuarial___Production[[#This Row],[Kor1]],$AI$3:$AK$105,3,FALSE)</f>
        <v>Claims Expense</v>
      </c>
      <c r="X8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627"/>
      <c r="Z8627" t="s">
        <v>32</v>
      </c>
      <c r="AA8627" t="s">
        <v>258</v>
      </c>
      <c r="AB8627" t="s">
        <v>351</v>
      </c>
      <c r="AC8627" s="21">
        <v>2547</v>
      </c>
      <c r="AD8627" s="21" t="s">
        <v>368</v>
      </c>
      <c r="AE8627" t="str">
        <f>VLOOKUP(Table_Query_from_Actuarial___Production3[[#This Row],[Kor1]],$AI$3:$AK$105,3,FALSE)</f>
        <v>Misc. Expense</v>
      </c>
      <c r="AF8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8" spans="18:32" x14ac:dyDescent="0.2">
      <c r="R8628" t="s">
        <v>13</v>
      </c>
      <c r="S8628" t="s">
        <v>249</v>
      </c>
      <c r="T8628" t="s">
        <v>433</v>
      </c>
      <c r="U8628" s="21">
        <v>124063.42</v>
      </c>
      <c r="V8628" s="21" t="s">
        <v>368</v>
      </c>
      <c r="W8628" t="str">
        <f>VLOOKUP(Table_Query_from_Actuarial___Production[[#This Row],[Kor1]],$AI$3:$AK$105,3,FALSE)</f>
        <v>Operating Service Fees</v>
      </c>
      <c r="X8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8"/>
      <c r="Z8628" t="s">
        <v>48</v>
      </c>
      <c r="AA8628" t="s">
        <v>258</v>
      </c>
      <c r="AB8628" t="s">
        <v>441</v>
      </c>
      <c r="AC8628" s="21">
        <v>8727.84</v>
      </c>
      <c r="AD8628" s="21" t="s">
        <v>368</v>
      </c>
      <c r="AE8628" t="str">
        <f>VLOOKUP(Table_Query_from_Actuarial___Production3[[#This Row],[Kor1]],$AI$3:$AK$105,3,FALSE)</f>
        <v>Anticipated Salvage</v>
      </c>
      <c r="AF8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29" spans="18:32" x14ac:dyDescent="0.2">
      <c r="R8629" t="s">
        <v>16</v>
      </c>
      <c r="S8629" t="s">
        <v>230</v>
      </c>
      <c r="T8629" t="s">
        <v>427</v>
      </c>
      <c r="U8629" s="21">
        <v>1029849.08</v>
      </c>
      <c r="V8629" s="21" t="s">
        <v>368</v>
      </c>
      <c r="W8629" t="str">
        <f>VLOOKUP(Table_Query_from_Actuarial___Production[[#This Row],[Kor1]],$AI$3:$AK$105,3,FALSE)</f>
        <v>Losses Outstanding</v>
      </c>
      <c r="X8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29"/>
      <c r="Z8629" t="s">
        <v>11</v>
      </c>
      <c r="AA8629" t="s">
        <v>237</v>
      </c>
      <c r="AB8629" t="s">
        <v>356</v>
      </c>
      <c r="AC8629" s="21">
        <v>42232628.189999998</v>
      </c>
      <c r="AD8629" s="21" t="s">
        <v>368</v>
      </c>
      <c r="AE8629" t="str">
        <f>VLOOKUP(Table_Query_from_Actuarial___Production3[[#This Row],[Kor1]],$AI$3:$AK$105,3,FALSE)</f>
        <v>Losses Paid</v>
      </c>
      <c r="AF8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0" spans="18:32" x14ac:dyDescent="0.2">
      <c r="R8630" t="s">
        <v>12</v>
      </c>
      <c r="S8630" t="s">
        <v>237</v>
      </c>
      <c r="T8630" t="s">
        <v>443</v>
      </c>
      <c r="U8630" s="21">
        <v>1019318.98</v>
      </c>
      <c r="V8630" s="21" t="s">
        <v>368</v>
      </c>
      <c r="W8630" t="str">
        <f>VLOOKUP(Table_Query_from_Actuarial___Production[[#This Row],[Kor1]],$AI$3:$AK$105,3,FALSE)</f>
        <v>Premium Tax</v>
      </c>
      <c r="X8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0"/>
      <c r="Z8630" t="s">
        <v>13</v>
      </c>
      <c r="AA8630" t="s">
        <v>248</v>
      </c>
      <c r="AB8630" t="s">
        <v>351</v>
      </c>
      <c r="AC8630" s="21">
        <v>12917.05</v>
      </c>
      <c r="AD8630" s="21" t="s">
        <v>368</v>
      </c>
      <c r="AE8630" t="str">
        <f>VLOOKUP(Table_Query_from_Actuarial___Production3[[#This Row],[Kor1]],$AI$3:$AK$105,3,FALSE)</f>
        <v>Operating Service Fees</v>
      </c>
      <c r="AF8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1" spans="18:32" x14ac:dyDescent="0.2">
      <c r="R8631" t="s">
        <v>50</v>
      </c>
      <c r="S8631" t="s">
        <v>252</v>
      </c>
      <c r="T8631" t="s">
        <v>443</v>
      </c>
      <c r="U8631" s="21">
        <v>39299.25</v>
      </c>
      <c r="V8631" s="21" t="s">
        <v>368</v>
      </c>
      <c r="W8631" t="str">
        <f>VLOOKUP(Table_Query_from_Actuarial___Production[[#This Row],[Kor1]],$AI$3:$AK$105,3,FALSE)</f>
        <v>ALAE Reserve</v>
      </c>
      <c r="X8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1"/>
      <c r="Z8631" t="s">
        <v>11</v>
      </c>
      <c r="AA8631" t="s">
        <v>250</v>
      </c>
      <c r="AB8631" t="s">
        <v>356</v>
      </c>
      <c r="AC8631" s="21">
        <v>301851.74</v>
      </c>
      <c r="AD8631" s="21" t="s">
        <v>368</v>
      </c>
      <c r="AE8631" t="str">
        <f>VLOOKUP(Table_Query_from_Actuarial___Production3[[#This Row],[Kor1]],$AI$3:$AK$105,3,FALSE)</f>
        <v>Losses Paid</v>
      </c>
      <c r="AF8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2" spans="18:32" x14ac:dyDescent="0.2">
      <c r="R8632" t="s">
        <v>39</v>
      </c>
      <c r="S8632" t="s">
        <v>248</v>
      </c>
      <c r="T8632" t="s">
        <v>433</v>
      </c>
      <c r="U8632" s="21">
        <v>1155</v>
      </c>
      <c r="V8632" s="21" t="s">
        <v>368</v>
      </c>
      <c r="W8632" t="str">
        <f>VLOOKUP(Table_Query_from_Actuarial___Production[[#This Row],[Kor1]],$AI$3:$AK$105,3,FALSE)</f>
        <v>Misc. Income for Insolvent Companies</v>
      </c>
      <c r="X8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2"/>
      <c r="Z8632" t="s">
        <v>12</v>
      </c>
      <c r="AA8632" t="s">
        <v>265</v>
      </c>
      <c r="AB8632" t="s">
        <v>6</v>
      </c>
      <c r="AC8632" s="21">
        <v>3885.66</v>
      </c>
      <c r="AD8632" s="21" t="s">
        <v>368</v>
      </c>
      <c r="AE8632" t="str">
        <f>VLOOKUP(Table_Query_from_Actuarial___Production3[[#This Row],[Kor1]],$AI$3:$AK$105,3,FALSE)</f>
        <v>Premium Tax</v>
      </c>
      <c r="AF8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3" spans="18:32" x14ac:dyDescent="0.2">
      <c r="R8633" t="s">
        <v>49</v>
      </c>
      <c r="S8633" t="s">
        <v>261</v>
      </c>
      <c r="T8633" t="s">
        <v>9</v>
      </c>
      <c r="U8633" s="21">
        <v>58242.91</v>
      </c>
      <c r="V8633" s="21" t="s">
        <v>368</v>
      </c>
      <c r="W8633" t="str">
        <f>VLOOKUP(Table_Query_from_Actuarial___Production[[#This Row],[Kor1]],$AI$3:$AK$105,3,FALSE)</f>
        <v>ALAE Paid</v>
      </c>
      <c r="X8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3"/>
      <c r="Z8633" t="s">
        <v>47</v>
      </c>
      <c r="AA8633" t="s">
        <v>241</v>
      </c>
      <c r="AB8633" t="s">
        <v>443</v>
      </c>
      <c r="AC8633" s="21">
        <v>3538.4</v>
      </c>
      <c r="AD8633" s="21" t="s">
        <v>368</v>
      </c>
      <c r="AE8633" t="str">
        <f>VLOOKUP(Table_Query_from_Actuarial___Production3[[#This Row],[Kor1]],$AI$3:$AK$105,3,FALSE)</f>
        <v>Investment Income</v>
      </c>
      <c r="AF8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4" spans="18:32" x14ac:dyDescent="0.2">
      <c r="R8634" t="s">
        <v>38</v>
      </c>
      <c r="S8634" t="s">
        <v>225</v>
      </c>
      <c r="T8634" t="s">
        <v>427</v>
      </c>
      <c r="U8634" s="21">
        <v>375109.27</v>
      </c>
      <c r="V8634" s="21" t="s">
        <v>368</v>
      </c>
      <c r="W8634" t="str">
        <f>VLOOKUP(Table_Query_from_Actuarial___Production[[#This Row],[Kor1]],$AI$3:$AK$105,3,FALSE)</f>
        <v>Misc. Income</v>
      </c>
      <c r="X8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634"/>
      <c r="Z8634" t="s">
        <v>439</v>
      </c>
      <c r="AA8634" t="s">
        <v>243</v>
      </c>
      <c r="AB8634" t="s">
        <v>443</v>
      </c>
      <c r="AC8634" s="21">
        <v>-11123.65</v>
      </c>
      <c r="AD8634" s="21" t="s">
        <v>368</v>
      </c>
      <c r="AE8634" t="str">
        <f>VLOOKUP(Table_Query_from_Actuarial___Production3[[#This Row],[Kor1]],$AI$3:$AK$105,3,FALSE)</f>
        <v>Operating Service Fees</v>
      </c>
      <c r="AF8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5" spans="18:32" x14ac:dyDescent="0.2">
      <c r="R8635" t="s">
        <v>40</v>
      </c>
      <c r="S8635" t="s">
        <v>245</v>
      </c>
      <c r="T8635" t="s">
        <v>351</v>
      </c>
      <c r="U8635" s="21">
        <v>107</v>
      </c>
      <c r="V8635" s="21" t="s">
        <v>368</v>
      </c>
      <c r="W8635" t="str">
        <f>VLOOKUP(Table_Query_from_Actuarial___Production[[#This Row],[Kor1]],$AI$3:$AK$105,3,FALSE)</f>
        <v>Misc. Income</v>
      </c>
      <c r="X8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5"/>
      <c r="Z8635" t="s">
        <v>14</v>
      </c>
      <c r="AA8635" t="s">
        <v>226</v>
      </c>
      <c r="AB8635" t="s">
        <v>6</v>
      </c>
      <c r="AC8635" s="21">
        <v>441034.14</v>
      </c>
      <c r="AD8635" s="21" t="s">
        <v>368</v>
      </c>
      <c r="AE8635" t="str">
        <f>VLOOKUP(Table_Query_from_Actuarial___Production3[[#This Row],[Kor1]],$AI$3:$AK$105,3,FALSE)</f>
        <v>Claims Expense</v>
      </c>
      <c r="AF8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636" spans="18:32" x14ac:dyDescent="0.2">
      <c r="R8636" t="s">
        <v>41</v>
      </c>
      <c r="S8636" t="s">
        <v>243</v>
      </c>
      <c r="T8636" t="s">
        <v>7</v>
      </c>
      <c r="U8636" s="21">
        <v>99.99</v>
      </c>
      <c r="V8636" s="21" t="s">
        <v>368</v>
      </c>
      <c r="W8636" t="str">
        <f>VLOOKUP(Table_Query_from_Actuarial___Production[[#This Row],[Kor1]],$AI$3:$AK$105,3,FALSE)</f>
        <v>Misc. Income</v>
      </c>
      <c r="X8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6"/>
      <c r="Z8636" t="s">
        <v>16</v>
      </c>
      <c r="AA8636" t="s">
        <v>232</v>
      </c>
      <c r="AB8636" t="s">
        <v>441</v>
      </c>
      <c r="AC8636" s="21">
        <v>25144.69</v>
      </c>
      <c r="AD8636" s="21" t="s">
        <v>368</v>
      </c>
      <c r="AE8636" t="str">
        <f>VLOOKUP(Table_Query_from_Actuarial___Production3[[#This Row],[Kor1]],$AI$3:$AK$105,3,FALSE)</f>
        <v>Losses Outstanding</v>
      </c>
      <c r="AF8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7" spans="18:32" x14ac:dyDescent="0.2">
      <c r="R8637" t="s">
        <v>38</v>
      </c>
      <c r="S8637" t="s">
        <v>354</v>
      </c>
      <c r="T8637" t="s">
        <v>441</v>
      </c>
      <c r="U8637" s="21">
        <v>205864.57</v>
      </c>
      <c r="V8637" s="21" t="s">
        <v>369</v>
      </c>
      <c r="W8637" t="str">
        <f>VLOOKUP(Table_Query_from_Actuarial___Production[[#This Row],[Kor1]],$AI$3:$AK$105,3,FALSE)</f>
        <v>Misc. Income</v>
      </c>
      <c r="X8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637"/>
      <c r="Z8637" t="s">
        <v>24</v>
      </c>
      <c r="AA8637" t="s">
        <v>4</v>
      </c>
      <c r="AB8637" t="s">
        <v>9</v>
      </c>
      <c r="AC8637" s="21">
        <v>-0.21</v>
      </c>
      <c r="AD8637" s="21" t="s">
        <v>368</v>
      </c>
      <c r="AE8637" t="str">
        <f>VLOOKUP(Table_Query_from_Actuarial___Production3[[#This Row],[Kor1]],$AI$3:$AK$105,3,FALSE)</f>
        <v>Misc. Expense</v>
      </c>
      <c r="AF8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8" spans="18:32" x14ac:dyDescent="0.2">
      <c r="R8638" t="s">
        <v>16</v>
      </c>
      <c r="S8638" t="s">
        <v>354</v>
      </c>
      <c r="T8638" t="s">
        <v>427</v>
      </c>
      <c r="U8638" s="21">
        <v>3925728.8</v>
      </c>
      <c r="V8638" s="21" t="s">
        <v>369</v>
      </c>
      <c r="W8638" t="str">
        <f>VLOOKUP(Table_Query_from_Actuarial___Production[[#This Row],[Kor1]],$AI$3:$AK$105,3,FALSE)</f>
        <v>Losses Outstanding</v>
      </c>
      <c r="X8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638"/>
      <c r="Z8638" t="s">
        <v>31</v>
      </c>
      <c r="AA8638" t="s">
        <v>231</v>
      </c>
      <c r="AB8638" t="s">
        <v>441</v>
      </c>
      <c r="AC8638" s="21">
        <v>918.52</v>
      </c>
      <c r="AD8638" s="21" t="s">
        <v>368</v>
      </c>
      <c r="AE8638" t="str">
        <f>VLOOKUP(Table_Query_from_Actuarial___Production3[[#This Row],[Kor1]],$AI$3:$AK$105,3,FALSE)</f>
        <v>Misc. Expense</v>
      </c>
      <c r="AF8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39" spans="18:32" x14ac:dyDescent="0.2">
      <c r="R8639" t="s">
        <v>44</v>
      </c>
      <c r="S8639" t="s">
        <v>252</v>
      </c>
      <c r="T8639" t="s">
        <v>6</v>
      </c>
      <c r="U8639" s="21">
        <v>810101.48</v>
      </c>
      <c r="V8639" s="21" t="s">
        <v>368</v>
      </c>
      <c r="W8639" t="str">
        <f>VLOOKUP(Table_Query_from_Actuarial___Production[[#This Row],[Kor1]],$AI$3:$AK$105,3,FALSE)</f>
        <v>Charge-offs</v>
      </c>
      <c r="X8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39"/>
      <c r="Z8639" t="s">
        <v>33</v>
      </c>
      <c r="AA8639" t="s">
        <v>248</v>
      </c>
      <c r="AB8639" t="s">
        <v>351</v>
      </c>
      <c r="AC8639" s="21">
        <v>15659.29</v>
      </c>
      <c r="AD8639" s="21" t="s">
        <v>368</v>
      </c>
      <c r="AE8639" t="str">
        <f>VLOOKUP(Table_Query_from_Actuarial___Production3[[#This Row],[Kor1]],$AI$3:$AK$105,3,FALSE)</f>
        <v>Misc. Expense</v>
      </c>
      <c r="AF8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0" spans="18:32" x14ac:dyDescent="0.2">
      <c r="R8640" t="s">
        <v>12</v>
      </c>
      <c r="S8640" t="s">
        <v>256</v>
      </c>
      <c r="T8640" t="s">
        <v>445</v>
      </c>
      <c r="U8640" s="21">
        <v>612.5</v>
      </c>
      <c r="V8640" s="21" t="s">
        <v>368</v>
      </c>
      <c r="W8640" t="str">
        <f>VLOOKUP(Table_Query_from_Actuarial___Production[[#This Row],[Kor1]],$AI$3:$AK$105,3,FALSE)</f>
        <v>Premium Tax</v>
      </c>
      <c r="X8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0"/>
      <c r="Z8640" t="s">
        <v>44</v>
      </c>
      <c r="AA8640" t="s">
        <v>250</v>
      </c>
      <c r="AB8640" t="s">
        <v>433</v>
      </c>
      <c r="AC8640" s="21">
        <v>0.06</v>
      </c>
      <c r="AD8640" s="21" t="s">
        <v>368</v>
      </c>
      <c r="AE8640" t="str">
        <f>VLOOKUP(Table_Query_from_Actuarial___Production3[[#This Row],[Kor1]],$AI$3:$AK$105,3,FALSE)</f>
        <v>Charge-offs</v>
      </c>
      <c r="AF8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1" spans="18:32" x14ac:dyDescent="0.2">
      <c r="R8641" t="s">
        <v>14</v>
      </c>
      <c r="S8641" t="s">
        <v>4</v>
      </c>
      <c r="T8641" t="s">
        <v>433</v>
      </c>
      <c r="U8641" s="21">
        <v>4602187.75</v>
      </c>
      <c r="V8641" s="21" t="s">
        <v>368</v>
      </c>
      <c r="W8641" t="str">
        <f>VLOOKUP(Table_Query_from_Actuarial___Production[[#This Row],[Kor1]],$AI$3:$AK$105,3,FALSE)</f>
        <v>Claims Expense</v>
      </c>
      <c r="X8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1"/>
      <c r="Z8641" t="s">
        <v>12</v>
      </c>
      <c r="AA8641" t="s">
        <v>263</v>
      </c>
      <c r="AB8641" t="s">
        <v>8</v>
      </c>
      <c r="AC8641" s="21">
        <v>8469.4</v>
      </c>
      <c r="AD8641" s="21" t="s">
        <v>368</v>
      </c>
      <c r="AE8641" t="str">
        <f>VLOOKUP(Table_Query_from_Actuarial___Production3[[#This Row],[Kor1]],$AI$3:$AK$105,3,FALSE)</f>
        <v>Premium Tax</v>
      </c>
      <c r="AF8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2" spans="18:32" x14ac:dyDescent="0.2">
      <c r="R8642" t="s">
        <v>13</v>
      </c>
      <c r="S8642" t="s">
        <v>226</v>
      </c>
      <c r="T8642" t="s">
        <v>9</v>
      </c>
      <c r="U8642" s="21">
        <v>1318768.18</v>
      </c>
      <c r="V8642" s="21" t="s">
        <v>368</v>
      </c>
      <c r="W8642" t="str">
        <f>VLOOKUP(Table_Query_from_Actuarial___Production[[#This Row],[Kor1]],$AI$3:$AK$105,3,FALSE)</f>
        <v>Operating Service Fees</v>
      </c>
      <c r="X8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642"/>
      <c r="Z8642" t="s">
        <v>144</v>
      </c>
      <c r="AA8642" t="s">
        <v>224</v>
      </c>
      <c r="AB8642" t="s">
        <v>427</v>
      </c>
      <c r="AC8642" s="21">
        <v>-10200</v>
      </c>
      <c r="AD8642" s="21" t="s">
        <v>370</v>
      </c>
      <c r="AE8642" t="str">
        <f>VLOOKUP(Table_Query_from_Actuarial___Production3[[#This Row],[Kor1]],$AI$3:$AK$105,3,FALSE)</f>
        <v>Claims Expense</v>
      </c>
      <c r="AF8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643" spans="18:32" x14ac:dyDescent="0.2">
      <c r="R8643" t="s">
        <v>21</v>
      </c>
      <c r="S8643" t="s">
        <v>262</v>
      </c>
      <c r="T8643" t="s">
        <v>356</v>
      </c>
      <c r="U8643" s="21">
        <v>702.24</v>
      </c>
      <c r="V8643" s="21" t="s">
        <v>368</v>
      </c>
      <c r="W8643" t="str">
        <f>VLOOKUP(Table_Query_from_Actuarial___Production[[#This Row],[Kor1]],$AI$3:$AK$105,3,FALSE)</f>
        <v>Misc. Expense</v>
      </c>
      <c r="X8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3"/>
      <c r="Z8643" t="s">
        <v>13</v>
      </c>
      <c r="AA8643" t="s">
        <v>249</v>
      </c>
      <c r="AB8643" t="s">
        <v>433</v>
      </c>
      <c r="AC8643" s="21">
        <v>124063.42</v>
      </c>
      <c r="AD8643" s="21" t="s">
        <v>368</v>
      </c>
      <c r="AE8643" t="str">
        <f>VLOOKUP(Table_Query_from_Actuarial___Production3[[#This Row],[Kor1]],$AI$3:$AK$105,3,FALSE)</f>
        <v>Operating Service Fees</v>
      </c>
      <c r="AF8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4" spans="18:32" x14ac:dyDescent="0.2">
      <c r="R8644" t="s">
        <v>44</v>
      </c>
      <c r="S8644" t="s">
        <v>232</v>
      </c>
      <c r="T8644" t="s">
        <v>441</v>
      </c>
      <c r="U8644" s="21">
        <v>46416.47</v>
      </c>
      <c r="V8644" s="21" t="s">
        <v>368</v>
      </c>
      <c r="W8644" t="str">
        <f>VLOOKUP(Table_Query_from_Actuarial___Production[[#This Row],[Kor1]],$AI$3:$AK$105,3,FALSE)</f>
        <v>Charge-offs</v>
      </c>
      <c r="X8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4"/>
      <c r="Z8644" t="s">
        <v>16</v>
      </c>
      <c r="AA8644" t="s">
        <v>230</v>
      </c>
      <c r="AB8644" t="s">
        <v>427</v>
      </c>
      <c r="AC8644" s="21">
        <v>2832887.67</v>
      </c>
      <c r="AD8644" s="21" t="s">
        <v>368</v>
      </c>
      <c r="AE8644" t="str">
        <f>VLOOKUP(Table_Query_from_Actuarial___Production3[[#This Row],[Kor1]],$AI$3:$AK$105,3,FALSE)</f>
        <v>Losses Outstanding</v>
      </c>
      <c r="AF8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5" spans="18:32" x14ac:dyDescent="0.2">
      <c r="R8645" t="s">
        <v>47</v>
      </c>
      <c r="S8645" t="s">
        <v>262</v>
      </c>
      <c r="T8645" t="s">
        <v>443</v>
      </c>
      <c r="U8645" s="21">
        <v>6353.7</v>
      </c>
      <c r="V8645" s="21" t="s">
        <v>368</v>
      </c>
      <c r="W8645" t="str">
        <f>VLOOKUP(Table_Query_from_Actuarial___Production[[#This Row],[Kor1]],$AI$3:$AK$105,3,FALSE)</f>
        <v>Investment Income</v>
      </c>
      <c r="X8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5"/>
      <c r="Z8645" t="s">
        <v>12</v>
      </c>
      <c r="AA8645" t="s">
        <v>237</v>
      </c>
      <c r="AB8645" t="s">
        <v>443</v>
      </c>
      <c r="AC8645" s="21">
        <v>545427.11</v>
      </c>
      <c r="AD8645" s="21" t="s">
        <v>368</v>
      </c>
      <c r="AE8645" t="str">
        <f>VLOOKUP(Table_Query_from_Actuarial___Production3[[#This Row],[Kor1]],$AI$3:$AK$105,3,FALSE)</f>
        <v>Premium Tax</v>
      </c>
      <c r="AF8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6" spans="18:32" x14ac:dyDescent="0.2">
      <c r="R8646" t="s">
        <v>31</v>
      </c>
      <c r="S8646" t="s">
        <v>229</v>
      </c>
      <c r="T8646" t="s">
        <v>443</v>
      </c>
      <c r="U8646" s="21">
        <v>1041.18</v>
      </c>
      <c r="V8646" s="21" t="s">
        <v>368</v>
      </c>
      <c r="W8646" t="str">
        <f>VLOOKUP(Table_Query_from_Actuarial___Production[[#This Row],[Kor1]],$AI$3:$AK$105,3,FALSE)</f>
        <v>Misc. Expense</v>
      </c>
      <c r="X8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6"/>
      <c r="Z8646" t="s">
        <v>39</v>
      </c>
      <c r="AA8646" t="s">
        <v>248</v>
      </c>
      <c r="AB8646" t="s">
        <v>433</v>
      </c>
      <c r="AC8646" s="21">
        <v>1155</v>
      </c>
      <c r="AD8646" s="21" t="s">
        <v>368</v>
      </c>
      <c r="AE8646" t="str">
        <f>VLOOKUP(Table_Query_from_Actuarial___Production3[[#This Row],[Kor1]],$AI$3:$AK$105,3,FALSE)</f>
        <v>Misc. Income for Insolvent Companies</v>
      </c>
      <c r="AF8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7" spans="18:32" x14ac:dyDescent="0.2">
      <c r="R8647" t="s">
        <v>14</v>
      </c>
      <c r="S8647" t="s">
        <v>248</v>
      </c>
      <c r="T8647" t="s">
        <v>356</v>
      </c>
      <c r="U8647" s="21">
        <v>14507.75</v>
      </c>
      <c r="V8647" s="21" t="s">
        <v>368</v>
      </c>
      <c r="W8647" t="str">
        <f>VLOOKUP(Table_Query_from_Actuarial___Production[[#This Row],[Kor1]],$AI$3:$AK$105,3,FALSE)</f>
        <v>Claims Expense</v>
      </c>
      <c r="X8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7"/>
      <c r="Z8647" t="s">
        <v>49</v>
      </c>
      <c r="AA8647" t="s">
        <v>261</v>
      </c>
      <c r="AB8647" t="s">
        <v>9</v>
      </c>
      <c r="AC8647" s="21">
        <v>58242.91</v>
      </c>
      <c r="AD8647" s="21" t="s">
        <v>368</v>
      </c>
      <c r="AE8647" t="str">
        <f>VLOOKUP(Table_Query_from_Actuarial___Production3[[#This Row],[Kor1]],$AI$3:$AK$105,3,FALSE)</f>
        <v>ALAE Paid</v>
      </c>
      <c r="AF8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48" spans="18:32" x14ac:dyDescent="0.2">
      <c r="R8648" t="s">
        <v>12</v>
      </c>
      <c r="S8648" t="s">
        <v>239</v>
      </c>
      <c r="T8648" t="s">
        <v>356</v>
      </c>
      <c r="U8648" s="21">
        <v>10344.780000000001</v>
      </c>
      <c r="V8648" s="21" t="s">
        <v>368</v>
      </c>
      <c r="W8648" t="str">
        <f>VLOOKUP(Table_Query_from_Actuarial___Production[[#This Row],[Kor1]],$AI$3:$AK$105,3,FALSE)</f>
        <v>Premium Tax</v>
      </c>
      <c r="X8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8"/>
      <c r="Z8648" t="s">
        <v>38</v>
      </c>
      <c r="AA8648" t="s">
        <v>225</v>
      </c>
      <c r="AB8648" t="s">
        <v>427</v>
      </c>
      <c r="AC8648" s="21">
        <v>375109.27</v>
      </c>
      <c r="AD8648" s="21" t="s">
        <v>368</v>
      </c>
      <c r="AE8648" t="str">
        <f>VLOOKUP(Table_Query_from_Actuarial___Production3[[#This Row],[Kor1]],$AI$3:$AK$105,3,FALSE)</f>
        <v>Misc. Income</v>
      </c>
      <c r="AF8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649" spans="18:32" x14ac:dyDescent="0.2">
      <c r="R8649" t="s">
        <v>31</v>
      </c>
      <c r="S8649" t="s">
        <v>236</v>
      </c>
      <c r="T8649" t="s">
        <v>351</v>
      </c>
      <c r="U8649" s="21">
        <v>847.07</v>
      </c>
      <c r="V8649" s="21" t="s">
        <v>368</v>
      </c>
      <c r="W8649" t="str">
        <f>VLOOKUP(Table_Query_from_Actuarial___Production[[#This Row],[Kor1]],$AI$3:$AK$105,3,FALSE)</f>
        <v>Misc. Expense</v>
      </c>
      <c r="X8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49"/>
      <c r="Z8649" t="s">
        <v>40</v>
      </c>
      <c r="AA8649" t="s">
        <v>245</v>
      </c>
      <c r="AB8649" t="s">
        <v>351</v>
      </c>
      <c r="AC8649" s="21">
        <v>107</v>
      </c>
      <c r="AD8649" s="21" t="s">
        <v>368</v>
      </c>
      <c r="AE8649" t="str">
        <f>VLOOKUP(Table_Query_from_Actuarial___Production3[[#This Row],[Kor1]],$AI$3:$AK$105,3,FALSE)</f>
        <v>Misc. Income</v>
      </c>
      <c r="AF8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0" spans="18:32" x14ac:dyDescent="0.2">
      <c r="R8650" t="s">
        <v>33</v>
      </c>
      <c r="S8650" t="s">
        <v>4</v>
      </c>
      <c r="T8650" t="s">
        <v>427</v>
      </c>
      <c r="U8650" s="21">
        <v>49456.76</v>
      </c>
      <c r="V8650" s="21" t="s">
        <v>368</v>
      </c>
      <c r="W8650" t="str">
        <f>VLOOKUP(Table_Query_from_Actuarial___Production[[#This Row],[Kor1]],$AI$3:$AK$105,3,FALSE)</f>
        <v>Misc. Expense</v>
      </c>
      <c r="X8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0"/>
      <c r="Z8650" t="s">
        <v>41</v>
      </c>
      <c r="AA8650" t="s">
        <v>243</v>
      </c>
      <c r="AB8650" t="s">
        <v>7</v>
      </c>
      <c r="AC8650" s="21">
        <v>99.99</v>
      </c>
      <c r="AD8650" s="21" t="s">
        <v>368</v>
      </c>
      <c r="AE8650" t="str">
        <f>VLOOKUP(Table_Query_from_Actuarial___Production3[[#This Row],[Kor1]],$AI$3:$AK$105,3,FALSE)</f>
        <v>Misc. Income</v>
      </c>
      <c r="AF8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1" spans="18:32" x14ac:dyDescent="0.2">
      <c r="R8651" t="s">
        <v>39</v>
      </c>
      <c r="S8651" t="s">
        <v>253</v>
      </c>
      <c r="T8651" t="s">
        <v>427</v>
      </c>
      <c r="U8651" s="21">
        <v>1</v>
      </c>
      <c r="V8651" s="21" t="s">
        <v>368</v>
      </c>
      <c r="W8651" t="str">
        <f>VLOOKUP(Table_Query_from_Actuarial___Production[[#This Row],[Kor1]],$AI$3:$AK$105,3,FALSE)</f>
        <v>Misc. Income for Insolvent Companies</v>
      </c>
      <c r="X8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1"/>
      <c r="Z8651" t="s">
        <v>34</v>
      </c>
      <c r="AA8651" t="s">
        <v>4</v>
      </c>
      <c r="AB8651" t="s">
        <v>5</v>
      </c>
      <c r="AC8651" s="21">
        <v>353.15</v>
      </c>
      <c r="AD8651" s="21" t="s">
        <v>368</v>
      </c>
      <c r="AE8651" t="str">
        <f>VLOOKUP(Table_Query_from_Actuarial___Production3[[#This Row],[Kor1]],$AI$3:$AK$105,3,FALSE)</f>
        <v>Misc. Expense</v>
      </c>
      <c r="AF8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2" spans="18:32" x14ac:dyDescent="0.2">
      <c r="R8652" t="s">
        <v>41</v>
      </c>
      <c r="S8652" t="s">
        <v>252</v>
      </c>
      <c r="T8652" t="s">
        <v>356</v>
      </c>
      <c r="U8652" s="21">
        <v>4488.07</v>
      </c>
      <c r="V8652" s="21" t="s">
        <v>368</v>
      </c>
      <c r="W8652" t="str">
        <f>VLOOKUP(Table_Query_from_Actuarial___Production[[#This Row],[Kor1]],$AI$3:$AK$105,3,FALSE)</f>
        <v>Misc. Income</v>
      </c>
      <c r="X8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2"/>
      <c r="Z8652" t="s">
        <v>38</v>
      </c>
      <c r="AA8652" t="s">
        <v>354</v>
      </c>
      <c r="AB8652" t="s">
        <v>441</v>
      </c>
      <c r="AC8652" s="21">
        <v>205864.57</v>
      </c>
      <c r="AD8652" s="21" t="s">
        <v>369</v>
      </c>
      <c r="AE8652" t="str">
        <f>VLOOKUP(Table_Query_from_Actuarial___Production3[[#This Row],[Kor1]],$AI$3:$AK$105,3,FALSE)</f>
        <v>Misc. Income</v>
      </c>
      <c r="AF8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653" spans="18:32" x14ac:dyDescent="0.2">
      <c r="R8653" t="s">
        <v>50</v>
      </c>
      <c r="S8653" t="s">
        <v>234</v>
      </c>
      <c r="T8653" t="s">
        <v>427</v>
      </c>
      <c r="U8653" s="21">
        <v>11444.45</v>
      </c>
      <c r="V8653" s="21" t="s">
        <v>368</v>
      </c>
      <c r="W8653" t="str">
        <f>VLOOKUP(Table_Query_from_Actuarial___Production[[#This Row],[Kor1]],$AI$3:$AK$105,3,FALSE)</f>
        <v>ALAE Reserve</v>
      </c>
      <c r="X8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3"/>
      <c r="Z8653" t="s">
        <v>16</v>
      </c>
      <c r="AA8653" t="s">
        <v>354</v>
      </c>
      <c r="AB8653" t="s">
        <v>427</v>
      </c>
      <c r="AC8653" s="21">
        <v>11116103.1</v>
      </c>
      <c r="AD8653" s="21" t="s">
        <v>369</v>
      </c>
      <c r="AE8653" t="str">
        <f>VLOOKUP(Table_Query_from_Actuarial___Production3[[#This Row],[Kor1]],$AI$3:$AK$105,3,FALSE)</f>
        <v>Losses Outstanding</v>
      </c>
      <c r="AF8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654" spans="18:32" x14ac:dyDescent="0.2">
      <c r="R8654" t="s">
        <v>14</v>
      </c>
      <c r="S8654" t="s">
        <v>224</v>
      </c>
      <c r="T8654" t="s">
        <v>9</v>
      </c>
      <c r="U8654" s="21">
        <v>238877.72</v>
      </c>
      <c r="V8654" s="21" t="s">
        <v>370</v>
      </c>
      <c r="W8654" t="str">
        <f>VLOOKUP(Table_Query_from_Actuarial___Production[[#This Row],[Kor1]],$AI$3:$AK$105,3,FALSE)</f>
        <v>Claims Expense</v>
      </c>
      <c r="X8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654"/>
      <c r="Z8654" t="s">
        <v>44</v>
      </c>
      <c r="AA8654" t="s">
        <v>252</v>
      </c>
      <c r="AB8654" t="s">
        <v>6</v>
      </c>
      <c r="AC8654" s="21">
        <v>810101.48</v>
      </c>
      <c r="AD8654" s="21" t="s">
        <v>368</v>
      </c>
      <c r="AE8654" t="str">
        <f>VLOOKUP(Table_Query_from_Actuarial___Production3[[#This Row],[Kor1]],$AI$3:$AK$105,3,FALSE)</f>
        <v>Charge-offs</v>
      </c>
      <c r="AF8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5" spans="18:32" x14ac:dyDescent="0.2">
      <c r="R8655" t="s">
        <v>3</v>
      </c>
      <c r="S8655" t="s">
        <v>267</v>
      </c>
      <c r="T8655" t="s">
        <v>8</v>
      </c>
      <c r="U8655" s="21">
        <v>416675</v>
      </c>
      <c r="V8655" s="21" t="s">
        <v>368</v>
      </c>
      <c r="W8655" t="str">
        <f>VLOOKUP(Table_Query_from_Actuarial___Production[[#This Row],[Kor1]],$AI$3:$AK$105,3,FALSE)</f>
        <v>Premiums Written</v>
      </c>
      <c r="X8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5"/>
      <c r="Z8655" t="s">
        <v>14</v>
      </c>
      <c r="AA8655" t="s">
        <v>4</v>
      </c>
      <c r="AB8655" t="s">
        <v>433</v>
      </c>
      <c r="AC8655" s="21">
        <v>4603189.41</v>
      </c>
      <c r="AD8655" s="21" t="s">
        <v>368</v>
      </c>
      <c r="AE8655" t="str">
        <f>VLOOKUP(Table_Query_from_Actuarial___Production3[[#This Row],[Kor1]],$AI$3:$AK$105,3,FALSE)</f>
        <v>Claims Expense</v>
      </c>
      <c r="AF8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6" spans="18:32" x14ac:dyDescent="0.2">
      <c r="R8656" t="s">
        <v>50</v>
      </c>
      <c r="S8656" t="s">
        <v>241</v>
      </c>
      <c r="T8656" t="s">
        <v>442</v>
      </c>
      <c r="U8656" s="21">
        <v>407.86</v>
      </c>
      <c r="V8656" s="21" t="s">
        <v>368</v>
      </c>
      <c r="W8656" t="str">
        <f>VLOOKUP(Table_Query_from_Actuarial___Production[[#This Row],[Kor1]],$AI$3:$AK$105,3,FALSE)</f>
        <v>ALAE Reserve</v>
      </c>
      <c r="X8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6"/>
      <c r="Z8656" t="s">
        <v>13</v>
      </c>
      <c r="AA8656" t="s">
        <v>226</v>
      </c>
      <c r="AB8656" t="s">
        <v>9</v>
      </c>
      <c r="AC8656" s="21">
        <v>1318768.18</v>
      </c>
      <c r="AD8656" s="21" t="s">
        <v>368</v>
      </c>
      <c r="AE8656" t="str">
        <f>VLOOKUP(Table_Query_from_Actuarial___Production3[[#This Row],[Kor1]],$AI$3:$AK$105,3,FALSE)</f>
        <v>Operating Service Fees</v>
      </c>
      <c r="AF8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657" spans="18:32" x14ac:dyDescent="0.2">
      <c r="R8657" t="s">
        <v>11</v>
      </c>
      <c r="S8657" t="s">
        <v>225</v>
      </c>
      <c r="T8657" t="s">
        <v>6</v>
      </c>
      <c r="U8657" s="21">
        <v>6493047.0800000001</v>
      </c>
      <c r="V8657" s="21" t="s">
        <v>369</v>
      </c>
      <c r="W8657" t="str">
        <f>VLOOKUP(Table_Query_from_Actuarial___Production[[#This Row],[Kor1]],$AI$3:$AK$105,3,FALSE)</f>
        <v>Losses Paid</v>
      </c>
      <c r="X8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657"/>
      <c r="Z8657" t="s">
        <v>21</v>
      </c>
      <c r="AA8657" t="s">
        <v>262</v>
      </c>
      <c r="AB8657" t="s">
        <v>356</v>
      </c>
      <c r="AC8657" s="21">
        <v>702.24</v>
      </c>
      <c r="AD8657" s="21" t="s">
        <v>368</v>
      </c>
      <c r="AE8657" t="str">
        <f>VLOOKUP(Table_Query_from_Actuarial___Production3[[#This Row],[Kor1]],$AI$3:$AK$105,3,FALSE)</f>
        <v>Misc. Expense</v>
      </c>
      <c r="AF8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8" spans="18:32" x14ac:dyDescent="0.2">
      <c r="R8658" t="s">
        <v>3</v>
      </c>
      <c r="S8658" t="s">
        <v>257</v>
      </c>
      <c r="T8658" t="s">
        <v>445</v>
      </c>
      <c r="U8658" s="21">
        <v>1048563</v>
      </c>
      <c r="V8658" s="21" t="s">
        <v>368</v>
      </c>
      <c r="W8658" t="str">
        <f>VLOOKUP(Table_Query_from_Actuarial___Production[[#This Row],[Kor1]],$AI$3:$AK$105,3,FALSE)</f>
        <v>Premiums Written</v>
      </c>
      <c r="X8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8"/>
      <c r="Z8658" t="s">
        <v>44</v>
      </c>
      <c r="AA8658" t="s">
        <v>232</v>
      </c>
      <c r="AB8658" t="s">
        <v>441</v>
      </c>
      <c r="AC8658" s="21">
        <v>48416.47</v>
      </c>
      <c r="AD8658" s="21" t="s">
        <v>368</v>
      </c>
      <c r="AE8658" t="str">
        <f>VLOOKUP(Table_Query_from_Actuarial___Production3[[#This Row],[Kor1]],$AI$3:$AK$105,3,FALSE)</f>
        <v>Charge-offs</v>
      </c>
      <c r="AF8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59" spans="18:32" x14ac:dyDescent="0.2">
      <c r="R8659" t="s">
        <v>31</v>
      </c>
      <c r="S8659" t="s">
        <v>246</v>
      </c>
      <c r="T8659" t="s">
        <v>7</v>
      </c>
      <c r="U8659" s="21">
        <v>1507.48</v>
      </c>
      <c r="V8659" s="21" t="s">
        <v>368</v>
      </c>
      <c r="W8659" t="str">
        <f>VLOOKUP(Table_Query_from_Actuarial___Production[[#This Row],[Kor1]],$AI$3:$AK$105,3,FALSE)</f>
        <v>Misc. Expense</v>
      </c>
      <c r="X8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59"/>
      <c r="Z8659" t="s">
        <v>47</v>
      </c>
      <c r="AA8659" t="s">
        <v>262</v>
      </c>
      <c r="AB8659" t="s">
        <v>443</v>
      </c>
      <c r="AC8659" s="21">
        <v>1203</v>
      </c>
      <c r="AD8659" s="21" t="s">
        <v>368</v>
      </c>
      <c r="AE8659" t="str">
        <f>VLOOKUP(Table_Query_from_Actuarial___Production3[[#This Row],[Kor1]],$AI$3:$AK$105,3,FALSE)</f>
        <v>Investment Income</v>
      </c>
      <c r="AF8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0" spans="18:32" x14ac:dyDescent="0.2">
      <c r="R8660" t="s">
        <v>13</v>
      </c>
      <c r="S8660" t="s">
        <v>227</v>
      </c>
      <c r="T8660" t="s">
        <v>441</v>
      </c>
      <c r="U8660" s="21">
        <v>13294.73</v>
      </c>
      <c r="V8660" s="21" t="s">
        <v>368</v>
      </c>
      <c r="W8660" t="str">
        <f>VLOOKUP(Table_Query_from_Actuarial___Production[[#This Row],[Kor1]],$AI$3:$AK$105,3,FALSE)</f>
        <v>Operating Service Fees</v>
      </c>
      <c r="X8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0"/>
      <c r="Z8660" t="s">
        <v>31</v>
      </c>
      <c r="AA8660" t="s">
        <v>229</v>
      </c>
      <c r="AB8660" t="s">
        <v>443</v>
      </c>
      <c r="AC8660" s="21">
        <v>797.57</v>
      </c>
      <c r="AD8660" s="21" t="s">
        <v>368</v>
      </c>
      <c r="AE8660" t="str">
        <f>VLOOKUP(Table_Query_from_Actuarial___Production3[[#This Row],[Kor1]],$AI$3:$AK$105,3,FALSE)</f>
        <v>Misc. Expense</v>
      </c>
      <c r="AF8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1" spans="18:32" x14ac:dyDescent="0.2">
      <c r="R8661" t="s">
        <v>43</v>
      </c>
      <c r="S8661" t="s">
        <v>251</v>
      </c>
      <c r="T8661" t="s">
        <v>441</v>
      </c>
      <c r="U8661" s="21">
        <v>-224.22</v>
      </c>
      <c r="V8661" s="21" t="s">
        <v>368</v>
      </c>
      <c r="W8661" t="str">
        <f>VLOOKUP(Table_Query_from_Actuarial___Production[[#This Row],[Kor1]],$AI$3:$AK$105,3,FALSE)</f>
        <v>Charge-offs</v>
      </c>
      <c r="X8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1"/>
      <c r="Z8661" t="s">
        <v>14</v>
      </c>
      <c r="AA8661" t="s">
        <v>248</v>
      </c>
      <c r="AB8661" t="s">
        <v>356</v>
      </c>
      <c r="AC8661" s="21">
        <v>14507.75</v>
      </c>
      <c r="AD8661" s="21" t="s">
        <v>368</v>
      </c>
      <c r="AE8661" t="str">
        <f>VLOOKUP(Table_Query_from_Actuarial___Production3[[#This Row],[Kor1]],$AI$3:$AK$105,3,FALSE)</f>
        <v>Claims Expense</v>
      </c>
      <c r="AF8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2" spans="18:32" x14ac:dyDescent="0.2">
      <c r="R8662" t="s">
        <v>41</v>
      </c>
      <c r="S8662" t="s">
        <v>255</v>
      </c>
      <c r="T8662" t="s">
        <v>356</v>
      </c>
      <c r="U8662" s="21">
        <v>100</v>
      </c>
      <c r="V8662" s="21" t="s">
        <v>368</v>
      </c>
      <c r="W8662" t="str">
        <f>VLOOKUP(Table_Query_from_Actuarial___Production[[#This Row],[Kor1]],$AI$3:$AK$105,3,FALSE)</f>
        <v>Misc. Income</v>
      </c>
      <c r="X8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2"/>
      <c r="Z8662" t="s">
        <v>12</v>
      </c>
      <c r="AA8662" t="s">
        <v>239</v>
      </c>
      <c r="AB8662" t="s">
        <v>356</v>
      </c>
      <c r="AC8662" s="21">
        <v>10344.780000000001</v>
      </c>
      <c r="AD8662" s="21" t="s">
        <v>368</v>
      </c>
      <c r="AE8662" t="str">
        <f>VLOOKUP(Table_Query_from_Actuarial___Production3[[#This Row],[Kor1]],$AI$3:$AK$105,3,FALSE)</f>
        <v>Premium Tax</v>
      </c>
      <c r="AF8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3" spans="18:32" x14ac:dyDescent="0.2">
      <c r="R8663" t="s">
        <v>46</v>
      </c>
      <c r="S8663" t="s">
        <v>226</v>
      </c>
      <c r="T8663" t="s">
        <v>445</v>
      </c>
      <c r="U8663" s="21">
        <v>228054.45</v>
      </c>
      <c r="V8663" s="21" t="s">
        <v>368</v>
      </c>
      <c r="W8663" t="str">
        <f>VLOOKUP(Table_Query_from_Actuarial___Production[[#This Row],[Kor1]],$AI$3:$AK$105,3,FALSE)</f>
        <v>Investment Income</v>
      </c>
      <c r="X8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663"/>
      <c r="Z8663" t="s">
        <v>33</v>
      </c>
      <c r="AA8663" t="s">
        <v>232</v>
      </c>
      <c r="AB8663" t="s">
        <v>5</v>
      </c>
      <c r="AC8663" s="21">
        <v>17185.68</v>
      </c>
      <c r="AD8663" s="21" t="s">
        <v>368</v>
      </c>
      <c r="AE8663" t="str">
        <f>VLOOKUP(Table_Query_from_Actuarial___Production3[[#This Row],[Kor1]],$AI$3:$AK$105,3,FALSE)</f>
        <v>Misc. Expense</v>
      </c>
      <c r="AF8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4" spans="18:32" x14ac:dyDescent="0.2">
      <c r="R8664" t="s">
        <v>10</v>
      </c>
      <c r="S8664" t="s">
        <v>254</v>
      </c>
      <c r="T8664" t="s">
        <v>9</v>
      </c>
      <c r="U8664" s="21">
        <v>114337.7</v>
      </c>
      <c r="V8664" s="21" t="s">
        <v>368</v>
      </c>
      <c r="W8664" t="str">
        <f>VLOOKUP(Table_Query_from_Actuarial___Production[[#This Row],[Kor1]],$AI$3:$AK$105,3,FALSE)</f>
        <v>Commissions</v>
      </c>
      <c r="X8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4"/>
      <c r="Z8664" t="s">
        <v>147</v>
      </c>
      <c r="AA8664" t="s">
        <v>354</v>
      </c>
      <c r="AB8664" t="s">
        <v>5</v>
      </c>
      <c r="AC8664" s="21">
        <v>52037.88</v>
      </c>
      <c r="AD8664" s="21" t="s">
        <v>369</v>
      </c>
      <c r="AE8664" t="str">
        <f>VLOOKUP(Table_Query_from_Actuarial___Production3[[#This Row],[Kor1]],$AI$3:$AK$105,3,FALSE)</f>
        <v>Investment Impairments</v>
      </c>
      <c r="AF8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665" spans="18:32" x14ac:dyDescent="0.2">
      <c r="R8665" t="s">
        <v>35</v>
      </c>
      <c r="S8665" t="s">
        <v>4</v>
      </c>
      <c r="T8665" t="s">
        <v>7</v>
      </c>
      <c r="U8665" s="21">
        <v>5.1100000000000003</v>
      </c>
      <c r="V8665" s="21" t="s">
        <v>368</v>
      </c>
      <c r="W8665" t="str">
        <f>VLOOKUP(Table_Query_from_Actuarial___Production[[#This Row],[Kor1]],$AI$3:$AK$105,3,FALSE)</f>
        <v>Misc. Expense</v>
      </c>
      <c r="X8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5"/>
      <c r="Z8665" t="s">
        <v>13</v>
      </c>
      <c r="AA8665" t="s">
        <v>227</v>
      </c>
      <c r="AB8665" t="s">
        <v>5</v>
      </c>
      <c r="AC8665" s="21">
        <v>50064.31</v>
      </c>
      <c r="AD8665" s="21" t="s">
        <v>368</v>
      </c>
      <c r="AE8665" t="str">
        <f>VLOOKUP(Table_Query_from_Actuarial___Production3[[#This Row],[Kor1]],$AI$3:$AK$105,3,FALSE)</f>
        <v>Operating Service Fees</v>
      </c>
      <c r="AF8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6" spans="18:32" x14ac:dyDescent="0.2">
      <c r="R8666" t="s">
        <v>41</v>
      </c>
      <c r="S8666" t="s">
        <v>259</v>
      </c>
      <c r="T8666" t="s">
        <v>351</v>
      </c>
      <c r="U8666" s="21">
        <v>600.01</v>
      </c>
      <c r="V8666" s="21" t="s">
        <v>368</v>
      </c>
      <c r="W8666" t="str">
        <f>VLOOKUP(Table_Query_from_Actuarial___Production[[#This Row],[Kor1]],$AI$3:$AK$105,3,FALSE)</f>
        <v>Misc. Income</v>
      </c>
      <c r="X8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6"/>
      <c r="Z8666" t="s">
        <v>31</v>
      </c>
      <c r="AA8666" t="s">
        <v>236</v>
      </c>
      <c r="AB8666" t="s">
        <v>351</v>
      </c>
      <c r="AC8666" s="21">
        <v>847.07</v>
      </c>
      <c r="AD8666" s="21" t="s">
        <v>368</v>
      </c>
      <c r="AE8666" t="str">
        <f>VLOOKUP(Table_Query_from_Actuarial___Production3[[#This Row],[Kor1]],$AI$3:$AK$105,3,FALSE)</f>
        <v>Misc. Expense</v>
      </c>
      <c r="AF8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7" spans="18:32" x14ac:dyDescent="0.2">
      <c r="R8667" t="s">
        <v>12</v>
      </c>
      <c r="S8667" t="s">
        <v>231</v>
      </c>
      <c r="T8667" t="s">
        <v>7</v>
      </c>
      <c r="U8667" s="21">
        <v>1970.02</v>
      </c>
      <c r="V8667" s="21" t="s">
        <v>368</v>
      </c>
      <c r="W8667" t="str">
        <f>VLOOKUP(Table_Query_from_Actuarial___Production[[#This Row],[Kor1]],$AI$3:$AK$105,3,FALSE)</f>
        <v>Premium Tax</v>
      </c>
      <c r="X8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7"/>
      <c r="Z8667" t="s">
        <v>33</v>
      </c>
      <c r="AA8667" t="s">
        <v>4</v>
      </c>
      <c r="AB8667" t="s">
        <v>427</v>
      </c>
      <c r="AC8667" s="21">
        <v>49456.76</v>
      </c>
      <c r="AD8667" s="21" t="s">
        <v>368</v>
      </c>
      <c r="AE8667" t="str">
        <f>VLOOKUP(Table_Query_from_Actuarial___Production3[[#This Row],[Kor1]],$AI$3:$AK$105,3,FALSE)</f>
        <v>Misc. Expense</v>
      </c>
      <c r="AF8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8" spans="18:32" x14ac:dyDescent="0.2">
      <c r="R8668" t="s">
        <v>47</v>
      </c>
      <c r="S8668" t="s">
        <v>257</v>
      </c>
      <c r="T8668" t="s">
        <v>356</v>
      </c>
      <c r="U8668" s="21">
        <v>34461.760000000002</v>
      </c>
      <c r="V8668" s="21" t="s">
        <v>368</v>
      </c>
      <c r="W8668" t="str">
        <f>VLOOKUP(Table_Query_from_Actuarial___Production[[#This Row],[Kor1]],$AI$3:$AK$105,3,FALSE)</f>
        <v>Investment Income</v>
      </c>
      <c r="X8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8"/>
      <c r="Z8668" t="s">
        <v>39</v>
      </c>
      <c r="AA8668" t="s">
        <v>253</v>
      </c>
      <c r="AB8668" t="s">
        <v>427</v>
      </c>
      <c r="AC8668" s="21">
        <v>1</v>
      </c>
      <c r="AD8668" s="21" t="s">
        <v>368</v>
      </c>
      <c r="AE8668" t="str">
        <f>VLOOKUP(Table_Query_from_Actuarial___Production3[[#This Row],[Kor1]],$AI$3:$AK$105,3,FALSE)</f>
        <v>Misc. Income for Insolvent Companies</v>
      </c>
      <c r="AF8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69" spans="18:32" x14ac:dyDescent="0.2">
      <c r="R8669" t="s">
        <v>13</v>
      </c>
      <c r="S8669" t="s">
        <v>228</v>
      </c>
      <c r="T8669" t="s">
        <v>441</v>
      </c>
      <c r="U8669" s="21">
        <v>105828.06</v>
      </c>
      <c r="V8669" s="21" t="s">
        <v>368</v>
      </c>
      <c r="W8669" t="str">
        <f>VLOOKUP(Table_Query_from_Actuarial___Production[[#This Row],[Kor1]],$AI$3:$AK$105,3,FALSE)</f>
        <v>Operating Service Fees</v>
      </c>
      <c r="X8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69"/>
      <c r="Z8669" t="s">
        <v>39</v>
      </c>
      <c r="AA8669" t="s">
        <v>231</v>
      </c>
      <c r="AB8669" t="s">
        <v>5</v>
      </c>
      <c r="AC8669" s="21">
        <v>14738.36</v>
      </c>
      <c r="AD8669" s="21" t="s">
        <v>368</v>
      </c>
      <c r="AE8669" t="str">
        <f>VLOOKUP(Table_Query_from_Actuarial___Production3[[#This Row],[Kor1]],$AI$3:$AK$105,3,FALSE)</f>
        <v>Misc. Income for Insolvent Companies</v>
      </c>
      <c r="AF8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0" spans="18:32" x14ac:dyDescent="0.2">
      <c r="R8670" t="s">
        <v>17</v>
      </c>
      <c r="S8670" t="s">
        <v>231</v>
      </c>
      <c r="T8670" t="s">
        <v>433</v>
      </c>
      <c r="U8670" s="21">
        <v>139257.26</v>
      </c>
      <c r="V8670" s="21" t="s">
        <v>368</v>
      </c>
      <c r="W8670" t="str">
        <f>VLOOKUP(Table_Query_from_Actuarial___Production[[#This Row],[Kor1]],$AI$3:$AK$105,3,FALSE)</f>
        <v>IBNR</v>
      </c>
      <c r="X8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0"/>
      <c r="Z8670" t="s">
        <v>41</v>
      </c>
      <c r="AA8670" t="s">
        <v>252</v>
      </c>
      <c r="AB8670" t="s">
        <v>356</v>
      </c>
      <c r="AC8670" s="21">
        <v>4488.07</v>
      </c>
      <c r="AD8670" s="21" t="s">
        <v>368</v>
      </c>
      <c r="AE8670" t="str">
        <f>VLOOKUP(Table_Query_from_Actuarial___Production3[[#This Row],[Kor1]],$AI$3:$AK$105,3,FALSE)</f>
        <v>Misc. Income</v>
      </c>
      <c r="AF8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1" spans="18:32" x14ac:dyDescent="0.2">
      <c r="R8671" t="s">
        <v>37</v>
      </c>
      <c r="S8671" t="s">
        <v>261</v>
      </c>
      <c r="T8671" t="s">
        <v>433</v>
      </c>
      <c r="U8671" s="21">
        <v>2.65</v>
      </c>
      <c r="V8671" s="21" t="s">
        <v>368</v>
      </c>
      <c r="W8671" t="str">
        <f>VLOOKUP(Table_Query_from_Actuarial___Production[[#This Row],[Kor1]],$AI$3:$AK$105,3,FALSE)</f>
        <v>Misc. Expense</v>
      </c>
      <c r="X8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1"/>
      <c r="Z8671" t="s">
        <v>50</v>
      </c>
      <c r="AA8671" t="s">
        <v>234</v>
      </c>
      <c r="AB8671" t="s">
        <v>427</v>
      </c>
      <c r="AC8671" s="21">
        <v>2825.71</v>
      </c>
      <c r="AD8671" s="21" t="s">
        <v>368</v>
      </c>
      <c r="AE8671" t="str">
        <f>VLOOKUP(Table_Query_from_Actuarial___Production3[[#This Row],[Kor1]],$AI$3:$AK$105,3,FALSE)</f>
        <v>ALAE Reserve</v>
      </c>
      <c r="AF8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2" spans="18:32" x14ac:dyDescent="0.2">
      <c r="R8672" t="s">
        <v>12</v>
      </c>
      <c r="S8672" t="s">
        <v>251</v>
      </c>
      <c r="T8672" t="s">
        <v>9</v>
      </c>
      <c r="U8672" s="21">
        <v>1907.79</v>
      </c>
      <c r="V8672" s="21" t="s">
        <v>368</v>
      </c>
      <c r="W8672" t="str">
        <f>VLOOKUP(Table_Query_from_Actuarial___Production[[#This Row],[Kor1]],$AI$3:$AK$105,3,FALSE)</f>
        <v>Premium Tax</v>
      </c>
      <c r="X8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2"/>
      <c r="Z8672" t="s">
        <v>14</v>
      </c>
      <c r="AA8672" t="s">
        <v>224</v>
      </c>
      <c r="AB8672" t="s">
        <v>9</v>
      </c>
      <c r="AC8672" s="21">
        <v>238877.72</v>
      </c>
      <c r="AD8672" s="21" t="s">
        <v>370</v>
      </c>
      <c r="AE8672" t="str">
        <f>VLOOKUP(Table_Query_from_Actuarial___Production3[[#This Row],[Kor1]],$AI$3:$AK$105,3,FALSE)</f>
        <v>Claims Expense</v>
      </c>
      <c r="AF8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673" spans="18:32" x14ac:dyDescent="0.2">
      <c r="R8673" t="s">
        <v>12</v>
      </c>
      <c r="S8673" t="s">
        <v>242</v>
      </c>
      <c r="T8673" t="s">
        <v>433</v>
      </c>
      <c r="U8673" s="21">
        <v>13207.52</v>
      </c>
      <c r="V8673" s="21" t="s">
        <v>368</v>
      </c>
      <c r="W8673" t="str">
        <f>VLOOKUP(Table_Query_from_Actuarial___Production[[#This Row],[Kor1]],$AI$3:$AK$105,3,FALSE)</f>
        <v>Premium Tax</v>
      </c>
      <c r="X8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3"/>
      <c r="Z8673" t="s">
        <v>3</v>
      </c>
      <c r="AA8673" t="s">
        <v>267</v>
      </c>
      <c r="AB8673" t="s">
        <v>8</v>
      </c>
      <c r="AC8673" s="21">
        <v>416675</v>
      </c>
      <c r="AD8673" s="21" t="s">
        <v>368</v>
      </c>
      <c r="AE8673" t="str">
        <f>VLOOKUP(Table_Query_from_Actuarial___Production3[[#This Row],[Kor1]],$AI$3:$AK$105,3,FALSE)</f>
        <v>Premiums Written</v>
      </c>
      <c r="AF8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4" spans="18:32" x14ac:dyDescent="0.2">
      <c r="R8674" t="s">
        <v>11</v>
      </c>
      <c r="S8674" t="s">
        <v>255</v>
      </c>
      <c r="T8674" t="s">
        <v>356</v>
      </c>
      <c r="U8674" s="21">
        <v>277433.36</v>
      </c>
      <c r="V8674" s="21" t="s">
        <v>368</v>
      </c>
      <c r="W8674" t="str">
        <f>VLOOKUP(Table_Query_from_Actuarial___Production[[#This Row],[Kor1]],$AI$3:$AK$105,3,FALSE)</f>
        <v>Losses Paid</v>
      </c>
      <c r="X8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4"/>
      <c r="Z8674" t="s">
        <v>15</v>
      </c>
      <c r="AA8674" t="s">
        <v>253</v>
      </c>
      <c r="AB8674" t="s">
        <v>442</v>
      </c>
      <c r="AC8674" s="21">
        <v>1633.95</v>
      </c>
      <c r="AD8674" s="21" t="s">
        <v>368</v>
      </c>
      <c r="AE8674" t="str">
        <f>VLOOKUP(Table_Query_from_Actuarial___Production3[[#This Row],[Kor1]],$AI$3:$AK$105,3,FALSE)</f>
        <v>Unearned Premiums</v>
      </c>
      <c r="AF8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5" spans="18:32" x14ac:dyDescent="0.2">
      <c r="R8675" t="s">
        <v>13</v>
      </c>
      <c r="S8675" t="s">
        <v>267</v>
      </c>
      <c r="T8675" t="s">
        <v>9</v>
      </c>
      <c r="U8675" s="21">
        <v>65976</v>
      </c>
      <c r="V8675" s="21" t="s">
        <v>368</v>
      </c>
      <c r="W8675" t="str">
        <f>VLOOKUP(Table_Query_from_Actuarial___Production[[#This Row],[Kor1]],$AI$3:$AK$105,3,FALSE)</f>
        <v>Operating Service Fees</v>
      </c>
      <c r="X8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5"/>
      <c r="Z8675" t="s">
        <v>50</v>
      </c>
      <c r="AA8675" t="s">
        <v>241</v>
      </c>
      <c r="AB8675" t="s">
        <v>442</v>
      </c>
      <c r="AC8675" s="21">
        <v>241.18</v>
      </c>
      <c r="AD8675" s="21" t="s">
        <v>368</v>
      </c>
      <c r="AE8675" t="str">
        <f>VLOOKUP(Table_Query_from_Actuarial___Production3[[#This Row],[Kor1]],$AI$3:$AK$105,3,FALSE)</f>
        <v>ALAE Reserve</v>
      </c>
      <c r="AF8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6" spans="18:32" x14ac:dyDescent="0.2">
      <c r="R8676" t="s">
        <v>14</v>
      </c>
      <c r="S8676" t="s">
        <v>249</v>
      </c>
      <c r="T8676" t="s">
        <v>9</v>
      </c>
      <c r="U8676" s="21">
        <v>29059.37</v>
      </c>
      <c r="V8676" s="21" t="s">
        <v>368</v>
      </c>
      <c r="W8676" t="str">
        <f>VLOOKUP(Table_Query_from_Actuarial___Production[[#This Row],[Kor1]],$AI$3:$AK$105,3,FALSE)</f>
        <v>Claims Expense</v>
      </c>
      <c r="X8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6"/>
      <c r="Z8676" t="s">
        <v>11</v>
      </c>
      <c r="AA8676" t="s">
        <v>225</v>
      </c>
      <c r="AB8676" t="s">
        <v>6</v>
      </c>
      <c r="AC8676" s="21">
        <v>6448804.7999999998</v>
      </c>
      <c r="AD8676" s="21" t="s">
        <v>369</v>
      </c>
      <c r="AE8676" t="str">
        <f>VLOOKUP(Table_Query_from_Actuarial___Production3[[#This Row],[Kor1]],$AI$3:$AK$105,3,FALSE)</f>
        <v>Losses Paid</v>
      </c>
      <c r="AF8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677" spans="18:32" x14ac:dyDescent="0.2">
      <c r="R8677" t="s">
        <v>16</v>
      </c>
      <c r="S8677" t="s">
        <v>267</v>
      </c>
      <c r="T8677" t="s">
        <v>443</v>
      </c>
      <c r="U8677" s="21">
        <v>129546.82</v>
      </c>
      <c r="V8677" s="21" t="s">
        <v>368</v>
      </c>
      <c r="W8677" t="str">
        <f>VLOOKUP(Table_Query_from_Actuarial___Production[[#This Row],[Kor1]],$AI$3:$AK$105,3,FALSE)</f>
        <v>Losses Outstanding</v>
      </c>
      <c r="X8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7"/>
      <c r="Z8677" t="s">
        <v>31</v>
      </c>
      <c r="AA8677" t="s">
        <v>246</v>
      </c>
      <c r="AB8677" t="s">
        <v>7</v>
      </c>
      <c r="AC8677" s="21">
        <v>1507.48</v>
      </c>
      <c r="AD8677" s="21" t="s">
        <v>368</v>
      </c>
      <c r="AE8677" t="str">
        <f>VLOOKUP(Table_Query_from_Actuarial___Production3[[#This Row],[Kor1]],$AI$3:$AK$105,3,FALSE)</f>
        <v>Misc. Expense</v>
      </c>
      <c r="AF8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8" spans="18:32" x14ac:dyDescent="0.2">
      <c r="R8678" t="s">
        <v>47</v>
      </c>
      <c r="S8678" t="s">
        <v>242</v>
      </c>
      <c r="T8678" t="s">
        <v>442</v>
      </c>
      <c r="U8678" s="21">
        <v>3324.85</v>
      </c>
      <c r="V8678" s="21" t="s">
        <v>368</v>
      </c>
      <c r="W8678" t="str">
        <f>VLOOKUP(Table_Query_from_Actuarial___Production[[#This Row],[Kor1]],$AI$3:$AK$105,3,FALSE)</f>
        <v>Investment Income</v>
      </c>
      <c r="X8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78"/>
      <c r="Z8678" t="s">
        <v>13</v>
      </c>
      <c r="AA8678" t="s">
        <v>227</v>
      </c>
      <c r="AB8678" t="s">
        <v>441</v>
      </c>
      <c r="AC8678" s="21">
        <v>13294.73</v>
      </c>
      <c r="AD8678" s="21" t="s">
        <v>368</v>
      </c>
      <c r="AE8678" t="str">
        <f>VLOOKUP(Table_Query_from_Actuarial___Production3[[#This Row],[Kor1]],$AI$3:$AK$105,3,FALSE)</f>
        <v>Operating Service Fees</v>
      </c>
      <c r="AF8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79" spans="18:32" x14ac:dyDescent="0.2">
      <c r="R8679" t="s">
        <v>17</v>
      </c>
      <c r="S8679" t="s">
        <v>224</v>
      </c>
      <c r="T8679" t="s">
        <v>445</v>
      </c>
      <c r="U8679" s="21">
        <v>165967.35999999999</v>
      </c>
      <c r="V8679" s="21" t="s">
        <v>368</v>
      </c>
      <c r="W8679" t="str">
        <f>VLOOKUP(Table_Query_from_Actuarial___Production[[#This Row],[Kor1]],$AI$3:$AK$105,3,FALSE)</f>
        <v>IBNR</v>
      </c>
      <c r="X8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679"/>
      <c r="Z8679" t="s">
        <v>43</v>
      </c>
      <c r="AA8679" t="s">
        <v>251</v>
      </c>
      <c r="AB8679" t="s">
        <v>441</v>
      </c>
      <c r="AC8679" s="21">
        <v>-224.22</v>
      </c>
      <c r="AD8679" s="21" t="s">
        <v>368</v>
      </c>
      <c r="AE8679" t="str">
        <f>VLOOKUP(Table_Query_from_Actuarial___Production3[[#This Row],[Kor1]],$AI$3:$AK$105,3,FALSE)</f>
        <v>Charge-offs</v>
      </c>
      <c r="AF8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0" spans="18:32" x14ac:dyDescent="0.2">
      <c r="R8680" t="s">
        <v>31</v>
      </c>
      <c r="S8680" t="s">
        <v>236</v>
      </c>
      <c r="T8680" t="s">
        <v>441</v>
      </c>
      <c r="U8680" s="21">
        <v>936.85</v>
      </c>
      <c r="V8680" s="21" t="s">
        <v>368</v>
      </c>
      <c r="W8680" t="str">
        <f>VLOOKUP(Table_Query_from_Actuarial___Production[[#This Row],[Kor1]],$AI$3:$AK$105,3,FALSE)</f>
        <v>Misc. Expense</v>
      </c>
      <c r="X8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0"/>
      <c r="Z8680" t="s">
        <v>25</v>
      </c>
      <c r="AA8680" t="s">
        <v>250</v>
      </c>
      <c r="AB8680" t="s">
        <v>5</v>
      </c>
      <c r="AC8680" s="21">
        <v>4305.57</v>
      </c>
      <c r="AD8680" s="21" t="s">
        <v>368</v>
      </c>
      <c r="AE8680" t="str">
        <f>VLOOKUP(Table_Query_from_Actuarial___Production3[[#This Row],[Kor1]],$AI$3:$AK$105,3,FALSE)</f>
        <v>Misc. Expense</v>
      </c>
      <c r="AF8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1" spans="18:32" x14ac:dyDescent="0.2">
      <c r="R8681" t="s">
        <v>40</v>
      </c>
      <c r="S8681" t="s">
        <v>257</v>
      </c>
      <c r="T8681" t="s">
        <v>351</v>
      </c>
      <c r="U8681" s="21">
        <v>737.01</v>
      </c>
      <c r="V8681" s="21" t="s">
        <v>368</v>
      </c>
      <c r="W8681" t="str">
        <f>VLOOKUP(Table_Query_from_Actuarial___Production[[#This Row],[Kor1]],$AI$3:$AK$105,3,FALSE)</f>
        <v>Misc. Income</v>
      </c>
      <c r="X8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1"/>
      <c r="Z8681" t="s">
        <v>41</v>
      </c>
      <c r="AA8681" t="s">
        <v>255</v>
      </c>
      <c r="AB8681" t="s">
        <v>356</v>
      </c>
      <c r="AC8681" s="21">
        <v>100</v>
      </c>
      <c r="AD8681" s="21" t="s">
        <v>368</v>
      </c>
      <c r="AE8681" t="str">
        <f>VLOOKUP(Table_Query_from_Actuarial___Production3[[#This Row],[Kor1]],$AI$3:$AK$105,3,FALSE)</f>
        <v>Misc. Income</v>
      </c>
      <c r="AF8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2" spans="18:32" x14ac:dyDescent="0.2">
      <c r="R8682" t="s">
        <v>43</v>
      </c>
      <c r="S8682" t="s">
        <v>249</v>
      </c>
      <c r="T8682" t="s">
        <v>433</v>
      </c>
      <c r="U8682" s="21">
        <v>-319.92</v>
      </c>
      <c r="V8682" s="21" t="s">
        <v>368</v>
      </c>
      <c r="W8682" t="str">
        <f>VLOOKUP(Table_Query_from_Actuarial___Production[[#This Row],[Kor1]],$AI$3:$AK$105,3,FALSE)</f>
        <v>Charge-offs</v>
      </c>
      <c r="X8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2"/>
      <c r="Z8682" t="s">
        <v>10</v>
      </c>
      <c r="AA8682" t="s">
        <v>254</v>
      </c>
      <c r="AB8682" t="s">
        <v>9</v>
      </c>
      <c r="AC8682" s="21">
        <v>114337.7</v>
      </c>
      <c r="AD8682" s="21" t="s">
        <v>368</v>
      </c>
      <c r="AE8682" t="str">
        <f>VLOOKUP(Table_Query_from_Actuarial___Production3[[#This Row],[Kor1]],$AI$3:$AK$105,3,FALSE)</f>
        <v>Commissions</v>
      </c>
      <c r="AF8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3" spans="18:32" x14ac:dyDescent="0.2">
      <c r="R8683" t="s">
        <v>31</v>
      </c>
      <c r="S8683" t="s">
        <v>232</v>
      </c>
      <c r="T8683" t="s">
        <v>8</v>
      </c>
      <c r="U8683" s="21">
        <v>488.69</v>
      </c>
      <c r="V8683" s="21" t="s">
        <v>368</v>
      </c>
      <c r="W8683" t="str">
        <f>VLOOKUP(Table_Query_from_Actuarial___Production[[#This Row],[Kor1]],$AI$3:$AK$105,3,FALSE)</f>
        <v>Misc. Expense</v>
      </c>
      <c r="X8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3"/>
      <c r="Z8683" t="s">
        <v>35</v>
      </c>
      <c r="AA8683" t="s">
        <v>4</v>
      </c>
      <c r="AB8683" t="s">
        <v>7</v>
      </c>
      <c r="AC8683" s="21">
        <v>5.1100000000000003</v>
      </c>
      <c r="AD8683" s="21" t="s">
        <v>368</v>
      </c>
      <c r="AE8683" t="str">
        <f>VLOOKUP(Table_Query_from_Actuarial___Production3[[#This Row],[Kor1]],$AI$3:$AK$105,3,FALSE)</f>
        <v>Misc. Expense</v>
      </c>
      <c r="AF8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4" spans="18:32" x14ac:dyDescent="0.2">
      <c r="R8684" t="s">
        <v>13</v>
      </c>
      <c r="S8684" t="s">
        <v>224</v>
      </c>
      <c r="T8684" t="s">
        <v>445</v>
      </c>
      <c r="U8684" s="21">
        <v>54105.61</v>
      </c>
      <c r="V8684" s="21" t="s">
        <v>368</v>
      </c>
      <c r="W8684" t="str">
        <f>VLOOKUP(Table_Query_from_Actuarial___Production[[#This Row],[Kor1]],$AI$3:$AK$105,3,FALSE)</f>
        <v>Operating Service Fees</v>
      </c>
      <c r="X8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684"/>
      <c r="Z8684" t="s">
        <v>41</v>
      </c>
      <c r="AA8684" t="s">
        <v>259</v>
      </c>
      <c r="AB8684" t="s">
        <v>351</v>
      </c>
      <c r="AC8684" s="21">
        <v>600.01</v>
      </c>
      <c r="AD8684" s="21" t="s">
        <v>368</v>
      </c>
      <c r="AE8684" t="str">
        <f>VLOOKUP(Table_Query_from_Actuarial___Production3[[#This Row],[Kor1]],$AI$3:$AK$105,3,FALSE)</f>
        <v>Misc. Income</v>
      </c>
      <c r="AF8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5" spans="18:32" x14ac:dyDescent="0.2">
      <c r="R8685" t="s">
        <v>19</v>
      </c>
      <c r="S8685" t="s">
        <v>252</v>
      </c>
      <c r="T8685" t="s">
        <v>443</v>
      </c>
      <c r="U8685" s="21">
        <v>7818.68</v>
      </c>
      <c r="V8685" s="21" t="s">
        <v>368</v>
      </c>
      <c r="W8685" t="str">
        <f>VLOOKUP(Table_Query_from_Actuarial___Production[[#This Row],[Kor1]],$AI$3:$AK$105,3,FALSE)</f>
        <v>Misc. Expense for Insolvent Companies</v>
      </c>
      <c r="X8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5"/>
      <c r="Z8685" t="s">
        <v>12</v>
      </c>
      <c r="AA8685" t="s">
        <v>231</v>
      </c>
      <c r="AB8685" t="s">
        <v>7</v>
      </c>
      <c r="AC8685" s="21">
        <v>1970.02</v>
      </c>
      <c r="AD8685" s="21" t="s">
        <v>368</v>
      </c>
      <c r="AE8685" t="str">
        <f>VLOOKUP(Table_Query_from_Actuarial___Production3[[#This Row],[Kor1]],$AI$3:$AK$105,3,FALSE)</f>
        <v>Premium Tax</v>
      </c>
      <c r="AF8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6" spans="18:32" x14ac:dyDescent="0.2">
      <c r="R8686" t="s">
        <v>47</v>
      </c>
      <c r="S8686" t="s">
        <v>258</v>
      </c>
      <c r="T8686" t="s">
        <v>442</v>
      </c>
      <c r="U8686" s="21">
        <v>7430.94</v>
      </c>
      <c r="V8686" s="21" t="s">
        <v>368</v>
      </c>
      <c r="W8686" t="str">
        <f>VLOOKUP(Table_Query_from_Actuarial___Production[[#This Row],[Kor1]],$AI$3:$AK$105,3,FALSE)</f>
        <v>Investment Income</v>
      </c>
      <c r="X8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6"/>
      <c r="Z8686" t="s">
        <v>47</v>
      </c>
      <c r="AA8686" t="s">
        <v>257</v>
      </c>
      <c r="AB8686" t="s">
        <v>356</v>
      </c>
      <c r="AC8686" s="21">
        <v>34461.760000000002</v>
      </c>
      <c r="AD8686" s="21" t="s">
        <v>368</v>
      </c>
      <c r="AE8686" t="str">
        <f>VLOOKUP(Table_Query_from_Actuarial___Production3[[#This Row],[Kor1]],$AI$3:$AK$105,3,FALSE)</f>
        <v>Investment Income</v>
      </c>
      <c r="AF8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7" spans="18:32" x14ac:dyDescent="0.2">
      <c r="R8687" t="s">
        <v>11</v>
      </c>
      <c r="S8687" t="s">
        <v>254</v>
      </c>
      <c r="T8687" t="s">
        <v>442</v>
      </c>
      <c r="U8687" s="21">
        <v>25482036.969999999</v>
      </c>
      <c r="V8687" s="21" t="s">
        <v>368</v>
      </c>
      <c r="W8687" t="str">
        <f>VLOOKUP(Table_Query_from_Actuarial___Production[[#This Row],[Kor1]],$AI$3:$AK$105,3,FALSE)</f>
        <v>Losses Paid</v>
      </c>
      <c r="X8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7"/>
      <c r="Z8687" t="s">
        <v>13</v>
      </c>
      <c r="AA8687" t="s">
        <v>228</v>
      </c>
      <c r="AB8687" t="s">
        <v>441</v>
      </c>
      <c r="AC8687" s="21">
        <v>105828.06</v>
      </c>
      <c r="AD8687" s="21" t="s">
        <v>368</v>
      </c>
      <c r="AE8687" t="str">
        <f>VLOOKUP(Table_Query_from_Actuarial___Production3[[#This Row],[Kor1]],$AI$3:$AK$105,3,FALSE)</f>
        <v>Operating Service Fees</v>
      </c>
      <c r="AF8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8" spans="18:32" x14ac:dyDescent="0.2">
      <c r="R8688" t="s">
        <v>33</v>
      </c>
      <c r="S8688" t="s">
        <v>267</v>
      </c>
      <c r="T8688" t="s">
        <v>443</v>
      </c>
      <c r="U8688" s="21">
        <v>16250.22</v>
      </c>
      <c r="V8688" s="21" t="s">
        <v>368</v>
      </c>
      <c r="W8688" t="str">
        <f>VLOOKUP(Table_Query_from_Actuarial___Production[[#This Row],[Kor1]],$AI$3:$AK$105,3,FALSE)</f>
        <v>Misc. Expense</v>
      </c>
      <c r="X8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8"/>
      <c r="Z8688" t="s">
        <v>17</v>
      </c>
      <c r="AA8688" t="s">
        <v>231</v>
      </c>
      <c r="AB8688" t="s">
        <v>433</v>
      </c>
      <c r="AC8688" s="21">
        <v>115619.5</v>
      </c>
      <c r="AD8688" s="21" t="s">
        <v>368</v>
      </c>
      <c r="AE8688" t="str">
        <f>VLOOKUP(Table_Query_from_Actuarial___Production3[[#This Row],[Kor1]],$AI$3:$AK$105,3,FALSE)</f>
        <v>IBNR</v>
      </c>
      <c r="AF8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89" spans="18:32" x14ac:dyDescent="0.2">
      <c r="R8689" t="s">
        <v>19</v>
      </c>
      <c r="S8689" t="s">
        <v>239</v>
      </c>
      <c r="T8689" t="s">
        <v>433</v>
      </c>
      <c r="U8689" s="21">
        <v>3369.09</v>
      </c>
      <c r="V8689" s="21" t="s">
        <v>368</v>
      </c>
      <c r="W8689" t="str">
        <f>VLOOKUP(Table_Query_from_Actuarial___Production[[#This Row],[Kor1]],$AI$3:$AK$105,3,FALSE)</f>
        <v>Misc. Expense for Insolvent Companies</v>
      </c>
      <c r="X8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89"/>
      <c r="Z8689" t="s">
        <v>37</v>
      </c>
      <c r="AA8689" t="s">
        <v>261</v>
      </c>
      <c r="AB8689" t="s">
        <v>433</v>
      </c>
      <c r="AC8689" s="21">
        <v>2.65</v>
      </c>
      <c r="AD8689" s="21" t="s">
        <v>368</v>
      </c>
      <c r="AE8689" t="str">
        <f>VLOOKUP(Table_Query_from_Actuarial___Production3[[#This Row],[Kor1]],$AI$3:$AK$105,3,FALSE)</f>
        <v>Misc. Expense</v>
      </c>
      <c r="AF8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0" spans="18:32" x14ac:dyDescent="0.2">
      <c r="R8690" t="s">
        <v>20</v>
      </c>
      <c r="S8690" t="s">
        <v>228</v>
      </c>
      <c r="T8690" t="s">
        <v>442</v>
      </c>
      <c r="U8690" s="21">
        <v>142.6</v>
      </c>
      <c r="V8690" s="21" t="s">
        <v>368</v>
      </c>
      <c r="W8690" t="str">
        <f>VLOOKUP(Table_Query_from_Actuarial___Production[[#This Row],[Kor1]],$AI$3:$AK$105,3,FALSE)</f>
        <v>Misc. Expense</v>
      </c>
      <c r="X8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0"/>
      <c r="Z8690" t="s">
        <v>12</v>
      </c>
      <c r="AA8690" t="s">
        <v>251</v>
      </c>
      <c r="AB8690" t="s">
        <v>9</v>
      </c>
      <c r="AC8690" s="21">
        <v>1907.79</v>
      </c>
      <c r="AD8690" s="21" t="s">
        <v>368</v>
      </c>
      <c r="AE8690" t="str">
        <f>VLOOKUP(Table_Query_from_Actuarial___Production3[[#This Row],[Kor1]],$AI$3:$AK$105,3,FALSE)</f>
        <v>Premium Tax</v>
      </c>
      <c r="AF8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1" spans="18:32" x14ac:dyDescent="0.2">
      <c r="R8691" t="s">
        <v>13</v>
      </c>
      <c r="S8691" t="s">
        <v>259</v>
      </c>
      <c r="T8691" t="s">
        <v>8</v>
      </c>
      <c r="U8691" s="21">
        <v>73304.25</v>
      </c>
      <c r="V8691" s="21" t="s">
        <v>368</v>
      </c>
      <c r="W8691" t="str">
        <f>VLOOKUP(Table_Query_from_Actuarial___Production[[#This Row],[Kor1]],$AI$3:$AK$105,3,FALSE)</f>
        <v>Operating Service Fees</v>
      </c>
      <c r="X8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1"/>
      <c r="Z8691" t="s">
        <v>12</v>
      </c>
      <c r="AA8691" t="s">
        <v>242</v>
      </c>
      <c r="AB8691" t="s">
        <v>433</v>
      </c>
      <c r="AC8691" s="21">
        <v>13207.52</v>
      </c>
      <c r="AD8691" s="21" t="s">
        <v>368</v>
      </c>
      <c r="AE8691" t="str">
        <f>VLOOKUP(Table_Query_from_Actuarial___Production3[[#This Row],[Kor1]],$AI$3:$AK$105,3,FALSE)</f>
        <v>Premium Tax</v>
      </c>
      <c r="AF8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2" spans="18:32" x14ac:dyDescent="0.2">
      <c r="R8692" t="s">
        <v>15</v>
      </c>
      <c r="S8692" t="s">
        <v>230</v>
      </c>
      <c r="T8692" t="s">
        <v>443</v>
      </c>
      <c r="U8692" s="21">
        <v>2147074.5499999998</v>
      </c>
      <c r="V8692" s="21" t="s">
        <v>368</v>
      </c>
      <c r="W8692" t="str">
        <f>VLOOKUP(Table_Query_from_Actuarial___Production[[#This Row],[Kor1]],$AI$3:$AK$105,3,FALSE)</f>
        <v>Unearned Premiums</v>
      </c>
      <c r="X8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2"/>
      <c r="Z8692" t="s">
        <v>11</v>
      </c>
      <c r="AA8692" t="s">
        <v>255</v>
      </c>
      <c r="AB8692" t="s">
        <v>356</v>
      </c>
      <c r="AC8692" s="21">
        <v>277433.36</v>
      </c>
      <c r="AD8692" s="21" t="s">
        <v>368</v>
      </c>
      <c r="AE8692" t="str">
        <f>VLOOKUP(Table_Query_from_Actuarial___Production3[[#This Row],[Kor1]],$AI$3:$AK$105,3,FALSE)</f>
        <v>Losses Paid</v>
      </c>
      <c r="AF8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3" spans="18:32" x14ac:dyDescent="0.2">
      <c r="R8693" t="s">
        <v>12</v>
      </c>
      <c r="S8693" t="s">
        <v>265</v>
      </c>
      <c r="T8693" t="s">
        <v>445</v>
      </c>
      <c r="U8693" s="21">
        <v>6343.84</v>
      </c>
      <c r="V8693" s="21" t="s">
        <v>368</v>
      </c>
      <c r="W8693" t="str">
        <f>VLOOKUP(Table_Query_from_Actuarial___Production[[#This Row],[Kor1]],$AI$3:$AK$105,3,FALSE)</f>
        <v>Premium Tax</v>
      </c>
      <c r="X8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3"/>
      <c r="Z8693" t="s">
        <v>13</v>
      </c>
      <c r="AA8693" t="s">
        <v>267</v>
      </c>
      <c r="AB8693" t="s">
        <v>9</v>
      </c>
      <c r="AC8693" s="21">
        <v>65976</v>
      </c>
      <c r="AD8693" s="21" t="s">
        <v>368</v>
      </c>
      <c r="AE8693" t="str">
        <f>VLOOKUP(Table_Query_from_Actuarial___Production3[[#This Row],[Kor1]],$AI$3:$AK$105,3,FALSE)</f>
        <v>Operating Service Fees</v>
      </c>
      <c r="AF8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4" spans="18:32" x14ac:dyDescent="0.2">
      <c r="R8694" t="s">
        <v>31</v>
      </c>
      <c r="S8694" t="s">
        <v>4</v>
      </c>
      <c r="T8694" t="s">
        <v>351</v>
      </c>
      <c r="U8694" s="21">
        <v>-5374.19</v>
      </c>
      <c r="V8694" s="21" t="s">
        <v>368</v>
      </c>
      <c r="W8694" t="str">
        <f>VLOOKUP(Table_Query_from_Actuarial___Production[[#This Row],[Kor1]],$AI$3:$AK$105,3,FALSE)</f>
        <v>Misc. Expense</v>
      </c>
      <c r="X8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4"/>
      <c r="Z8694" t="s">
        <v>14</v>
      </c>
      <c r="AA8694" t="s">
        <v>249</v>
      </c>
      <c r="AB8694" t="s">
        <v>9</v>
      </c>
      <c r="AC8694" s="21">
        <v>29059.37</v>
      </c>
      <c r="AD8694" s="21" t="s">
        <v>368</v>
      </c>
      <c r="AE8694" t="str">
        <f>VLOOKUP(Table_Query_from_Actuarial___Production3[[#This Row],[Kor1]],$AI$3:$AK$105,3,FALSE)</f>
        <v>Claims Expense</v>
      </c>
      <c r="AF8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5" spans="18:32" x14ac:dyDescent="0.2">
      <c r="R8695" t="s">
        <v>13</v>
      </c>
      <c r="S8695" t="s">
        <v>354</v>
      </c>
      <c r="T8695" t="s">
        <v>6</v>
      </c>
      <c r="U8695" s="21">
        <v>14500701.15</v>
      </c>
      <c r="V8695" s="21" t="s">
        <v>368</v>
      </c>
      <c r="W8695" t="str">
        <f>VLOOKUP(Table_Query_from_Actuarial___Production[[#This Row],[Kor1]],$AI$3:$AK$105,3,FALSE)</f>
        <v>Operating Service Fees</v>
      </c>
      <c r="X8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695"/>
      <c r="Z8695" t="s">
        <v>16</v>
      </c>
      <c r="AA8695" t="s">
        <v>267</v>
      </c>
      <c r="AB8695" t="s">
        <v>443</v>
      </c>
      <c r="AC8695" s="21">
        <v>149058.53</v>
      </c>
      <c r="AD8695" s="21" t="s">
        <v>368</v>
      </c>
      <c r="AE8695" t="str">
        <f>VLOOKUP(Table_Query_from_Actuarial___Production3[[#This Row],[Kor1]],$AI$3:$AK$105,3,FALSE)</f>
        <v>Losses Outstanding</v>
      </c>
      <c r="AF8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6" spans="18:32" x14ac:dyDescent="0.2">
      <c r="R8696" t="s">
        <v>33</v>
      </c>
      <c r="S8696" t="s">
        <v>229</v>
      </c>
      <c r="T8696" t="s">
        <v>445</v>
      </c>
      <c r="U8696" s="21">
        <v>8591.68</v>
      </c>
      <c r="V8696" s="21" t="s">
        <v>368</v>
      </c>
      <c r="W8696" t="str">
        <f>VLOOKUP(Table_Query_from_Actuarial___Production[[#This Row],[Kor1]],$AI$3:$AK$105,3,FALSE)</f>
        <v>Misc. Expense</v>
      </c>
      <c r="X8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6"/>
      <c r="Z8696" t="s">
        <v>47</v>
      </c>
      <c r="AA8696" t="s">
        <v>242</v>
      </c>
      <c r="AB8696" t="s">
        <v>442</v>
      </c>
      <c r="AC8696" s="21">
        <v>3324.85</v>
      </c>
      <c r="AD8696" s="21" t="s">
        <v>368</v>
      </c>
      <c r="AE8696" t="str">
        <f>VLOOKUP(Table_Query_from_Actuarial___Production3[[#This Row],[Kor1]],$AI$3:$AK$105,3,FALSE)</f>
        <v>Investment Income</v>
      </c>
      <c r="AF8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7" spans="18:32" x14ac:dyDescent="0.2">
      <c r="R8697" t="s">
        <v>33</v>
      </c>
      <c r="S8697" t="s">
        <v>235</v>
      </c>
      <c r="T8697" t="s">
        <v>443</v>
      </c>
      <c r="U8697" s="21">
        <v>17317.599999999999</v>
      </c>
      <c r="V8697" s="21" t="s">
        <v>368</v>
      </c>
      <c r="W8697" t="str">
        <f>VLOOKUP(Table_Query_from_Actuarial___Production[[#This Row],[Kor1]],$AI$3:$AK$105,3,FALSE)</f>
        <v>Misc. Expense</v>
      </c>
      <c r="X8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7"/>
      <c r="Z8697" t="s">
        <v>31</v>
      </c>
      <c r="AA8697" t="s">
        <v>236</v>
      </c>
      <c r="AB8697" t="s">
        <v>441</v>
      </c>
      <c r="AC8697" s="21">
        <v>936.85</v>
      </c>
      <c r="AD8697" s="21" t="s">
        <v>368</v>
      </c>
      <c r="AE8697" t="str">
        <f>VLOOKUP(Table_Query_from_Actuarial___Production3[[#This Row],[Kor1]],$AI$3:$AK$105,3,FALSE)</f>
        <v>Misc. Expense</v>
      </c>
      <c r="AF8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8" spans="18:32" x14ac:dyDescent="0.2">
      <c r="R8698" t="s">
        <v>14</v>
      </c>
      <c r="S8698" t="s">
        <v>246</v>
      </c>
      <c r="T8698" t="s">
        <v>7</v>
      </c>
      <c r="U8698" s="21">
        <v>24108.15</v>
      </c>
      <c r="V8698" s="21" t="s">
        <v>368</v>
      </c>
      <c r="W8698" t="str">
        <f>VLOOKUP(Table_Query_from_Actuarial___Production[[#This Row],[Kor1]],$AI$3:$AK$105,3,FALSE)</f>
        <v>Claims Expense</v>
      </c>
      <c r="X8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8"/>
      <c r="Z8698" t="s">
        <v>40</v>
      </c>
      <c r="AA8698" t="s">
        <v>257</v>
      </c>
      <c r="AB8698" t="s">
        <v>351</v>
      </c>
      <c r="AC8698" s="21">
        <v>737.01</v>
      </c>
      <c r="AD8698" s="21" t="s">
        <v>368</v>
      </c>
      <c r="AE8698" t="str">
        <f>VLOOKUP(Table_Query_from_Actuarial___Production3[[#This Row],[Kor1]],$AI$3:$AK$105,3,FALSE)</f>
        <v>Misc. Income</v>
      </c>
      <c r="AF8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699" spans="18:32" x14ac:dyDescent="0.2">
      <c r="R8699" t="s">
        <v>33</v>
      </c>
      <c r="S8699" t="s">
        <v>229</v>
      </c>
      <c r="T8699" t="s">
        <v>9</v>
      </c>
      <c r="U8699" s="21">
        <v>20038.599999999999</v>
      </c>
      <c r="V8699" s="21" t="s">
        <v>368</v>
      </c>
      <c r="W8699" t="str">
        <f>VLOOKUP(Table_Query_from_Actuarial___Production[[#This Row],[Kor1]],$AI$3:$AK$105,3,FALSE)</f>
        <v>Misc. Expense</v>
      </c>
      <c r="X8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699"/>
      <c r="Z8699" t="s">
        <v>43</v>
      </c>
      <c r="AA8699" t="s">
        <v>249</v>
      </c>
      <c r="AB8699" t="s">
        <v>433</v>
      </c>
      <c r="AC8699" s="21">
        <v>-319.92</v>
      </c>
      <c r="AD8699" s="21" t="s">
        <v>368</v>
      </c>
      <c r="AE8699" t="str">
        <f>VLOOKUP(Table_Query_from_Actuarial___Production3[[#This Row],[Kor1]],$AI$3:$AK$105,3,FALSE)</f>
        <v>Charge-offs</v>
      </c>
      <c r="AF8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0" spans="18:32" x14ac:dyDescent="0.2">
      <c r="R8700" t="s">
        <v>39</v>
      </c>
      <c r="S8700" t="s">
        <v>250</v>
      </c>
      <c r="T8700" t="s">
        <v>8</v>
      </c>
      <c r="U8700" s="21">
        <v>6</v>
      </c>
      <c r="V8700" s="21" t="s">
        <v>368</v>
      </c>
      <c r="W8700" t="str">
        <f>VLOOKUP(Table_Query_from_Actuarial___Production[[#This Row],[Kor1]],$AI$3:$AK$105,3,FALSE)</f>
        <v>Misc. Income for Insolvent Companies</v>
      </c>
      <c r="X8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0"/>
      <c r="Z8700" t="s">
        <v>31</v>
      </c>
      <c r="AA8700" t="s">
        <v>232</v>
      </c>
      <c r="AB8700" t="s">
        <v>8</v>
      </c>
      <c r="AC8700" s="21">
        <v>488.69</v>
      </c>
      <c r="AD8700" s="21" t="s">
        <v>368</v>
      </c>
      <c r="AE8700" t="str">
        <f>VLOOKUP(Table_Query_from_Actuarial___Production3[[#This Row],[Kor1]],$AI$3:$AK$105,3,FALSE)</f>
        <v>Misc. Expense</v>
      </c>
      <c r="AF8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1" spans="18:32" x14ac:dyDescent="0.2">
      <c r="R8701" t="s">
        <v>40</v>
      </c>
      <c r="S8701" t="s">
        <v>263</v>
      </c>
      <c r="T8701" t="s">
        <v>433</v>
      </c>
      <c r="U8701" s="21">
        <v>1</v>
      </c>
      <c r="V8701" s="21" t="s">
        <v>368</v>
      </c>
      <c r="W8701" t="str">
        <f>VLOOKUP(Table_Query_from_Actuarial___Production[[#This Row],[Kor1]],$AI$3:$AK$105,3,FALSE)</f>
        <v>Misc. Income</v>
      </c>
      <c r="X8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1"/>
      <c r="Z8701" t="s">
        <v>19</v>
      </c>
      <c r="AA8701" t="s">
        <v>252</v>
      </c>
      <c r="AB8701" t="s">
        <v>443</v>
      </c>
      <c r="AC8701" s="21">
        <v>7818.68</v>
      </c>
      <c r="AD8701" s="21" t="s">
        <v>368</v>
      </c>
      <c r="AE8701" t="str">
        <f>VLOOKUP(Table_Query_from_Actuarial___Production3[[#This Row],[Kor1]],$AI$3:$AK$105,3,FALSE)</f>
        <v>Misc. Expense for Insolvent Companies</v>
      </c>
      <c r="AF8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2" spans="18:32" x14ac:dyDescent="0.2">
      <c r="R8702" t="s">
        <v>49</v>
      </c>
      <c r="S8702" t="s">
        <v>264</v>
      </c>
      <c r="T8702" t="s">
        <v>427</v>
      </c>
      <c r="U8702" s="21">
        <v>98194.93</v>
      </c>
      <c r="V8702" s="21" t="s">
        <v>368</v>
      </c>
      <c r="W8702" t="str">
        <f>VLOOKUP(Table_Query_from_Actuarial___Production[[#This Row],[Kor1]],$AI$3:$AK$105,3,FALSE)</f>
        <v>ALAE Paid</v>
      </c>
      <c r="X8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2"/>
      <c r="Z8702" t="s">
        <v>47</v>
      </c>
      <c r="AA8702" t="s">
        <v>258</v>
      </c>
      <c r="AB8702" t="s">
        <v>442</v>
      </c>
      <c r="AC8702" s="21">
        <v>7430.94</v>
      </c>
      <c r="AD8702" s="21" t="s">
        <v>368</v>
      </c>
      <c r="AE8702" t="str">
        <f>VLOOKUP(Table_Query_from_Actuarial___Production3[[#This Row],[Kor1]],$AI$3:$AK$105,3,FALSE)</f>
        <v>Investment Income</v>
      </c>
      <c r="AF8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3" spans="18:32" x14ac:dyDescent="0.2">
      <c r="R8703" t="s">
        <v>14</v>
      </c>
      <c r="S8703" t="s">
        <v>245</v>
      </c>
      <c r="T8703" t="s">
        <v>9</v>
      </c>
      <c r="U8703" s="21">
        <v>1034.8499999999999</v>
      </c>
      <c r="V8703" s="21" t="s">
        <v>368</v>
      </c>
      <c r="W8703" t="str">
        <f>VLOOKUP(Table_Query_from_Actuarial___Production[[#This Row],[Kor1]],$AI$3:$AK$105,3,FALSE)</f>
        <v>Claims Expense</v>
      </c>
      <c r="X8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3"/>
      <c r="Z8703" t="s">
        <v>77</v>
      </c>
      <c r="AA8703" t="s">
        <v>239</v>
      </c>
      <c r="AB8703" t="s">
        <v>442</v>
      </c>
      <c r="AC8703" s="21">
        <v>452324</v>
      </c>
      <c r="AD8703" s="21" t="s">
        <v>368</v>
      </c>
      <c r="AE8703" t="str">
        <f>VLOOKUP(Table_Query_from_Actuarial___Production3[[#This Row],[Kor1]],$AI$3:$AK$105,3,FALSE)</f>
        <v>PDR</v>
      </c>
      <c r="AF8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4" spans="18:32" x14ac:dyDescent="0.2">
      <c r="R8704" t="s">
        <v>18</v>
      </c>
      <c r="S8704" t="s">
        <v>354</v>
      </c>
      <c r="T8704" t="s">
        <v>433</v>
      </c>
      <c r="U8704" s="21">
        <v>8449218.9299999997</v>
      </c>
      <c r="V8704" s="21" t="s">
        <v>369</v>
      </c>
      <c r="W8704" t="str">
        <f>VLOOKUP(Table_Query_from_Actuarial___Production[[#This Row],[Kor1]],$AI$3:$AK$105,3,FALSE)</f>
        <v>Misc. Expense</v>
      </c>
      <c r="X8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704"/>
      <c r="Z8704" t="s">
        <v>11</v>
      </c>
      <c r="AA8704" t="s">
        <v>254</v>
      </c>
      <c r="AB8704" t="s">
        <v>442</v>
      </c>
      <c r="AC8704" s="21">
        <v>7024832.7199999997</v>
      </c>
      <c r="AD8704" s="21" t="s">
        <v>368</v>
      </c>
      <c r="AE8704" t="str">
        <f>VLOOKUP(Table_Query_from_Actuarial___Production3[[#This Row],[Kor1]],$AI$3:$AK$105,3,FALSE)</f>
        <v>Losses Paid</v>
      </c>
      <c r="AF8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5" spans="18:32" x14ac:dyDescent="0.2">
      <c r="R8705" t="s">
        <v>3</v>
      </c>
      <c r="S8705" t="s">
        <v>250</v>
      </c>
      <c r="T8705" t="s">
        <v>356</v>
      </c>
      <c r="U8705" s="21">
        <v>1226046</v>
      </c>
      <c r="V8705" s="21" t="s">
        <v>368</v>
      </c>
      <c r="W8705" t="str">
        <f>VLOOKUP(Table_Query_from_Actuarial___Production[[#This Row],[Kor1]],$AI$3:$AK$105,3,FALSE)</f>
        <v>Premiums Written</v>
      </c>
      <c r="X8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5"/>
      <c r="Z8705" t="s">
        <v>33</v>
      </c>
      <c r="AA8705" t="s">
        <v>262</v>
      </c>
      <c r="AB8705" t="s">
        <v>5</v>
      </c>
      <c r="AC8705" s="21">
        <v>13638.33</v>
      </c>
      <c r="AD8705" s="21" t="s">
        <v>368</v>
      </c>
      <c r="AE8705" t="str">
        <f>VLOOKUP(Table_Query_from_Actuarial___Production3[[#This Row],[Kor1]],$AI$3:$AK$105,3,FALSE)</f>
        <v>Misc. Expense</v>
      </c>
      <c r="AF8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6" spans="18:32" x14ac:dyDescent="0.2">
      <c r="R8706" t="s">
        <v>21</v>
      </c>
      <c r="S8706" t="s">
        <v>250</v>
      </c>
      <c r="T8706" t="s">
        <v>427</v>
      </c>
      <c r="U8706" s="21">
        <v>1835.01</v>
      </c>
      <c r="V8706" s="21" t="s">
        <v>368</v>
      </c>
      <c r="W8706" t="str">
        <f>VLOOKUP(Table_Query_from_Actuarial___Production[[#This Row],[Kor1]],$AI$3:$AK$105,3,FALSE)</f>
        <v>Misc. Expense</v>
      </c>
      <c r="X8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6"/>
      <c r="Z8706" t="s">
        <v>33</v>
      </c>
      <c r="AA8706" t="s">
        <v>267</v>
      </c>
      <c r="AB8706" t="s">
        <v>443</v>
      </c>
      <c r="AC8706" s="21">
        <v>8320.16</v>
      </c>
      <c r="AD8706" s="21" t="s">
        <v>368</v>
      </c>
      <c r="AE8706" t="str">
        <f>VLOOKUP(Table_Query_from_Actuarial___Production3[[#This Row],[Kor1]],$AI$3:$AK$105,3,FALSE)</f>
        <v>Misc. Expense</v>
      </c>
      <c r="AF8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7" spans="18:32" x14ac:dyDescent="0.2">
      <c r="R8707" t="s">
        <v>43</v>
      </c>
      <c r="S8707" t="s">
        <v>257</v>
      </c>
      <c r="T8707" t="s">
        <v>9</v>
      </c>
      <c r="U8707" s="21">
        <v>172.25</v>
      </c>
      <c r="V8707" s="21" t="s">
        <v>368</v>
      </c>
      <c r="W8707" t="str">
        <f>VLOOKUP(Table_Query_from_Actuarial___Production[[#This Row],[Kor1]],$AI$3:$AK$105,3,FALSE)</f>
        <v>Charge-offs</v>
      </c>
      <c r="X8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7"/>
      <c r="Z8707" t="s">
        <v>43</v>
      </c>
      <c r="AA8707" t="s">
        <v>250</v>
      </c>
      <c r="AB8707" t="s">
        <v>5</v>
      </c>
      <c r="AC8707" s="21">
        <v>944.92</v>
      </c>
      <c r="AD8707" s="21" t="s">
        <v>368</v>
      </c>
      <c r="AE8707" t="str">
        <f>VLOOKUP(Table_Query_from_Actuarial___Production3[[#This Row],[Kor1]],$AI$3:$AK$105,3,FALSE)</f>
        <v>Charge-offs</v>
      </c>
      <c r="AF8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8" spans="18:32" x14ac:dyDescent="0.2">
      <c r="R8708" t="s">
        <v>33</v>
      </c>
      <c r="S8708" t="s">
        <v>243</v>
      </c>
      <c r="T8708" t="s">
        <v>8</v>
      </c>
      <c r="U8708" s="21">
        <v>15335.85</v>
      </c>
      <c r="V8708" s="21" t="s">
        <v>368</v>
      </c>
      <c r="W8708" t="str">
        <f>VLOOKUP(Table_Query_from_Actuarial___Production[[#This Row],[Kor1]],$AI$3:$AK$105,3,FALSE)</f>
        <v>Misc. Expense</v>
      </c>
      <c r="X8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8"/>
      <c r="Z8708" t="s">
        <v>19</v>
      </c>
      <c r="AA8708" t="s">
        <v>239</v>
      </c>
      <c r="AB8708" t="s">
        <v>433</v>
      </c>
      <c r="AC8708" s="21">
        <v>3369.09</v>
      </c>
      <c r="AD8708" s="21" t="s">
        <v>368</v>
      </c>
      <c r="AE8708" t="str">
        <f>VLOOKUP(Table_Query_from_Actuarial___Production3[[#This Row],[Kor1]],$AI$3:$AK$105,3,FALSE)</f>
        <v>Misc. Expense for Insolvent Companies</v>
      </c>
      <c r="AF8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09" spans="18:32" x14ac:dyDescent="0.2">
      <c r="R8709" t="s">
        <v>40</v>
      </c>
      <c r="S8709" t="s">
        <v>231</v>
      </c>
      <c r="T8709" t="s">
        <v>7</v>
      </c>
      <c r="U8709" s="21">
        <v>207.01</v>
      </c>
      <c r="V8709" s="21" t="s">
        <v>368</v>
      </c>
      <c r="W8709" t="str">
        <f>VLOOKUP(Table_Query_from_Actuarial___Production[[#This Row],[Kor1]],$AI$3:$AK$105,3,FALSE)</f>
        <v>Misc. Income</v>
      </c>
      <c r="X8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09"/>
      <c r="Z8709" t="s">
        <v>20</v>
      </c>
      <c r="AA8709" t="s">
        <v>228</v>
      </c>
      <c r="AB8709" t="s">
        <v>442</v>
      </c>
      <c r="AC8709" s="21">
        <v>142.6</v>
      </c>
      <c r="AD8709" s="21" t="s">
        <v>368</v>
      </c>
      <c r="AE8709" t="str">
        <f>VLOOKUP(Table_Query_from_Actuarial___Production3[[#This Row],[Kor1]],$AI$3:$AK$105,3,FALSE)</f>
        <v>Misc. Expense</v>
      </c>
      <c r="AF8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0" spans="18:32" x14ac:dyDescent="0.2">
      <c r="R8710" t="s">
        <v>47</v>
      </c>
      <c r="S8710" t="s">
        <v>265</v>
      </c>
      <c r="T8710" t="s">
        <v>9</v>
      </c>
      <c r="U8710" s="21">
        <v>176.52</v>
      </c>
      <c r="V8710" s="21" t="s">
        <v>368</v>
      </c>
      <c r="W8710" t="str">
        <f>VLOOKUP(Table_Query_from_Actuarial___Production[[#This Row],[Kor1]],$AI$3:$AK$105,3,FALSE)</f>
        <v>Investment Income</v>
      </c>
      <c r="X8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0"/>
      <c r="Z8710" t="s">
        <v>13</v>
      </c>
      <c r="AA8710" t="s">
        <v>259</v>
      </c>
      <c r="AB8710" t="s">
        <v>8</v>
      </c>
      <c r="AC8710" s="21">
        <v>73304.25</v>
      </c>
      <c r="AD8710" s="21" t="s">
        <v>368</v>
      </c>
      <c r="AE8710" t="str">
        <f>VLOOKUP(Table_Query_from_Actuarial___Production3[[#This Row],[Kor1]],$AI$3:$AK$105,3,FALSE)</f>
        <v>Operating Service Fees</v>
      </c>
      <c r="AF8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1" spans="18:32" x14ac:dyDescent="0.2">
      <c r="R8711" t="s">
        <v>13</v>
      </c>
      <c r="S8711" t="s">
        <v>224</v>
      </c>
      <c r="T8711" t="s">
        <v>6</v>
      </c>
      <c r="U8711" s="21">
        <v>187023.92</v>
      </c>
      <c r="V8711" s="21" t="s">
        <v>368</v>
      </c>
      <c r="W8711" t="str">
        <f>VLOOKUP(Table_Query_from_Actuarial___Production[[#This Row],[Kor1]],$AI$3:$AK$105,3,FALSE)</f>
        <v>Operating Service Fees</v>
      </c>
      <c r="X8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711"/>
      <c r="Z8711" t="s">
        <v>15</v>
      </c>
      <c r="AA8711" t="s">
        <v>230</v>
      </c>
      <c r="AB8711" t="s">
        <v>443</v>
      </c>
      <c r="AC8711" s="21">
        <v>4204832.22</v>
      </c>
      <c r="AD8711" s="21" t="s">
        <v>368</v>
      </c>
      <c r="AE8711" t="str">
        <f>VLOOKUP(Table_Query_from_Actuarial___Production3[[#This Row],[Kor1]],$AI$3:$AK$105,3,FALSE)</f>
        <v>Unearned Premiums</v>
      </c>
      <c r="AF8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2" spans="18:32" x14ac:dyDescent="0.2">
      <c r="R8712" t="s">
        <v>17</v>
      </c>
      <c r="S8712" t="s">
        <v>225</v>
      </c>
      <c r="T8712" t="s">
        <v>442</v>
      </c>
      <c r="U8712" s="21">
        <v>532923.66</v>
      </c>
      <c r="V8712" s="21" t="s">
        <v>368</v>
      </c>
      <c r="W8712" t="str">
        <f>VLOOKUP(Table_Query_from_Actuarial___Production[[#This Row],[Kor1]],$AI$3:$AK$105,3,FALSE)</f>
        <v>IBNR</v>
      </c>
      <c r="X8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712"/>
      <c r="Z8712" t="s">
        <v>31</v>
      </c>
      <c r="AA8712" t="s">
        <v>4</v>
      </c>
      <c r="AB8712" t="s">
        <v>351</v>
      </c>
      <c r="AC8712" s="21">
        <v>-5374.19</v>
      </c>
      <c r="AD8712" s="21" t="s">
        <v>368</v>
      </c>
      <c r="AE8712" t="str">
        <f>VLOOKUP(Table_Query_from_Actuarial___Production3[[#This Row],[Kor1]],$AI$3:$AK$105,3,FALSE)</f>
        <v>Misc. Expense</v>
      </c>
      <c r="AF8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3" spans="18:32" x14ac:dyDescent="0.2">
      <c r="R8713" t="s">
        <v>10</v>
      </c>
      <c r="S8713" t="s">
        <v>228</v>
      </c>
      <c r="T8713" t="s">
        <v>356</v>
      </c>
      <c r="U8713" s="21">
        <v>5995.95</v>
      </c>
      <c r="V8713" s="21" t="s">
        <v>368</v>
      </c>
      <c r="W8713" t="str">
        <f>VLOOKUP(Table_Query_from_Actuarial___Production[[#This Row],[Kor1]],$AI$3:$AK$105,3,FALSE)</f>
        <v>Commissions</v>
      </c>
      <c r="X8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3"/>
      <c r="Z8713" t="s">
        <v>13</v>
      </c>
      <c r="AA8713" t="s">
        <v>354</v>
      </c>
      <c r="AB8713" t="s">
        <v>6</v>
      </c>
      <c r="AC8713" s="21">
        <v>14500668.92</v>
      </c>
      <c r="AD8713" s="21" t="s">
        <v>368</v>
      </c>
      <c r="AE8713" t="str">
        <f>VLOOKUP(Table_Query_from_Actuarial___Production3[[#This Row],[Kor1]],$AI$3:$AK$105,3,FALSE)</f>
        <v>Operating Service Fees</v>
      </c>
      <c r="AF8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714" spans="18:32" x14ac:dyDescent="0.2">
      <c r="R8714" t="s">
        <v>40</v>
      </c>
      <c r="S8714" t="s">
        <v>233</v>
      </c>
      <c r="T8714" t="s">
        <v>6</v>
      </c>
      <c r="U8714" s="21">
        <v>2</v>
      </c>
      <c r="V8714" s="21" t="s">
        <v>368</v>
      </c>
      <c r="W8714" t="str">
        <f>VLOOKUP(Table_Query_from_Actuarial___Production[[#This Row],[Kor1]],$AI$3:$AK$105,3,FALSE)</f>
        <v>Misc. Income</v>
      </c>
      <c r="X8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4"/>
      <c r="Z8714" t="s">
        <v>39</v>
      </c>
      <c r="AA8714" t="s">
        <v>248</v>
      </c>
      <c r="AB8714" t="s">
        <v>5</v>
      </c>
      <c r="AC8714" s="21">
        <v>3353</v>
      </c>
      <c r="AD8714" s="21" t="s">
        <v>368</v>
      </c>
      <c r="AE8714" t="str">
        <f>VLOOKUP(Table_Query_from_Actuarial___Production3[[#This Row],[Kor1]],$AI$3:$AK$105,3,FALSE)</f>
        <v>Misc. Income for Insolvent Companies</v>
      </c>
      <c r="AF8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5" spans="18:32" x14ac:dyDescent="0.2">
      <c r="R8715" t="s">
        <v>50</v>
      </c>
      <c r="S8715" t="s">
        <v>257</v>
      </c>
      <c r="T8715" t="s">
        <v>442</v>
      </c>
      <c r="U8715" s="21">
        <v>16666.03</v>
      </c>
      <c r="V8715" s="21" t="s">
        <v>368</v>
      </c>
      <c r="W8715" t="str">
        <f>VLOOKUP(Table_Query_from_Actuarial___Production[[#This Row],[Kor1]],$AI$3:$AK$105,3,FALSE)</f>
        <v>ALAE Reserve</v>
      </c>
      <c r="X8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5"/>
      <c r="Z8715" t="s">
        <v>14</v>
      </c>
      <c r="AA8715" t="s">
        <v>232</v>
      </c>
      <c r="AB8715" t="s">
        <v>5</v>
      </c>
      <c r="AC8715" s="21">
        <v>74345.240000000005</v>
      </c>
      <c r="AD8715" s="21" t="s">
        <v>368</v>
      </c>
      <c r="AE8715" t="str">
        <f>VLOOKUP(Table_Query_from_Actuarial___Production3[[#This Row],[Kor1]],$AI$3:$AK$105,3,FALSE)</f>
        <v>Claims Expense</v>
      </c>
      <c r="AF8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6" spans="18:32" x14ac:dyDescent="0.2">
      <c r="R8716" t="s">
        <v>40</v>
      </c>
      <c r="S8716" t="s">
        <v>4</v>
      </c>
      <c r="T8716" t="s">
        <v>8</v>
      </c>
      <c r="U8716" s="21">
        <v>3453.2</v>
      </c>
      <c r="V8716" s="21" t="s">
        <v>368</v>
      </c>
      <c r="W8716" t="str">
        <f>VLOOKUP(Table_Query_from_Actuarial___Production[[#This Row],[Kor1]],$AI$3:$AK$105,3,FALSE)</f>
        <v>Misc. Income</v>
      </c>
      <c r="X8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6"/>
      <c r="Z8716" t="s">
        <v>20</v>
      </c>
      <c r="AA8716" t="s">
        <v>239</v>
      </c>
      <c r="AB8716" t="s">
        <v>5</v>
      </c>
      <c r="AC8716" s="21">
        <v>5.25</v>
      </c>
      <c r="AD8716" s="21" t="s">
        <v>368</v>
      </c>
      <c r="AE8716" t="str">
        <f>VLOOKUP(Table_Query_from_Actuarial___Production3[[#This Row],[Kor1]],$AI$3:$AK$105,3,FALSE)</f>
        <v>Misc. Expense</v>
      </c>
      <c r="AF8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7" spans="18:32" x14ac:dyDescent="0.2">
      <c r="R8717" t="s">
        <v>11</v>
      </c>
      <c r="S8717" t="s">
        <v>262</v>
      </c>
      <c r="T8717" t="s">
        <v>6</v>
      </c>
      <c r="U8717" s="21">
        <v>36651.24</v>
      </c>
      <c r="V8717" s="21" t="s">
        <v>368</v>
      </c>
      <c r="W8717" t="str">
        <f>VLOOKUP(Table_Query_from_Actuarial___Production[[#This Row],[Kor1]],$AI$3:$AK$105,3,FALSE)</f>
        <v>Losses Paid</v>
      </c>
      <c r="X8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7"/>
      <c r="Z8717" t="s">
        <v>33</v>
      </c>
      <c r="AA8717" t="s">
        <v>235</v>
      </c>
      <c r="AB8717" t="s">
        <v>443</v>
      </c>
      <c r="AC8717" s="21">
        <v>8371.5</v>
      </c>
      <c r="AD8717" s="21" t="s">
        <v>368</v>
      </c>
      <c r="AE8717" t="str">
        <f>VLOOKUP(Table_Query_from_Actuarial___Production3[[#This Row],[Kor1]],$AI$3:$AK$105,3,FALSE)</f>
        <v>Misc. Expense</v>
      </c>
      <c r="AF8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8" spans="18:32" x14ac:dyDescent="0.2">
      <c r="R8718" t="s">
        <v>41</v>
      </c>
      <c r="S8718" t="s">
        <v>227</v>
      </c>
      <c r="T8718" t="s">
        <v>443</v>
      </c>
      <c r="U8718" s="21">
        <v>50.01</v>
      </c>
      <c r="V8718" s="21" t="s">
        <v>368</v>
      </c>
      <c r="W8718" t="str">
        <f>VLOOKUP(Table_Query_from_Actuarial___Production[[#This Row],[Kor1]],$AI$3:$AK$105,3,FALSE)</f>
        <v>Misc. Income</v>
      </c>
      <c r="X8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8"/>
      <c r="Z8718" t="s">
        <v>14</v>
      </c>
      <c r="AA8718" t="s">
        <v>246</v>
      </c>
      <c r="AB8718" t="s">
        <v>7</v>
      </c>
      <c r="AC8718" s="21">
        <v>24108.15</v>
      </c>
      <c r="AD8718" s="21" t="s">
        <v>368</v>
      </c>
      <c r="AE8718" t="str">
        <f>VLOOKUP(Table_Query_from_Actuarial___Production3[[#This Row],[Kor1]],$AI$3:$AK$105,3,FALSE)</f>
        <v>Claims Expense</v>
      </c>
      <c r="AF8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19" spans="18:32" x14ac:dyDescent="0.2">
      <c r="R8719" t="s">
        <v>41</v>
      </c>
      <c r="S8719" t="s">
        <v>262</v>
      </c>
      <c r="T8719" t="s">
        <v>6</v>
      </c>
      <c r="U8719" s="21">
        <v>349.99</v>
      </c>
      <c r="V8719" s="21" t="s">
        <v>368</v>
      </c>
      <c r="W8719" t="str">
        <f>VLOOKUP(Table_Query_from_Actuarial___Production[[#This Row],[Kor1]],$AI$3:$AK$105,3,FALSE)</f>
        <v>Misc. Income</v>
      </c>
      <c r="X8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19"/>
      <c r="Z8719" t="s">
        <v>33</v>
      </c>
      <c r="AA8719" t="s">
        <v>229</v>
      </c>
      <c r="AB8719" t="s">
        <v>9</v>
      </c>
      <c r="AC8719" s="21">
        <v>20038.599999999999</v>
      </c>
      <c r="AD8719" s="21" t="s">
        <v>368</v>
      </c>
      <c r="AE8719" t="str">
        <f>VLOOKUP(Table_Query_from_Actuarial___Production3[[#This Row],[Kor1]],$AI$3:$AK$105,3,FALSE)</f>
        <v>Misc. Expense</v>
      </c>
      <c r="AF8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0" spans="18:32" x14ac:dyDescent="0.2">
      <c r="R8720" t="s">
        <v>10</v>
      </c>
      <c r="S8720" t="s">
        <v>255</v>
      </c>
      <c r="T8720" t="s">
        <v>443</v>
      </c>
      <c r="U8720" s="21">
        <v>25001.3</v>
      </c>
      <c r="V8720" s="21" t="s">
        <v>368</v>
      </c>
      <c r="W8720" t="str">
        <f>VLOOKUP(Table_Query_from_Actuarial___Production[[#This Row],[Kor1]],$AI$3:$AK$105,3,FALSE)</f>
        <v>Commissions</v>
      </c>
      <c r="X8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0"/>
      <c r="Z8720" t="s">
        <v>39</v>
      </c>
      <c r="AA8720" t="s">
        <v>250</v>
      </c>
      <c r="AB8720" t="s">
        <v>8</v>
      </c>
      <c r="AC8720" s="21">
        <v>6</v>
      </c>
      <c r="AD8720" s="21" t="s">
        <v>368</v>
      </c>
      <c r="AE8720" t="str">
        <f>VLOOKUP(Table_Query_from_Actuarial___Production3[[#This Row],[Kor1]],$AI$3:$AK$105,3,FALSE)</f>
        <v>Misc. Income for Insolvent Companies</v>
      </c>
      <c r="AF8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1" spans="18:32" x14ac:dyDescent="0.2">
      <c r="R8721" t="s">
        <v>41</v>
      </c>
      <c r="S8721" t="s">
        <v>246</v>
      </c>
      <c r="T8721" t="s">
        <v>6</v>
      </c>
      <c r="U8721" s="21">
        <v>250</v>
      </c>
      <c r="V8721" s="21" t="s">
        <v>368</v>
      </c>
      <c r="W8721" t="str">
        <f>VLOOKUP(Table_Query_from_Actuarial___Production[[#This Row],[Kor1]],$AI$3:$AK$105,3,FALSE)</f>
        <v>Misc. Income</v>
      </c>
      <c r="X8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1"/>
      <c r="Z8721" t="s">
        <v>40</v>
      </c>
      <c r="AA8721" t="s">
        <v>263</v>
      </c>
      <c r="AB8721" t="s">
        <v>433</v>
      </c>
      <c r="AC8721" s="21">
        <v>1</v>
      </c>
      <c r="AD8721" s="21" t="s">
        <v>368</v>
      </c>
      <c r="AE8721" t="str">
        <f>VLOOKUP(Table_Query_from_Actuarial___Production3[[#This Row],[Kor1]],$AI$3:$AK$105,3,FALSE)</f>
        <v>Misc. Income</v>
      </c>
      <c r="AF8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2" spans="18:32" x14ac:dyDescent="0.2">
      <c r="R8722" t="s">
        <v>43</v>
      </c>
      <c r="S8722" t="s">
        <v>267</v>
      </c>
      <c r="T8722" t="s">
        <v>445</v>
      </c>
      <c r="U8722" s="21">
        <v>89.85</v>
      </c>
      <c r="V8722" s="21" t="s">
        <v>368</v>
      </c>
      <c r="W8722" t="str">
        <f>VLOOKUP(Table_Query_from_Actuarial___Production[[#This Row],[Kor1]],$AI$3:$AK$105,3,FALSE)</f>
        <v>Charge-offs</v>
      </c>
      <c r="X8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2"/>
      <c r="Z8722" t="s">
        <v>49</v>
      </c>
      <c r="AA8722" t="s">
        <v>264</v>
      </c>
      <c r="AB8722" t="s">
        <v>427</v>
      </c>
      <c r="AC8722" s="21">
        <v>70178.710000000006</v>
      </c>
      <c r="AD8722" s="21" t="s">
        <v>368</v>
      </c>
      <c r="AE8722" t="str">
        <f>VLOOKUP(Table_Query_from_Actuarial___Production3[[#This Row],[Kor1]],$AI$3:$AK$105,3,FALSE)</f>
        <v>ALAE Paid</v>
      </c>
      <c r="AF8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3" spans="18:32" x14ac:dyDescent="0.2">
      <c r="R8723" t="s">
        <v>444</v>
      </c>
      <c r="S8723" t="s">
        <v>263</v>
      </c>
      <c r="T8723" t="s">
        <v>443</v>
      </c>
      <c r="U8723" s="21">
        <v>10167.81</v>
      </c>
      <c r="V8723" s="21" t="s">
        <v>368</v>
      </c>
      <c r="W8723" t="str">
        <f>VLOOKUP(Table_Query_from_Actuarial___Production[[#This Row],[Kor1]],$AI$3:$AK$105,3,FALSE)</f>
        <v>Misc. Expense</v>
      </c>
      <c r="X8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3"/>
      <c r="Z8723" t="s">
        <v>14</v>
      </c>
      <c r="AA8723" t="s">
        <v>245</v>
      </c>
      <c r="AB8723" t="s">
        <v>9</v>
      </c>
      <c r="AC8723" s="21">
        <v>1034.8499999999999</v>
      </c>
      <c r="AD8723" s="21" t="s">
        <v>368</v>
      </c>
      <c r="AE8723" t="str">
        <f>VLOOKUP(Table_Query_from_Actuarial___Production3[[#This Row],[Kor1]],$AI$3:$AK$105,3,FALSE)</f>
        <v>Claims Expense</v>
      </c>
      <c r="AF8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4" spans="18:32" x14ac:dyDescent="0.2">
      <c r="R8724" t="s">
        <v>40</v>
      </c>
      <c r="S8724" t="s">
        <v>260</v>
      </c>
      <c r="T8724" t="s">
        <v>433</v>
      </c>
      <c r="U8724" s="21">
        <v>4</v>
      </c>
      <c r="V8724" s="21" t="s">
        <v>368</v>
      </c>
      <c r="W8724" t="str">
        <f>VLOOKUP(Table_Query_from_Actuarial___Production[[#This Row],[Kor1]],$AI$3:$AK$105,3,FALSE)</f>
        <v>Misc. Income</v>
      </c>
      <c r="X8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4"/>
      <c r="Z8724" t="s">
        <v>18</v>
      </c>
      <c r="AA8724" t="s">
        <v>354</v>
      </c>
      <c r="AB8724" t="s">
        <v>433</v>
      </c>
      <c r="AC8724" s="21">
        <v>8449218.9299999997</v>
      </c>
      <c r="AD8724" s="21" t="s">
        <v>369</v>
      </c>
      <c r="AE8724" t="str">
        <f>VLOOKUP(Table_Query_from_Actuarial___Production3[[#This Row],[Kor1]],$AI$3:$AK$105,3,FALSE)</f>
        <v>Misc. Expense</v>
      </c>
      <c r="AF8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725" spans="18:32" x14ac:dyDescent="0.2">
      <c r="R8725" t="s">
        <v>44</v>
      </c>
      <c r="S8725" t="s">
        <v>267</v>
      </c>
      <c r="T8725" t="s">
        <v>9</v>
      </c>
      <c r="U8725" s="21">
        <v>14252.4</v>
      </c>
      <c r="V8725" s="21" t="s">
        <v>368</v>
      </c>
      <c r="W8725" t="str">
        <f>VLOOKUP(Table_Query_from_Actuarial___Production[[#This Row],[Kor1]],$AI$3:$AK$105,3,FALSE)</f>
        <v>Charge-offs</v>
      </c>
      <c r="X8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5"/>
      <c r="Z8725" t="s">
        <v>3</v>
      </c>
      <c r="AA8725" t="s">
        <v>250</v>
      </c>
      <c r="AB8725" t="s">
        <v>356</v>
      </c>
      <c r="AC8725" s="21">
        <v>1226046</v>
      </c>
      <c r="AD8725" s="21" t="s">
        <v>368</v>
      </c>
      <c r="AE8725" t="str">
        <f>VLOOKUP(Table_Query_from_Actuarial___Production3[[#This Row],[Kor1]],$AI$3:$AK$105,3,FALSE)</f>
        <v>Premiums Written</v>
      </c>
      <c r="AF8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6" spans="18:32" x14ac:dyDescent="0.2">
      <c r="R8726" t="s">
        <v>40</v>
      </c>
      <c r="S8726" t="s">
        <v>257</v>
      </c>
      <c r="T8726" t="s">
        <v>441</v>
      </c>
      <c r="U8726" s="21">
        <v>805</v>
      </c>
      <c r="V8726" s="21" t="s">
        <v>368</v>
      </c>
      <c r="W8726" t="str">
        <f>VLOOKUP(Table_Query_from_Actuarial___Production[[#This Row],[Kor1]],$AI$3:$AK$105,3,FALSE)</f>
        <v>Misc. Income</v>
      </c>
      <c r="X8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6"/>
      <c r="Z8726" t="s">
        <v>21</v>
      </c>
      <c r="AA8726" t="s">
        <v>250</v>
      </c>
      <c r="AB8726" t="s">
        <v>427</v>
      </c>
      <c r="AC8726" s="21">
        <v>1835.01</v>
      </c>
      <c r="AD8726" s="21" t="s">
        <v>368</v>
      </c>
      <c r="AE8726" t="str">
        <f>VLOOKUP(Table_Query_from_Actuarial___Production3[[#This Row],[Kor1]],$AI$3:$AK$105,3,FALSE)</f>
        <v>Misc. Expense</v>
      </c>
      <c r="AF8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7" spans="18:32" x14ac:dyDescent="0.2">
      <c r="R8727" t="s">
        <v>12</v>
      </c>
      <c r="S8727" t="s">
        <v>238</v>
      </c>
      <c r="T8727" t="s">
        <v>9</v>
      </c>
      <c r="U8727" s="21">
        <v>2911.96</v>
      </c>
      <c r="V8727" s="21" t="s">
        <v>368</v>
      </c>
      <c r="W8727" t="str">
        <f>VLOOKUP(Table_Query_from_Actuarial___Production[[#This Row],[Kor1]],$AI$3:$AK$105,3,FALSE)</f>
        <v>Premium Tax</v>
      </c>
      <c r="X8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7"/>
      <c r="Z8727" t="s">
        <v>43</v>
      </c>
      <c r="AA8727" t="s">
        <v>257</v>
      </c>
      <c r="AB8727" t="s">
        <v>9</v>
      </c>
      <c r="AC8727" s="21">
        <v>172.25</v>
      </c>
      <c r="AD8727" s="21" t="s">
        <v>368</v>
      </c>
      <c r="AE8727" t="str">
        <f>VLOOKUP(Table_Query_from_Actuarial___Production3[[#This Row],[Kor1]],$AI$3:$AK$105,3,FALSE)</f>
        <v>Charge-offs</v>
      </c>
      <c r="AF8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8" spans="18:32" x14ac:dyDescent="0.2">
      <c r="R8728" t="s">
        <v>34</v>
      </c>
      <c r="S8728" t="s">
        <v>265</v>
      </c>
      <c r="T8728" t="s">
        <v>8</v>
      </c>
      <c r="U8728" s="21">
        <v>3.64</v>
      </c>
      <c r="V8728" s="21" t="s">
        <v>368</v>
      </c>
      <c r="W8728" t="str">
        <f>VLOOKUP(Table_Query_from_Actuarial___Production[[#This Row],[Kor1]],$AI$3:$AK$105,3,FALSE)</f>
        <v>Misc. Expense</v>
      </c>
      <c r="X8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8"/>
      <c r="Z8728" t="s">
        <v>33</v>
      </c>
      <c r="AA8728" t="s">
        <v>243</v>
      </c>
      <c r="AB8728" t="s">
        <v>8</v>
      </c>
      <c r="AC8728" s="21">
        <v>15335.85</v>
      </c>
      <c r="AD8728" s="21" t="s">
        <v>368</v>
      </c>
      <c r="AE8728" t="str">
        <f>VLOOKUP(Table_Query_from_Actuarial___Production3[[#This Row],[Kor1]],$AI$3:$AK$105,3,FALSE)</f>
        <v>Misc. Expense</v>
      </c>
      <c r="AF8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29" spans="18:32" x14ac:dyDescent="0.2">
      <c r="R8729" t="s">
        <v>11</v>
      </c>
      <c r="S8729" t="s">
        <v>236</v>
      </c>
      <c r="T8729" t="s">
        <v>442</v>
      </c>
      <c r="U8729" s="21">
        <v>73090.240000000005</v>
      </c>
      <c r="V8729" s="21" t="s">
        <v>368</v>
      </c>
      <c r="W8729" t="str">
        <f>VLOOKUP(Table_Query_from_Actuarial___Production[[#This Row],[Kor1]],$AI$3:$AK$105,3,FALSE)</f>
        <v>Losses Paid</v>
      </c>
      <c r="X8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29"/>
      <c r="Z8729" t="s">
        <v>40</v>
      </c>
      <c r="AA8729" t="s">
        <v>231</v>
      </c>
      <c r="AB8729" t="s">
        <v>7</v>
      </c>
      <c r="AC8729" s="21">
        <v>207.01</v>
      </c>
      <c r="AD8729" s="21" t="s">
        <v>368</v>
      </c>
      <c r="AE8729" t="str">
        <f>VLOOKUP(Table_Query_from_Actuarial___Production3[[#This Row],[Kor1]],$AI$3:$AK$105,3,FALSE)</f>
        <v>Misc. Income</v>
      </c>
      <c r="AF8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0" spans="18:32" x14ac:dyDescent="0.2">
      <c r="R8730" t="s">
        <v>31</v>
      </c>
      <c r="S8730" t="s">
        <v>249</v>
      </c>
      <c r="T8730" t="s">
        <v>443</v>
      </c>
      <c r="U8730" s="21">
        <v>1395.54</v>
      </c>
      <c r="V8730" s="21" t="s">
        <v>368</v>
      </c>
      <c r="W8730" t="str">
        <f>VLOOKUP(Table_Query_from_Actuarial___Production[[#This Row],[Kor1]],$AI$3:$AK$105,3,FALSE)</f>
        <v>Misc. Expense</v>
      </c>
      <c r="X8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0"/>
      <c r="Z8730" t="s">
        <v>47</v>
      </c>
      <c r="AA8730" t="s">
        <v>265</v>
      </c>
      <c r="AB8730" t="s">
        <v>9</v>
      </c>
      <c r="AC8730" s="21">
        <v>176.52</v>
      </c>
      <c r="AD8730" s="21" t="s">
        <v>368</v>
      </c>
      <c r="AE8730" t="str">
        <f>VLOOKUP(Table_Query_from_Actuarial___Production3[[#This Row],[Kor1]],$AI$3:$AK$105,3,FALSE)</f>
        <v>Investment Income</v>
      </c>
      <c r="AF8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1" spans="18:32" x14ac:dyDescent="0.2">
      <c r="R8731" t="s">
        <v>40</v>
      </c>
      <c r="S8731" t="s">
        <v>229</v>
      </c>
      <c r="T8731" t="s">
        <v>427</v>
      </c>
      <c r="U8731" s="21">
        <v>10</v>
      </c>
      <c r="V8731" s="21" t="s">
        <v>368</v>
      </c>
      <c r="W8731" t="str">
        <f>VLOOKUP(Table_Query_from_Actuarial___Production[[#This Row],[Kor1]],$AI$3:$AK$105,3,FALSE)</f>
        <v>Misc. Income</v>
      </c>
      <c r="X8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1"/>
      <c r="Z8731" t="s">
        <v>13</v>
      </c>
      <c r="AA8731" t="s">
        <v>224</v>
      </c>
      <c r="AB8731" t="s">
        <v>6</v>
      </c>
      <c r="AC8731" s="21">
        <v>187023.92</v>
      </c>
      <c r="AD8731" s="21" t="s">
        <v>368</v>
      </c>
      <c r="AE8731" t="str">
        <f>VLOOKUP(Table_Query_from_Actuarial___Production3[[#This Row],[Kor1]],$AI$3:$AK$105,3,FALSE)</f>
        <v>Operating Service Fees</v>
      </c>
      <c r="AF8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8732" spans="18:32" x14ac:dyDescent="0.2">
      <c r="R8732" t="s">
        <v>48</v>
      </c>
      <c r="S8732" t="s">
        <v>230</v>
      </c>
      <c r="T8732" t="s">
        <v>441</v>
      </c>
      <c r="U8732" s="21">
        <v>100631.33</v>
      </c>
      <c r="V8732" s="21" t="s">
        <v>368</v>
      </c>
      <c r="W8732" t="str">
        <f>VLOOKUP(Table_Query_from_Actuarial___Production[[#This Row],[Kor1]],$AI$3:$AK$105,3,FALSE)</f>
        <v>Anticipated Salvage</v>
      </c>
      <c r="X8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2"/>
      <c r="Z8732" t="s">
        <v>17</v>
      </c>
      <c r="AA8732" t="s">
        <v>225</v>
      </c>
      <c r="AB8732" t="s">
        <v>442</v>
      </c>
      <c r="AC8732" s="21">
        <v>985189.94</v>
      </c>
      <c r="AD8732" s="21" t="s">
        <v>368</v>
      </c>
      <c r="AE8732" t="str">
        <f>VLOOKUP(Table_Query_from_Actuarial___Production3[[#This Row],[Kor1]],$AI$3:$AK$105,3,FALSE)</f>
        <v>IBNR</v>
      </c>
      <c r="AF8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733" spans="18:32" x14ac:dyDescent="0.2">
      <c r="R8733" t="s">
        <v>49</v>
      </c>
      <c r="S8733" t="s">
        <v>266</v>
      </c>
      <c r="T8733" t="s">
        <v>443</v>
      </c>
      <c r="U8733" s="21">
        <v>35972.94</v>
      </c>
      <c r="V8733" s="21" t="s">
        <v>368</v>
      </c>
      <c r="W8733" t="str">
        <f>VLOOKUP(Table_Query_from_Actuarial___Production[[#This Row],[Kor1]],$AI$3:$AK$105,3,FALSE)</f>
        <v>ALAE Paid</v>
      </c>
      <c r="X8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3"/>
      <c r="Z8733" t="s">
        <v>10</v>
      </c>
      <c r="AA8733" t="s">
        <v>228</v>
      </c>
      <c r="AB8733" t="s">
        <v>356</v>
      </c>
      <c r="AC8733" s="21">
        <v>5995.95</v>
      </c>
      <c r="AD8733" s="21" t="s">
        <v>368</v>
      </c>
      <c r="AE8733" t="str">
        <f>VLOOKUP(Table_Query_from_Actuarial___Production3[[#This Row],[Kor1]],$AI$3:$AK$105,3,FALSE)</f>
        <v>Commissions</v>
      </c>
      <c r="AF8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4" spans="18:32" x14ac:dyDescent="0.2">
      <c r="R8734" t="s">
        <v>48</v>
      </c>
      <c r="S8734" t="s">
        <v>244</v>
      </c>
      <c r="T8734" t="s">
        <v>445</v>
      </c>
      <c r="U8734" s="21">
        <v>2064.66</v>
      </c>
      <c r="V8734" s="21" t="s">
        <v>368</v>
      </c>
      <c r="W8734" t="str">
        <f>VLOOKUP(Table_Query_from_Actuarial___Production[[#This Row],[Kor1]],$AI$3:$AK$105,3,FALSE)</f>
        <v>Anticipated Salvage</v>
      </c>
      <c r="X8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4"/>
      <c r="Z8734" t="s">
        <v>40</v>
      </c>
      <c r="AA8734" t="s">
        <v>233</v>
      </c>
      <c r="AB8734" t="s">
        <v>6</v>
      </c>
      <c r="AC8734" s="21">
        <v>2</v>
      </c>
      <c r="AD8734" s="21" t="s">
        <v>368</v>
      </c>
      <c r="AE8734" t="str">
        <f>VLOOKUP(Table_Query_from_Actuarial___Production3[[#This Row],[Kor1]],$AI$3:$AK$105,3,FALSE)</f>
        <v>Misc. Income</v>
      </c>
      <c r="AF8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5" spans="18:32" x14ac:dyDescent="0.2">
      <c r="R8735" t="s">
        <v>11</v>
      </c>
      <c r="S8735" t="s">
        <v>225</v>
      </c>
      <c r="T8735" t="s">
        <v>445</v>
      </c>
      <c r="U8735" s="21">
        <v>29616.01</v>
      </c>
      <c r="V8735" s="21" t="s">
        <v>369</v>
      </c>
      <c r="W8735" t="str">
        <f>VLOOKUP(Table_Query_from_Actuarial___Production[[#This Row],[Kor1]],$AI$3:$AK$105,3,FALSE)</f>
        <v>Losses Paid</v>
      </c>
      <c r="X8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735"/>
      <c r="Z8735" t="s">
        <v>16</v>
      </c>
      <c r="AA8735" t="s">
        <v>235</v>
      </c>
      <c r="AB8735" t="s">
        <v>442</v>
      </c>
      <c r="AC8735" s="21">
        <v>9753.1299999999992</v>
      </c>
      <c r="AD8735" s="21" t="s">
        <v>368</v>
      </c>
      <c r="AE8735" t="str">
        <f>VLOOKUP(Table_Query_from_Actuarial___Production3[[#This Row],[Kor1]],$AI$3:$AK$105,3,FALSE)</f>
        <v>Losses Outstanding</v>
      </c>
      <c r="AF8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6" spans="18:32" x14ac:dyDescent="0.2">
      <c r="R8736" t="s">
        <v>14</v>
      </c>
      <c r="S8736" t="s">
        <v>236</v>
      </c>
      <c r="T8736" t="s">
        <v>351</v>
      </c>
      <c r="U8736" s="21">
        <v>2024.39</v>
      </c>
      <c r="V8736" s="21" t="s">
        <v>368</v>
      </c>
      <c r="W8736" t="str">
        <f>VLOOKUP(Table_Query_from_Actuarial___Production[[#This Row],[Kor1]],$AI$3:$AK$105,3,FALSE)</f>
        <v>Claims Expense</v>
      </c>
      <c r="X8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6"/>
      <c r="Z8736" t="s">
        <v>47</v>
      </c>
      <c r="AA8736" t="s">
        <v>235</v>
      </c>
      <c r="AB8736" t="s">
        <v>5</v>
      </c>
      <c r="AC8736" s="21">
        <v>1.7</v>
      </c>
      <c r="AD8736" s="21" t="s">
        <v>368</v>
      </c>
      <c r="AE8736" t="str">
        <f>VLOOKUP(Table_Query_from_Actuarial___Production3[[#This Row],[Kor1]],$AI$3:$AK$105,3,FALSE)</f>
        <v>Investment Income</v>
      </c>
      <c r="AF8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7" spans="18:32" x14ac:dyDescent="0.2">
      <c r="R8737" t="s">
        <v>32</v>
      </c>
      <c r="S8737" t="s">
        <v>4</v>
      </c>
      <c r="T8737" t="s">
        <v>442</v>
      </c>
      <c r="U8737" s="21">
        <v>0.06</v>
      </c>
      <c r="V8737" s="21" t="s">
        <v>368</v>
      </c>
      <c r="W8737" t="str">
        <f>VLOOKUP(Table_Query_from_Actuarial___Production[[#This Row],[Kor1]],$AI$3:$AK$105,3,FALSE)</f>
        <v>Misc. Expense</v>
      </c>
      <c r="X8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7"/>
      <c r="Z8737" t="s">
        <v>50</v>
      </c>
      <c r="AA8737" t="s">
        <v>257</v>
      </c>
      <c r="AB8737" t="s">
        <v>442</v>
      </c>
      <c r="AC8737" s="21">
        <v>24528.6</v>
      </c>
      <c r="AD8737" s="21" t="s">
        <v>368</v>
      </c>
      <c r="AE8737" t="str">
        <f>VLOOKUP(Table_Query_from_Actuarial___Production3[[#This Row],[Kor1]],$AI$3:$AK$105,3,FALSE)</f>
        <v>ALAE Reserve</v>
      </c>
      <c r="AF8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8" spans="18:32" x14ac:dyDescent="0.2">
      <c r="R8738" t="s">
        <v>31</v>
      </c>
      <c r="S8738" t="s">
        <v>246</v>
      </c>
      <c r="T8738" t="s">
        <v>443</v>
      </c>
      <c r="U8738" s="21">
        <v>425.37</v>
      </c>
      <c r="V8738" s="21" t="s">
        <v>368</v>
      </c>
      <c r="W8738" t="str">
        <f>VLOOKUP(Table_Query_from_Actuarial___Production[[#This Row],[Kor1]],$AI$3:$AK$105,3,FALSE)</f>
        <v>Misc. Expense</v>
      </c>
      <c r="X8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8"/>
      <c r="Z8738" t="s">
        <v>40</v>
      </c>
      <c r="AA8738" t="s">
        <v>4</v>
      </c>
      <c r="AB8738" t="s">
        <v>8</v>
      </c>
      <c r="AC8738" s="21">
        <v>3453.2</v>
      </c>
      <c r="AD8738" s="21" t="s">
        <v>368</v>
      </c>
      <c r="AE8738" t="str">
        <f>VLOOKUP(Table_Query_from_Actuarial___Production3[[#This Row],[Kor1]],$AI$3:$AK$105,3,FALSE)</f>
        <v>Misc. Income</v>
      </c>
      <c r="AF8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39" spans="18:32" x14ac:dyDescent="0.2">
      <c r="R8739" t="s">
        <v>16</v>
      </c>
      <c r="S8739" t="s">
        <v>254</v>
      </c>
      <c r="T8739" t="s">
        <v>427</v>
      </c>
      <c r="U8739" s="21">
        <v>884787.55</v>
      </c>
      <c r="V8739" s="21" t="s">
        <v>368</v>
      </c>
      <c r="W8739" t="str">
        <f>VLOOKUP(Table_Query_from_Actuarial___Production[[#This Row],[Kor1]],$AI$3:$AK$105,3,FALSE)</f>
        <v>Losses Outstanding</v>
      </c>
      <c r="X8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39"/>
      <c r="Z8739" t="s">
        <v>11</v>
      </c>
      <c r="AA8739" t="s">
        <v>262</v>
      </c>
      <c r="AB8739" t="s">
        <v>6</v>
      </c>
      <c r="AC8739" s="21">
        <v>36651.24</v>
      </c>
      <c r="AD8739" s="21" t="s">
        <v>368</v>
      </c>
      <c r="AE8739" t="str">
        <f>VLOOKUP(Table_Query_from_Actuarial___Production3[[#This Row],[Kor1]],$AI$3:$AK$105,3,FALSE)</f>
        <v>Losses Paid</v>
      </c>
      <c r="AF8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0" spans="18:32" x14ac:dyDescent="0.2">
      <c r="R8740" t="s">
        <v>50</v>
      </c>
      <c r="S8740" t="s">
        <v>233</v>
      </c>
      <c r="T8740" t="s">
        <v>433</v>
      </c>
      <c r="U8740" s="21">
        <v>4856.54</v>
      </c>
      <c r="V8740" s="21" t="s">
        <v>368</v>
      </c>
      <c r="W8740" t="str">
        <f>VLOOKUP(Table_Query_from_Actuarial___Production[[#This Row],[Kor1]],$AI$3:$AK$105,3,FALSE)</f>
        <v>ALAE Reserve</v>
      </c>
      <c r="X8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0"/>
      <c r="Z8740" t="s">
        <v>41</v>
      </c>
      <c r="AA8740" t="s">
        <v>262</v>
      </c>
      <c r="AB8740" t="s">
        <v>6</v>
      </c>
      <c r="AC8740" s="21">
        <v>349.99</v>
      </c>
      <c r="AD8740" s="21" t="s">
        <v>368</v>
      </c>
      <c r="AE8740" t="str">
        <f>VLOOKUP(Table_Query_from_Actuarial___Production3[[#This Row],[Kor1]],$AI$3:$AK$105,3,FALSE)</f>
        <v>Misc. Income</v>
      </c>
      <c r="AF8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1" spans="18:32" x14ac:dyDescent="0.2">
      <c r="R8741" t="s">
        <v>10</v>
      </c>
      <c r="S8741" t="s">
        <v>255</v>
      </c>
      <c r="T8741" t="s">
        <v>427</v>
      </c>
      <c r="U8741" s="21">
        <v>28984.9</v>
      </c>
      <c r="V8741" s="21" t="s">
        <v>368</v>
      </c>
      <c r="W8741" t="str">
        <f>VLOOKUP(Table_Query_from_Actuarial___Production[[#This Row],[Kor1]],$AI$3:$AK$105,3,FALSE)</f>
        <v>Commissions</v>
      </c>
      <c r="X8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1"/>
      <c r="Z8741" t="s">
        <v>10</v>
      </c>
      <c r="AA8741" t="s">
        <v>255</v>
      </c>
      <c r="AB8741" t="s">
        <v>443</v>
      </c>
      <c r="AC8741" s="21">
        <v>13124.05</v>
      </c>
      <c r="AD8741" s="21" t="s">
        <v>368</v>
      </c>
      <c r="AE8741" t="str">
        <f>VLOOKUP(Table_Query_from_Actuarial___Production3[[#This Row],[Kor1]],$AI$3:$AK$105,3,FALSE)</f>
        <v>Commissions</v>
      </c>
      <c r="AF8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2" spans="18:32" x14ac:dyDescent="0.2">
      <c r="R8742" t="s">
        <v>41</v>
      </c>
      <c r="S8742" t="s">
        <v>263</v>
      </c>
      <c r="T8742" t="s">
        <v>351</v>
      </c>
      <c r="U8742" s="21">
        <v>572.75</v>
      </c>
      <c r="V8742" s="21" t="s">
        <v>368</v>
      </c>
      <c r="W8742" t="str">
        <f>VLOOKUP(Table_Query_from_Actuarial___Production[[#This Row],[Kor1]],$AI$3:$AK$105,3,FALSE)</f>
        <v>Misc. Income</v>
      </c>
      <c r="X8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2"/>
      <c r="Z8742" t="s">
        <v>41</v>
      </c>
      <c r="AA8742" t="s">
        <v>246</v>
      </c>
      <c r="AB8742" t="s">
        <v>6</v>
      </c>
      <c r="AC8742" s="21">
        <v>250</v>
      </c>
      <c r="AD8742" s="21" t="s">
        <v>368</v>
      </c>
      <c r="AE8742" t="str">
        <f>VLOOKUP(Table_Query_from_Actuarial___Production3[[#This Row],[Kor1]],$AI$3:$AK$105,3,FALSE)</f>
        <v>Misc. Income</v>
      </c>
      <c r="AF8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3" spans="18:32" x14ac:dyDescent="0.2">
      <c r="R8743" t="s">
        <v>14</v>
      </c>
      <c r="S8743" t="s">
        <v>246</v>
      </c>
      <c r="T8743" t="s">
        <v>443</v>
      </c>
      <c r="U8743" s="21">
        <v>111954.32</v>
      </c>
      <c r="V8743" s="21" t="s">
        <v>368</v>
      </c>
      <c r="W8743" t="str">
        <f>VLOOKUP(Table_Query_from_Actuarial___Production[[#This Row],[Kor1]],$AI$3:$AK$105,3,FALSE)</f>
        <v>Claims Expense</v>
      </c>
      <c r="X8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3"/>
      <c r="Z8743" t="s">
        <v>40</v>
      </c>
      <c r="AA8743" t="s">
        <v>260</v>
      </c>
      <c r="AB8743" t="s">
        <v>433</v>
      </c>
      <c r="AC8743" s="21">
        <v>4</v>
      </c>
      <c r="AD8743" s="21" t="s">
        <v>368</v>
      </c>
      <c r="AE8743" t="str">
        <f>VLOOKUP(Table_Query_from_Actuarial___Production3[[#This Row],[Kor1]],$AI$3:$AK$105,3,FALSE)</f>
        <v>Misc. Income</v>
      </c>
      <c r="AF8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4" spans="18:32" x14ac:dyDescent="0.2">
      <c r="R8744" t="s">
        <v>39</v>
      </c>
      <c r="S8744" t="s">
        <v>228</v>
      </c>
      <c r="T8744" t="s">
        <v>351</v>
      </c>
      <c r="U8744" s="21">
        <v>845</v>
      </c>
      <c r="V8744" s="21" t="s">
        <v>368</v>
      </c>
      <c r="W8744" t="str">
        <f>VLOOKUP(Table_Query_from_Actuarial___Production[[#This Row],[Kor1]],$AI$3:$AK$105,3,FALSE)</f>
        <v>Misc. Income for Insolvent Companies</v>
      </c>
      <c r="X8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4"/>
      <c r="Z8744" t="s">
        <v>44</v>
      </c>
      <c r="AA8744" t="s">
        <v>267</v>
      </c>
      <c r="AB8744" t="s">
        <v>9</v>
      </c>
      <c r="AC8744" s="21">
        <v>14252.4</v>
      </c>
      <c r="AD8744" s="21" t="s">
        <v>368</v>
      </c>
      <c r="AE8744" t="str">
        <f>VLOOKUP(Table_Query_from_Actuarial___Production3[[#This Row],[Kor1]],$AI$3:$AK$105,3,FALSE)</f>
        <v>Charge-offs</v>
      </c>
      <c r="AF8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5" spans="18:32" x14ac:dyDescent="0.2">
      <c r="R8745" t="s">
        <v>48</v>
      </c>
      <c r="S8745" t="s">
        <v>236</v>
      </c>
      <c r="T8745" t="s">
        <v>443</v>
      </c>
      <c r="U8745" s="21">
        <v>327.43</v>
      </c>
      <c r="V8745" s="21" t="s">
        <v>368</v>
      </c>
      <c r="W8745" t="str">
        <f>VLOOKUP(Table_Query_from_Actuarial___Production[[#This Row],[Kor1]],$AI$3:$AK$105,3,FALSE)</f>
        <v>Anticipated Salvage</v>
      </c>
      <c r="X8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5"/>
      <c r="Z8745" t="s">
        <v>38</v>
      </c>
      <c r="AA8745" t="s">
        <v>354</v>
      </c>
      <c r="AB8745" t="s">
        <v>5</v>
      </c>
      <c r="AC8745" s="21">
        <v>210034.37</v>
      </c>
      <c r="AD8745" s="21" t="s">
        <v>369</v>
      </c>
      <c r="AE8745" t="str">
        <f>VLOOKUP(Table_Query_from_Actuarial___Production3[[#This Row],[Kor1]],$AI$3:$AK$105,3,FALSE)</f>
        <v>Misc. Income</v>
      </c>
      <c r="AF8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746" spans="18:32" x14ac:dyDescent="0.2">
      <c r="R8746" t="s">
        <v>33</v>
      </c>
      <c r="S8746" t="s">
        <v>232</v>
      </c>
      <c r="T8746" t="s">
        <v>433</v>
      </c>
      <c r="U8746" s="21">
        <v>14804.22</v>
      </c>
      <c r="V8746" s="21" t="s">
        <v>368</v>
      </c>
      <c r="W8746" t="str">
        <f>VLOOKUP(Table_Query_from_Actuarial___Production[[#This Row],[Kor1]],$AI$3:$AK$105,3,FALSE)</f>
        <v>Misc. Expense</v>
      </c>
      <c r="X8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6"/>
      <c r="Z8746" t="s">
        <v>40</v>
      </c>
      <c r="AA8746" t="s">
        <v>257</v>
      </c>
      <c r="AB8746" t="s">
        <v>441</v>
      </c>
      <c r="AC8746" s="21">
        <v>805</v>
      </c>
      <c r="AD8746" s="21" t="s">
        <v>368</v>
      </c>
      <c r="AE8746" t="str">
        <f>VLOOKUP(Table_Query_from_Actuarial___Production3[[#This Row],[Kor1]],$AI$3:$AK$105,3,FALSE)</f>
        <v>Misc. Income</v>
      </c>
      <c r="AF8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7" spans="18:32" x14ac:dyDescent="0.2">
      <c r="R8747" t="s">
        <v>33</v>
      </c>
      <c r="S8747" t="s">
        <v>259</v>
      </c>
      <c r="T8747" t="s">
        <v>6</v>
      </c>
      <c r="U8747" s="21">
        <v>12928</v>
      </c>
      <c r="V8747" s="21" t="s">
        <v>368</v>
      </c>
      <c r="W8747" t="str">
        <f>VLOOKUP(Table_Query_from_Actuarial___Production[[#This Row],[Kor1]],$AI$3:$AK$105,3,FALSE)</f>
        <v>Misc. Expense</v>
      </c>
      <c r="X8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7"/>
      <c r="Z8747" t="s">
        <v>12</v>
      </c>
      <c r="AA8747" t="s">
        <v>238</v>
      </c>
      <c r="AB8747" t="s">
        <v>9</v>
      </c>
      <c r="AC8747" s="21">
        <v>2911.96</v>
      </c>
      <c r="AD8747" s="21" t="s">
        <v>368</v>
      </c>
      <c r="AE8747" t="str">
        <f>VLOOKUP(Table_Query_from_Actuarial___Production3[[#This Row],[Kor1]],$AI$3:$AK$105,3,FALSE)</f>
        <v>Premium Tax</v>
      </c>
      <c r="AF8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8" spans="18:32" x14ac:dyDescent="0.2">
      <c r="R8748" t="s">
        <v>22</v>
      </c>
      <c r="S8748" t="s">
        <v>259</v>
      </c>
      <c r="T8748" t="s">
        <v>9</v>
      </c>
      <c r="U8748" s="21">
        <v>17338.810000000001</v>
      </c>
      <c r="V8748" s="21" t="s">
        <v>368</v>
      </c>
      <c r="W8748" t="str">
        <f>VLOOKUP(Table_Query_from_Actuarial___Production[[#This Row],[Kor1]],$AI$3:$AK$105,3,FALSE)</f>
        <v>Misc. Expense</v>
      </c>
      <c r="X8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8"/>
      <c r="Z8748" t="s">
        <v>34</v>
      </c>
      <c r="AA8748" t="s">
        <v>265</v>
      </c>
      <c r="AB8748" t="s">
        <v>8</v>
      </c>
      <c r="AC8748" s="21">
        <v>3.64</v>
      </c>
      <c r="AD8748" s="21" t="s">
        <v>368</v>
      </c>
      <c r="AE8748" t="str">
        <f>VLOOKUP(Table_Query_from_Actuarial___Production3[[#This Row],[Kor1]],$AI$3:$AK$105,3,FALSE)</f>
        <v>Misc. Expense</v>
      </c>
      <c r="AF8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49" spans="18:32" x14ac:dyDescent="0.2">
      <c r="R8749" t="s">
        <v>10</v>
      </c>
      <c r="S8749" t="s">
        <v>245</v>
      </c>
      <c r="T8749" t="s">
        <v>7</v>
      </c>
      <c r="U8749" s="21">
        <v>3252.75</v>
      </c>
      <c r="V8749" s="21" t="s">
        <v>368</v>
      </c>
      <c r="W8749" t="str">
        <f>VLOOKUP(Table_Query_from_Actuarial___Production[[#This Row],[Kor1]],$AI$3:$AK$105,3,FALSE)</f>
        <v>Commissions</v>
      </c>
      <c r="X8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49"/>
      <c r="Z8749" t="s">
        <v>11</v>
      </c>
      <c r="AA8749" t="s">
        <v>236</v>
      </c>
      <c r="AB8749" t="s">
        <v>442</v>
      </c>
      <c r="AC8749" s="21">
        <v>9825.99</v>
      </c>
      <c r="AD8749" s="21" t="s">
        <v>368</v>
      </c>
      <c r="AE8749" t="str">
        <f>VLOOKUP(Table_Query_from_Actuarial___Production3[[#This Row],[Kor1]],$AI$3:$AK$105,3,FALSE)</f>
        <v>Losses Paid</v>
      </c>
      <c r="AF8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0" spans="18:32" x14ac:dyDescent="0.2">
      <c r="R8750" t="s">
        <v>11</v>
      </c>
      <c r="S8750" t="s">
        <v>230</v>
      </c>
      <c r="T8750" t="s">
        <v>8</v>
      </c>
      <c r="U8750" s="21">
        <v>19916989.850000001</v>
      </c>
      <c r="V8750" s="21" t="s">
        <v>368</v>
      </c>
      <c r="W8750" t="str">
        <f>VLOOKUP(Table_Query_from_Actuarial___Production[[#This Row],[Kor1]],$AI$3:$AK$105,3,FALSE)</f>
        <v>Losses Paid</v>
      </c>
      <c r="X8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0"/>
      <c r="Z8750" t="s">
        <v>31</v>
      </c>
      <c r="AA8750" t="s">
        <v>249</v>
      </c>
      <c r="AB8750" t="s">
        <v>443</v>
      </c>
      <c r="AC8750" s="21">
        <v>678.73</v>
      </c>
      <c r="AD8750" s="21" t="s">
        <v>368</v>
      </c>
      <c r="AE8750" t="str">
        <f>VLOOKUP(Table_Query_from_Actuarial___Production3[[#This Row],[Kor1]],$AI$3:$AK$105,3,FALSE)</f>
        <v>Misc. Expense</v>
      </c>
      <c r="AF8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1" spans="18:32" x14ac:dyDescent="0.2">
      <c r="R8751" t="s">
        <v>16</v>
      </c>
      <c r="S8751" t="s">
        <v>262</v>
      </c>
      <c r="T8751" t="s">
        <v>441</v>
      </c>
      <c r="U8751" s="21">
        <v>354897.09</v>
      </c>
      <c r="V8751" s="21" t="s">
        <v>368</v>
      </c>
      <c r="W8751" t="str">
        <f>VLOOKUP(Table_Query_from_Actuarial___Production[[#This Row],[Kor1]],$AI$3:$AK$105,3,FALSE)</f>
        <v>Losses Outstanding</v>
      </c>
      <c r="X8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1"/>
      <c r="Z8751" t="s">
        <v>40</v>
      </c>
      <c r="AA8751" t="s">
        <v>229</v>
      </c>
      <c r="AB8751" t="s">
        <v>427</v>
      </c>
      <c r="AC8751" s="21">
        <v>10</v>
      </c>
      <c r="AD8751" s="21" t="s">
        <v>368</v>
      </c>
      <c r="AE8751" t="str">
        <f>VLOOKUP(Table_Query_from_Actuarial___Production3[[#This Row],[Kor1]],$AI$3:$AK$105,3,FALSE)</f>
        <v>Misc. Income</v>
      </c>
      <c r="AF8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2" spans="18:32" x14ac:dyDescent="0.2">
      <c r="R8752" t="s">
        <v>31</v>
      </c>
      <c r="S8752" t="s">
        <v>260</v>
      </c>
      <c r="T8752" t="s">
        <v>445</v>
      </c>
      <c r="U8752" s="21">
        <v>272.89</v>
      </c>
      <c r="V8752" s="21" t="s">
        <v>368</v>
      </c>
      <c r="W8752" t="str">
        <f>VLOOKUP(Table_Query_from_Actuarial___Production[[#This Row],[Kor1]],$AI$3:$AK$105,3,FALSE)</f>
        <v>Misc. Expense</v>
      </c>
      <c r="X8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2"/>
      <c r="Z8752" t="s">
        <v>48</v>
      </c>
      <c r="AA8752" t="s">
        <v>230</v>
      </c>
      <c r="AB8752" t="s">
        <v>441</v>
      </c>
      <c r="AC8752" s="21">
        <v>69228.73</v>
      </c>
      <c r="AD8752" s="21" t="s">
        <v>368</v>
      </c>
      <c r="AE8752" t="str">
        <f>VLOOKUP(Table_Query_from_Actuarial___Production3[[#This Row],[Kor1]],$AI$3:$AK$105,3,FALSE)</f>
        <v>Anticipated Salvage</v>
      </c>
      <c r="AF8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3" spans="18:32" x14ac:dyDescent="0.2">
      <c r="R8753" t="s">
        <v>14</v>
      </c>
      <c r="S8753" t="s">
        <v>224</v>
      </c>
      <c r="T8753" t="s">
        <v>427</v>
      </c>
      <c r="U8753" s="21">
        <v>192560.16</v>
      </c>
      <c r="V8753" s="21" t="s">
        <v>370</v>
      </c>
      <c r="W8753" t="str">
        <f>VLOOKUP(Table_Query_from_Actuarial___Production[[#This Row],[Kor1]],$AI$3:$AK$105,3,FALSE)</f>
        <v>Claims Expense</v>
      </c>
      <c r="X8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753"/>
      <c r="Z8753" t="s">
        <v>14</v>
      </c>
      <c r="AA8753" t="s">
        <v>236</v>
      </c>
      <c r="AB8753" t="s">
        <v>351</v>
      </c>
      <c r="AC8753" s="21">
        <v>2024.39</v>
      </c>
      <c r="AD8753" s="21" t="s">
        <v>368</v>
      </c>
      <c r="AE8753" t="str">
        <f>VLOOKUP(Table_Query_from_Actuarial___Production3[[#This Row],[Kor1]],$AI$3:$AK$105,3,FALSE)</f>
        <v>Claims Expense</v>
      </c>
      <c r="AF8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4" spans="18:32" x14ac:dyDescent="0.2">
      <c r="R8754" t="s">
        <v>19</v>
      </c>
      <c r="S8754" t="s">
        <v>227</v>
      </c>
      <c r="T8754" t="s">
        <v>356</v>
      </c>
      <c r="U8754" s="21">
        <v>26</v>
      </c>
      <c r="V8754" s="21" t="s">
        <v>368</v>
      </c>
      <c r="W8754" t="str">
        <f>VLOOKUP(Table_Query_from_Actuarial___Production[[#This Row],[Kor1]],$AI$3:$AK$105,3,FALSE)</f>
        <v>Misc. Expense for Insolvent Companies</v>
      </c>
      <c r="X8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4"/>
      <c r="Z8754" t="s">
        <v>32</v>
      </c>
      <c r="AA8754" t="s">
        <v>4</v>
      </c>
      <c r="AB8754" t="s">
        <v>442</v>
      </c>
      <c r="AC8754" s="21">
        <v>0.06</v>
      </c>
      <c r="AD8754" s="21" t="s">
        <v>368</v>
      </c>
      <c r="AE8754" t="str">
        <f>VLOOKUP(Table_Query_from_Actuarial___Production3[[#This Row],[Kor1]],$AI$3:$AK$105,3,FALSE)</f>
        <v>Misc. Expense</v>
      </c>
      <c r="AF8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5" spans="18:32" x14ac:dyDescent="0.2">
      <c r="R8755" t="s">
        <v>20</v>
      </c>
      <c r="S8755" t="s">
        <v>248</v>
      </c>
      <c r="T8755" t="s">
        <v>445</v>
      </c>
      <c r="U8755" s="21">
        <v>28.48</v>
      </c>
      <c r="V8755" s="21" t="s">
        <v>368</v>
      </c>
      <c r="W8755" t="str">
        <f>VLOOKUP(Table_Query_from_Actuarial___Production[[#This Row],[Kor1]],$AI$3:$AK$105,3,FALSE)</f>
        <v>Misc. Expense</v>
      </c>
      <c r="X8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5"/>
      <c r="Z8755" t="s">
        <v>31</v>
      </c>
      <c r="AA8755" t="s">
        <v>246</v>
      </c>
      <c r="AB8755" t="s">
        <v>443</v>
      </c>
      <c r="AC8755" s="21">
        <v>786.82</v>
      </c>
      <c r="AD8755" s="21" t="s">
        <v>368</v>
      </c>
      <c r="AE8755" t="str">
        <f>VLOOKUP(Table_Query_from_Actuarial___Production3[[#This Row],[Kor1]],$AI$3:$AK$105,3,FALSE)</f>
        <v>Misc. Expense</v>
      </c>
      <c r="AF8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6" spans="18:32" x14ac:dyDescent="0.2">
      <c r="R8756" t="s">
        <v>3</v>
      </c>
      <c r="S8756" t="s">
        <v>238</v>
      </c>
      <c r="T8756" t="s">
        <v>442</v>
      </c>
      <c r="U8756" s="21">
        <v>1845133</v>
      </c>
      <c r="V8756" s="21" t="s">
        <v>368</v>
      </c>
      <c r="W8756" t="str">
        <f>VLOOKUP(Table_Query_from_Actuarial___Production[[#This Row],[Kor1]],$AI$3:$AK$105,3,FALSE)</f>
        <v>Premiums Written</v>
      </c>
      <c r="X8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6"/>
      <c r="Z8756" t="s">
        <v>16</v>
      </c>
      <c r="AA8756" t="s">
        <v>254</v>
      </c>
      <c r="AB8756" t="s">
        <v>427</v>
      </c>
      <c r="AC8756" s="21">
        <v>1181322.77</v>
      </c>
      <c r="AD8756" s="21" t="s">
        <v>368</v>
      </c>
      <c r="AE8756" t="str">
        <f>VLOOKUP(Table_Query_from_Actuarial___Production3[[#This Row],[Kor1]],$AI$3:$AK$105,3,FALSE)</f>
        <v>Losses Outstanding</v>
      </c>
      <c r="AF8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7" spans="18:32" x14ac:dyDescent="0.2">
      <c r="R8757" t="s">
        <v>14</v>
      </c>
      <c r="S8757" t="s">
        <v>232</v>
      </c>
      <c r="T8757" t="s">
        <v>441</v>
      </c>
      <c r="U8757" s="21">
        <v>60593.35</v>
      </c>
      <c r="V8757" s="21" t="s">
        <v>368</v>
      </c>
      <c r="W8757" t="str">
        <f>VLOOKUP(Table_Query_from_Actuarial___Production[[#This Row],[Kor1]],$AI$3:$AK$105,3,FALSE)</f>
        <v>Claims Expense</v>
      </c>
      <c r="X8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7"/>
      <c r="Z8757" t="s">
        <v>50</v>
      </c>
      <c r="AA8757" t="s">
        <v>233</v>
      </c>
      <c r="AB8757" t="s">
        <v>433</v>
      </c>
      <c r="AC8757" s="21">
        <v>14414.8</v>
      </c>
      <c r="AD8757" s="21" t="s">
        <v>368</v>
      </c>
      <c r="AE8757" t="str">
        <f>VLOOKUP(Table_Query_from_Actuarial___Production3[[#This Row],[Kor1]],$AI$3:$AK$105,3,FALSE)</f>
        <v>ALAE Reserve</v>
      </c>
      <c r="AF8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8" spans="18:32" x14ac:dyDescent="0.2">
      <c r="R8758" t="s">
        <v>14</v>
      </c>
      <c r="S8758" t="s">
        <v>252</v>
      </c>
      <c r="T8758" t="s">
        <v>351</v>
      </c>
      <c r="U8758" s="21">
        <v>2917579.47</v>
      </c>
      <c r="V8758" s="21" t="s">
        <v>368</v>
      </c>
      <c r="W8758" t="str">
        <f>VLOOKUP(Table_Query_from_Actuarial___Production[[#This Row],[Kor1]],$AI$3:$AK$105,3,FALSE)</f>
        <v>Claims Expense</v>
      </c>
      <c r="X8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8"/>
      <c r="Z8758" t="s">
        <v>10</v>
      </c>
      <c r="AA8758" t="s">
        <v>255</v>
      </c>
      <c r="AB8758" t="s">
        <v>427</v>
      </c>
      <c r="AC8758" s="21">
        <v>28984.9</v>
      </c>
      <c r="AD8758" s="21" t="s">
        <v>368</v>
      </c>
      <c r="AE8758" t="str">
        <f>VLOOKUP(Table_Query_from_Actuarial___Production3[[#This Row],[Kor1]],$AI$3:$AK$105,3,FALSE)</f>
        <v>Commissions</v>
      </c>
      <c r="AF8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59" spans="18:32" x14ac:dyDescent="0.2">
      <c r="R8759" t="s">
        <v>47</v>
      </c>
      <c r="S8759" t="s">
        <v>234</v>
      </c>
      <c r="T8759" t="s">
        <v>6</v>
      </c>
      <c r="U8759" s="21">
        <v>0.06</v>
      </c>
      <c r="V8759" s="21" t="s">
        <v>368</v>
      </c>
      <c r="W8759" t="str">
        <f>VLOOKUP(Table_Query_from_Actuarial___Production[[#This Row],[Kor1]],$AI$3:$AK$105,3,FALSE)</f>
        <v>Investment Income</v>
      </c>
      <c r="X8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59"/>
      <c r="Z8759" t="s">
        <v>41</v>
      </c>
      <c r="AA8759" t="s">
        <v>263</v>
      </c>
      <c r="AB8759" t="s">
        <v>351</v>
      </c>
      <c r="AC8759" s="21">
        <v>572.75</v>
      </c>
      <c r="AD8759" s="21" t="s">
        <v>368</v>
      </c>
      <c r="AE8759" t="str">
        <f>VLOOKUP(Table_Query_from_Actuarial___Production3[[#This Row],[Kor1]],$AI$3:$AK$105,3,FALSE)</f>
        <v>Misc. Income</v>
      </c>
      <c r="AF8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0" spans="18:32" x14ac:dyDescent="0.2">
      <c r="R8760" t="s">
        <v>49</v>
      </c>
      <c r="S8760" t="s">
        <v>263</v>
      </c>
      <c r="T8760" t="s">
        <v>441</v>
      </c>
      <c r="U8760" s="21">
        <v>12043.85</v>
      </c>
      <c r="V8760" s="21" t="s">
        <v>368</v>
      </c>
      <c r="W8760" t="str">
        <f>VLOOKUP(Table_Query_from_Actuarial___Production[[#This Row],[Kor1]],$AI$3:$AK$105,3,FALSE)</f>
        <v>ALAE Paid</v>
      </c>
      <c r="X8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0"/>
      <c r="Z8760" t="s">
        <v>14</v>
      </c>
      <c r="AA8760" t="s">
        <v>246</v>
      </c>
      <c r="AB8760" t="s">
        <v>443</v>
      </c>
      <c r="AC8760" s="21">
        <v>6338.68</v>
      </c>
      <c r="AD8760" s="21" t="s">
        <v>368</v>
      </c>
      <c r="AE8760" t="str">
        <f>VLOOKUP(Table_Query_from_Actuarial___Production3[[#This Row],[Kor1]],$AI$3:$AK$105,3,FALSE)</f>
        <v>Claims Expense</v>
      </c>
      <c r="AF8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1" spans="18:32" x14ac:dyDescent="0.2">
      <c r="R8761" t="s">
        <v>11</v>
      </c>
      <c r="S8761" t="s">
        <v>248</v>
      </c>
      <c r="T8761" t="s">
        <v>6</v>
      </c>
      <c r="U8761" s="21">
        <v>15557.19</v>
      </c>
      <c r="V8761" s="21" t="s">
        <v>368</v>
      </c>
      <c r="W8761" t="str">
        <f>VLOOKUP(Table_Query_from_Actuarial___Production[[#This Row],[Kor1]],$AI$3:$AK$105,3,FALSE)</f>
        <v>Losses Paid</v>
      </c>
      <c r="X8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1"/>
      <c r="Z8761" t="s">
        <v>39</v>
      </c>
      <c r="AA8761" t="s">
        <v>228</v>
      </c>
      <c r="AB8761" t="s">
        <v>351</v>
      </c>
      <c r="AC8761" s="21">
        <v>845</v>
      </c>
      <c r="AD8761" s="21" t="s">
        <v>368</v>
      </c>
      <c r="AE8761" t="str">
        <f>VLOOKUP(Table_Query_from_Actuarial___Production3[[#This Row],[Kor1]],$AI$3:$AK$105,3,FALSE)</f>
        <v>Misc. Income for Insolvent Companies</v>
      </c>
      <c r="AF8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2" spans="18:32" x14ac:dyDescent="0.2">
      <c r="R8762" t="s">
        <v>14</v>
      </c>
      <c r="S8762" t="s">
        <v>258</v>
      </c>
      <c r="T8762" t="s">
        <v>351</v>
      </c>
      <c r="U8762" s="21">
        <v>242245.86</v>
      </c>
      <c r="V8762" s="21" t="s">
        <v>368</v>
      </c>
      <c r="W8762" t="str">
        <f>VLOOKUP(Table_Query_from_Actuarial___Production[[#This Row],[Kor1]],$AI$3:$AK$105,3,FALSE)</f>
        <v>Claims Expense</v>
      </c>
      <c r="X8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2"/>
      <c r="Z8762" t="s">
        <v>13</v>
      </c>
      <c r="AA8762" t="s">
        <v>228</v>
      </c>
      <c r="AB8762" t="s">
        <v>5</v>
      </c>
      <c r="AC8762" s="21">
        <v>79090.58</v>
      </c>
      <c r="AD8762" s="21" t="s">
        <v>368</v>
      </c>
      <c r="AE8762" t="str">
        <f>VLOOKUP(Table_Query_from_Actuarial___Production3[[#This Row],[Kor1]],$AI$3:$AK$105,3,FALSE)</f>
        <v>Operating Service Fees</v>
      </c>
      <c r="AF8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3" spans="18:32" x14ac:dyDescent="0.2">
      <c r="R8763" t="s">
        <v>10</v>
      </c>
      <c r="S8763" t="s">
        <v>225</v>
      </c>
      <c r="T8763" t="s">
        <v>356</v>
      </c>
      <c r="U8763" s="21">
        <v>151544.35999999999</v>
      </c>
      <c r="V8763" s="21" t="s">
        <v>369</v>
      </c>
      <c r="W8763" t="str">
        <f>VLOOKUP(Table_Query_from_Actuarial___Production[[#This Row],[Kor1]],$AI$3:$AK$105,3,FALSE)</f>
        <v>Commissions</v>
      </c>
      <c r="X8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763"/>
      <c r="Z8763" t="s">
        <v>48</v>
      </c>
      <c r="AA8763" t="s">
        <v>236</v>
      </c>
      <c r="AB8763" t="s">
        <v>443</v>
      </c>
      <c r="AC8763" s="21">
        <v>7.25</v>
      </c>
      <c r="AD8763" s="21" t="s">
        <v>368</v>
      </c>
      <c r="AE8763" t="str">
        <f>VLOOKUP(Table_Query_from_Actuarial___Production3[[#This Row],[Kor1]],$AI$3:$AK$105,3,FALSE)</f>
        <v>Anticipated Salvage</v>
      </c>
      <c r="AF8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4" spans="18:32" x14ac:dyDescent="0.2">
      <c r="R8764" t="s">
        <v>33</v>
      </c>
      <c r="S8764" t="s">
        <v>247</v>
      </c>
      <c r="T8764" t="s">
        <v>9</v>
      </c>
      <c r="U8764" s="21">
        <v>19804.259999999998</v>
      </c>
      <c r="V8764" s="21" t="s">
        <v>368</v>
      </c>
      <c r="W8764" t="str">
        <f>VLOOKUP(Table_Query_from_Actuarial___Production[[#This Row],[Kor1]],$AI$3:$AK$105,3,FALSE)</f>
        <v>Misc. Expense</v>
      </c>
      <c r="X8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4"/>
      <c r="Z8764" t="s">
        <v>33</v>
      </c>
      <c r="AA8764" t="s">
        <v>232</v>
      </c>
      <c r="AB8764" t="s">
        <v>433</v>
      </c>
      <c r="AC8764" s="21">
        <v>14804.22</v>
      </c>
      <c r="AD8764" s="21" t="s">
        <v>368</v>
      </c>
      <c r="AE8764" t="str">
        <f>VLOOKUP(Table_Query_from_Actuarial___Production3[[#This Row],[Kor1]],$AI$3:$AK$105,3,FALSE)</f>
        <v>Misc. Expense</v>
      </c>
      <c r="AF8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5" spans="18:32" x14ac:dyDescent="0.2">
      <c r="R8765" t="s">
        <v>16</v>
      </c>
      <c r="S8765" t="s">
        <v>266</v>
      </c>
      <c r="T8765" t="s">
        <v>445</v>
      </c>
      <c r="U8765" s="21">
        <v>8297.3700000000008</v>
      </c>
      <c r="V8765" s="21" t="s">
        <v>368</v>
      </c>
      <c r="W8765" t="str">
        <f>VLOOKUP(Table_Query_from_Actuarial___Production[[#This Row],[Kor1]],$AI$3:$AK$105,3,FALSE)</f>
        <v>Losses Outstanding</v>
      </c>
      <c r="X8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5"/>
      <c r="Z8765" t="s">
        <v>33</v>
      </c>
      <c r="AA8765" t="s">
        <v>259</v>
      </c>
      <c r="AB8765" t="s">
        <v>6</v>
      </c>
      <c r="AC8765" s="21">
        <v>12928</v>
      </c>
      <c r="AD8765" s="21" t="s">
        <v>368</v>
      </c>
      <c r="AE8765" t="str">
        <f>VLOOKUP(Table_Query_from_Actuarial___Production3[[#This Row],[Kor1]],$AI$3:$AK$105,3,FALSE)</f>
        <v>Misc. Expense</v>
      </c>
      <c r="AF8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6" spans="18:32" x14ac:dyDescent="0.2">
      <c r="R8766" t="s">
        <v>3</v>
      </c>
      <c r="S8766" t="s">
        <v>227</v>
      </c>
      <c r="T8766" t="s">
        <v>7</v>
      </c>
      <c r="U8766" s="21">
        <v>361658</v>
      </c>
      <c r="V8766" s="21" t="s">
        <v>368</v>
      </c>
      <c r="W8766" t="str">
        <f>VLOOKUP(Table_Query_from_Actuarial___Production[[#This Row],[Kor1]],$AI$3:$AK$105,3,FALSE)</f>
        <v>Premiums Written</v>
      </c>
      <c r="X8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6"/>
      <c r="Z8766" t="s">
        <v>22</v>
      </c>
      <c r="AA8766" t="s">
        <v>259</v>
      </c>
      <c r="AB8766" t="s">
        <v>9</v>
      </c>
      <c r="AC8766" s="21">
        <v>17338.810000000001</v>
      </c>
      <c r="AD8766" s="21" t="s">
        <v>368</v>
      </c>
      <c r="AE8766" t="str">
        <f>VLOOKUP(Table_Query_from_Actuarial___Production3[[#This Row],[Kor1]],$AI$3:$AK$105,3,FALSE)</f>
        <v>Misc. Expense</v>
      </c>
      <c r="AF8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7" spans="18:32" x14ac:dyDescent="0.2">
      <c r="R8767" t="s">
        <v>43</v>
      </c>
      <c r="S8767" t="s">
        <v>257</v>
      </c>
      <c r="T8767" t="s">
        <v>443</v>
      </c>
      <c r="U8767" s="21">
        <v>7140.96</v>
      </c>
      <c r="V8767" s="21" t="s">
        <v>368</v>
      </c>
      <c r="W8767" t="str">
        <f>VLOOKUP(Table_Query_from_Actuarial___Production[[#This Row],[Kor1]],$AI$3:$AK$105,3,FALSE)</f>
        <v>Charge-offs</v>
      </c>
      <c r="X8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7"/>
      <c r="Z8767" t="s">
        <v>33</v>
      </c>
      <c r="AA8767" t="s">
        <v>240</v>
      </c>
      <c r="AB8767" t="s">
        <v>5</v>
      </c>
      <c r="AC8767" s="21">
        <v>15404.19</v>
      </c>
      <c r="AD8767" s="21" t="s">
        <v>368</v>
      </c>
      <c r="AE8767" t="str">
        <f>VLOOKUP(Table_Query_from_Actuarial___Production3[[#This Row],[Kor1]],$AI$3:$AK$105,3,FALSE)</f>
        <v>Misc. Expense</v>
      </c>
      <c r="AF8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8" spans="18:32" x14ac:dyDescent="0.2">
      <c r="R8768" t="s">
        <v>38</v>
      </c>
      <c r="S8768" t="s">
        <v>224</v>
      </c>
      <c r="T8768" t="s">
        <v>7</v>
      </c>
      <c r="U8768" s="21">
        <v>207545.62</v>
      </c>
      <c r="V8768" s="21" t="s">
        <v>370</v>
      </c>
      <c r="W8768" t="str">
        <f>VLOOKUP(Table_Query_from_Actuarial___Production[[#This Row],[Kor1]],$AI$3:$AK$105,3,FALSE)</f>
        <v>Misc. Income</v>
      </c>
      <c r="X8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768"/>
      <c r="Z8768" t="s">
        <v>10</v>
      </c>
      <c r="AA8768" t="s">
        <v>245</v>
      </c>
      <c r="AB8768" t="s">
        <v>7</v>
      </c>
      <c r="AC8768" s="21">
        <v>3252.75</v>
      </c>
      <c r="AD8768" s="21" t="s">
        <v>368</v>
      </c>
      <c r="AE8768" t="str">
        <f>VLOOKUP(Table_Query_from_Actuarial___Production3[[#This Row],[Kor1]],$AI$3:$AK$105,3,FALSE)</f>
        <v>Commissions</v>
      </c>
      <c r="AF8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69" spans="18:32" x14ac:dyDescent="0.2">
      <c r="R8769" t="s">
        <v>13</v>
      </c>
      <c r="S8769" t="s">
        <v>227</v>
      </c>
      <c r="T8769" t="s">
        <v>351</v>
      </c>
      <c r="U8769" s="21">
        <v>6997.77</v>
      </c>
      <c r="V8769" s="21" t="s">
        <v>368</v>
      </c>
      <c r="W8769" t="str">
        <f>VLOOKUP(Table_Query_from_Actuarial___Production[[#This Row],[Kor1]],$AI$3:$AK$105,3,FALSE)</f>
        <v>Operating Service Fees</v>
      </c>
      <c r="X8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69"/>
      <c r="Z8769" t="s">
        <v>31</v>
      </c>
      <c r="AA8769" t="s">
        <v>233</v>
      </c>
      <c r="AB8769" t="s">
        <v>5</v>
      </c>
      <c r="AC8769" s="21">
        <v>-5383.21</v>
      </c>
      <c r="AD8769" s="21" t="s">
        <v>368</v>
      </c>
      <c r="AE8769" t="str">
        <f>VLOOKUP(Table_Query_from_Actuarial___Production3[[#This Row],[Kor1]],$AI$3:$AK$105,3,FALSE)</f>
        <v>Misc. Expense</v>
      </c>
      <c r="AF8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0" spans="18:32" x14ac:dyDescent="0.2">
      <c r="R8770" t="s">
        <v>17</v>
      </c>
      <c r="S8770" t="s">
        <v>232</v>
      </c>
      <c r="T8770" t="s">
        <v>443</v>
      </c>
      <c r="U8770" s="21">
        <v>791812.21</v>
      </c>
      <c r="V8770" s="21" t="s">
        <v>368</v>
      </c>
      <c r="W8770" t="str">
        <f>VLOOKUP(Table_Query_from_Actuarial___Production[[#This Row],[Kor1]],$AI$3:$AK$105,3,FALSE)</f>
        <v>IBNR</v>
      </c>
      <c r="X8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0"/>
      <c r="Z8770" t="s">
        <v>50</v>
      </c>
      <c r="AA8770" t="s">
        <v>242</v>
      </c>
      <c r="AB8770" t="s">
        <v>6</v>
      </c>
      <c r="AC8770" s="21">
        <v>1667</v>
      </c>
      <c r="AD8770" s="21" t="s">
        <v>368</v>
      </c>
      <c r="AE8770" t="str">
        <f>VLOOKUP(Table_Query_from_Actuarial___Production3[[#This Row],[Kor1]],$AI$3:$AK$105,3,FALSE)</f>
        <v>ALAE Reserve</v>
      </c>
      <c r="AF8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1" spans="18:32" x14ac:dyDescent="0.2">
      <c r="R8771" t="s">
        <v>31</v>
      </c>
      <c r="S8771" t="s">
        <v>246</v>
      </c>
      <c r="T8771" t="s">
        <v>427</v>
      </c>
      <c r="U8771" s="21">
        <v>327.3</v>
      </c>
      <c r="V8771" s="21" t="s">
        <v>368</v>
      </c>
      <c r="W8771" t="str">
        <f>VLOOKUP(Table_Query_from_Actuarial___Production[[#This Row],[Kor1]],$AI$3:$AK$105,3,FALSE)</f>
        <v>Misc. Expense</v>
      </c>
      <c r="X8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1"/>
      <c r="Z8771" t="s">
        <v>11</v>
      </c>
      <c r="AA8771" t="s">
        <v>230</v>
      </c>
      <c r="AB8771" t="s">
        <v>8</v>
      </c>
      <c r="AC8771" s="21">
        <v>19916989.850000001</v>
      </c>
      <c r="AD8771" s="21" t="s">
        <v>368</v>
      </c>
      <c r="AE8771" t="str">
        <f>VLOOKUP(Table_Query_from_Actuarial___Production3[[#This Row],[Kor1]],$AI$3:$AK$105,3,FALSE)</f>
        <v>Losses Paid</v>
      </c>
      <c r="AF8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2" spans="18:32" x14ac:dyDescent="0.2">
      <c r="R8772" t="s">
        <v>47</v>
      </c>
      <c r="S8772" t="s">
        <v>236</v>
      </c>
      <c r="T8772" t="s">
        <v>433</v>
      </c>
      <c r="U8772" s="21">
        <v>71.25</v>
      </c>
      <c r="V8772" s="21" t="s">
        <v>368</v>
      </c>
      <c r="W8772" t="str">
        <f>VLOOKUP(Table_Query_from_Actuarial___Production[[#This Row],[Kor1]],$AI$3:$AK$105,3,FALSE)</f>
        <v>Investment Income</v>
      </c>
      <c r="X8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2"/>
      <c r="Z8772" t="s">
        <v>16</v>
      </c>
      <c r="AA8772" t="s">
        <v>262</v>
      </c>
      <c r="AB8772" t="s">
        <v>441</v>
      </c>
      <c r="AC8772" s="21">
        <v>309876.25</v>
      </c>
      <c r="AD8772" s="21" t="s">
        <v>368</v>
      </c>
      <c r="AE8772" t="str">
        <f>VLOOKUP(Table_Query_from_Actuarial___Production3[[#This Row],[Kor1]],$AI$3:$AK$105,3,FALSE)</f>
        <v>Losses Outstanding</v>
      </c>
      <c r="AF8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3" spans="18:32" x14ac:dyDescent="0.2">
      <c r="R8773" t="s">
        <v>19</v>
      </c>
      <c r="S8773" t="s">
        <v>233</v>
      </c>
      <c r="T8773" t="s">
        <v>442</v>
      </c>
      <c r="U8773" s="21">
        <v>3</v>
      </c>
      <c r="V8773" s="21" t="s">
        <v>368</v>
      </c>
      <c r="W8773" t="str">
        <f>VLOOKUP(Table_Query_from_Actuarial___Production[[#This Row],[Kor1]],$AI$3:$AK$105,3,FALSE)</f>
        <v>Misc. Expense for Insolvent Companies</v>
      </c>
      <c r="X8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3"/>
      <c r="Z8773" t="s">
        <v>14</v>
      </c>
      <c r="AA8773" t="s">
        <v>224</v>
      </c>
      <c r="AB8773" t="s">
        <v>427</v>
      </c>
      <c r="AC8773" s="21">
        <v>192560.16</v>
      </c>
      <c r="AD8773" s="21" t="s">
        <v>370</v>
      </c>
      <c r="AE8773" t="str">
        <f>VLOOKUP(Table_Query_from_Actuarial___Production3[[#This Row],[Kor1]],$AI$3:$AK$105,3,FALSE)</f>
        <v>Claims Expense</v>
      </c>
      <c r="AF8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774" spans="18:32" x14ac:dyDescent="0.2">
      <c r="R8774" t="s">
        <v>31</v>
      </c>
      <c r="S8774" t="s">
        <v>262</v>
      </c>
      <c r="T8774" t="s">
        <v>443</v>
      </c>
      <c r="U8774" s="21">
        <v>684.9</v>
      </c>
      <c r="V8774" s="21" t="s">
        <v>368</v>
      </c>
      <c r="W8774" t="str">
        <f>VLOOKUP(Table_Query_from_Actuarial___Production[[#This Row],[Kor1]],$AI$3:$AK$105,3,FALSE)</f>
        <v>Misc. Expense</v>
      </c>
      <c r="X8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4"/>
      <c r="Z8774" t="s">
        <v>19</v>
      </c>
      <c r="AA8774" t="s">
        <v>227</v>
      </c>
      <c r="AB8774" t="s">
        <v>356</v>
      </c>
      <c r="AC8774" s="21">
        <v>26</v>
      </c>
      <c r="AD8774" s="21" t="s">
        <v>368</v>
      </c>
      <c r="AE8774" t="str">
        <f>VLOOKUP(Table_Query_from_Actuarial___Production3[[#This Row],[Kor1]],$AI$3:$AK$105,3,FALSE)</f>
        <v>Misc. Expense for Insolvent Companies</v>
      </c>
      <c r="AF8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5" spans="18:32" x14ac:dyDescent="0.2">
      <c r="R8775" t="s">
        <v>33</v>
      </c>
      <c r="S8775" t="s">
        <v>267</v>
      </c>
      <c r="T8775" t="s">
        <v>7</v>
      </c>
      <c r="U8775" s="21">
        <v>13292.55</v>
      </c>
      <c r="V8775" s="21" t="s">
        <v>368</v>
      </c>
      <c r="W8775" t="str">
        <f>VLOOKUP(Table_Query_from_Actuarial___Production[[#This Row],[Kor1]],$AI$3:$AK$105,3,FALSE)</f>
        <v>Misc. Expense</v>
      </c>
      <c r="X8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5"/>
      <c r="Z8775" t="s">
        <v>3</v>
      </c>
      <c r="AA8775" t="s">
        <v>238</v>
      </c>
      <c r="AB8775" t="s">
        <v>442</v>
      </c>
      <c r="AC8775" s="21">
        <v>1951621</v>
      </c>
      <c r="AD8775" s="21" t="s">
        <v>368</v>
      </c>
      <c r="AE8775" t="str">
        <f>VLOOKUP(Table_Query_from_Actuarial___Production3[[#This Row],[Kor1]],$AI$3:$AK$105,3,FALSE)</f>
        <v>Premiums Written</v>
      </c>
      <c r="AF8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6" spans="18:32" x14ac:dyDescent="0.2">
      <c r="R8776" t="s">
        <v>39</v>
      </c>
      <c r="S8776" t="s">
        <v>233</v>
      </c>
      <c r="T8776" t="s">
        <v>433</v>
      </c>
      <c r="U8776" s="21">
        <v>2422</v>
      </c>
      <c r="V8776" s="21" t="s">
        <v>368</v>
      </c>
      <c r="W8776" t="str">
        <f>VLOOKUP(Table_Query_from_Actuarial___Production[[#This Row],[Kor1]],$AI$3:$AK$105,3,FALSE)</f>
        <v>Misc. Income for Insolvent Companies</v>
      </c>
      <c r="X8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6"/>
      <c r="Z8776" t="s">
        <v>14</v>
      </c>
      <c r="AA8776" t="s">
        <v>232</v>
      </c>
      <c r="AB8776" t="s">
        <v>441</v>
      </c>
      <c r="AC8776" s="21">
        <v>60664.17</v>
      </c>
      <c r="AD8776" s="21" t="s">
        <v>368</v>
      </c>
      <c r="AE8776" t="str">
        <f>VLOOKUP(Table_Query_from_Actuarial___Production3[[#This Row],[Kor1]],$AI$3:$AK$105,3,FALSE)</f>
        <v>Claims Expense</v>
      </c>
      <c r="AF8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7" spans="18:32" x14ac:dyDescent="0.2">
      <c r="R8777" t="s">
        <v>40</v>
      </c>
      <c r="S8777" t="s">
        <v>229</v>
      </c>
      <c r="T8777" t="s">
        <v>7</v>
      </c>
      <c r="U8777" s="21">
        <v>29</v>
      </c>
      <c r="V8777" s="21" t="s">
        <v>368</v>
      </c>
      <c r="W8777" t="str">
        <f>VLOOKUP(Table_Query_from_Actuarial___Production[[#This Row],[Kor1]],$AI$3:$AK$105,3,FALSE)</f>
        <v>Misc. Income</v>
      </c>
      <c r="X8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7"/>
      <c r="Z8777" t="s">
        <v>14</v>
      </c>
      <c r="AA8777" t="s">
        <v>252</v>
      </c>
      <c r="AB8777" t="s">
        <v>351</v>
      </c>
      <c r="AC8777" s="21">
        <v>2917579.47</v>
      </c>
      <c r="AD8777" s="21" t="s">
        <v>368</v>
      </c>
      <c r="AE8777" t="str">
        <f>VLOOKUP(Table_Query_from_Actuarial___Production3[[#This Row],[Kor1]],$AI$3:$AK$105,3,FALSE)</f>
        <v>Claims Expense</v>
      </c>
      <c r="AF8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8" spans="18:32" x14ac:dyDescent="0.2">
      <c r="R8778" t="s">
        <v>31</v>
      </c>
      <c r="S8778" t="s">
        <v>252</v>
      </c>
      <c r="T8778" t="s">
        <v>441</v>
      </c>
      <c r="U8778" s="21">
        <v>739.51</v>
      </c>
      <c r="V8778" s="21" t="s">
        <v>368</v>
      </c>
      <c r="W8778" t="str">
        <f>VLOOKUP(Table_Query_from_Actuarial___Production[[#This Row],[Kor1]],$AI$3:$AK$105,3,FALSE)</f>
        <v>Misc. Expense</v>
      </c>
      <c r="X8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8"/>
      <c r="Z8778" t="s">
        <v>47</v>
      </c>
      <c r="AA8778" t="s">
        <v>234</v>
      </c>
      <c r="AB8778" t="s">
        <v>6</v>
      </c>
      <c r="AC8778" s="21">
        <v>0.06</v>
      </c>
      <c r="AD8778" s="21" t="s">
        <v>368</v>
      </c>
      <c r="AE8778" t="str">
        <f>VLOOKUP(Table_Query_from_Actuarial___Production3[[#This Row],[Kor1]],$AI$3:$AK$105,3,FALSE)</f>
        <v>Investment Income</v>
      </c>
      <c r="AF8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79" spans="18:32" x14ac:dyDescent="0.2">
      <c r="R8779" t="s">
        <v>19</v>
      </c>
      <c r="S8779" t="s">
        <v>237</v>
      </c>
      <c r="T8779" t="s">
        <v>356</v>
      </c>
      <c r="U8779" s="21">
        <v>44873</v>
      </c>
      <c r="V8779" s="21" t="s">
        <v>368</v>
      </c>
      <c r="W8779" t="str">
        <f>VLOOKUP(Table_Query_from_Actuarial___Production[[#This Row],[Kor1]],$AI$3:$AK$105,3,FALSE)</f>
        <v>Misc. Expense for Insolvent Companies</v>
      </c>
      <c r="X8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79"/>
      <c r="Z8779" t="s">
        <v>49</v>
      </c>
      <c r="AA8779" t="s">
        <v>263</v>
      </c>
      <c r="AB8779" t="s">
        <v>441</v>
      </c>
      <c r="AC8779" s="21">
        <v>7421.9</v>
      </c>
      <c r="AD8779" s="21" t="s">
        <v>368</v>
      </c>
      <c r="AE8779" t="str">
        <f>VLOOKUP(Table_Query_from_Actuarial___Production3[[#This Row],[Kor1]],$AI$3:$AK$105,3,FALSE)</f>
        <v>ALAE Paid</v>
      </c>
      <c r="AF8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0" spans="18:32" x14ac:dyDescent="0.2">
      <c r="R8780" t="s">
        <v>47</v>
      </c>
      <c r="S8780" t="s">
        <v>268</v>
      </c>
      <c r="T8780" t="s">
        <v>433</v>
      </c>
      <c r="U8780" s="21">
        <v>192.21</v>
      </c>
      <c r="V8780" s="21" t="s">
        <v>368</v>
      </c>
      <c r="W8780" t="str">
        <f>VLOOKUP(Table_Query_from_Actuarial___Production[[#This Row],[Kor1]],$AI$3:$AK$105,3,FALSE)</f>
        <v>Investment Income</v>
      </c>
      <c r="X8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0"/>
      <c r="Z8780" t="s">
        <v>11</v>
      </c>
      <c r="AA8780" t="s">
        <v>248</v>
      </c>
      <c r="AB8780" t="s">
        <v>6</v>
      </c>
      <c r="AC8780" s="21">
        <v>15557.19</v>
      </c>
      <c r="AD8780" s="21" t="s">
        <v>368</v>
      </c>
      <c r="AE8780" t="str">
        <f>VLOOKUP(Table_Query_from_Actuarial___Production3[[#This Row],[Kor1]],$AI$3:$AK$105,3,FALSE)</f>
        <v>Losses Paid</v>
      </c>
      <c r="AF8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1" spans="18:32" x14ac:dyDescent="0.2">
      <c r="R8781" t="s">
        <v>49</v>
      </c>
      <c r="S8781" t="s">
        <v>232</v>
      </c>
      <c r="T8781" t="s">
        <v>433</v>
      </c>
      <c r="U8781" s="21">
        <v>9898.09</v>
      </c>
      <c r="V8781" s="21" t="s">
        <v>368</v>
      </c>
      <c r="W8781" t="str">
        <f>VLOOKUP(Table_Query_from_Actuarial___Production[[#This Row],[Kor1]],$AI$3:$AK$105,3,FALSE)</f>
        <v>ALAE Paid</v>
      </c>
      <c r="X8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1"/>
      <c r="Z8781" t="s">
        <v>14</v>
      </c>
      <c r="AA8781" t="s">
        <v>258</v>
      </c>
      <c r="AB8781" t="s">
        <v>351</v>
      </c>
      <c r="AC8781" s="21">
        <v>242245.86</v>
      </c>
      <c r="AD8781" s="21" t="s">
        <v>368</v>
      </c>
      <c r="AE8781" t="str">
        <f>VLOOKUP(Table_Query_from_Actuarial___Production3[[#This Row],[Kor1]],$AI$3:$AK$105,3,FALSE)</f>
        <v>Claims Expense</v>
      </c>
      <c r="AF8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2" spans="18:32" x14ac:dyDescent="0.2">
      <c r="R8782" t="s">
        <v>49</v>
      </c>
      <c r="S8782" t="s">
        <v>4</v>
      </c>
      <c r="T8782" t="s">
        <v>442</v>
      </c>
      <c r="U8782" s="21">
        <v>610429.15</v>
      </c>
      <c r="V8782" s="21" t="s">
        <v>368</v>
      </c>
      <c r="W8782" t="str">
        <f>VLOOKUP(Table_Query_from_Actuarial___Production[[#This Row],[Kor1]],$AI$3:$AK$105,3,FALSE)</f>
        <v>ALAE Paid</v>
      </c>
      <c r="X8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2"/>
      <c r="Z8782" t="s">
        <v>10</v>
      </c>
      <c r="AA8782" t="s">
        <v>225</v>
      </c>
      <c r="AB8782" t="s">
        <v>356</v>
      </c>
      <c r="AC8782" s="21">
        <v>151515.82</v>
      </c>
      <c r="AD8782" s="21" t="s">
        <v>369</v>
      </c>
      <c r="AE8782" t="str">
        <f>VLOOKUP(Table_Query_from_Actuarial___Production3[[#This Row],[Kor1]],$AI$3:$AK$105,3,FALSE)</f>
        <v>Commissions</v>
      </c>
      <c r="AF8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783" spans="18:32" x14ac:dyDescent="0.2">
      <c r="R8783" t="s">
        <v>49</v>
      </c>
      <c r="S8783" t="s">
        <v>266</v>
      </c>
      <c r="T8783" t="s">
        <v>427</v>
      </c>
      <c r="U8783" s="21">
        <v>435</v>
      </c>
      <c r="V8783" s="21" t="s">
        <v>368</v>
      </c>
      <c r="W8783" t="str">
        <f>VLOOKUP(Table_Query_from_Actuarial___Production[[#This Row],[Kor1]],$AI$3:$AK$105,3,FALSE)</f>
        <v>ALAE Paid</v>
      </c>
      <c r="X8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3"/>
      <c r="Z8783" t="s">
        <v>33</v>
      </c>
      <c r="AA8783" t="s">
        <v>247</v>
      </c>
      <c r="AB8783" t="s">
        <v>9</v>
      </c>
      <c r="AC8783" s="21">
        <v>19804.259999999998</v>
      </c>
      <c r="AD8783" s="21" t="s">
        <v>368</v>
      </c>
      <c r="AE8783" t="str">
        <f>VLOOKUP(Table_Query_from_Actuarial___Production3[[#This Row],[Kor1]],$AI$3:$AK$105,3,FALSE)</f>
        <v>Misc. Expense</v>
      </c>
      <c r="AF8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4" spans="18:32" x14ac:dyDescent="0.2">
      <c r="R8784" t="s">
        <v>21</v>
      </c>
      <c r="S8784" t="s">
        <v>235</v>
      </c>
      <c r="T8784" t="s">
        <v>7</v>
      </c>
      <c r="U8784" s="21">
        <v>445.48</v>
      </c>
      <c r="V8784" s="21" t="s">
        <v>368</v>
      </c>
      <c r="W8784" t="str">
        <f>VLOOKUP(Table_Query_from_Actuarial___Production[[#This Row],[Kor1]],$AI$3:$AK$105,3,FALSE)</f>
        <v>Misc. Expense</v>
      </c>
      <c r="X8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4"/>
      <c r="Z8784" t="s">
        <v>17</v>
      </c>
      <c r="AA8784" t="s">
        <v>354</v>
      </c>
      <c r="AB8784" t="s">
        <v>351</v>
      </c>
      <c r="AC8784" s="21">
        <v>70.98</v>
      </c>
      <c r="AD8784" s="21" t="s">
        <v>369</v>
      </c>
      <c r="AE8784" t="str">
        <f>VLOOKUP(Table_Query_from_Actuarial___Production3[[#This Row],[Kor1]],$AI$3:$AK$105,3,FALSE)</f>
        <v>IBNR</v>
      </c>
      <c r="AF8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785" spans="18:32" x14ac:dyDescent="0.2">
      <c r="R8785" t="s">
        <v>11</v>
      </c>
      <c r="S8785" t="s">
        <v>224</v>
      </c>
      <c r="T8785" t="s">
        <v>8</v>
      </c>
      <c r="U8785" s="21">
        <v>675012.79</v>
      </c>
      <c r="V8785" s="21" t="s">
        <v>370</v>
      </c>
      <c r="W8785" t="str">
        <f>VLOOKUP(Table_Query_from_Actuarial___Production[[#This Row],[Kor1]],$AI$3:$AK$105,3,FALSE)</f>
        <v>Losses Paid</v>
      </c>
      <c r="X8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785"/>
      <c r="Z8785" t="s">
        <v>3</v>
      </c>
      <c r="AA8785" t="s">
        <v>227</v>
      </c>
      <c r="AB8785" t="s">
        <v>7</v>
      </c>
      <c r="AC8785" s="21">
        <v>361658</v>
      </c>
      <c r="AD8785" s="21" t="s">
        <v>368</v>
      </c>
      <c r="AE8785" t="str">
        <f>VLOOKUP(Table_Query_from_Actuarial___Production3[[#This Row],[Kor1]],$AI$3:$AK$105,3,FALSE)</f>
        <v>Premiums Written</v>
      </c>
      <c r="AF8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6" spans="18:32" x14ac:dyDescent="0.2">
      <c r="R8786" t="s">
        <v>39</v>
      </c>
      <c r="S8786" t="s">
        <v>228</v>
      </c>
      <c r="T8786" t="s">
        <v>441</v>
      </c>
      <c r="U8786" s="21">
        <v>1669.96</v>
      </c>
      <c r="V8786" s="21" t="s">
        <v>368</v>
      </c>
      <c r="W8786" t="str">
        <f>VLOOKUP(Table_Query_from_Actuarial___Production[[#This Row],[Kor1]],$AI$3:$AK$105,3,FALSE)</f>
        <v>Misc. Income for Insolvent Companies</v>
      </c>
      <c r="X8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6"/>
      <c r="Z8786" t="s">
        <v>43</v>
      </c>
      <c r="AA8786" t="s">
        <v>257</v>
      </c>
      <c r="AB8786" t="s">
        <v>443</v>
      </c>
      <c r="AC8786" s="21">
        <v>1578.36</v>
      </c>
      <c r="AD8786" s="21" t="s">
        <v>368</v>
      </c>
      <c r="AE8786" t="str">
        <f>VLOOKUP(Table_Query_from_Actuarial___Production3[[#This Row],[Kor1]],$AI$3:$AK$105,3,FALSE)</f>
        <v>Charge-offs</v>
      </c>
      <c r="AF8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7" spans="18:32" x14ac:dyDescent="0.2">
      <c r="R8787" t="s">
        <v>15</v>
      </c>
      <c r="S8787" t="s">
        <v>228</v>
      </c>
      <c r="T8787" t="s">
        <v>445</v>
      </c>
      <c r="U8787" s="21">
        <v>8783.1</v>
      </c>
      <c r="V8787" s="21" t="s">
        <v>368</v>
      </c>
      <c r="W8787" t="str">
        <f>VLOOKUP(Table_Query_from_Actuarial___Production[[#This Row],[Kor1]],$AI$3:$AK$105,3,FALSE)</f>
        <v>Unearned Premiums</v>
      </c>
      <c r="X8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7"/>
      <c r="Z8787" t="s">
        <v>38</v>
      </c>
      <c r="AA8787" t="s">
        <v>224</v>
      </c>
      <c r="AB8787" t="s">
        <v>7</v>
      </c>
      <c r="AC8787" s="21">
        <v>207545.62</v>
      </c>
      <c r="AD8787" s="21" t="s">
        <v>370</v>
      </c>
      <c r="AE8787" t="str">
        <f>VLOOKUP(Table_Query_from_Actuarial___Production3[[#This Row],[Kor1]],$AI$3:$AK$105,3,FALSE)</f>
        <v>Misc. Income</v>
      </c>
      <c r="AF8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788" spans="18:32" x14ac:dyDescent="0.2">
      <c r="R8788" t="s">
        <v>12</v>
      </c>
      <c r="S8788" t="s">
        <v>234</v>
      </c>
      <c r="T8788" t="s">
        <v>433</v>
      </c>
      <c r="U8788" s="21">
        <v>17153.310000000001</v>
      </c>
      <c r="V8788" s="21" t="s">
        <v>368</v>
      </c>
      <c r="W8788" t="str">
        <f>VLOOKUP(Table_Query_from_Actuarial___Production[[#This Row],[Kor1]],$AI$3:$AK$105,3,FALSE)</f>
        <v>Premium Tax</v>
      </c>
      <c r="X8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8"/>
      <c r="Z8788" t="s">
        <v>13</v>
      </c>
      <c r="AA8788" t="s">
        <v>227</v>
      </c>
      <c r="AB8788" t="s">
        <v>351</v>
      </c>
      <c r="AC8788" s="21">
        <v>6997.77</v>
      </c>
      <c r="AD8788" s="21" t="s">
        <v>368</v>
      </c>
      <c r="AE8788" t="str">
        <f>VLOOKUP(Table_Query_from_Actuarial___Production3[[#This Row],[Kor1]],$AI$3:$AK$105,3,FALSE)</f>
        <v>Operating Service Fees</v>
      </c>
      <c r="AF8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89" spans="18:32" x14ac:dyDescent="0.2">
      <c r="R8789" t="s">
        <v>29</v>
      </c>
      <c r="S8789" t="s">
        <v>259</v>
      </c>
      <c r="T8789" t="s">
        <v>8</v>
      </c>
      <c r="U8789" s="21">
        <v>1040.01</v>
      </c>
      <c r="V8789" s="21" t="s">
        <v>368</v>
      </c>
      <c r="W8789" t="str">
        <f>VLOOKUP(Table_Query_from_Actuarial___Production[[#This Row],[Kor1]],$AI$3:$AK$105,3,FALSE)</f>
        <v>Misc. Expense</v>
      </c>
      <c r="X8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89"/>
      <c r="Z8789" t="s">
        <v>17</v>
      </c>
      <c r="AA8789" t="s">
        <v>232</v>
      </c>
      <c r="AB8789" t="s">
        <v>443</v>
      </c>
      <c r="AC8789" s="21">
        <v>124322.6</v>
      </c>
      <c r="AD8789" s="21" t="s">
        <v>368</v>
      </c>
      <c r="AE8789" t="str">
        <f>VLOOKUP(Table_Query_from_Actuarial___Production3[[#This Row],[Kor1]],$AI$3:$AK$105,3,FALSE)</f>
        <v>IBNR</v>
      </c>
      <c r="AF8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0" spans="18:32" x14ac:dyDescent="0.2">
      <c r="R8790" t="s">
        <v>38</v>
      </c>
      <c r="S8790" t="s">
        <v>226</v>
      </c>
      <c r="T8790" t="s">
        <v>427</v>
      </c>
      <c r="U8790" s="21">
        <v>4528.79</v>
      </c>
      <c r="V8790" s="21" t="s">
        <v>368</v>
      </c>
      <c r="W8790" t="str">
        <f>VLOOKUP(Table_Query_from_Actuarial___Production[[#This Row],[Kor1]],$AI$3:$AK$105,3,FALSE)</f>
        <v>Misc. Income</v>
      </c>
      <c r="X8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790"/>
      <c r="Z8790" t="s">
        <v>31</v>
      </c>
      <c r="AA8790" t="s">
        <v>246</v>
      </c>
      <c r="AB8790" t="s">
        <v>427</v>
      </c>
      <c r="AC8790" s="21">
        <v>327.3</v>
      </c>
      <c r="AD8790" s="21" t="s">
        <v>368</v>
      </c>
      <c r="AE8790" t="str">
        <f>VLOOKUP(Table_Query_from_Actuarial___Production3[[#This Row],[Kor1]],$AI$3:$AK$105,3,FALSE)</f>
        <v>Misc. Expense</v>
      </c>
      <c r="AF8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1" spans="18:32" x14ac:dyDescent="0.2">
      <c r="R8791" t="s">
        <v>11</v>
      </c>
      <c r="S8791" t="s">
        <v>239</v>
      </c>
      <c r="T8791" t="s">
        <v>433</v>
      </c>
      <c r="U8791" s="21">
        <v>9686911.6199999992</v>
      </c>
      <c r="V8791" s="21" t="s">
        <v>368</v>
      </c>
      <c r="W8791" t="str">
        <f>VLOOKUP(Table_Query_from_Actuarial___Production[[#This Row],[Kor1]],$AI$3:$AK$105,3,FALSE)</f>
        <v>Losses Paid</v>
      </c>
      <c r="X8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1"/>
      <c r="Z8791" t="s">
        <v>47</v>
      </c>
      <c r="AA8791" t="s">
        <v>236</v>
      </c>
      <c r="AB8791" t="s">
        <v>433</v>
      </c>
      <c r="AC8791" s="21">
        <v>71.25</v>
      </c>
      <c r="AD8791" s="21" t="s">
        <v>368</v>
      </c>
      <c r="AE8791" t="str">
        <f>VLOOKUP(Table_Query_from_Actuarial___Production3[[#This Row],[Kor1]],$AI$3:$AK$105,3,FALSE)</f>
        <v>Investment Income</v>
      </c>
      <c r="AF8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2" spans="18:32" x14ac:dyDescent="0.2">
      <c r="R8792" t="s">
        <v>41</v>
      </c>
      <c r="S8792" t="s">
        <v>246</v>
      </c>
      <c r="T8792" t="s">
        <v>445</v>
      </c>
      <c r="U8792" s="21">
        <v>1735.78</v>
      </c>
      <c r="V8792" s="21" t="s">
        <v>368</v>
      </c>
      <c r="W8792" t="str">
        <f>VLOOKUP(Table_Query_from_Actuarial___Production[[#This Row],[Kor1]],$AI$3:$AK$105,3,FALSE)</f>
        <v>Misc. Income</v>
      </c>
      <c r="X8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2"/>
      <c r="Z8792" t="s">
        <v>19</v>
      </c>
      <c r="AA8792" t="s">
        <v>233</v>
      </c>
      <c r="AB8792" t="s">
        <v>442</v>
      </c>
      <c r="AC8792" s="21">
        <v>3</v>
      </c>
      <c r="AD8792" s="21" t="s">
        <v>368</v>
      </c>
      <c r="AE8792" t="str">
        <f>VLOOKUP(Table_Query_from_Actuarial___Production3[[#This Row],[Kor1]],$AI$3:$AK$105,3,FALSE)</f>
        <v>Misc. Expense for Insolvent Companies</v>
      </c>
      <c r="AF8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3" spans="18:32" x14ac:dyDescent="0.2">
      <c r="R8793" t="s">
        <v>12</v>
      </c>
      <c r="S8793" t="s">
        <v>238</v>
      </c>
      <c r="T8793" t="s">
        <v>427</v>
      </c>
      <c r="U8793" s="21">
        <v>19815.68</v>
      </c>
      <c r="V8793" s="21" t="s">
        <v>368</v>
      </c>
      <c r="W8793" t="str">
        <f>VLOOKUP(Table_Query_from_Actuarial___Production[[#This Row],[Kor1]],$AI$3:$AK$105,3,FALSE)</f>
        <v>Premium Tax</v>
      </c>
      <c r="X8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3"/>
      <c r="Z8793" t="s">
        <v>31</v>
      </c>
      <c r="AA8793" t="s">
        <v>262</v>
      </c>
      <c r="AB8793" t="s">
        <v>443</v>
      </c>
      <c r="AC8793" s="21">
        <v>388.99</v>
      </c>
      <c r="AD8793" s="21" t="s">
        <v>368</v>
      </c>
      <c r="AE8793" t="str">
        <f>VLOOKUP(Table_Query_from_Actuarial___Production3[[#This Row],[Kor1]],$AI$3:$AK$105,3,FALSE)</f>
        <v>Misc. Expense</v>
      </c>
      <c r="AF8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4" spans="18:32" x14ac:dyDescent="0.2">
      <c r="R8794" t="s">
        <v>3</v>
      </c>
      <c r="S8794" t="s">
        <v>229</v>
      </c>
      <c r="T8794" t="s">
        <v>356</v>
      </c>
      <c r="U8794" s="21">
        <v>252805</v>
      </c>
      <c r="V8794" s="21" t="s">
        <v>368</v>
      </c>
      <c r="W8794" t="str">
        <f>VLOOKUP(Table_Query_from_Actuarial___Production[[#This Row],[Kor1]],$AI$3:$AK$105,3,FALSE)</f>
        <v>Premiums Written</v>
      </c>
      <c r="X8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4"/>
      <c r="Z8794" t="s">
        <v>33</v>
      </c>
      <c r="AA8794" t="s">
        <v>267</v>
      </c>
      <c r="AB8794" t="s">
        <v>7</v>
      </c>
      <c r="AC8794" s="21">
        <v>13292.55</v>
      </c>
      <c r="AD8794" s="21" t="s">
        <v>368</v>
      </c>
      <c r="AE8794" t="str">
        <f>VLOOKUP(Table_Query_from_Actuarial___Production3[[#This Row],[Kor1]],$AI$3:$AK$105,3,FALSE)</f>
        <v>Misc. Expense</v>
      </c>
      <c r="AF8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5" spans="18:32" x14ac:dyDescent="0.2">
      <c r="R8795" t="s">
        <v>12</v>
      </c>
      <c r="S8795" t="s">
        <v>231</v>
      </c>
      <c r="T8795" t="s">
        <v>427</v>
      </c>
      <c r="U8795" s="21">
        <v>20796.919999999998</v>
      </c>
      <c r="V8795" s="21" t="s">
        <v>368</v>
      </c>
      <c r="W8795" t="str">
        <f>VLOOKUP(Table_Query_from_Actuarial___Production[[#This Row],[Kor1]],$AI$3:$AK$105,3,FALSE)</f>
        <v>Premium Tax</v>
      </c>
      <c r="X8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5"/>
      <c r="Z8795" t="s">
        <v>39</v>
      </c>
      <c r="AA8795" t="s">
        <v>233</v>
      </c>
      <c r="AB8795" t="s">
        <v>433</v>
      </c>
      <c r="AC8795" s="21">
        <v>2422</v>
      </c>
      <c r="AD8795" s="21" t="s">
        <v>368</v>
      </c>
      <c r="AE8795" t="str">
        <f>VLOOKUP(Table_Query_from_Actuarial___Production3[[#This Row],[Kor1]],$AI$3:$AK$105,3,FALSE)</f>
        <v>Misc. Income for Insolvent Companies</v>
      </c>
      <c r="AF8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6" spans="18:32" x14ac:dyDescent="0.2">
      <c r="R8796" t="s">
        <v>13</v>
      </c>
      <c r="S8796" t="s">
        <v>240</v>
      </c>
      <c r="T8796" t="s">
        <v>351</v>
      </c>
      <c r="U8796" s="21">
        <v>558613.68000000005</v>
      </c>
      <c r="V8796" s="21" t="s">
        <v>368</v>
      </c>
      <c r="W8796" t="str">
        <f>VLOOKUP(Table_Query_from_Actuarial___Production[[#This Row],[Kor1]],$AI$3:$AK$105,3,FALSE)</f>
        <v>Operating Service Fees</v>
      </c>
      <c r="X8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6"/>
      <c r="Z8796" t="s">
        <v>40</v>
      </c>
      <c r="AA8796" t="s">
        <v>229</v>
      </c>
      <c r="AB8796" t="s">
        <v>7</v>
      </c>
      <c r="AC8796" s="21">
        <v>29</v>
      </c>
      <c r="AD8796" s="21" t="s">
        <v>368</v>
      </c>
      <c r="AE8796" t="str">
        <f>VLOOKUP(Table_Query_from_Actuarial___Production3[[#This Row],[Kor1]],$AI$3:$AK$105,3,FALSE)</f>
        <v>Misc. Income</v>
      </c>
      <c r="AF8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7" spans="18:32" x14ac:dyDescent="0.2">
      <c r="R8797" t="s">
        <v>444</v>
      </c>
      <c r="S8797" t="s">
        <v>228</v>
      </c>
      <c r="T8797" t="s">
        <v>443</v>
      </c>
      <c r="U8797" s="21">
        <v>10167.82</v>
      </c>
      <c r="V8797" s="21" t="s">
        <v>368</v>
      </c>
      <c r="W8797" t="str">
        <f>VLOOKUP(Table_Query_from_Actuarial___Production[[#This Row],[Kor1]],$AI$3:$AK$105,3,FALSE)</f>
        <v>Misc. Expense</v>
      </c>
      <c r="X8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7"/>
      <c r="Z8797" t="s">
        <v>31</v>
      </c>
      <c r="AA8797" t="s">
        <v>252</v>
      </c>
      <c r="AB8797" t="s">
        <v>441</v>
      </c>
      <c r="AC8797" s="21">
        <v>739.51</v>
      </c>
      <c r="AD8797" s="21" t="s">
        <v>368</v>
      </c>
      <c r="AE8797" t="str">
        <f>VLOOKUP(Table_Query_from_Actuarial___Production3[[#This Row],[Kor1]],$AI$3:$AK$105,3,FALSE)</f>
        <v>Misc. Expense</v>
      </c>
      <c r="AF8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8" spans="18:32" x14ac:dyDescent="0.2">
      <c r="R8798" t="s">
        <v>39</v>
      </c>
      <c r="S8798" t="s">
        <v>238</v>
      </c>
      <c r="T8798" t="s">
        <v>445</v>
      </c>
      <c r="U8798" s="21">
        <v>284.23</v>
      </c>
      <c r="V8798" s="21" t="s">
        <v>368</v>
      </c>
      <c r="W8798" t="str">
        <f>VLOOKUP(Table_Query_from_Actuarial___Production[[#This Row],[Kor1]],$AI$3:$AK$105,3,FALSE)</f>
        <v>Misc. Income for Insolvent Companies</v>
      </c>
      <c r="X8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798"/>
      <c r="Z8798" t="s">
        <v>19</v>
      </c>
      <c r="AA8798" t="s">
        <v>237</v>
      </c>
      <c r="AB8798" t="s">
        <v>356</v>
      </c>
      <c r="AC8798" s="21">
        <v>44873</v>
      </c>
      <c r="AD8798" s="21" t="s">
        <v>368</v>
      </c>
      <c r="AE8798" t="str">
        <f>VLOOKUP(Table_Query_from_Actuarial___Production3[[#This Row],[Kor1]],$AI$3:$AK$105,3,FALSE)</f>
        <v>Misc. Expense for Insolvent Companies</v>
      </c>
      <c r="AF8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799" spans="18:32" x14ac:dyDescent="0.2">
      <c r="R8799" t="s">
        <v>18</v>
      </c>
      <c r="S8799" t="s">
        <v>224</v>
      </c>
      <c r="T8799" t="s">
        <v>427</v>
      </c>
      <c r="U8799" s="21">
        <v>96720.17</v>
      </c>
      <c r="V8799" s="21" t="s">
        <v>370</v>
      </c>
      <c r="W8799" t="str">
        <f>VLOOKUP(Table_Query_from_Actuarial___Production[[#This Row],[Kor1]],$AI$3:$AK$105,3,FALSE)</f>
        <v>Misc. Expense</v>
      </c>
      <c r="X8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799"/>
      <c r="Z8799" t="s">
        <v>47</v>
      </c>
      <c r="AA8799" t="s">
        <v>268</v>
      </c>
      <c r="AB8799" t="s">
        <v>433</v>
      </c>
      <c r="AC8799" s="21">
        <v>192.21</v>
      </c>
      <c r="AD8799" s="21" t="s">
        <v>368</v>
      </c>
      <c r="AE8799" t="str">
        <f>VLOOKUP(Table_Query_from_Actuarial___Production3[[#This Row],[Kor1]],$AI$3:$AK$105,3,FALSE)</f>
        <v>Investment Income</v>
      </c>
      <c r="AF8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0" spans="18:32" x14ac:dyDescent="0.2">
      <c r="R8800" t="s">
        <v>10</v>
      </c>
      <c r="S8800" t="s">
        <v>262</v>
      </c>
      <c r="T8800" t="s">
        <v>356</v>
      </c>
      <c r="U8800" s="21">
        <v>13417.3</v>
      </c>
      <c r="V8800" s="21" t="s">
        <v>368</v>
      </c>
      <c r="W8800" t="str">
        <f>VLOOKUP(Table_Query_from_Actuarial___Production[[#This Row],[Kor1]],$AI$3:$AK$105,3,FALSE)</f>
        <v>Commissions</v>
      </c>
      <c r="X8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0"/>
      <c r="Z8800" t="s">
        <v>49</v>
      </c>
      <c r="AA8800" t="s">
        <v>232</v>
      </c>
      <c r="AB8800" t="s">
        <v>433</v>
      </c>
      <c r="AC8800" s="21">
        <v>8720</v>
      </c>
      <c r="AD8800" s="21" t="s">
        <v>368</v>
      </c>
      <c r="AE8800" t="str">
        <f>VLOOKUP(Table_Query_from_Actuarial___Production3[[#This Row],[Kor1]],$AI$3:$AK$105,3,FALSE)</f>
        <v>ALAE Paid</v>
      </c>
      <c r="AF8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1" spans="18:32" x14ac:dyDescent="0.2">
      <c r="R8801" t="s">
        <v>14</v>
      </c>
      <c r="S8801" t="s">
        <v>230</v>
      </c>
      <c r="T8801" t="s">
        <v>445</v>
      </c>
      <c r="U8801" s="21">
        <v>63047.13</v>
      </c>
      <c r="V8801" s="21" t="s">
        <v>368</v>
      </c>
      <c r="W8801" t="str">
        <f>VLOOKUP(Table_Query_from_Actuarial___Production[[#This Row],[Kor1]],$AI$3:$AK$105,3,FALSE)</f>
        <v>Claims Expense</v>
      </c>
      <c r="X8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1"/>
      <c r="Z8801" t="s">
        <v>49</v>
      </c>
      <c r="AA8801" t="s">
        <v>4</v>
      </c>
      <c r="AB8801" t="s">
        <v>442</v>
      </c>
      <c r="AC8801" s="21">
        <v>54869.72</v>
      </c>
      <c r="AD8801" s="21" t="s">
        <v>368</v>
      </c>
      <c r="AE8801" t="str">
        <f>VLOOKUP(Table_Query_from_Actuarial___Production3[[#This Row],[Kor1]],$AI$3:$AK$105,3,FALSE)</f>
        <v>ALAE Paid</v>
      </c>
      <c r="AF8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2" spans="18:32" x14ac:dyDescent="0.2">
      <c r="R8802" t="s">
        <v>14</v>
      </c>
      <c r="S8802" t="s">
        <v>236</v>
      </c>
      <c r="T8802" t="s">
        <v>433</v>
      </c>
      <c r="U8802" s="21">
        <v>2748.68</v>
      </c>
      <c r="V8802" s="21" t="s">
        <v>368</v>
      </c>
      <c r="W8802" t="str">
        <f>VLOOKUP(Table_Query_from_Actuarial___Production[[#This Row],[Kor1]],$AI$3:$AK$105,3,FALSE)</f>
        <v>Claims Expense</v>
      </c>
      <c r="X8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2"/>
      <c r="Z8802" t="s">
        <v>49</v>
      </c>
      <c r="AA8802" t="s">
        <v>266</v>
      </c>
      <c r="AB8802" t="s">
        <v>427</v>
      </c>
      <c r="AC8802" s="21">
        <v>435</v>
      </c>
      <c r="AD8802" s="21" t="s">
        <v>368</v>
      </c>
      <c r="AE8802" t="str">
        <f>VLOOKUP(Table_Query_from_Actuarial___Production3[[#This Row],[Kor1]],$AI$3:$AK$105,3,FALSE)</f>
        <v>ALAE Paid</v>
      </c>
      <c r="AF8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3" spans="18:32" x14ac:dyDescent="0.2">
      <c r="R8803" t="s">
        <v>10</v>
      </c>
      <c r="S8803" t="s">
        <v>224</v>
      </c>
      <c r="T8803" t="s">
        <v>433</v>
      </c>
      <c r="U8803" s="21">
        <v>1934.33</v>
      </c>
      <c r="V8803" s="21" t="s">
        <v>369</v>
      </c>
      <c r="W8803" t="str">
        <f>VLOOKUP(Table_Query_from_Actuarial___Production[[#This Row],[Kor1]],$AI$3:$AK$105,3,FALSE)</f>
        <v>Commissions</v>
      </c>
      <c r="X8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803"/>
      <c r="Z8803" t="s">
        <v>21</v>
      </c>
      <c r="AA8803" t="s">
        <v>235</v>
      </c>
      <c r="AB8803" t="s">
        <v>7</v>
      </c>
      <c r="AC8803" s="21">
        <v>445.48</v>
      </c>
      <c r="AD8803" s="21" t="s">
        <v>368</v>
      </c>
      <c r="AE8803" t="str">
        <f>VLOOKUP(Table_Query_from_Actuarial___Production3[[#This Row],[Kor1]],$AI$3:$AK$105,3,FALSE)</f>
        <v>Misc. Expense</v>
      </c>
      <c r="AF8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4" spans="18:32" x14ac:dyDescent="0.2">
      <c r="R8804" t="s">
        <v>19</v>
      </c>
      <c r="S8804" t="s">
        <v>259</v>
      </c>
      <c r="T8804" t="s">
        <v>6</v>
      </c>
      <c r="U8804" s="21">
        <v>515</v>
      </c>
      <c r="V8804" s="21" t="s">
        <v>368</v>
      </c>
      <c r="W8804" t="str">
        <f>VLOOKUP(Table_Query_from_Actuarial___Production[[#This Row],[Kor1]],$AI$3:$AK$105,3,FALSE)</f>
        <v>Misc. Expense for Insolvent Companies</v>
      </c>
      <c r="X8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4"/>
      <c r="Z8804" t="s">
        <v>11</v>
      </c>
      <c r="AA8804" t="s">
        <v>224</v>
      </c>
      <c r="AB8804" t="s">
        <v>8</v>
      </c>
      <c r="AC8804" s="21">
        <v>675012.79</v>
      </c>
      <c r="AD8804" s="21" t="s">
        <v>370</v>
      </c>
      <c r="AE8804" t="str">
        <f>VLOOKUP(Table_Query_from_Actuarial___Production3[[#This Row],[Kor1]],$AI$3:$AK$105,3,FALSE)</f>
        <v>Losses Paid</v>
      </c>
      <c r="AF8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805" spans="18:32" x14ac:dyDescent="0.2">
      <c r="R8805" t="s">
        <v>14</v>
      </c>
      <c r="S8805" t="s">
        <v>232</v>
      </c>
      <c r="T8805" t="s">
        <v>351</v>
      </c>
      <c r="U8805" s="21">
        <v>84198.95</v>
      </c>
      <c r="V8805" s="21" t="s">
        <v>368</v>
      </c>
      <c r="W8805" t="str">
        <f>VLOOKUP(Table_Query_from_Actuarial___Production[[#This Row],[Kor1]],$AI$3:$AK$105,3,FALSE)</f>
        <v>Claims Expense</v>
      </c>
      <c r="X8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5"/>
      <c r="Z8805" t="s">
        <v>39</v>
      </c>
      <c r="AA8805" t="s">
        <v>228</v>
      </c>
      <c r="AB8805" t="s">
        <v>441</v>
      </c>
      <c r="AC8805" s="21">
        <v>1669.96</v>
      </c>
      <c r="AD8805" s="21" t="s">
        <v>368</v>
      </c>
      <c r="AE8805" t="str">
        <f>VLOOKUP(Table_Query_from_Actuarial___Production3[[#This Row],[Kor1]],$AI$3:$AK$105,3,FALSE)</f>
        <v>Misc. Income for Insolvent Companies</v>
      </c>
      <c r="AF8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6" spans="18:32" x14ac:dyDescent="0.2">
      <c r="R8806" t="s">
        <v>33</v>
      </c>
      <c r="S8806" t="s">
        <v>259</v>
      </c>
      <c r="T8806" t="s">
        <v>445</v>
      </c>
      <c r="U8806" s="21">
        <v>3834.8</v>
      </c>
      <c r="V8806" s="21" t="s">
        <v>368</v>
      </c>
      <c r="W8806" t="str">
        <f>VLOOKUP(Table_Query_from_Actuarial___Production[[#This Row],[Kor1]],$AI$3:$AK$105,3,FALSE)</f>
        <v>Misc. Expense</v>
      </c>
      <c r="X8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6"/>
      <c r="Z8806" t="s">
        <v>12</v>
      </c>
      <c r="AA8806" t="s">
        <v>234</v>
      </c>
      <c r="AB8806" t="s">
        <v>433</v>
      </c>
      <c r="AC8806" s="21">
        <v>17153.310000000001</v>
      </c>
      <c r="AD8806" s="21" t="s">
        <v>368</v>
      </c>
      <c r="AE8806" t="str">
        <f>VLOOKUP(Table_Query_from_Actuarial___Production3[[#This Row],[Kor1]],$AI$3:$AK$105,3,FALSE)</f>
        <v>Premium Tax</v>
      </c>
      <c r="AF8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7" spans="18:32" x14ac:dyDescent="0.2">
      <c r="R8807" t="s">
        <v>41</v>
      </c>
      <c r="S8807" t="s">
        <v>227</v>
      </c>
      <c r="T8807" t="s">
        <v>427</v>
      </c>
      <c r="U8807" s="21">
        <v>100</v>
      </c>
      <c r="V8807" s="21" t="s">
        <v>368</v>
      </c>
      <c r="W8807" t="str">
        <f>VLOOKUP(Table_Query_from_Actuarial___Production[[#This Row],[Kor1]],$AI$3:$AK$105,3,FALSE)</f>
        <v>Misc. Income</v>
      </c>
      <c r="X8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7"/>
      <c r="Z8807" t="s">
        <v>29</v>
      </c>
      <c r="AA8807" t="s">
        <v>259</v>
      </c>
      <c r="AB8807" t="s">
        <v>8</v>
      </c>
      <c r="AC8807" s="21">
        <v>1040.01</v>
      </c>
      <c r="AD8807" s="21" t="s">
        <v>368</v>
      </c>
      <c r="AE8807" t="str">
        <f>VLOOKUP(Table_Query_from_Actuarial___Production3[[#This Row],[Kor1]],$AI$3:$AK$105,3,FALSE)</f>
        <v>Misc. Expense</v>
      </c>
      <c r="AF8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08" spans="18:32" x14ac:dyDescent="0.2">
      <c r="R8808" t="s">
        <v>48</v>
      </c>
      <c r="S8808" t="s">
        <v>235</v>
      </c>
      <c r="T8808" t="s">
        <v>443</v>
      </c>
      <c r="U8808" s="21">
        <v>90.62</v>
      </c>
      <c r="V8808" s="21" t="s">
        <v>368</v>
      </c>
      <c r="W8808" t="str">
        <f>VLOOKUP(Table_Query_from_Actuarial___Production[[#This Row],[Kor1]],$AI$3:$AK$105,3,FALSE)</f>
        <v>Anticipated Salvage</v>
      </c>
      <c r="X8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8"/>
      <c r="Z8808" t="s">
        <v>38</v>
      </c>
      <c r="AA8808" t="s">
        <v>226</v>
      </c>
      <c r="AB8808" t="s">
        <v>427</v>
      </c>
      <c r="AC8808" s="21">
        <v>4528.79</v>
      </c>
      <c r="AD8808" s="21" t="s">
        <v>368</v>
      </c>
      <c r="AE8808" t="str">
        <f>VLOOKUP(Table_Query_from_Actuarial___Production3[[#This Row],[Kor1]],$AI$3:$AK$105,3,FALSE)</f>
        <v>Misc. Income</v>
      </c>
      <c r="AF8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809" spans="18:32" x14ac:dyDescent="0.2">
      <c r="R8809" t="s">
        <v>43</v>
      </c>
      <c r="S8809" t="s">
        <v>234</v>
      </c>
      <c r="T8809" t="s">
        <v>8</v>
      </c>
      <c r="U8809" s="21">
        <v>2617.67</v>
      </c>
      <c r="V8809" s="21" t="s">
        <v>368</v>
      </c>
      <c r="W8809" t="str">
        <f>VLOOKUP(Table_Query_from_Actuarial___Production[[#This Row],[Kor1]],$AI$3:$AK$105,3,FALSE)</f>
        <v>Charge-offs</v>
      </c>
      <c r="X8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09"/>
      <c r="Z8809" t="s">
        <v>17</v>
      </c>
      <c r="AA8809" t="s">
        <v>252</v>
      </c>
      <c r="AB8809" t="s">
        <v>427</v>
      </c>
      <c r="AC8809" s="21">
        <v>5323343.47</v>
      </c>
      <c r="AD8809" s="21" t="s">
        <v>368</v>
      </c>
      <c r="AE8809" t="str">
        <f>VLOOKUP(Table_Query_from_Actuarial___Production3[[#This Row],[Kor1]],$AI$3:$AK$105,3,FALSE)</f>
        <v>IBNR</v>
      </c>
      <c r="AF8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0" spans="18:32" x14ac:dyDescent="0.2">
      <c r="R8810" t="s">
        <v>31</v>
      </c>
      <c r="S8810" t="s">
        <v>249</v>
      </c>
      <c r="T8810" t="s">
        <v>7</v>
      </c>
      <c r="U8810" s="21">
        <v>1188.3399999999999</v>
      </c>
      <c r="V8810" s="21" t="s">
        <v>368</v>
      </c>
      <c r="W8810" t="str">
        <f>VLOOKUP(Table_Query_from_Actuarial___Production[[#This Row],[Kor1]],$AI$3:$AK$105,3,FALSE)</f>
        <v>Misc. Expense</v>
      </c>
      <c r="X8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0"/>
      <c r="Z8810" t="s">
        <v>11</v>
      </c>
      <c r="AA8810" t="s">
        <v>239</v>
      </c>
      <c r="AB8810" t="s">
        <v>433</v>
      </c>
      <c r="AC8810" s="21">
        <v>7902206.3700000001</v>
      </c>
      <c r="AD8810" s="21" t="s">
        <v>368</v>
      </c>
      <c r="AE8810" t="str">
        <f>VLOOKUP(Table_Query_from_Actuarial___Production3[[#This Row],[Kor1]],$AI$3:$AK$105,3,FALSE)</f>
        <v>Losses Paid</v>
      </c>
      <c r="AF8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1" spans="18:32" x14ac:dyDescent="0.2">
      <c r="R8811" t="s">
        <v>41</v>
      </c>
      <c r="S8811" t="s">
        <v>232</v>
      </c>
      <c r="T8811" t="s">
        <v>356</v>
      </c>
      <c r="U8811" s="21">
        <v>310.25</v>
      </c>
      <c r="V8811" s="21" t="s">
        <v>368</v>
      </c>
      <c r="W8811" t="str">
        <f>VLOOKUP(Table_Query_from_Actuarial___Production[[#This Row],[Kor1]],$AI$3:$AK$105,3,FALSE)</f>
        <v>Misc. Income</v>
      </c>
      <c r="X8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1"/>
      <c r="Z8811" t="s">
        <v>12</v>
      </c>
      <c r="AA8811" t="s">
        <v>238</v>
      </c>
      <c r="AB8811" t="s">
        <v>427</v>
      </c>
      <c r="AC8811" s="21">
        <v>19815.68</v>
      </c>
      <c r="AD8811" s="21" t="s">
        <v>368</v>
      </c>
      <c r="AE8811" t="str">
        <f>VLOOKUP(Table_Query_from_Actuarial___Production3[[#This Row],[Kor1]],$AI$3:$AK$105,3,FALSE)</f>
        <v>Premium Tax</v>
      </c>
      <c r="AF8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2" spans="18:32" x14ac:dyDescent="0.2">
      <c r="R8812" t="s">
        <v>15</v>
      </c>
      <c r="S8812" t="s">
        <v>249</v>
      </c>
      <c r="T8812" t="s">
        <v>445</v>
      </c>
      <c r="U8812" s="21">
        <v>327333.5</v>
      </c>
      <c r="V8812" s="21" t="s">
        <v>368</v>
      </c>
      <c r="W8812" t="str">
        <f>VLOOKUP(Table_Query_from_Actuarial___Production[[#This Row],[Kor1]],$AI$3:$AK$105,3,FALSE)</f>
        <v>Unearned Premiums</v>
      </c>
      <c r="X8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2"/>
      <c r="Z8812" t="s">
        <v>3</v>
      </c>
      <c r="AA8812" t="s">
        <v>229</v>
      </c>
      <c r="AB8812" t="s">
        <v>356</v>
      </c>
      <c r="AC8812" s="21">
        <v>252805</v>
      </c>
      <c r="AD8812" s="21" t="s">
        <v>368</v>
      </c>
      <c r="AE8812" t="str">
        <f>VLOOKUP(Table_Query_from_Actuarial___Production3[[#This Row],[Kor1]],$AI$3:$AK$105,3,FALSE)</f>
        <v>Premiums Written</v>
      </c>
      <c r="AF8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3" spans="18:32" x14ac:dyDescent="0.2">
      <c r="R8813" t="s">
        <v>14</v>
      </c>
      <c r="S8813" t="s">
        <v>246</v>
      </c>
      <c r="T8813" t="s">
        <v>427</v>
      </c>
      <c r="U8813" s="21">
        <v>167178.9</v>
      </c>
      <c r="V8813" s="21" t="s">
        <v>368</v>
      </c>
      <c r="W8813" t="str">
        <f>VLOOKUP(Table_Query_from_Actuarial___Production[[#This Row],[Kor1]],$AI$3:$AK$105,3,FALSE)</f>
        <v>Claims Expense</v>
      </c>
      <c r="X8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3"/>
      <c r="Z8813" t="s">
        <v>12</v>
      </c>
      <c r="AA8813" t="s">
        <v>231</v>
      </c>
      <c r="AB8813" t="s">
        <v>427</v>
      </c>
      <c r="AC8813" s="21">
        <v>20796.919999999998</v>
      </c>
      <c r="AD8813" s="21" t="s">
        <v>368</v>
      </c>
      <c r="AE8813" t="str">
        <f>VLOOKUP(Table_Query_from_Actuarial___Production3[[#This Row],[Kor1]],$AI$3:$AK$105,3,FALSE)</f>
        <v>Premium Tax</v>
      </c>
      <c r="AF8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4" spans="18:32" x14ac:dyDescent="0.2">
      <c r="R8814" t="s">
        <v>16</v>
      </c>
      <c r="S8814" t="s">
        <v>232</v>
      </c>
      <c r="T8814" t="s">
        <v>433</v>
      </c>
      <c r="U8814" s="21">
        <v>-534</v>
      </c>
      <c r="V8814" s="21" t="s">
        <v>368</v>
      </c>
      <c r="W8814" t="str">
        <f>VLOOKUP(Table_Query_from_Actuarial___Production[[#This Row],[Kor1]],$AI$3:$AK$105,3,FALSE)</f>
        <v>Losses Outstanding</v>
      </c>
      <c r="X8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4"/>
      <c r="Z8814" t="s">
        <v>13</v>
      </c>
      <c r="AA8814" t="s">
        <v>240</v>
      </c>
      <c r="AB8814" t="s">
        <v>351</v>
      </c>
      <c r="AC8814" s="21">
        <v>558613.68000000005</v>
      </c>
      <c r="AD8814" s="21" t="s">
        <v>368</v>
      </c>
      <c r="AE8814" t="str">
        <f>VLOOKUP(Table_Query_from_Actuarial___Production3[[#This Row],[Kor1]],$AI$3:$AK$105,3,FALSE)</f>
        <v>Operating Service Fees</v>
      </c>
      <c r="AF8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5" spans="18:32" x14ac:dyDescent="0.2">
      <c r="R8815" t="s">
        <v>44</v>
      </c>
      <c r="S8815" t="s">
        <v>265</v>
      </c>
      <c r="T8815" t="s">
        <v>351</v>
      </c>
      <c r="U8815" s="21">
        <v>-1.78</v>
      </c>
      <c r="V8815" s="21" t="s">
        <v>368</v>
      </c>
      <c r="W8815" t="str">
        <f>VLOOKUP(Table_Query_from_Actuarial___Production[[#This Row],[Kor1]],$AI$3:$AK$105,3,FALSE)</f>
        <v>Charge-offs</v>
      </c>
      <c r="X8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5"/>
      <c r="Z8815" t="s">
        <v>18</v>
      </c>
      <c r="AA8815" t="s">
        <v>224</v>
      </c>
      <c r="AB8815" t="s">
        <v>427</v>
      </c>
      <c r="AC8815" s="21">
        <v>96720.17</v>
      </c>
      <c r="AD8815" s="21" t="s">
        <v>370</v>
      </c>
      <c r="AE8815" t="str">
        <f>VLOOKUP(Table_Query_from_Actuarial___Production3[[#This Row],[Kor1]],$AI$3:$AK$105,3,FALSE)</f>
        <v>Misc. Expense</v>
      </c>
      <c r="AF8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816" spans="18:32" x14ac:dyDescent="0.2">
      <c r="R8816" t="s">
        <v>10</v>
      </c>
      <c r="S8816" t="s">
        <v>254</v>
      </c>
      <c r="T8816" t="s">
        <v>427</v>
      </c>
      <c r="U8816" s="21">
        <v>325083.59999999998</v>
      </c>
      <c r="V8816" s="21" t="s">
        <v>368</v>
      </c>
      <c r="W8816" t="str">
        <f>VLOOKUP(Table_Query_from_Actuarial___Production[[#This Row],[Kor1]],$AI$3:$AK$105,3,FALSE)</f>
        <v>Commissions</v>
      </c>
      <c r="X8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6"/>
      <c r="Z8816" t="s">
        <v>10</v>
      </c>
      <c r="AA8816" t="s">
        <v>262</v>
      </c>
      <c r="AB8816" t="s">
        <v>356</v>
      </c>
      <c r="AC8816" s="21">
        <v>13417.3</v>
      </c>
      <c r="AD8816" s="21" t="s">
        <v>368</v>
      </c>
      <c r="AE8816" t="str">
        <f>VLOOKUP(Table_Query_from_Actuarial___Production3[[#This Row],[Kor1]],$AI$3:$AK$105,3,FALSE)</f>
        <v>Commissions</v>
      </c>
      <c r="AF8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7" spans="18:32" x14ac:dyDescent="0.2">
      <c r="R8817" t="s">
        <v>33</v>
      </c>
      <c r="S8817" t="s">
        <v>235</v>
      </c>
      <c r="T8817" t="s">
        <v>427</v>
      </c>
      <c r="U8817" s="21">
        <v>13306.19</v>
      </c>
      <c r="V8817" s="21" t="s">
        <v>368</v>
      </c>
      <c r="W8817" t="str">
        <f>VLOOKUP(Table_Query_from_Actuarial___Production[[#This Row],[Kor1]],$AI$3:$AK$105,3,FALSE)</f>
        <v>Misc. Expense</v>
      </c>
      <c r="X8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7"/>
      <c r="Z8817" t="s">
        <v>14</v>
      </c>
      <c r="AA8817" t="s">
        <v>236</v>
      </c>
      <c r="AB8817" t="s">
        <v>433</v>
      </c>
      <c r="AC8817" s="21">
        <v>2748.68</v>
      </c>
      <c r="AD8817" s="21" t="s">
        <v>368</v>
      </c>
      <c r="AE8817" t="str">
        <f>VLOOKUP(Table_Query_from_Actuarial___Production3[[#This Row],[Kor1]],$AI$3:$AK$105,3,FALSE)</f>
        <v>Claims Expense</v>
      </c>
      <c r="AF8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18" spans="18:32" x14ac:dyDescent="0.2">
      <c r="R8818" t="s">
        <v>39</v>
      </c>
      <c r="S8818" t="s">
        <v>239</v>
      </c>
      <c r="T8818" t="s">
        <v>445</v>
      </c>
      <c r="U8818" s="21">
        <v>4543.88</v>
      </c>
      <c r="V8818" s="21" t="s">
        <v>368</v>
      </c>
      <c r="W8818" t="str">
        <f>VLOOKUP(Table_Query_from_Actuarial___Production[[#This Row],[Kor1]],$AI$3:$AK$105,3,FALSE)</f>
        <v>Misc. Income for Insolvent Companies</v>
      </c>
      <c r="X8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8"/>
      <c r="Z8818" t="s">
        <v>10</v>
      </c>
      <c r="AA8818" t="s">
        <v>224</v>
      </c>
      <c r="AB8818" t="s">
        <v>433</v>
      </c>
      <c r="AC8818" s="21">
        <v>1934.33</v>
      </c>
      <c r="AD8818" s="21" t="s">
        <v>369</v>
      </c>
      <c r="AE8818" t="str">
        <f>VLOOKUP(Table_Query_from_Actuarial___Production3[[#This Row],[Kor1]],$AI$3:$AK$105,3,FALSE)</f>
        <v>Commissions</v>
      </c>
      <c r="AF8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819" spans="18:32" x14ac:dyDescent="0.2">
      <c r="R8819" t="s">
        <v>3</v>
      </c>
      <c r="S8819" t="s">
        <v>259</v>
      </c>
      <c r="T8819" t="s">
        <v>445</v>
      </c>
      <c r="U8819" s="21">
        <v>22765</v>
      </c>
      <c r="V8819" s="21" t="s">
        <v>368</v>
      </c>
      <c r="W8819" t="str">
        <f>VLOOKUP(Table_Query_from_Actuarial___Production[[#This Row],[Kor1]],$AI$3:$AK$105,3,FALSE)</f>
        <v>Premiums Written</v>
      </c>
      <c r="X8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19"/>
      <c r="Z8819" t="s">
        <v>19</v>
      </c>
      <c r="AA8819" t="s">
        <v>259</v>
      </c>
      <c r="AB8819" t="s">
        <v>6</v>
      </c>
      <c r="AC8819" s="21">
        <v>515</v>
      </c>
      <c r="AD8819" s="21" t="s">
        <v>368</v>
      </c>
      <c r="AE8819" t="str">
        <f>VLOOKUP(Table_Query_from_Actuarial___Production3[[#This Row],[Kor1]],$AI$3:$AK$105,3,FALSE)</f>
        <v>Misc. Expense for Insolvent Companies</v>
      </c>
      <c r="AF8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0" spans="18:32" x14ac:dyDescent="0.2">
      <c r="R8820" t="s">
        <v>13</v>
      </c>
      <c r="S8820" t="s">
        <v>237</v>
      </c>
      <c r="T8820" t="s">
        <v>7</v>
      </c>
      <c r="U8820" s="21">
        <v>771798.45</v>
      </c>
      <c r="V8820" s="21" t="s">
        <v>368</v>
      </c>
      <c r="W8820" t="str">
        <f>VLOOKUP(Table_Query_from_Actuarial___Production[[#This Row],[Kor1]],$AI$3:$AK$105,3,FALSE)</f>
        <v>Operating Service Fees</v>
      </c>
      <c r="X8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0"/>
      <c r="Z8820" t="s">
        <v>14</v>
      </c>
      <c r="AA8820" t="s">
        <v>232</v>
      </c>
      <c r="AB8820" t="s">
        <v>351</v>
      </c>
      <c r="AC8820" s="21">
        <v>84198.95</v>
      </c>
      <c r="AD8820" s="21" t="s">
        <v>368</v>
      </c>
      <c r="AE8820" t="str">
        <f>VLOOKUP(Table_Query_from_Actuarial___Production3[[#This Row],[Kor1]],$AI$3:$AK$105,3,FALSE)</f>
        <v>Claims Expense</v>
      </c>
      <c r="AF8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1" spans="18:32" x14ac:dyDescent="0.2">
      <c r="R8821" t="s">
        <v>41</v>
      </c>
      <c r="S8821" t="s">
        <v>244</v>
      </c>
      <c r="T8821" t="s">
        <v>433</v>
      </c>
      <c r="U8821" s="21">
        <v>299.99</v>
      </c>
      <c r="V8821" s="21" t="s">
        <v>368</v>
      </c>
      <c r="W8821" t="str">
        <f>VLOOKUP(Table_Query_from_Actuarial___Production[[#This Row],[Kor1]],$AI$3:$AK$105,3,FALSE)</f>
        <v>Misc. Income</v>
      </c>
      <c r="X8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1"/>
      <c r="Z8821" t="s">
        <v>41</v>
      </c>
      <c r="AA8821" t="s">
        <v>227</v>
      </c>
      <c r="AB8821" t="s">
        <v>427</v>
      </c>
      <c r="AC8821" s="21">
        <v>100</v>
      </c>
      <c r="AD8821" s="21" t="s">
        <v>368</v>
      </c>
      <c r="AE8821" t="str">
        <f>VLOOKUP(Table_Query_from_Actuarial___Production3[[#This Row],[Kor1]],$AI$3:$AK$105,3,FALSE)</f>
        <v>Misc. Income</v>
      </c>
      <c r="AF8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2" spans="18:32" x14ac:dyDescent="0.2">
      <c r="R8822" t="s">
        <v>39</v>
      </c>
      <c r="S8822" t="s">
        <v>266</v>
      </c>
      <c r="T8822" t="s">
        <v>443</v>
      </c>
      <c r="U8822" s="21">
        <v>67.5</v>
      </c>
      <c r="V8822" s="21" t="s">
        <v>368</v>
      </c>
      <c r="W8822" t="str">
        <f>VLOOKUP(Table_Query_from_Actuarial___Production[[#This Row],[Kor1]],$AI$3:$AK$105,3,FALSE)</f>
        <v>Misc. Income for Insolvent Companies</v>
      </c>
      <c r="X8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2"/>
      <c r="Z8822" t="s">
        <v>48</v>
      </c>
      <c r="AA8822" t="s">
        <v>235</v>
      </c>
      <c r="AB8822" t="s">
        <v>443</v>
      </c>
      <c r="AC8822" s="21">
        <v>8.4600000000000009</v>
      </c>
      <c r="AD8822" s="21" t="s">
        <v>368</v>
      </c>
      <c r="AE8822" t="str">
        <f>VLOOKUP(Table_Query_from_Actuarial___Production3[[#This Row],[Kor1]],$AI$3:$AK$105,3,FALSE)</f>
        <v>Anticipated Salvage</v>
      </c>
      <c r="AF8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3" spans="18:32" x14ac:dyDescent="0.2">
      <c r="R8823" t="s">
        <v>40</v>
      </c>
      <c r="S8823" t="s">
        <v>231</v>
      </c>
      <c r="T8823" t="s">
        <v>427</v>
      </c>
      <c r="U8823" s="21">
        <v>9</v>
      </c>
      <c r="V8823" s="21" t="s">
        <v>368</v>
      </c>
      <c r="W8823" t="str">
        <f>VLOOKUP(Table_Query_from_Actuarial___Production[[#This Row],[Kor1]],$AI$3:$AK$105,3,FALSE)</f>
        <v>Misc. Income</v>
      </c>
      <c r="X8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3"/>
      <c r="Z8823" t="s">
        <v>43</v>
      </c>
      <c r="AA8823" t="s">
        <v>234</v>
      </c>
      <c r="AB8823" t="s">
        <v>8</v>
      </c>
      <c r="AC8823" s="21">
        <v>2617.67</v>
      </c>
      <c r="AD8823" s="21" t="s">
        <v>368</v>
      </c>
      <c r="AE8823" t="str">
        <f>VLOOKUP(Table_Query_from_Actuarial___Production3[[#This Row],[Kor1]],$AI$3:$AK$105,3,FALSE)</f>
        <v>Charge-offs</v>
      </c>
      <c r="AF8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4" spans="18:32" x14ac:dyDescent="0.2">
      <c r="R8824" t="s">
        <v>107</v>
      </c>
      <c r="S8824" t="s">
        <v>259</v>
      </c>
      <c r="T8824" t="s">
        <v>351</v>
      </c>
      <c r="U8824" s="21">
        <v>404.16</v>
      </c>
      <c r="V8824" s="21" t="s">
        <v>368</v>
      </c>
      <c r="W8824" t="str">
        <f>VLOOKUP(Table_Query_from_Actuarial___Production[[#This Row],[Kor1]],$AI$3:$AK$105,3,FALSE)</f>
        <v>Misc. Expense</v>
      </c>
      <c r="X8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4"/>
      <c r="Z8824" t="s">
        <v>31</v>
      </c>
      <c r="AA8824" t="s">
        <v>249</v>
      </c>
      <c r="AB8824" t="s">
        <v>7</v>
      </c>
      <c r="AC8824" s="21">
        <v>1188.3399999999999</v>
      </c>
      <c r="AD8824" s="21" t="s">
        <v>368</v>
      </c>
      <c r="AE8824" t="str">
        <f>VLOOKUP(Table_Query_from_Actuarial___Production3[[#This Row],[Kor1]],$AI$3:$AK$105,3,FALSE)</f>
        <v>Misc. Expense</v>
      </c>
      <c r="AF8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5" spans="18:32" x14ac:dyDescent="0.2">
      <c r="R8825" t="s">
        <v>37</v>
      </c>
      <c r="S8825" t="s">
        <v>256</v>
      </c>
      <c r="T8825" t="s">
        <v>356</v>
      </c>
      <c r="U8825" s="21">
        <v>27.94</v>
      </c>
      <c r="V8825" s="21" t="s">
        <v>368</v>
      </c>
      <c r="W8825" t="str">
        <f>VLOOKUP(Table_Query_from_Actuarial___Production[[#This Row],[Kor1]],$AI$3:$AK$105,3,FALSE)</f>
        <v>Misc. Expense</v>
      </c>
      <c r="X8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5"/>
      <c r="Z8825" t="s">
        <v>41</v>
      </c>
      <c r="AA8825" t="s">
        <v>232</v>
      </c>
      <c r="AB8825" t="s">
        <v>356</v>
      </c>
      <c r="AC8825" s="21">
        <v>310.25</v>
      </c>
      <c r="AD8825" s="21" t="s">
        <v>368</v>
      </c>
      <c r="AE8825" t="str">
        <f>VLOOKUP(Table_Query_from_Actuarial___Production3[[#This Row],[Kor1]],$AI$3:$AK$105,3,FALSE)</f>
        <v>Misc. Income</v>
      </c>
      <c r="AF8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6" spans="18:32" x14ac:dyDescent="0.2">
      <c r="R8826" t="s">
        <v>47</v>
      </c>
      <c r="S8826" t="s">
        <v>4</v>
      </c>
      <c r="T8826" t="s">
        <v>433</v>
      </c>
      <c r="U8826" s="21">
        <v>34656.99</v>
      </c>
      <c r="V8826" s="21" t="s">
        <v>368</v>
      </c>
      <c r="W8826" t="str">
        <f>VLOOKUP(Table_Query_from_Actuarial___Production[[#This Row],[Kor1]],$AI$3:$AK$105,3,FALSE)</f>
        <v>Investment Income</v>
      </c>
      <c r="X8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6"/>
      <c r="Z8826" t="s">
        <v>17</v>
      </c>
      <c r="AA8826" t="s">
        <v>232</v>
      </c>
      <c r="AB8826" t="s">
        <v>427</v>
      </c>
      <c r="AC8826" s="21">
        <v>84626.33</v>
      </c>
      <c r="AD8826" s="21" t="s">
        <v>368</v>
      </c>
      <c r="AE8826" t="str">
        <f>VLOOKUP(Table_Query_from_Actuarial___Production3[[#This Row],[Kor1]],$AI$3:$AK$105,3,FALSE)</f>
        <v>IBNR</v>
      </c>
      <c r="AF8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7" spans="18:32" x14ac:dyDescent="0.2">
      <c r="R8827" t="s">
        <v>37</v>
      </c>
      <c r="S8827" t="s">
        <v>242</v>
      </c>
      <c r="T8827" t="s">
        <v>443</v>
      </c>
      <c r="U8827" s="21">
        <v>1599.9</v>
      </c>
      <c r="V8827" s="21" t="s">
        <v>368</v>
      </c>
      <c r="W8827" t="str">
        <f>VLOOKUP(Table_Query_from_Actuarial___Production[[#This Row],[Kor1]],$AI$3:$AK$105,3,FALSE)</f>
        <v>Misc. Expense</v>
      </c>
      <c r="X8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7"/>
      <c r="Z8827" t="s">
        <v>14</v>
      </c>
      <c r="AA8827" t="s">
        <v>246</v>
      </c>
      <c r="AB8827" t="s">
        <v>427</v>
      </c>
      <c r="AC8827" s="21">
        <v>167178.9</v>
      </c>
      <c r="AD8827" s="21" t="s">
        <v>368</v>
      </c>
      <c r="AE8827" t="str">
        <f>VLOOKUP(Table_Query_from_Actuarial___Production3[[#This Row],[Kor1]],$AI$3:$AK$105,3,FALSE)</f>
        <v>Claims Expense</v>
      </c>
      <c r="AF8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8" spans="18:32" x14ac:dyDescent="0.2">
      <c r="R8828" t="s">
        <v>13</v>
      </c>
      <c r="S8828" t="s">
        <v>225</v>
      </c>
      <c r="T8828" t="s">
        <v>9</v>
      </c>
      <c r="U8828" s="21">
        <v>175639.85</v>
      </c>
      <c r="V8828" s="21" t="s">
        <v>369</v>
      </c>
      <c r="W8828" t="str">
        <f>VLOOKUP(Table_Query_from_Actuarial___Production[[#This Row],[Kor1]],$AI$3:$AK$105,3,FALSE)</f>
        <v>Operating Service Fees</v>
      </c>
      <c r="X8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828"/>
      <c r="Z8828" t="s">
        <v>16</v>
      </c>
      <c r="AA8828" t="s">
        <v>232</v>
      </c>
      <c r="AB8828" t="s">
        <v>433</v>
      </c>
      <c r="AC8828" s="21">
        <v>-861</v>
      </c>
      <c r="AD8828" s="21" t="s">
        <v>368</v>
      </c>
      <c r="AE8828" t="str">
        <f>VLOOKUP(Table_Query_from_Actuarial___Production3[[#This Row],[Kor1]],$AI$3:$AK$105,3,FALSE)</f>
        <v>Losses Outstanding</v>
      </c>
      <c r="AF8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29" spans="18:32" x14ac:dyDescent="0.2">
      <c r="R8829" t="s">
        <v>13</v>
      </c>
      <c r="S8829" t="s">
        <v>255</v>
      </c>
      <c r="T8829" t="s">
        <v>442</v>
      </c>
      <c r="U8829" s="21">
        <v>71942.759999999995</v>
      </c>
      <c r="V8829" s="21" t="s">
        <v>368</v>
      </c>
      <c r="W8829" t="str">
        <f>VLOOKUP(Table_Query_from_Actuarial___Production[[#This Row],[Kor1]],$AI$3:$AK$105,3,FALSE)</f>
        <v>Operating Service Fees</v>
      </c>
      <c r="X8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29"/>
      <c r="Z8829" t="s">
        <v>44</v>
      </c>
      <c r="AA8829" t="s">
        <v>265</v>
      </c>
      <c r="AB8829" t="s">
        <v>351</v>
      </c>
      <c r="AC8829" s="21">
        <v>-1.78</v>
      </c>
      <c r="AD8829" s="21" t="s">
        <v>368</v>
      </c>
      <c r="AE8829" t="str">
        <f>VLOOKUP(Table_Query_from_Actuarial___Production3[[#This Row],[Kor1]],$AI$3:$AK$105,3,FALSE)</f>
        <v>Charge-offs</v>
      </c>
      <c r="AF8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0" spans="18:32" x14ac:dyDescent="0.2">
      <c r="R8830" t="s">
        <v>19</v>
      </c>
      <c r="S8830" t="s">
        <v>262</v>
      </c>
      <c r="T8830" t="s">
        <v>6</v>
      </c>
      <c r="U8830" s="21">
        <v>1505</v>
      </c>
      <c r="V8830" s="21" t="s">
        <v>368</v>
      </c>
      <c r="W8830" t="str">
        <f>VLOOKUP(Table_Query_from_Actuarial___Production[[#This Row],[Kor1]],$AI$3:$AK$105,3,FALSE)</f>
        <v>Misc. Expense for Insolvent Companies</v>
      </c>
      <c r="X8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0"/>
      <c r="Z8830" t="s">
        <v>10</v>
      </c>
      <c r="AA8830" t="s">
        <v>254</v>
      </c>
      <c r="AB8830" t="s">
        <v>427</v>
      </c>
      <c r="AC8830" s="21">
        <v>325232.65000000002</v>
      </c>
      <c r="AD8830" s="21" t="s">
        <v>368</v>
      </c>
      <c r="AE8830" t="str">
        <f>VLOOKUP(Table_Query_from_Actuarial___Production3[[#This Row],[Kor1]],$AI$3:$AK$105,3,FALSE)</f>
        <v>Commissions</v>
      </c>
      <c r="AF8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1" spans="18:32" x14ac:dyDescent="0.2">
      <c r="R8831" t="s">
        <v>38</v>
      </c>
      <c r="S8831" t="s">
        <v>354</v>
      </c>
      <c r="T8831" t="s">
        <v>356</v>
      </c>
      <c r="U8831" s="21">
        <v>2295.77</v>
      </c>
      <c r="V8831" s="21" t="s">
        <v>368</v>
      </c>
      <c r="W8831" t="str">
        <f>VLOOKUP(Table_Query_from_Actuarial___Production[[#This Row],[Kor1]],$AI$3:$AK$105,3,FALSE)</f>
        <v>Misc. Income</v>
      </c>
      <c r="X8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831"/>
      <c r="Z8831" t="s">
        <v>33</v>
      </c>
      <c r="AA8831" t="s">
        <v>235</v>
      </c>
      <c r="AB8831" t="s">
        <v>427</v>
      </c>
      <c r="AC8831" s="21">
        <v>13306.19</v>
      </c>
      <c r="AD8831" s="21" t="s">
        <v>368</v>
      </c>
      <c r="AE8831" t="str">
        <f>VLOOKUP(Table_Query_from_Actuarial___Production3[[#This Row],[Kor1]],$AI$3:$AK$105,3,FALSE)</f>
        <v>Misc. Expense</v>
      </c>
      <c r="AF8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2" spans="18:32" x14ac:dyDescent="0.2">
      <c r="R8832" t="s">
        <v>44</v>
      </c>
      <c r="S8832" t="s">
        <v>225</v>
      </c>
      <c r="T8832" t="s">
        <v>356</v>
      </c>
      <c r="U8832" s="21">
        <v>19451.990000000002</v>
      </c>
      <c r="V8832" s="21" t="s">
        <v>369</v>
      </c>
      <c r="W8832" t="str">
        <f>VLOOKUP(Table_Query_from_Actuarial___Production[[#This Row],[Kor1]],$AI$3:$AK$105,3,FALSE)</f>
        <v>Charge-offs</v>
      </c>
      <c r="X8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832"/>
      <c r="Z8832" t="s">
        <v>107</v>
      </c>
      <c r="AA8832" t="s">
        <v>259</v>
      </c>
      <c r="AB8832" t="s">
        <v>5</v>
      </c>
      <c r="AC8832" s="21">
        <v>275.14</v>
      </c>
      <c r="AD8832" s="21" t="s">
        <v>368</v>
      </c>
      <c r="AE8832" t="str">
        <f>VLOOKUP(Table_Query_from_Actuarial___Production3[[#This Row],[Kor1]],$AI$3:$AK$105,3,FALSE)</f>
        <v>Misc. Expense</v>
      </c>
      <c r="AF8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3" spans="18:32" x14ac:dyDescent="0.2">
      <c r="R8833" t="s">
        <v>31</v>
      </c>
      <c r="S8833" t="s">
        <v>268</v>
      </c>
      <c r="T8833" t="s">
        <v>356</v>
      </c>
      <c r="U8833" s="21">
        <v>687.13</v>
      </c>
      <c r="V8833" s="21" t="s">
        <v>368</v>
      </c>
      <c r="W8833" t="str">
        <f>VLOOKUP(Table_Query_from_Actuarial___Production[[#This Row],[Kor1]],$AI$3:$AK$105,3,FALSE)</f>
        <v>Misc. Expense</v>
      </c>
      <c r="X8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3"/>
      <c r="Z8833" t="s">
        <v>13</v>
      </c>
      <c r="AA8833" t="s">
        <v>237</v>
      </c>
      <c r="AB8833" t="s">
        <v>7</v>
      </c>
      <c r="AC8833" s="21">
        <v>771798.45</v>
      </c>
      <c r="AD8833" s="21" t="s">
        <v>368</v>
      </c>
      <c r="AE8833" t="str">
        <f>VLOOKUP(Table_Query_from_Actuarial___Production3[[#This Row],[Kor1]],$AI$3:$AK$105,3,FALSE)</f>
        <v>Operating Service Fees</v>
      </c>
      <c r="AF8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4" spans="18:32" x14ac:dyDescent="0.2">
      <c r="R8834" t="s">
        <v>21</v>
      </c>
      <c r="S8834" t="s">
        <v>258</v>
      </c>
      <c r="T8834" t="s">
        <v>442</v>
      </c>
      <c r="U8834" s="21">
        <v>13195.41</v>
      </c>
      <c r="V8834" s="21" t="s">
        <v>368</v>
      </c>
      <c r="W8834" t="str">
        <f>VLOOKUP(Table_Query_from_Actuarial___Production[[#This Row],[Kor1]],$AI$3:$AK$105,3,FALSE)</f>
        <v>Misc. Expense</v>
      </c>
      <c r="X8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4"/>
      <c r="Z8834" t="s">
        <v>41</v>
      </c>
      <c r="AA8834" t="s">
        <v>244</v>
      </c>
      <c r="AB8834" t="s">
        <v>433</v>
      </c>
      <c r="AC8834" s="21">
        <v>299.99</v>
      </c>
      <c r="AD8834" s="21" t="s">
        <v>368</v>
      </c>
      <c r="AE8834" t="str">
        <f>VLOOKUP(Table_Query_from_Actuarial___Production3[[#This Row],[Kor1]],$AI$3:$AK$105,3,FALSE)</f>
        <v>Misc. Income</v>
      </c>
      <c r="AF8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5" spans="18:32" x14ac:dyDescent="0.2">
      <c r="R8835" t="s">
        <v>32</v>
      </c>
      <c r="S8835" t="s">
        <v>246</v>
      </c>
      <c r="T8835" t="s">
        <v>356</v>
      </c>
      <c r="U8835" s="21">
        <v>-32943.54</v>
      </c>
      <c r="V8835" s="21" t="s">
        <v>368</v>
      </c>
      <c r="W8835" t="str">
        <f>VLOOKUP(Table_Query_from_Actuarial___Production[[#This Row],[Kor1]],$AI$3:$AK$105,3,FALSE)</f>
        <v>Misc. Expense</v>
      </c>
      <c r="X8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5"/>
      <c r="Z8835" t="s">
        <v>39</v>
      </c>
      <c r="AA8835" t="s">
        <v>266</v>
      </c>
      <c r="AB8835" t="s">
        <v>443</v>
      </c>
      <c r="AC8835" s="21">
        <v>67.5</v>
      </c>
      <c r="AD8835" s="21" t="s">
        <v>368</v>
      </c>
      <c r="AE8835" t="str">
        <f>VLOOKUP(Table_Query_from_Actuarial___Production3[[#This Row],[Kor1]],$AI$3:$AK$105,3,FALSE)</f>
        <v>Misc. Income for Insolvent Companies</v>
      </c>
      <c r="AF8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6" spans="18:32" x14ac:dyDescent="0.2">
      <c r="R8836" t="s">
        <v>3</v>
      </c>
      <c r="S8836" t="s">
        <v>251</v>
      </c>
      <c r="T8836" t="s">
        <v>427</v>
      </c>
      <c r="U8836" s="21">
        <v>980087</v>
      </c>
      <c r="V8836" s="21" t="s">
        <v>368</v>
      </c>
      <c r="W8836" t="str">
        <f>VLOOKUP(Table_Query_from_Actuarial___Production[[#This Row],[Kor1]],$AI$3:$AK$105,3,FALSE)</f>
        <v>Premiums Written</v>
      </c>
      <c r="X8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6"/>
      <c r="Z8836" t="s">
        <v>40</v>
      </c>
      <c r="AA8836" t="s">
        <v>231</v>
      </c>
      <c r="AB8836" t="s">
        <v>427</v>
      </c>
      <c r="AC8836" s="21">
        <v>9</v>
      </c>
      <c r="AD8836" s="21" t="s">
        <v>368</v>
      </c>
      <c r="AE8836" t="str">
        <f>VLOOKUP(Table_Query_from_Actuarial___Production3[[#This Row],[Kor1]],$AI$3:$AK$105,3,FALSE)</f>
        <v>Misc. Income</v>
      </c>
      <c r="AF8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7" spans="18:32" x14ac:dyDescent="0.2">
      <c r="R8837" t="s">
        <v>13</v>
      </c>
      <c r="S8837" t="s">
        <v>227</v>
      </c>
      <c r="T8837" t="s">
        <v>433</v>
      </c>
      <c r="U8837" s="21">
        <v>4632.28</v>
      </c>
      <c r="V8837" s="21" t="s">
        <v>368</v>
      </c>
      <c r="W8837" t="str">
        <f>VLOOKUP(Table_Query_from_Actuarial___Production[[#This Row],[Kor1]],$AI$3:$AK$105,3,FALSE)</f>
        <v>Operating Service Fees</v>
      </c>
      <c r="X8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7"/>
      <c r="Z8837" t="s">
        <v>107</v>
      </c>
      <c r="AA8837" t="s">
        <v>259</v>
      </c>
      <c r="AB8837" t="s">
        <v>351</v>
      </c>
      <c r="AC8837" s="21">
        <v>404.16</v>
      </c>
      <c r="AD8837" s="21" t="s">
        <v>368</v>
      </c>
      <c r="AE8837" t="str">
        <f>VLOOKUP(Table_Query_from_Actuarial___Production3[[#This Row],[Kor1]],$AI$3:$AK$105,3,FALSE)</f>
        <v>Misc. Expense</v>
      </c>
      <c r="AF8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8" spans="18:32" x14ac:dyDescent="0.2">
      <c r="R8838" t="s">
        <v>20</v>
      </c>
      <c r="S8838" t="s">
        <v>260</v>
      </c>
      <c r="T8838" t="s">
        <v>6</v>
      </c>
      <c r="U8838" s="21">
        <v>113.37</v>
      </c>
      <c r="V8838" s="21" t="s">
        <v>368</v>
      </c>
      <c r="W8838" t="str">
        <f>VLOOKUP(Table_Query_from_Actuarial___Production[[#This Row],[Kor1]],$AI$3:$AK$105,3,FALSE)</f>
        <v>Misc. Expense</v>
      </c>
      <c r="X8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8"/>
      <c r="Z8838" t="s">
        <v>37</v>
      </c>
      <c r="AA8838" t="s">
        <v>256</v>
      </c>
      <c r="AB8838" t="s">
        <v>356</v>
      </c>
      <c r="AC8838" s="21">
        <v>27.94</v>
      </c>
      <c r="AD8838" s="21" t="s">
        <v>368</v>
      </c>
      <c r="AE8838" t="str">
        <f>VLOOKUP(Table_Query_from_Actuarial___Production3[[#This Row],[Kor1]],$AI$3:$AK$105,3,FALSE)</f>
        <v>Misc. Expense</v>
      </c>
      <c r="AF8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39" spans="18:32" x14ac:dyDescent="0.2">
      <c r="R8839" t="s">
        <v>34</v>
      </c>
      <c r="S8839" t="s">
        <v>251</v>
      </c>
      <c r="T8839" t="s">
        <v>445</v>
      </c>
      <c r="U8839" s="21">
        <v>3196.8</v>
      </c>
      <c r="V8839" s="21" t="s">
        <v>368</v>
      </c>
      <c r="W8839" t="str">
        <f>VLOOKUP(Table_Query_from_Actuarial___Production[[#This Row],[Kor1]],$AI$3:$AK$105,3,FALSE)</f>
        <v>Misc. Expense</v>
      </c>
      <c r="X8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39"/>
      <c r="Z8839" t="s">
        <v>47</v>
      </c>
      <c r="AA8839" t="s">
        <v>4</v>
      </c>
      <c r="AB8839" t="s">
        <v>433</v>
      </c>
      <c r="AC8839" s="21">
        <v>34656.99</v>
      </c>
      <c r="AD8839" s="21" t="s">
        <v>368</v>
      </c>
      <c r="AE8839" t="str">
        <f>VLOOKUP(Table_Query_from_Actuarial___Production3[[#This Row],[Kor1]],$AI$3:$AK$105,3,FALSE)</f>
        <v>Investment Income</v>
      </c>
      <c r="AF8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0" spans="18:32" x14ac:dyDescent="0.2">
      <c r="R8840" t="s">
        <v>12</v>
      </c>
      <c r="S8840" t="s">
        <v>234</v>
      </c>
      <c r="T8840" t="s">
        <v>351</v>
      </c>
      <c r="U8840" s="21">
        <v>11294.13</v>
      </c>
      <c r="V8840" s="21" t="s">
        <v>368</v>
      </c>
      <c r="W8840" t="str">
        <f>VLOOKUP(Table_Query_from_Actuarial___Production[[#This Row],[Kor1]],$AI$3:$AK$105,3,FALSE)</f>
        <v>Premium Tax</v>
      </c>
      <c r="X8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0"/>
      <c r="Z8840" t="s">
        <v>37</v>
      </c>
      <c r="AA8840" t="s">
        <v>242</v>
      </c>
      <c r="AB8840" t="s">
        <v>443</v>
      </c>
      <c r="AC8840" s="21">
        <v>-4.2</v>
      </c>
      <c r="AD8840" s="21" t="s">
        <v>368</v>
      </c>
      <c r="AE8840" t="str">
        <f>VLOOKUP(Table_Query_from_Actuarial___Production3[[#This Row],[Kor1]],$AI$3:$AK$105,3,FALSE)</f>
        <v>Misc. Expense</v>
      </c>
      <c r="AF8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1" spans="18:32" x14ac:dyDescent="0.2">
      <c r="R8841" t="s">
        <v>19</v>
      </c>
      <c r="S8841" t="s">
        <v>252</v>
      </c>
      <c r="T8841" t="s">
        <v>9</v>
      </c>
      <c r="U8841" s="21">
        <v>291277.09000000003</v>
      </c>
      <c r="V8841" s="21" t="s">
        <v>368</v>
      </c>
      <c r="W8841" t="str">
        <f>VLOOKUP(Table_Query_from_Actuarial___Production[[#This Row],[Kor1]],$AI$3:$AK$105,3,FALSE)</f>
        <v>Misc. Expense for Insolvent Companies</v>
      </c>
      <c r="X8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1"/>
      <c r="Z8841" t="s">
        <v>13</v>
      </c>
      <c r="AA8841" t="s">
        <v>225</v>
      </c>
      <c r="AB8841" t="s">
        <v>9</v>
      </c>
      <c r="AC8841" s="21">
        <v>175639.85</v>
      </c>
      <c r="AD8841" s="21" t="s">
        <v>369</v>
      </c>
      <c r="AE8841" t="str">
        <f>VLOOKUP(Table_Query_from_Actuarial___Production3[[#This Row],[Kor1]],$AI$3:$AK$105,3,FALSE)</f>
        <v>Operating Service Fees</v>
      </c>
      <c r="AF8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842" spans="18:32" x14ac:dyDescent="0.2">
      <c r="R8842" t="s">
        <v>40</v>
      </c>
      <c r="S8842" t="s">
        <v>232</v>
      </c>
      <c r="T8842" t="s">
        <v>356</v>
      </c>
      <c r="U8842" s="21">
        <v>50.01</v>
      </c>
      <c r="V8842" s="21" t="s">
        <v>368</v>
      </c>
      <c r="W8842" t="str">
        <f>VLOOKUP(Table_Query_from_Actuarial___Production[[#This Row],[Kor1]],$AI$3:$AK$105,3,FALSE)</f>
        <v>Misc. Income</v>
      </c>
      <c r="X8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2"/>
      <c r="Z8842" t="s">
        <v>13</v>
      </c>
      <c r="AA8842" t="s">
        <v>255</v>
      </c>
      <c r="AB8842" t="s">
        <v>442</v>
      </c>
      <c r="AC8842" s="21">
        <v>71895.960000000006</v>
      </c>
      <c r="AD8842" s="21" t="s">
        <v>368</v>
      </c>
      <c r="AE8842" t="str">
        <f>VLOOKUP(Table_Query_from_Actuarial___Production3[[#This Row],[Kor1]],$AI$3:$AK$105,3,FALSE)</f>
        <v>Operating Service Fees</v>
      </c>
      <c r="AF8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3" spans="18:32" x14ac:dyDescent="0.2">
      <c r="R8843" t="s">
        <v>10</v>
      </c>
      <c r="S8843" t="s">
        <v>227</v>
      </c>
      <c r="T8843" t="s">
        <v>7</v>
      </c>
      <c r="U8843" s="21">
        <v>18567.900000000001</v>
      </c>
      <c r="V8843" s="21" t="s">
        <v>368</v>
      </c>
      <c r="W8843" t="str">
        <f>VLOOKUP(Table_Query_from_Actuarial___Production[[#This Row],[Kor1]],$AI$3:$AK$105,3,FALSE)</f>
        <v>Commissions</v>
      </c>
      <c r="X8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3"/>
      <c r="Z8843" t="s">
        <v>19</v>
      </c>
      <c r="AA8843" t="s">
        <v>262</v>
      </c>
      <c r="AB8843" t="s">
        <v>6</v>
      </c>
      <c r="AC8843" s="21">
        <v>1505</v>
      </c>
      <c r="AD8843" s="21" t="s">
        <v>368</v>
      </c>
      <c r="AE8843" t="str">
        <f>VLOOKUP(Table_Query_from_Actuarial___Production3[[#This Row],[Kor1]],$AI$3:$AK$105,3,FALSE)</f>
        <v>Misc. Expense for Insolvent Companies</v>
      </c>
      <c r="AF8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4" spans="18:32" x14ac:dyDescent="0.2">
      <c r="R8844" t="s">
        <v>10</v>
      </c>
      <c r="S8844" t="s">
        <v>260</v>
      </c>
      <c r="T8844" t="s">
        <v>351</v>
      </c>
      <c r="U8844" s="21">
        <v>418.7</v>
      </c>
      <c r="V8844" s="21" t="s">
        <v>368</v>
      </c>
      <c r="W8844" t="str">
        <f>VLOOKUP(Table_Query_from_Actuarial___Production[[#This Row],[Kor1]],$AI$3:$AK$105,3,FALSE)</f>
        <v>Commissions</v>
      </c>
      <c r="X8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4"/>
      <c r="Z8844" t="s">
        <v>38</v>
      </c>
      <c r="AA8844" t="s">
        <v>354</v>
      </c>
      <c r="AB8844" t="s">
        <v>356</v>
      </c>
      <c r="AC8844" s="21">
        <v>2295.77</v>
      </c>
      <c r="AD8844" s="21" t="s">
        <v>368</v>
      </c>
      <c r="AE8844" t="str">
        <f>VLOOKUP(Table_Query_from_Actuarial___Production3[[#This Row],[Kor1]],$AI$3:$AK$105,3,FALSE)</f>
        <v>Misc. Income</v>
      </c>
      <c r="AF8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845" spans="18:32" x14ac:dyDescent="0.2">
      <c r="R8845" t="s">
        <v>34</v>
      </c>
      <c r="S8845" t="s">
        <v>237</v>
      </c>
      <c r="T8845" t="s">
        <v>442</v>
      </c>
      <c r="U8845" s="21">
        <v>8268.33</v>
      </c>
      <c r="V8845" s="21" t="s">
        <v>368</v>
      </c>
      <c r="W8845" t="str">
        <f>VLOOKUP(Table_Query_from_Actuarial___Production[[#This Row],[Kor1]],$AI$3:$AK$105,3,FALSE)</f>
        <v>Misc. Expense</v>
      </c>
      <c r="X8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5"/>
      <c r="Z8845" t="s">
        <v>44</v>
      </c>
      <c r="AA8845" t="s">
        <v>225</v>
      </c>
      <c r="AB8845" t="s">
        <v>356</v>
      </c>
      <c r="AC8845" s="21">
        <v>19451.990000000002</v>
      </c>
      <c r="AD8845" s="21" t="s">
        <v>369</v>
      </c>
      <c r="AE8845" t="str">
        <f>VLOOKUP(Table_Query_from_Actuarial___Production3[[#This Row],[Kor1]],$AI$3:$AK$105,3,FALSE)</f>
        <v>Charge-offs</v>
      </c>
      <c r="AF8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846" spans="18:32" x14ac:dyDescent="0.2">
      <c r="R8846" t="s">
        <v>50</v>
      </c>
      <c r="S8846" t="s">
        <v>259</v>
      </c>
      <c r="T8846" t="s">
        <v>442</v>
      </c>
      <c r="U8846" s="21">
        <v>229.12</v>
      </c>
      <c r="V8846" s="21" t="s">
        <v>368</v>
      </c>
      <c r="W8846" t="str">
        <f>VLOOKUP(Table_Query_from_Actuarial___Production[[#This Row],[Kor1]],$AI$3:$AK$105,3,FALSE)</f>
        <v>ALAE Reserve</v>
      </c>
      <c r="X8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6"/>
      <c r="Z8846" t="s">
        <v>31</v>
      </c>
      <c r="AA8846" t="s">
        <v>268</v>
      </c>
      <c r="AB8846" t="s">
        <v>356</v>
      </c>
      <c r="AC8846" s="21">
        <v>687.13</v>
      </c>
      <c r="AD8846" s="21" t="s">
        <v>368</v>
      </c>
      <c r="AE8846" t="str">
        <f>VLOOKUP(Table_Query_from_Actuarial___Production3[[#This Row],[Kor1]],$AI$3:$AK$105,3,FALSE)</f>
        <v>Misc. Expense</v>
      </c>
      <c r="AF8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7" spans="18:32" x14ac:dyDescent="0.2">
      <c r="R8847" t="s">
        <v>3</v>
      </c>
      <c r="S8847" t="s">
        <v>247</v>
      </c>
      <c r="T8847" t="s">
        <v>8</v>
      </c>
      <c r="U8847" s="21">
        <v>4347</v>
      </c>
      <c r="V8847" s="21" t="s">
        <v>368</v>
      </c>
      <c r="W8847" t="str">
        <f>VLOOKUP(Table_Query_from_Actuarial___Production[[#This Row],[Kor1]],$AI$3:$AK$105,3,FALSE)</f>
        <v>Premiums Written</v>
      </c>
      <c r="X8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7"/>
      <c r="Z8847" t="s">
        <v>21</v>
      </c>
      <c r="AA8847" t="s">
        <v>258</v>
      </c>
      <c r="AB8847" t="s">
        <v>442</v>
      </c>
      <c r="AC8847" s="21">
        <v>13195.41</v>
      </c>
      <c r="AD8847" s="21" t="s">
        <v>368</v>
      </c>
      <c r="AE8847" t="str">
        <f>VLOOKUP(Table_Query_from_Actuarial___Production3[[#This Row],[Kor1]],$AI$3:$AK$105,3,FALSE)</f>
        <v>Misc. Expense</v>
      </c>
      <c r="AF8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8" spans="18:32" x14ac:dyDescent="0.2">
      <c r="R8848" t="s">
        <v>39</v>
      </c>
      <c r="S8848" t="s">
        <v>242</v>
      </c>
      <c r="T8848" t="s">
        <v>6</v>
      </c>
      <c r="U8848" s="21">
        <v>7744.73</v>
      </c>
      <c r="V8848" s="21" t="s">
        <v>368</v>
      </c>
      <c r="W8848" t="str">
        <f>VLOOKUP(Table_Query_from_Actuarial___Production[[#This Row],[Kor1]],$AI$3:$AK$105,3,FALSE)</f>
        <v>Misc. Income for Insolvent Companies</v>
      </c>
      <c r="X8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48"/>
      <c r="Z8848" t="s">
        <v>32</v>
      </c>
      <c r="AA8848" t="s">
        <v>246</v>
      </c>
      <c r="AB8848" t="s">
        <v>356</v>
      </c>
      <c r="AC8848" s="21">
        <v>-32943.54</v>
      </c>
      <c r="AD8848" s="21" t="s">
        <v>368</v>
      </c>
      <c r="AE8848" t="str">
        <f>VLOOKUP(Table_Query_from_Actuarial___Production3[[#This Row],[Kor1]],$AI$3:$AK$105,3,FALSE)</f>
        <v>Misc. Expense</v>
      </c>
      <c r="AF8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49" spans="18:32" x14ac:dyDescent="0.2">
      <c r="R8849" t="s">
        <v>13</v>
      </c>
      <c r="S8849" t="s">
        <v>224</v>
      </c>
      <c r="T8849" t="s">
        <v>443</v>
      </c>
      <c r="U8849" s="21">
        <v>7778.2</v>
      </c>
      <c r="V8849" s="21" t="s">
        <v>369</v>
      </c>
      <c r="W8849" t="str">
        <f>VLOOKUP(Table_Query_from_Actuarial___Production[[#This Row],[Kor1]],$AI$3:$AK$105,3,FALSE)</f>
        <v>Operating Service Fees</v>
      </c>
      <c r="X8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849"/>
      <c r="Z8849" t="s">
        <v>3</v>
      </c>
      <c r="AA8849" t="s">
        <v>251</v>
      </c>
      <c r="AB8849" t="s">
        <v>427</v>
      </c>
      <c r="AC8849" s="21">
        <v>980087</v>
      </c>
      <c r="AD8849" s="21" t="s">
        <v>368</v>
      </c>
      <c r="AE8849" t="str">
        <f>VLOOKUP(Table_Query_from_Actuarial___Production3[[#This Row],[Kor1]],$AI$3:$AK$105,3,FALSE)</f>
        <v>Premiums Written</v>
      </c>
      <c r="AF8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0" spans="18:32" x14ac:dyDescent="0.2">
      <c r="R8850" t="s">
        <v>40</v>
      </c>
      <c r="S8850" t="s">
        <v>263</v>
      </c>
      <c r="T8850" t="s">
        <v>351</v>
      </c>
      <c r="U8850" s="21">
        <v>17</v>
      </c>
      <c r="V8850" s="21" t="s">
        <v>368</v>
      </c>
      <c r="W8850" t="str">
        <f>VLOOKUP(Table_Query_from_Actuarial___Production[[#This Row],[Kor1]],$AI$3:$AK$105,3,FALSE)</f>
        <v>Misc. Income</v>
      </c>
      <c r="X8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0"/>
      <c r="Z8850" t="s">
        <v>13</v>
      </c>
      <c r="AA8850" t="s">
        <v>227</v>
      </c>
      <c r="AB8850" t="s">
        <v>433</v>
      </c>
      <c r="AC8850" s="21">
        <v>4632.28</v>
      </c>
      <c r="AD8850" s="21" t="s">
        <v>368</v>
      </c>
      <c r="AE8850" t="str">
        <f>VLOOKUP(Table_Query_from_Actuarial___Production3[[#This Row],[Kor1]],$AI$3:$AK$105,3,FALSE)</f>
        <v>Operating Service Fees</v>
      </c>
      <c r="AF8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1" spans="18:32" x14ac:dyDescent="0.2">
      <c r="R8851" t="s">
        <v>31</v>
      </c>
      <c r="S8851" t="s">
        <v>233</v>
      </c>
      <c r="T8851" t="s">
        <v>441</v>
      </c>
      <c r="U8851" s="21">
        <v>923.99</v>
      </c>
      <c r="V8851" s="21" t="s">
        <v>368</v>
      </c>
      <c r="W8851" t="str">
        <f>VLOOKUP(Table_Query_from_Actuarial___Production[[#This Row],[Kor1]],$AI$3:$AK$105,3,FALSE)</f>
        <v>Misc. Expense</v>
      </c>
      <c r="X8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1"/>
      <c r="Z8851" t="s">
        <v>20</v>
      </c>
      <c r="AA8851" t="s">
        <v>260</v>
      </c>
      <c r="AB8851" t="s">
        <v>6</v>
      </c>
      <c r="AC8851" s="21">
        <v>113.37</v>
      </c>
      <c r="AD8851" s="21" t="s">
        <v>368</v>
      </c>
      <c r="AE8851" t="str">
        <f>VLOOKUP(Table_Query_from_Actuarial___Production3[[#This Row],[Kor1]],$AI$3:$AK$105,3,FALSE)</f>
        <v>Misc. Expense</v>
      </c>
      <c r="AF8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2" spans="18:32" x14ac:dyDescent="0.2">
      <c r="R8852" t="s">
        <v>13</v>
      </c>
      <c r="S8852" t="s">
        <v>228</v>
      </c>
      <c r="T8852" t="s">
        <v>433</v>
      </c>
      <c r="U8852" s="21">
        <v>5427.46</v>
      </c>
      <c r="V8852" s="21" t="s">
        <v>368</v>
      </c>
      <c r="W8852" t="str">
        <f>VLOOKUP(Table_Query_from_Actuarial___Production[[#This Row],[Kor1]],$AI$3:$AK$105,3,FALSE)</f>
        <v>Operating Service Fees</v>
      </c>
      <c r="X8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2"/>
      <c r="Z8852" t="s">
        <v>12</v>
      </c>
      <c r="AA8852" t="s">
        <v>234</v>
      </c>
      <c r="AB8852" t="s">
        <v>351</v>
      </c>
      <c r="AC8852" s="21">
        <v>11294.13</v>
      </c>
      <c r="AD8852" s="21" t="s">
        <v>368</v>
      </c>
      <c r="AE8852" t="str">
        <f>VLOOKUP(Table_Query_from_Actuarial___Production3[[#This Row],[Kor1]],$AI$3:$AK$105,3,FALSE)</f>
        <v>Premium Tax</v>
      </c>
      <c r="AF8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3" spans="18:32" x14ac:dyDescent="0.2">
      <c r="R8853" t="s">
        <v>40</v>
      </c>
      <c r="S8853" t="s">
        <v>253</v>
      </c>
      <c r="T8853" t="s">
        <v>356</v>
      </c>
      <c r="U8853" s="21">
        <v>4</v>
      </c>
      <c r="V8853" s="21" t="s">
        <v>368</v>
      </c>
      <c r="W8853" t="str">
        <f>VLOOKUP(Table_Query_from_Actuarial___Production[[#This Row],[Kor1]],$AI$3:$AK$105,3,FALSE)</f>
        <v>Misc. Income</v>
      </c>
      <c r="X8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3"/>
      <c r="Z8853" t="s">
        <v>19</v>
      </c>
      <c r="AA8853" t="s">
        <v>252</v>
      </c>
      <c r="AB8853" t="s">
        <v>9</v>
      </c>
      <c r="AC8853" s="21">
        <v>291277.09000000003</v>
      </c>
      <c r="AD8853" s="21" t="s">
        <v>368</v>
      </c>
      <c r="AE8853" t="str">
        <f>VLOOKUP(Table_Query_from_Actuarial___Production3[[#This Row],[Kor1]],$AI$3:$AK$105,3,FALSE)</f>
        <v>Misc. Expense for Insolvent Companies</v>
      </c>
      <c r="AF8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4" spans="18:32" x14ac:dyDescent="0.2">
      <c r="R8854" t="s">
        <v>130</v>
      </c>
      <c r="S8854" t="s">
        <v>224</v>
      </c>
      <c r="T8854" t="s">
        <v>441</v>
      </c>
      <c r="U8854" s="21">
        <v>1191810.51</v>
      </c>
      <c r="V8854" s="21" t="s">
        <v>370</v>
      </c>
      <c r="W8854" t="str">
        <f>VLOOKUP(Table_Query_from_Actuarial___Production[[#This Row],[Kor1]],$AI$3:$AK$105,3,FALSE)</f>
        <v>CPAI Charge-offs</v>
      </c>
      <c r="X8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854"/>
      <c r="Z8854" t="s">
        <v>40</v>
      </c>
      <c r="AA8854" t="s">
        <v>232</v>
      </c>
      <c r="AB8854" t="s">
        <v>356</v>
      </c>
      <c r="AC8854" s="21">
        <v>50.01</v>
      </c>
      <c r="AD8854" s="21" t="s">
        <v>368</v>
      </c>
      <c r="AE8854" t="str">
        <f>VLOOKUP(Table_Query_from_Actuarial___Production3[[#This Row],[Kor1]],$AI$3:$AK$105,3,FALSE)</f>
        <v>Misc. Income</v>
      </c>
      <c r="AF8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5" spans="18:32" x14ac:dyDescent="0.2">
      <c r="R8855" t="s">
        <v>3</v>
      </c>
      <c r="S8855" t="s">
        <v>237</v>
      </c>
      <c r="T8855" t="s">
        <v>351</v>
      </c>
      <c r="U8855" s="21">
        <v>25065433</v>
      </c>
      <c r="V8855" s="21" t="s">
        <v>368</v>
      </c>
      <c r="W8855" t="str">
        <f>VLOOKUP(Table_Query_from_Actuarial___Production[[#This Row],[Kor1]],$AI$3:$AK$105,3,FALSE)</f>
        <v>Premiums Written</v>
      </c>
      <c r="X8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5"/>
      <c r="Z8855" t="s">
        <v>10</v>
      </c>
      <c r="AA8855" t="s">
        <v>227</v>
      </c>
      <c r="AB8855" t="s">
        <v>7</v>
      </c>
      <c r="AC8855" s="21">
        <v>18567.900000000001</v>
      </c>
      <c r="AD8855" s="21" t="s">
        <v>368</v>
      </c>
      <c r="AE8855" t="str">
        <f>VLOOKUP(Table_Query_from_Actuarial___Production3[[#This Row],[Kor1]],$AI$3:$AK$105,3,FALSE)</f>
        <v>Commissions</v>
      </c>
      <c r="AF8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6" spans="18:32" x14ac:dyDescent="0.2">
      <c r="R8856" t="s">
        <v>10</v>
      </c>
      <c r="S8856" t="s">
        <v>253</v>
      </c>
      <c r="T8856" t="s">
        <v>9</v>
      </c>
      <c r="U8856" s="21">
        <v>228.4</v>
      </c>
      <c r="V8856" s="21" t="s">
        <v>368</v>
      </c>
      <c r="W8856" t="str">
        <f>VLOOKUP(Table_Query_from_Actuarial___Production[[#This Row],[Kor1]],$AI$3:$AK$105,3,FALSE)</f>
        <v>Commissions</v>
      </c>
      <c r="X8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6"/>
      <c r="Z8856" t="s">
        <v>10</v>
      </c>
      <c r="AA8856" t="s">
        <v>260</v>
      </c>
      <c r="AB8856" t="s">
        <v>351</v>
      </c>
      <c r="AC8856" s="21">
        <v>418.7</v>
      </c>
      <c r="AD8856" s="21" t="s">
        <v>368</v>
      </c>
      <c r="AE8856" t="str">
        <f>VLOOKUP(Table_Query_from_Actuarial___Production3[[#This Row],[Kor1]],$AI$3:$AK$105,3,FALSE)</f>
        <v>Commissions</v>
      </c>
      <c r="AF8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7" spans="18:32" x14ac:dyDescent="0.2">
      <c r="R8857" t="s">
        <v>20</v>
      </c>
      <c r="S8857" t="s">
        <v>253</v>
      </c>
      <c r="T8857" t="s">
        <v>445</v>
      </c>
      <c r="U8857" s="21">
        <v>28.48</v>
      </c>
      <c r="V8857" s="21" t="s">
        <v>368</v>
      </c>
      <c r="W8857" t="str">
        <f>VLOOKUP(Table_Query_from_Actuarial___Production[[#This Row],[Kor1]],$AI$3:$AK$105,3,FALSE)</f>
        <v>Misc. Expense</v>
      </c>
      <c r="X8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7"/>
      <c r="Z8857" t="s">
        <v>34</v>
      </c>
      <c r="AA8857" t="s">
        <v>237</v>
      </c>
      <c r="AB8857" t="s">
        <v>442</v>
      </c>
      <c r="AC8857" s="21">
        <v>8268.33</v>
      </c>
      <c r="AD8857" s="21" t="s">
        <v>368</v>
      </c>
      <c r="AE8857" t="str">
        <f>VLOOKUP(Table_Query_from_Actuarial___Production3[[#This Row],[Kor1]],$AI$3:$AK$105,3,FALSE)</f>
        <v>Misc. Expense</v>
      </c>
      <c r="AF8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8" spans="18:32" x14ac:dyDescent="0.2">
      <c r="R8858" t="s">
        <v>11</v>
      </c>
      <c r="S8858" t="s">
        <v>226</v>
      </c>
      <c r="T8858" t="s">
        <v>9</v>
      </c>
      <c r="U8858" s="21">
        <v>3428544.23</v>
      </c>
      <c r="V8858" s="21" t="s">
        <v>368</v>
      </c>
      <c r="W8858" t="str">
        <f>VLOOKUP(Table_Query_from_Actuarial___Production[[#This Row],[Kor1]],$AI$3:$AK$105,3,FALSE)</f>
        <v>Losses Paid</v>
      </c>
      <c r="X8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858"/>
      <c r="Z8858" t="s">
        <v>50</v>
      </c>
      <c r="AA8858" t="s">
        <v>259</v>
      </c>
      <c r="AB8858" t="s">
        <v>442</v>
      </c>
      <c r="AC8858" s="21">
        <v>98.98</v>
      </c>
      <c r="AD8858" s="21" t="s">
        <v>368</v>
      </c>
      <c r="AE8858" t="str">
        <f>VLOOKUP(Table_Query_from_Actuarial___Production3[[#This Row],[Kor1]],$AI$3:$AK$105,3,FALSE)</f>
        <v>ALAE Reserve</v>
      </c>
      <c r="AF8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59" spans="18:32" x14ac:dyDescent="0.2">
      <c r="R8859" t="s">
        <v>11</v>
      </c>
      <c r="S8859" t="s">
        <v>233</v>
      </c>
      <c r="T8859" t="s">
        <v>443</v>
      </c>
      <c r="U8859" s="21">
        <v>86734.02</v>
      </c>
      <c r="V8859" s="21" t="s">
        <v>368</v>
      </c>
      <c r="W8859" t="str">
        <f>VLOOKUP(Table_Query_from_Actuarial___Production[[#This Row],[Kor1]],$AI$3:$AK$105,3,FALSE)</f>
        <v>Losses Paid</v>
      </c>
      <c r="X8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59"/>
      <c r="Z8859" t="s">
        <v>3</v>
      </c>
      <c r="AA8859" t="s">
        <v>247</v>
      </c>
      <c r="AB8859" t="s">
        <v>8</v>
      </c>
      <c r="AC8859" s="21">
        <v>4347</v>
      </c>
      <c r="AD8859" s="21" t="s">
        <v>368</v>
      </c>
      <c r="AE8859" t="str">
        <f>VLOOKUP(Table_Query_from_Actuarial___Production3[[#This Row],[Kor1]],$AI$3:$AK$105,3,FALSE)</f>
        <v>Premiums Written</v>
      </c>
      <c r="AF8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0" spans="18:32" x14ac:dyDescent="0.2">
      <c r="R8860" t="s">
        <v>27</v>
      </c>
      <c r="S8860" t="s">
        <v>4</v>
      </c>
      <c r="T8860" t="s">
        <v>7</v>
      </c>
      <c r="U8860" s="21">
        <v>14.47</v>
      </c>
      <c r="V8860" s="21" t="s">
        <v>368</v>
      </c>
      <c r="W8860" t="str">
        <f>VLOOKUP(Table_Query_from_Actuarial___Production[[#This Row],[Kor1]],$AI$3:$AK$105,3,FALSE)</f>
        <v>Misc. Expense</v>
      </c>
      <c r="X8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0"/>
      <c r="Z8860" t="s">
        <v>39</v>
      </c>
      <c r="AA8860" t="s">
        <v>242</v>
      </c>
      <c r="AB8860" t="s">
        <v>6</v>
      </c>
      <c r="AC8860" s="21">
        <v>7744.73</v>
      </c>
      <c r="AD8860" s="21" t="s">
        <v>368</v>
      </c>
      <c r="AE8860" t="str">
        <f>VLOOKUP(Table_Query_from_Actuarial___Production3[[#This Row],[Kor1]],$AI$3:$AK$105,3,FALSE)</f>
        <v>Misc. Income for Insolvent Companies</v>
      </c>
      <c r="AF8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1" spans="18:32" x14ac:dyDescent="0.2">
      <c r="R8861" t="s">
        <v>49</v>
      </c>
      <c r="S8861" t="s">
        <v>265</v>
      </c>
      <c r="T8861" t="s">
        <v>9</v>
      </c>
      <c r="U8861" s="21">
        <v>118159.02</v>
      </c>
      <c r="V8861" s="21" t="s">
        <v>368</v>
      </c>
      <c r="W8861" t="str">
        <f>VLOOKUP(Table_Query_from_Actuarial___Production[[#This Row],[Kor1]],$AI$3:$AK$105,3,FALSE)</f>
        <v>ALAE Paid</v>
      </c>
      <c r="X8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1"/>
      <c r="Z8861" t="s">
        <v>13</v>
      </c>
      <c r="AA8861" t="s">
        <v>224</v>
      </c>
      <c r="AB8861" t="s">
        <v>443</v>
      </c>
      <c r="AC8861" s="21">
        <v>1618.8</v>
      </c>
      <c r="AD8861" s="21" t="s">
        <v>369</v>
      </c>
      <c r="AE8861" t="str">
        <f>VLOOKUP(Table_Query_from_Actuarial___Production3[[#This Row],[Kor1]],$AI$3:$AK$105,3,FALSE)</f>
        <v>Operating Service Fees</v>
      </c>
      <c r="AF8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862" spans="18:32" x14ac:dyDescent="0.2">
      <c r="R8862" t="s">
        <v>37</v>
      </c>
      <c r="S8862" t="s">
        <v>249</v>
      </c>
      <c r="T8862" t="s">
        <v>427</v>
      </c>
      <c r="U8862" s="21">
        <v>870.92</v>
      </c>
      <c r="V8862" s="21" t="s">
        <v>368</v>
      </c>
      <c r="W8862" t="str">
        <f>VLOOKUP(Table_Query_from_Actuarial___Production[[#This Row],[Kor1]],$AI$3:$AK$105,3,FALSE)</f>
        <v>Misc. Expense</v>
      </c>
      <c r="X8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2"/>
      <c r="Z8862" t="s">
        <v>40</v>
      </c>
      <c r="AA8862" t="s">
        <v>263</v>
      </c>
      <c r="AB8862" t="s">
        <v>351</v>
      </c>
      <c r="AC8862" s="21">
        <v>17</v>
      </c>
      <c r="AD8862" s="21" t="s">
        <v>368</v>
      </c>
      <c r="AE8862" t="str">
        <f>VLOOKUP(Table_Query_from_Actuarial___Production3[[#This Row],[Kor1]],$AI$3:$AK$105,3,FALSE)</f>
        <v>Misc. Income</v>
      </c>
      <c r="AF8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3" spans="18:32" x14ac:dyDescent="0.2">
      <c r="R8863" t="s">
        <v>49</v>
      </c>
      <c r="S8863" t="s">
        <v>242</v>
      </c>
      <c r="T8863" t="s">
        <v>356</v>
      </c>
      <c r="U8863" s="21">
        <v>203212.17</v>
      </c>
      <c r="V8863" s="21" t="s">
        <v>368</v>
      </c>
      <c r="W8863" t="str">
        <f>VLOOKUP(Table_Query_from_Actuarial___Production[[#This Row],[Kor1]],$AI$3:$AK$105,3,FALSE)</f>
        <v>ALAE Paid</v>
      </c>
      <c r="X8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3"/>
      <c r="Z8863" t="s">
        <v>31</v>
      </c>
      <c r="AA8863" t="s">
        <v>233</v>
      </c>
      <c r="AB8863" t="s">
        <v>441</v>
      </c>
      <c r="AC8863" s="21">
        <v>923.99</v>
      </c>
      <c r="AD8863" s="21" t="s">
        <v>368</v>
      </c>
      <c r="AE8863" t="str">
        <f>VLOOKUP(Table_Query_from_Actuarial___Production3[[#This Row],[Kor1]],$AI$3:$AK$105,3,FALSE)</f>
        <v>Misc. Expense</v>
      </c>
      <c r="AF8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4" spans="18:32" x14ac:dyDescent="0.2">
      <c r="R8864" t="s">
        <v>39</v>
      </c>
      <c r="S8864" t="s">
        <v>251</v>
      </c>
      <c r="T8864" t="s">
        <v>6</v>
      </c>
      <c r="U8864" s="21">
        <v>301.42</v>
      </c>
      <c r="V8864" s="21" t="s">
        <v>368</v>
      </c>
      <c r="W8864" t="str">
        <f>VLOOKUP(Table_Query_from_Actuarial___Production[[#This Row],[Kor1]],$AI$3:$AK$105,3,FALSE)</f>
        <v>Misc. Income for Insolvent Companies</v>
      </c>
      <c r="X8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4"/>
      <c r="Z8864" t="s">
        <v>13</v>
      </c>
      <c r="AA8864" t="s">
        <v>228</v>
      </c>
      <c r="AB8864" t="s">
        <v>433</v>
      </c>
      <c r="AC8864" s="21">
        <v>5427.46</v>
      </c>
      <c r="AD8864" s="21" t="s">
        <v>368</v>
      </c>
      <c r="AE8864" t="str">
        <f>VLOOKUP(Table_Query_from_Actuarial___Production3[[#This Row],[Kor1]],$AI$3:$AK$105,3,FALSE)</f>
        <v>Operating Service Fees</v>
      </c>
      <c r="AF8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5" spans="18:32" x14ac:dyDescent="0.2">
      <c r="R8865" t="s">
        <v>39</v>
      </c>
      <c r="S8865" t="s">
        <v>252</v>
      </c>
      <c r="T8865" t="s">
        <v>433</v>
      </c>
      <c r="U8865" s="21">
        <v>307891.74</v>
      </c>
      <c r="V8865" s="21" t="s">
        <v>368</v>
      </c>
      <c r="W8865" t="str">
        <f>VLOOKUP(Table_Query_from_Actuarial___Production[[#This Row],[Kor1]],$AI$3:$AK$105,3,FALSE)</f>
        <v>Misc. Income for Insolvent Companies</v>
      </c>
      <c r="X8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5"/>
      <c r="Z8865" t="s">
        <v>40</v>
      </c>
      <c r="AA8865" t="s">
        <v>253</v>
      </c>
      <c r="AB8865" t="s">
        <v>356</v>
      </c>
      <c r="AC8865" s="21">
        <v>4</v>
      </c>
      <c r="AD8865" s="21" t="s">
        <v>368</v>
      </c>
      <c r="AE8865" t="str">
        <f>VLOOKUP(Table_Query_from_Actuarial___Production3[[#This Row],[Kor1]],$AI$3:$AK$105,3,FALSE)</f>
        <v>Misc. Income</v>
      </c>
      <c r="AF8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6" spans="18:32" x14ac:dyDescent="0.2">
      <c r="R8866" t="s">
        <v>3</v>
      </c>
      <c r="S8866" t="s">
        <v>234</v>
      </c>
      <c r="T8866" t="s">
        <v>356</v>
      </c>
      <c r="U8866" s="21">
        <v>500916</v>
      </c>
      <c r="V8866" s="21" t="s">
        <v>368</v>
      </c>
      <c r="W8866" t="str">
        <f>VLOOKUP(Table_Query_from_Actuarial___Production[[#This Row],[Kor1]],$AI$3:$AK$105,3,FALSE)</f>
        <v>Premiums Written</v>
      </c>
      <c r="X8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6"/>
      <c r="Z8866" t="s">
        <v>130</v>
      </c>
      <c r="AA8866" t="s">
        <v>224</v>
      </c>
      <c r="AB8866" t="s">
        <v>441</v>
      </c>
      <c r="AC8866" s="21">
        <v>1191810.51</v>
      </c>
      <c r="AD8866" s="21" t="s">
        <v>370</v>
      </c>
      <c r="AE8866" t="str">
        <f>VLOOKUP(Table_Query_from_Actuarial___Production3[[#This Row],[Kor1]],$AI$3:$AK$105,3,FALSE)</f>
        <v>CPAI Charge-offs</v>
      </c>
      <c r="AF8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867" spans="18:32" x14ac:dyDescent="0.2">
      <c r="R8867" t="s">
        <v>12</v>
      </c>
      <c r="S8867" t="s">
        <v>253</v>
      </c>
      <c r="T8867" t="s">
        <v>356</v>
      </c>
      <c r="U8867" s="21">
        <v>1200.78</v>
      </c>
      <c r="V8867" s="21" t="s">
        <v>368</v>
      </c>
      <c r="W8867" t="str">
        <f>VLOOKUP(Table_Query_from_Actuarial___Production[[#This Row],[Kor1]],$AI$3:$AK$105,3,FALSE)</f>
        <v>Premium Tax</v>
      </c>
      <c r="X8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7"/>
      <c r="Z8867" t="s">
        <v>3</v>
      </c>
      <c r="AA8867" t="s">
        <v>237</v>
      </c>
      <c r="AB8867" t="s">
        <v>351</v>
      </c>
      <c r="AC8867" s="21">
        <v>25065433</v>
      </c>
      <c r="AD8867" s="21" t="s">
        <v>368</v>
      </c>
      <c r="AE8867" t="str">
        <f>VLOOKUP(Table_Query_from_Actuarial___Production3[[#This Row],[Kor1]],$AI$3:$AK$105,3,FALSE)</f>
        <v>Premiums Written</v>
      </c>
      <c r="AF8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8" spans="18:32" x14ac:dyDescent="0.2">
      <c r="R8868" t="s">
        <v>17</v>
      </c>
      <c r="S8868" t="s">
        <v>251</v>
      </c>
      <c r="T8868" t="s">
        <v>445</v>
      </c>
      <c r="U8868" s="21">
        <v>77037.06</v>
      </c>
      <c r="V8868" s="21" t="s">
        <v>368</v>
      </c>
      <c r="W8868" t="str">
        <f>VLOOKUP(Table_Query_from_Actuarial___Production[[#This Row],[Kor1]],$AI$3:$AK$105,3,FALSE)</f>
        <v>IBNR</v>
      </c>
      <c r="X8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8"/>
      <c r="Z8868" t="s">
        <v>10</v>
      </c>
      <c r="AA8868" t="s">
        <v>253</v>
      </c>
      <c r="AB8868" t="s">
        <v>9</v>
      </c>
      <c r="AC8868" s="21">
        <v>228.4</v>
      </c>
      <c r="AD8868" s="21" t="s">
        <v>368</v>
      </c>
      <c r="AE8868" t="str">
        <f>VLOOKUP(Table_Query_from_Actuarial___Production3[[#This Row],[Kor1]],$AI$3:$AK$105,3,FALSE)</f>
        <v>Commissions</v>
      </c>
      <c r="AF8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69" spans="18:32" x14ac:dyDescent="0.2">
      <c r="R8869" t="s">
        <v>39</v>
      </c>
      <c r="S8869" t="s">
        <v>264</v>
      </c>
      <c r="T8869" t="s">
        <v>445</v>
      </c>
      <c r="U8869" s="21">
        <v>286.72000000000003</v>
      </c>
      <c r="V8869" s="21" t="s">
        <v>368</v>
      </c>
      <c r="W8869" t="str">
        <f>VLOOKUP(Table_Query_from_Actuarial___Production[[#This Row],[Kor1]],$AI$3:$AK$105,3,FALSE)</f>
        <v>Misc. Income for Insolvent Companies</v>
      </c>
      <c r="X8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69"/>
      <c r="Z8869" t="s">
        <v>19</v>
      </c>
      <c r="AA8869" t="s">
        <v>268</v>
      </c>
      <c r="AB8869" t="s">
        <v>5</v>
      </c>
      <c r="AC8869" s="21">
        <v>46116</v>
      </c>
      <c r="AD8869" s="21" t="s">
        <v>368</v>
      </c>
      <c r="AE8869" t="str">
        <f>VLOOKUP(Table_Query_from_Actuarial___Production3[[#This Row],[Kor1]],$AI$3:$AK$105,3,FALSE)</f>
        <v>Misc. Expense for Insolvent Companies</v>
      </c>
      <c r="AF8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0" spans="18:32" x14ac:dyDescent="0.2">
      <c r="R8870" t="s">
        <v>18</v>
      </c>
      <c r="S8870" t="s">
        <v>354</v>
      </c>
      <c r="T8870" t="s">
        <v>441</v>
      </c>
      <c r="U8870" s="21">
        <v>7975535.3700000001</v>
      </c>
      <c r="V8870" s="21" t="s">
        <v>369</v>
      </c>
      <c r="W8870" t="str">
        <f>VLOOKUP(Table_Query_from_Actuarial___Production[[#This Row],[Kor1]],$AI$3:$AK$105,3,FALSE)</f>
        <v>Misc. Expense</v>
      </c>
      <c r="X8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870"/>
      <c r="Z8870" t="s">
        <v>11</v>
      </c>
      <c r="AA8870" t="s">
        <v>226</v>
      </c>
      <c r="AB8870" t="s">
        <v>9</v>
      </c>
      <c r="AC8870" s="21">
        <v>3385948.11</v>
      </c>
      <c r="AD8870" s="21" t="s">
        <v>368</v>
      </c>
      <c r="AE8870" t="str">
        <f>VLOOKUP(Table_Query_from_Actuarial___Production3[[#This Row],[Kor1]],$AI$3:$AK$105,3,FALSE)</f>
        <v>Losses Paid</v>
      </c>
      <c r="AF8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871" spans="18:32" x14ac:dyDescent="0.2">
      <c r="R8871" t="s">
        <v>31</v>
      </c>
      <c r="S8871" t="s">
        <v>247</v>
      </c>
      <c r="T8871" t="s">
        <v>433</v>
      </c>
      <c r="U8871" s="21">
        <v>656.01</v>
      </c>
      <c r="V8871" s="21" t="s">
        <v>368</v>
      </c>
      <c r="W8871" t="str">
        <f>VLOOKUP(Table_Query_from_Actuarial___Production[[#This Row],[Kor1]],$AI$3:$AK$105,3,FALSE)</f>
        <v>Misc. Expense</v>
      </c>
      <c r="X8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1"/>
      <c r="Z8871" t="s">
        <v>27</v>
      </c>
      <c r="AA8871" t="s">
        <v>4</v>
      </c>
      <c r="AB8871" t="s">
        <v>7</v>
      </c>
      <c r="AC8871" s="21">
        <v>14.47</v>
      </c>
      <c r="AD8871" s="21" t="s">
        <v>368</v>
      </c>
      <c r="AE8871" t="str">
        <f>VLOOKUP(Table_Query_from_Actuarial___Production3[[#This Row],[Kor1]],$AI$3:$AK$105,3,FALSE)</f>
        <v>Misc. Expense</v>
      </c>
      <c r="AF8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2" spans="18:32" x14ac:dyDescent="0.2">
      <c r="R8872" t="s">
        <v>37</v>
      </c>
      <c r="S8872" t="s">
        <v>264</v>
      </c>
      <c r="T8872" t="s">
        <v>7</v>
      </c>
      <c r="U8872" s="21">
        <v>761.31</v>
      </c>
      <c r="V8872" s="21" t="s">
        <v>368</v>
      </c>
      <c r="W8872" t="str">
        <f>VLOOKUP(Table_Query_from_Actuarial___Production[[#This Row],[Kor1]],$AI$3:$AK$105,3,FALSE)</f>
        <v>Misc. Expense</v>
      </c>
      <c r="X8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2"/>
      <c r="Z8872" t="s">
        <v>49</v>
      </c>
      <c r="AA8872" t="s">
        <v>265</v>
      </c>
      <c r="AB8872" t="s">
        <v>9</v>
      </c>
      <c r="AC8872" s="21">
        <v>118159.02</v>
      </c>
      <c r="AD8872" s="21" t="s">
        <v>368</v>
      </c>
      <c r="AE8872" t="str">
        <f>VLOOKUP(Table_Query_from_Actuarial___Production3[[#This Row],[Kor1]],$AI$3:$AK$105,3,FALSE)</f>
        <v>ALAE Paid</v>
      </c>
      <c r="AF8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3" spans="18:32" x14ac:dyDescent="0.2">
      <c r="R8873" t="s">
        <v>39</v>
      </c>
      <c r="S8873" t="s">
        <v>238</v>
      </c>
      <c r="T8873" t="s">
        <v>6</v>
      </c>
      <c r="U8873" s="21">
        <v>101.49</v>
      </c>
      <c r="V8873" s="21" t="s">
        <v>368</v>
      </c>
      <c r="W8873" t="str">
        <f>VLOOKUP(Table_Query_from_Actuarial___Production[[#This Row],[Kor1]],$AI$3:$AK$105,3,FALSE)</f>
        <v>Misc. Income for Insolvent Companies</v>
      </c>
      <c r="X8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3"/>
      <c r="Z8873" t="s">
        <v>37</v>
      </c>
      <c r="AA8873" t="s">
        <v>249</v>
      </c>
      <c r="AB8873" t="s">
        <v>427</v>
      </c>
      <c r="AC8873" s="21">
        <v>870.92</v>
      </c>
      <c r="AD8873" s="21" t="s">
        <v>368</v>
      </c>
      <c r="AE8873" t="str">
        <f>VLOOKUP(Table_Query_from_Actuarial___Production3[[#This Row],[Kor1]],$AI$3:$AK$105,3,FALSE)</f>
        <v>Misc. Expense</v>
      </c>
      <c r="AF8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4" spans="18:32" x14ac:dyDescent="0.2">
      <c r="R8874" t="s">
        <v>49</v>
      </c>
      <c r="S8874" t="s">
        <v>226</v>
      </c>
      <c r="T8874" t="s">
        <v>9</v>
      </c>
      <c r="U8874" s="21">
        <v>408889.62</v>
      </c>
      <c r="V8874" s="21" t="s">
        <v>368</v>
      </c>
      <c r="W8874" t="str">
        <f>VLOOKUP(Table_Query_from_Actuarial___Production[[#This Row],[Kor1]],$AI$3:$AK$105,3,FALSE)</f>
        <v>ALAE Paid</v>
      </c>
      <c r="X8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874"/>
      <c r="Z8874" t="s">
        <v>49</v>
      </c>
      <c r="AA8874" t="s">
        <v>242</v>
      </c>
      <c r="AB8874" t="s">
        <v>356</v>
      </c>
      <c r="AC8874" s="21">
        <v>132561.51999999999</v>
      </c>
      <c r="AD8874" s="21" t="s">
        <v>368</v>
      </c>
      <c r="AE8874" t="str">
        <f>VLOOKUP(Table_Query_from_Actuarial___Production3[[#This Row],[Kor1]],$AI$3:$AK$105,3,FALSE)</f>
        <v>ALAE Paid</v>
      </c>
      <c r="AF8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5" spans="18:32" x14ac:dyDescent="0.2">
      <c r="R8875" t="s">
        <v>11</v>
      </c>
      <c r="S8875" t="s">
        <v>227</v>
      </c>
      <c r="T8875" t="s">
        <v>356</v>
      </c>
      <c r="U8875" s="21">
        <v>836.03</v>
      </c>
      <c r="V8875" s="21" t="s">
        <v>368</v>
      </c>
      <c r="W8875" t="str">
        <f>VLOOKUP(Table_Query_from_Actuarial___Production[[#This Row],[Kor1]],$AI$3:$AK$105,3,FALSE)</f>
        <v>Losses Paid</v>
      </c>
      <c r="X8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5"/>
      <c r="Z8875" t="s">
        <v>39</v>
      </c>
      <c r="AA8875" t="s">
        <v>251</v>
      </c>
      <c r="AB8875" t="s">
        <v>6</v>
      </c>
      <c r="AC8875" s="21">
        <v>301.42</v>
      </c>
      <c r="AD8875" s="21" t="s">
        <v>368</v>
      </c>
      <c r="AE8875" t="str">
        <f>VLOOKUP(Table_Query_from_Actuarial___Production3[[#This Row],[Kor1]],$AI$3:$AK$105,3,FALSE)</f>
        <v>Misc. Income for Insolvent Companies</v>
      </c>
      <c r="AF8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6" spans="18:32" x14ac:dyDescent="0.2">
      <c r="R8876" t="s">
        <v>33</v>
      </c>
      <c r="S8876" t="s">
        <v>262</v>
      </c>
      <c r="T8876" t="s">
        <v>433</v>
      </c>
      <c r="U8876" s="21">
        <v>14297.33</v>
      </c>
      <c r="V8876" s="21" t="s">
        <v>368</v>
      </c>
      <c r="W8876" t="str">
        <f>VLOOKUP(Table_Query_from_Actuarial___Production[[#This Row],[Kor1]],$AI$3:$AK$105,3,FALSE)</f>
        <v>Misc. Expense</v>
      </c>
      <c r="X8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6"/>
      <c r="Z8876" t="s">
        <v>39</v>
      </c>
      <c r="AA8876" t="s">
        <v>252</v>
      </c>
      <c r="AB8876" t="s">
        <v>433</v>
      </c>
      <c r="AC8876" s="21">
        <v>307891.74</v>
      </c>
      <c r="AD8876" s="21" t="s">
        <v>368</v>
      </c>
      <c r="AE8876" t="str">
        <f>VLOOKUP(Table_Query_from_Actuarial___Production3[[#This Row],[Kor1]],$AI$3:$AK$105,3,FALSE)</f>
        <v>Misc. Income for Insolvent Companies</v>
      </c>
      <c r="AF8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7" spans="18:32" x14ac:dyDescent="0.2">
      <c r="R8877" t="s">
        <v>16</v>
      </c>
      <c r="S8877" t="s">
        <v>354</v>
      </c>
      <c r="T8877" t="s">
        <v>441</v>
      </c>
      <c r="U8877" s="21">
        <v>32007301.5</v>
      </c>
      <c r="V8877" s="21" t="s">
        <v>369</v>
      </c>
      <c r="W8877" t="str">
        <f>VLOOKUP(Table_Query_from_Actuarial___Production[[#This Row],[Kor1]],$AI$3:$AK$105,3,FALSE)</f>
        <v>Losses Outstanding</v>
      </c>
      <c r="X8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877"/>
      <c r="Z8877" t="s">
        <v>3</v>
      </c>
      <c r="AA8877" t="s">
        <v>234</v>
      </c>
      <c r="AB8877" t="s">
        <v>356</v>
      </c>
      <c r="AC8877" s="21">
        <v>500916</v>
      </c>
      <c r="AD8877" s="21" t="s">
        <v>368</v>
      </c>
      <c r="AE8877" t="str">
        <f>VLOOKUP(Table_Query_from_Actuarial___Production3[[#This Row],[Kor1]],$AI$3:$AK$105,3,FALSE)</f>
        <v>Premiums Written</v>
      </c>
      <c r="AF8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8" spans="18:32" x14ac:dyDescent="0.2">
      <c r="R8878" t="s">
        <v>40</v>
      </c>
      <c r="S8878" t="s">
        <v>261</v>
      </c>
      <c r="T8878" t="s">
        <v>433</v>
      </c>
      <c r="U8878" s="21">
        <v>10</v>
      </c>
      <c r="V8878" s="21" t="s">
        <v>368</v>
      </c>
      <c r="W8878" t="str">
        <f>VLOOKUP(Table_Query_from_Actuarial___Production[[#This Row],[Kor1]],$AI$3:$AK$105,3,FALSE)</f>
        <v>Misc. Income</v>
      </c>
      <c r="X8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78"/>
      <c r="Z8878" t="s">
        <v>12</v>
      </c>
      <c r="AA8878" t="s">
        <v>253</v>
      </c>
      <c r="AB8878" t="s">
        <v>356</v>
      </c>
      <c r="AC8878" s="21">
        <v>1200.78</v>
      </c>
      <c r="AD8878" s="21" t="s">
        <v>368</v>
      </c>
      <c r="AE8878" t="str">
        <f>VLOOKUP(Table_Query_from_Actuarial___Production3[[#This Row],[Kor1]],$AI$3:$AK$105,3,FALSE)</f>
        <v>Premium Tax</v>
      </c>
      <c r="AF8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79" spans="18:32" x14ac:dyDescent="0.2">
      <c r="R8879" t="s">
        <v>49</v>
      </c>
      <c r="S8879" t="s">
        <v>225</v>
      </c>
      <c r="T8879" t="s">
        <v>8</v>
      </c>
      <c r="U8879" s="21">
        <v>152688.10999999999</v>
      </c>
      <c r="V8879" s="21" t="s">
        <v>368</v>
      </c>
      <c r="W8879" t="str">
        <f>VLOOKUP(Table_Query_from_Actuarial___Production[[#This Row],[Kor1]],$AI$3:$AK$105,3,FALSE)</f>
        <v>ALAE Paid</v>
      </c>
      <c r="X8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879"/>
      <c r="Z8879" t="s">
        <v>10</v>
      </c>
      <c r="AA8879" t="s">
        <v>226</v>
      </c>
      <c r="AB8879" t="s">
        <v>5</v>
      </c>
      <c r="AC8879" s="21">
        <v>279977.55</v>
      </c>
      <c r="AD8879" s="21" t="s">
        <v>368</v>
      </c>
      <c r="AE8879" t="str">
        <f>VLOOKUP(Table_Query_from_Actuarial___Production3[[#This Row],[Kor1]],$AI$3:$AK$105,3,FALSE)</f>
        <v>Commissions</v>
      </c>
      <c r="AF8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880" spans="18:32" x14ac:dyDescent="0.2">
      <c r="R8880" t="s">
        <v>3</v>
      </c>
      <c r="S8880" t="s">
        <v>240</v>
      </c>
      <c r="T8880" t="s">
        <v>442</v>
      </c>
      <c r="U8880" s="21">
        <v>2955966</v>
      </c>
      <c r="V8880" s="21" t="s">
        <v>368</v>
      </c>
      <c r="W8880" t="str">
        <f>VLOOKUP(Table_Query_from_Actuarial___Production[[#This Row],[Kor1]],$AI$3:$AK$105,3,FALSE)</f>
        <v>Premiums Written</v>
      </c>
      <c r="X8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0"/>
      <c r="Z8880" t="s">
        <v>18</v>
      </c>
      <c r="AA8880" t="s">
        <v>354</v>
      </c>
      <c r="AB8880" t="s">
        <v>441</v>
      </c>
      <c r="AC8880" s="21">
        <v>7975535.3700000001</v>
      </c>
      <c r="AD8880" s="21" t="s">
        <v>369</v>
      </c>
      <c r="AE8880" t="str">
        <f>VLOOKUP(Table_Query_from_Actuarial___Production3[[#This Row],[Kor1]],$AI$3:$AK$105,3,FALSE)</f>
        <v>Misc. Expense</v>
      </c>
      <c r="AF8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881" spans="18:32" x14ac:dyDescent="0.2">
      <c r="R8881" t="s">
        <v>15</v>
      </c>
      <c r="S8881" t="s">
        <v>257</v>
      </c>
      <c r="T8881" t="s">
        <v>443</v>
      </c>
      <c r="U8881" s="21">
        <v>742269.18</v>
      </c>
      <c r="V8881" s="21" t="s">
        <v>368</v>
      </c>
      <c r="W8881" t="str">
        <f>VLOOKUP(Table_Query_from_Actuarial___Production[[#This Row],[Kor1]],$AI$3:$AK$105,3,FALSE)</f>
        <v>Unearned Premiums</v>
      </c>
      <c r="X8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1"/>
      <c r="Z8881" t="s">
        <v>31</v>
      </c>
      <c r="AA8881" t="s">
        <v>247</v>
      </c>
      <c r="AB8881" t="s">
        <v>433</v>
      </c>
      <c r="AC8881" s="21">
        <v>656.01</v>
      </c>
      <c r="AD8881" s="21" t="s">
        <v>368</v>
      </c>
      <c r="AE8881" t="str">
        <f>VLOOKUP(Table_Query_from_Actuarial___Production3[[#This Row],[Kor1]],$AI$3:$AK$105,3,FALSE)</f>
        <v>Misc. Expense</v>
      </c>
      <c r="AF8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2" spans="18:32" x14ac:dyDescent="0.2">
      <c r="R8882" t="s">
        <v>107</v>
      </c>
      <c r="S8882" t="s">
        <v>259</v>
      </c>
      <c r="T8882" t="s">
        <v>441</v>
      </c>
      <c r="U8882" s="21">
        <v>12.61</v>
      </c>
      <c r="V8882" s="21" t="s">
        <v>368</v>
      </c>
      <c r="W8882" t="str">
        <f>VLOOKUP(Table_Query_from_Actuarial___Production[[#This Row],[Kor1]],$AI$3:$AK$105,3,FALSE)</f>
        <v>Misc. Expense</v>
      </c>
      <c r="X8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2"/>
      <c r="Z8882" t="s">
        <v>37</v>
      </c>
      <c r="AA8882" t="s">
        <v>264</v>
      </c>
      <c r="AB8882" t="s">
        <v>7</v>
      </c>
      <c r="AC8882" s="21">
        <v>761.31</v>
      </c>
      <c r="AD8882" s="21" t="s">
        <v>368</v>
      </c>
      <c r="AE8882" t="str">
        <f>VLOOKUP(Table_Query_from_Actuarial___Production3[[#This Row],[Kor1]],$AI$3:$AK$105,3,FALSE)</f>
        <v>Misc. Expense</v>
      </c>
      <c r="AF8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3" spans="18:32" x14ac:dyDescent="0.2">
      <c r="R8883" t="s">
        <v>38</v>
      </c>
      <c r="S8883" t="s">
        <v>225</v>
      </c>
      <c r="T8883" t="s">
        <v>6</v>
      </c>
      <c r="U8883" s="21">
        <v>536156.73</v>
      </c>
      <c r="V8883" s="21" t="s">
        <v>369</v>
      </c>
      <c r="W8883" t="str">
        <f>VLOOKUP(Table_Query_from_Actuarial___Production[[#This Row],[Kor1]],$AI$3:$AK$105,3,FALSE)</f>
        <v>Misc. Income</v>
      </c>
      <c r="X8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8883"/>
      <c r="Z8883" t="s">
        <v>39</v>
      </c>
      <c r="AA8883" t="s">
        <v>238</v>
      </c>
      <c r="AB8883" t="s">
        <v>6</v>
      </c>
      <c r="AC8883" s="21">
        <v>101.49</v>
      </c>
      <c r="AD8883" s="21" t="s">
        <v>368</v>
      </c>
      <c r="AE8883" t="str">
        <f>VLOOKUP(Table_Query_from_Actuarial___Production3[[#This Row],[Kor1]],$AI$3:$AK$105,3,FALSE)</f>
        <v>Misc. Income for Insolvent Companies</v>
      </c>
      <c r="AF8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4" spans="18:32" x14ac:dyDescent="0.2">
      <c r="R8884" t="s">
        <v>43</v>
      </c>
      <c r="S8884" t="s">
        <v>224</v>
      </c>
      <c r="T8884" t="s">
        <v>9</v>
      </c>
      <c r="U8884" s="21">
        <v>6.63</v>
      </c>
      <c r="V8884" s="21" t="s">
        <v>425</v>
      </c>
      <c r="W8884" t="str">
        <f>VLOOKUP(Table_Query_from_Actuarial___Production[[#This Row],[Kor1]],$AI$3:$AK$105,3,FALSE)</f>
        <v>Charge-offs</v>
      </c>
      <c r="X8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8884"/>
      <c r="Z8884" t="s">
        <v>41</v>
      </c>
      <c r="AA8884" t="s">
        <v>261</v>
      </c>
      <c r="AB8884" t="s">
        <v>5</v>
      </c>
      <c r="AC8884" s="21">
        <v>-28.65</v>
      </c>
      <c r="AD8884" s="21" t="s">
        <v>368</v>
      </c>
      <c r="AE8884" t="str">
        <f>VLOOKUP(Table_Query_from_Actuarial___Production3[[#This Row],[Kor1]],$AI$3:$AK$105,3,FALSE)</f>
        <v>Misc. Income</v>
      </c>
      <c r="AF8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5" spans="18:32" x14ac:dyDescent="0.2">
      <c r="R8885" t="s">
        <v>10</v>
      </c>
      <c r="S8885" t="s">
        <v>227</v>
      </c>
      <c r="T8885" t="s">
        <v>443</v>
      </c>
      <c r="U8885" s="21">
        <v>7147.3</v>
      </c>
      <c r="V8885" s="21" t="s">
        <v>368</v>
      </c>
      <c r="W8885" t="str">
        <f>VLOOKUP(Table_Query_from_Actuarial___Production[[#This Row],[Kor1]],$AI$3:$AK$105,3,FALSE)</f>
        <v>Commissions</v>
      </c>
      <c r="X8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5"/>
      <c r="Z8885" t="s">
        <v>49</v>
      </c>
      <c r="AA8885" t="s">
        <v>226</v>
      </c>
      <c r="AB8885" t="s">
        <v>9</v>
      </c>
      <c r="AC8885" s="21">
        <v>400114.4</v>
      </c>
      <c r="AD8885" s="21" t="s">
        <v>368</v>
      </c>
      <c r="AE8885" t="str">
        <f>VLOOKUP(Table_Query_from_Actuarial___Production3[[#This Row],[Kor1]],$AI$3:$AK$105,3,FALSE)</f>
        <v>ALAE Paid</v>
      </c>
      <c r="AF8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886" spans="18:32" x14ac:dyDescent="0.2">
      <c r="R8886" t="s">
        <v>16</v>
      </c>
      <c r="S8886" t="s">
        <v>224</v>
      </c>
      <c r="T8886" t="s">
        <v>442</v>
      </c>
      <c r="U8886" s="21">
        <v>83530.83</v>
      </c>
      <c r="V8886" s="21" t="s">
        <v>370</v>
      </c>
      <c r="W8886" t="str">
        <f>VLOOKUP(Table_Query_from_Actuarial___Production[[#This Row],[Kor1]],$AI$3:$AK$105,3,FALSE)</f>
        <v>Losses Outstanding</v>
      </c>
      <c r="X8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886"/>
      <c r="Z8886" t="s">
        <v>11</v>
      </c>
      <c r="AA8886" t="s">
        <v>227</v>
      </c>
      <c r="AB8886" t="s">
        <v>356</v>
      </c>
      <c r="AC8886" s="21">
        <v>836.03</v>
      </c>
      <c r="AD8886" s="21" t="s">
        <v>368</v>
      </c>
      <c r="AE8886" t="str">
        <f>VLOOKUP(Table_Query_from_Actuarial___Production3[[#This Row],[Kor1]],$AI$3:$AK$105,3,FALSE)</f>
        <v>Losses Paid</v>
      </c>
      <c r="AF8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7" spans="18:32" x14ac:dyDescent="0.2">
      <c r="R8887" t="s">
        <v>41</v>
      </c>
      <c r="S8887" t="s">
        <v>252</v>
      </c>
      <c r="T8887" t="s">
        <v>445</v>
      </c>
      <c r="U8887" s="21">
        <v>250.09</v>
      </c>
      <c r="V8887" s="21" t="s">
        <v>368</v>
      </c>
      <c r="W8887" t="str">
        <f>VLOOKUP(Table_Query_from_Actuarial___Production[[#This Row],[Kor1]],$AI$3:$AK$105,3,FALSE)</f>
        <v>Misc. Income</v>
      </c>
      <c r="X8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7"/>
      <c r="Z8887" t="s">
        <v>11</v>
      </c>
      <c r="AA8887" t="s">
        <v>240</v>
      </c>
      <c r="AB8887" t="s">
        <v>5</v>
      </c>
      <c r="AC8887" s="21">
        <v>181147.12</v>
      </c>
      <c r="AD8887" s="21" t="s">
        <v>368</v>
      </c>
      <c r="AE8887" t="str">
        <f>VLOOKUP(Table_Query_from_Actuarial___Production3[[#This Row],[Kor1]],$AI$3:$AK$105,3,FALSE)</f>
        <v>Losses Paid</v>
      </c>
      <c r="AF8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8" spans="18:32" x14ac:dyDescent="0.2">
      <c r="R8888" t="s">
        <v>20</v>
      </c>
      <c r="S8888" t="s">
        <v>242</v>
      </c>
      <c r="T8888" t="s">
        <v>9</v>
      </c>
      <c r="U8888" s="21">
        <v>692.86</v>
      </c>
      <c r="V8888" s="21" t="s">
        <v>368</v>
      </c>
      <c r="W8888" t="str">
        <f>VLOOKUP(Table_Query_from_Actuarial___Production[[#This Row],[Kor1]],$AI$3:$AK$105,3,FALSE)</f>
        <v>Misc. Expense</v>
      </c>
      <c r="X8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8"/>
      <c r="Z8888" t="s">
        <v>33</v>
      </c>
      <c r="AA8888" t="s">
        <v>262</v>
      </c>
      <c r="AB8888" t="s">
        <v>433</v>
      </c>
      <c r="AC8888" s="21">
        <v>14297.33</v>
      </c>
      <c r="AD8888" s="21" t="s">
        <v>368</v>
      </c>
      <c r="AE8888" t="str">
        <f>VLOOKUP(Table_Query_from_Actuarial___Production3[[#This Row],[Kor1]],$AI$3:$AK$105,3,FALSE)</f>
        <v>Misc. Expense</v>
      </c>
      <c r="AF8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89" spans="18:32" x14ac:dyDescent="0.2">
      <c r="R8889" t="s">
        <v>12</v>
      </c>
      <c r="S8889" t="s">
        <v>228</v>
      </c>
      <c r="T8889" t="s">
        <v>441</v>
      </c>
      <c r="U8889" s="21">
        <v>-239602.87</v>
      </c>
      <c r="V8889" s="21" t="s">
        <v>368</v>
      </c>
      <c r="W8889" t="str">
        <f>VLOOKUP(Table_Query_from_Actuarial___Production[[#This Row],[Kor1]],$AI$3:$AK$105,3,FALSE)</f>
        <v>Premium Tax</v>
      </c>
      <c r="X8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89"/>
      <c r="Z8889" t="s">
        <v>16</v>
      </c>
      <c r="AA8889" t="s">
        <v>354</v>
      </c>
      <c r="AB8889" t="s">
        <v>441</v>
      </c>
      <c r="AC8889" s="21">
        <v>83807068.629999995</v>
      </c>
      <c r="AD8889" s="21" t="s">
        <v>369</v>
      </c>
      <c r="AE8889" t="str">
        <f>VLOOKUP(Table_Query_from_Actuarial___Production3[[#This Row],[Kor1]],$AI$3:$AK$105,3,FALSE)</f>
        <v>Losses Outstanding</v>
      </c>
      <c r="AF8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890" spans="18:32" x14ac:dyDescent="0.2">
      <c r="R8890" t="s">
        <v>13</v>
      </c>
      <c r="S8890" t="s">
        <v>254</v>
      </c>
      <c r="T8890" t="s">
        <v>9</v>
      </c>
      <c r="U8890" s="21">
        <v>434571.3</v>
      </c>
      <c r="V8890" s="21" t="s">
        <v>368</v>
      </c>
      <c r="W8890" t="str">
        <f>VLOOKUP(Table_Query_from_Actuarial___Production[[#This Row],[Kor1]],$AI$3:$AK$105,3,FALSE)</f>
        <v>Operating Service Fees</v>
      </c>
      <c r="X8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0"/>
      <c r="Z8890" t="s">
        <v>40</v>
      </c>
      <c r="AA8890" t="s">
        <v>261</v>
      </c>
      <c r="AB8890" t="s">
        <v>433</v>
      </c>
      <c r="AC8890" s="21">
        <v>10</v>
      </c>
      <c r="AD8890" s="21" t="s">
        <v>368</v>
      </c>
      <c r="AE8890" t="str">
        <f>VLOOKUP(Table_Query_from_Actuarial___Production3[[#This Row],[Kor1]],$AI$3:$AK$105,3,FALSE)</f>
        <v>Misc. Income</v>
      </c>
      <c r="AF8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1" spans="18:32" x14ac:dyDescent="0.2">
      <c r="R8891" t="s">
        <v>19</v>
      </c>
      <c r="S8891" t="s">
        <v>255</v>
      </c>
      <c r="T8891" t="s">
        <v>356</v>
      </c>
      <c r="U8891" s="21">
        <v>736</v>
      </c>
      <c r="V8891" s="21" t="s">
        <v>368</v>
      </c>
      <c r="W8891" t="str">
        <f>VLOOKUP(Table_Query_from_Actuarial___Production[[#This Row],[Kor1]],$AI$3:$AK$105,3,FALSE)</f>
        <v>Misc. Expense for Insolvent Companies</v>
      </c>
      <c r="X8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1"/>
      <c r="Z8891" t="s">
        <v>49</v>
      </c>
      <c r="AA8891" t="s">
        <v>225</v>
      </c>
      <c r="AB8891" t="s">
        <v>8</v>
      </c>
      <c r="AC8891" s="21">
        <v>152688.10999999999</v>
      </c>
      <c r="AD8891" s="21" t="s">
        <v>368</v>
      </c>
      <c r="AE8891" t="str">
        <f>VLOOKUP(Table_Query_from_Actuarial___Production3[[#This Row],[Kor1]],$AI$3:$AK$105,3,FALSE)</f>
        <v>ALAE Paid</v>
      </c>
      <c r="AF8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892" spans="18:32" x14ac:dyDescent="0.2">
      <c r="R8892" t="s">
        <v>13</v>
      </c>
      <c r="S8892" t="s">
        <v>262</v>
      </c>
      <c r="T8892" t="s">
        <v>356</v>
      </c>
      <c r="U8892" s="21">
        <v>47426.45</v>
      </c>
      <c r="V8892" s="21" t="s">
        <v>368</v>
      </c>
      <c r="W8892" t="str">
        <f>VLOOKUP(Table_Query_from_Actuarial___Production[[#This Row],[Kor1]],$AI$3:$AK$105,3,FALSE)</f>
        <v>Operating Service Fees</v>
      </c>
      <c r="X8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2"/>
      <c r="Z8892" t="s">
        <v>3</v>
      </c>
      <c r="AA8892" t="s">
        <v>240</v>
      </c>
      <c r="AB8892" t="s">
        <v>442</v>
      </c>
      <c r="AC8892" s="21">
        <v>2988475</v>
      </c>
      <c r="AD8892" s="21" t="s">
        <v>368</v>
      </c>
      <c r="AE8892" t="str">
        <f>VLOOKUP(Table_Query_from_Actuarial___Production3[[#This Row],[Kor1]],$AI$3:$AK$105,3,FALSE)</f>
        <v>Premiums Written</v>
      </c>
      <c r="AF8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3" spans="18:32" x14ac:dyDescent="0.2">
      <c r="R8893" t="s">
        <v>20</v>
      </c>
      <c r="S8893" t="s">
        <v>247</v>
      </c>
      <c r="T8893" t="s">
        <v>443</v>
      </c>
      <c r="U8893" s="21">
        <v>28.48</v>
      </c>
      <c r="V8893" s="21" t="s">
        <v>368</v>
      </c>
      <c r="W8893" t="str">
        <f>VLOOKUP(Table_Query_from_Actuarial___Production[[#This Row],[Kor1]],$AI$3:$AK$105,3,FALSE)</f>
        <v>Misc. Expense</v>
      </c>
      <c r="X8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3"/>
      <c r="Z8893" t="s">
        <v>15</v>
      </c>
      <c r="AA8893" t="s">
        <v>257</v>
      </c>
      <c r="AB8893" t="s">
        <v>443</v>
      </c>
      <c r="AC8893" s="21">
        <v>679683.57</v>
      </c>
      <c r="AD8893" s="21" t="s">
        <v>368</v>
      </c>
      <c r="AE8893" t="str">
        <f>VLOOKUP(Table_Query_from_Actuarial___Production3[[#This Row],[Kor1]],$AI$3:$AK$105,3,FALSE)</f>
        <v>Unearned Premiums</v>
      </c>
      <c r="AF8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4" spans="18:32" x14ac:dyDescent="0.2">
      <c r="R8894" t="s">
        <v>43</v>
      </c>
      <c r="S8894" t="s">
        <v>252</v>
      </c>
      <c r="T8894" t="s">
        <v>445</v>
      </c>
      <c r="U8894" s="21">
        <v>-1303.07</v>
      </c>
      <c r="V8894" s="21" t="s">
        <v>368</v>
      </c>
      <c r="W8894" t="str">
        <f>VLOOKUP(Table_Query_from_Actuarial___Production[[#This Row],[Kor1]],$AI$3:$AK$105,3,FALSE)</f>
        <v>Charge-offs</v>
      </c>
      <c r="X8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4"/>
      <c r="Z8894" t="s">
        <v>107</v>
      </c>
      <c r="AA8894" t="s">
        <v>259</v>
      </c>
      <c r="AB8894" t="s">
        <v>441</v>
      </c>
      <c r="AC8894" s="21">
        <v>12.61</v>
      </c>
      <c r="AD8894" s="21" t="s">
        <v>368</v>
      </c>
      <c r="AE8894" t="str">
        <f>VLOOKUP(Table_Query_from_Actuarial___Production3[[#This Row],[Kor1]],$AI$3:$AK$105,3,FALSE)</f>
        <v>Misc. Expense</v>
      </c>
      <c r="AF8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5" spans="18:32" x14ac:dyDescent="0.2">
      <c r="R8895" t="s">
        <v>31</v>
      </c>
      <c r="S8895" t="s">
        <v>258</v>
      </c>
      <c r="T8895" t="s">
        <v>8</v>
      </c>
      <c r="U8895" s="21">
        <v>369.45</v>
      </c>
      <c r="V8895" s="21" t="s">
        <v>368</v>
      </c>
      <c r="W8895" t="str">
        <f>VLOOKUP(Table_Query_from_Actuarial___Production[[#This Row],[Kor1]],$AI$3:$AK$105,3,FALSE)</f>
        <v>Misc. Expense</v>
      </c>
      <c r="X8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5"/>
      <c r="Z8895" t="s">
        <v>38</v>
      </c>
      <c r="AA8895" t="s">
        <v>225</v>
      </c>
      <c r="AB8895" t="s">
        <v>6</v>
      </c>
      <c r="AC8895" s="21">
        <v>536156.73</v>
      </c>
      <c r="AD8895" s="21" t="s">
        <v>369</v>
      </c>
      <c r="AE8895" t="str">
        <f>VLOOKUP(Table_Query_from_Actuarial___Production3[[#This Row],[Kor1]],$AI$3:$AK$105,3,FALSE)</f>
        <v>Misc. Income</v>
      </c>
      <c r="AF8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8896" spans="18:32" x14ac:dyDescent="0.2">
      <c r="R8896" t="s">
        <v>40</v>
      </c>
      <c r="S8896" t="s">
        <v>251</v>
      </c>
      <c r="T8896" t="s">
        <v>356</v>
      </c>
      <c r="U8896" s="21">
        <v>1</v>
      </c>
      <c r="V8896" s="21" t="s">
        <v>368</v>
      </c>
      <c r="W8896" t="str">
        <f>VLOOKUP(Table_Query_from_Actuarial___Production[[#This Row],[Kor1]],$AI$3:$AK$105,3,FALSE)</f>
        <v>Misc. Income</v>
      </c>
      <c r="X8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6"/>
      <c r="Z8896" t="s">
        <v>43</v>
      </c>
      <c r="AA8896" t="s">
        <v>224</v>
      </c>
      <c r="AB8896" t="s">
        <v>9</v>
      </c>
      <c r="AC8896" s="21">
        <v>6.63</v>
      </c>
      <c r="AD8896" s="21" t="s">
        <v>425</v>
      </c>
      <c r="AE8896" t="str">
        <f>VLOOKUP(Table_Query_from_Actuarial___Production3[[#This Row],[Kor1]],$AI$3:$AK$105,3,FALSE)</f>
        <v>Charge-offs</v>
      </c>
      <c r="AF8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8897" spans="18:32" x14ac:dyDescent="0.2">
      <c r="R8897" t="s">
        <v>44</v>
      </c>
      <c r="S8897" t="s">
        <v>266</v>
      </c>
      <c r="T8897" t="s">
        <v>9</v>
      </c>
      <c r="U8897" s="21">
        <v>27946.04</v>
      </c>
      <c r="V8897" s="21" t="s">
        <v>368</v>
      </c>
      <c r="W8897" t="str">
        <f>VLOOKUP(Table_Query_from_Actuarial___Production[[#This Row],[Kor1]],$AI$3:$AK$105,3,FALSE)</f>
        <v>Charge-offs</v>
      </c>
      <c r="X8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7"/>
      <c r="Z8897" t="s">
        <v>16</v>
      </c>
      <c r="AA8897" t="s">
        <v>224</v>
      </c>
      <c r="AB8897" t="s">
        <v>442</v>
      </c>
      <c r="AC8897" s="21">
        <v>83699.69</v>
      </c>
      <c r="AD8897" s="21" t="s">
        <v>370</v>
      </c>
      <c r="AE8897" t="str">
        <f>VLOOKUP(Table_Query_from_Actuarial___Production3[[#This Row],[Kor1]],$AI$3:$AK$105,3,FALSE)</f>
        <v>Losses Outstanding</v>
      </c>
      <c r="AF8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898" spans="18:32" x14ac:dyDescent="0.2">
      <c r="R8898" t="s">
        <v>77</v>
      </c>
      <c r="S8898" t="s">
        <v>246</v>
      </c>
      <c r="T8898" t="s">
        <v>445</v>
      </c>
      <c r="U8898" s="21">
        <v>26034</v>
      </c>
      <c r="V8898" s="21" t="s">
        <v>368</v>
      </c>
      <c r="W8898" t="str">
        <f>VLOOKUP(Table_Query_from_Actuarial___Production[[#This Row],[Kor1]],$AI$3:$AK$105,3,FALSE)</f>
        <v>PDR</v>
      </c>
      <c r="X8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8"/>
      <c r="Z8898" t="s">
        <v>20</v>
      </c>
      <c r="AA8898" t="s">
        <v>242</v>
      </c>
      <c r="AB8898" t="s">
        <v>9</v>
      </c>
      <c r="AC8898" s="21">
        <v>692.86</v>
      </c>
      <c r="AD8898" s="21" t="s">
        <v>368</v>
      </c>
      <c r="AE8898" t="str">
        <f>VLOOKUP(Table_Query_from_Actuarial___Production3[[#This Row],[Kor1]],$AI$3:$AK$105,3,FALSE)</f>
        <v>Misc. Expense</v>
      </c>
      <c r="AF8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899" spans="18:32" x14ac:dyDescent="0.2">
      <c r="R8899" t="s">
        <v>3</v>
      </c>
      <c r="S8899" t="s">
        <v>237</v>
      </c>
      <c r="T8899" t="s">
        <v>441</v>
      </c>
      <c r="U8899" s="21">
        <v>66663775</v>
      </c>
      <c r="V8899" s="21" t="s">
        <v>368</v>
      </c>
      <c r="W8899" t="str">
        <f>VLOOKUP(Table_Query_from_Actuarial___Production[[#This Row],[Kor1]],$AI$3:$AK$105,3,FALSE)</f>
        <v>Premiums Written</v>
      </c>
      <c r="X8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899"/>
      <c r="Z8899" t="s">
        <v>12</v>
      </c>
      <c r="AA8899" t="s">
        <v>228</v>
      </c>
      <c r="AB8899" t="s">
        <v>441</v>
      </c>
      <c r="AC8899" s="21">
        <v>-239602.87</v>
      </c>
      <c r="AD8899" s="21" t="s">
        <v>368</v>
      </c>
      <c r="AE8899" t="str">
        <f>VLOOKUP(Table_Query_from_Actuarial___Production3[[#This Row],[Kor1]],$AI$3:$AK$105,3,FALSE)</f>
        <v>Premium Tax</v>
      </c>
      <c r="AF8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0" spans="18:32" x14ac:dyDescent="0.2">
      <c r="R8900" t="s">
        <v>3</v>
      </c>
      <c r="S8900" t="s">
        <v>241</v>
      </c>
      <c r="T8900" t="s">
        <v>8</v>
      </c>
      <c r="U8900" s="21">
        <v>617689</v>
      </c>
      <c r="V8900" s="21" t="s">
        <v>368</v>
      </c>
      <c r="W8900" t="str">
        <f>VLOOKUP(Table_Query_from_Actuarial___Production[[#This Row],[Kor1]],$AI$3:$AK$105,3,FALSE)</f>
        <v>Premiums Written</v>
      </c>
      <c r="X8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0"/>
      <c r="Z8900" t="s">
        <v>13</v>
      </c>
      <c r="AA8900" t="s">
        <v>254</v>
      </c>
      <c r="AB8900" t="s">
        <v>9</v>
      </c>
      <c r="AC8900" s="21">
        <v>434571.3</v>
      </c>
      <c r="AD8900" s="21" t="s">
        <v>368</v>
      </c>
      <c r="AE8900" t="str">
        <f>VLOOKUP(Table_Query_from_Actuarial___Production3[[#This Row],[Kor1]],$AI$3:$AK$105,3,FALSE)</f>
        <v>Operating Service Fees</v>
      </c>
      <c r="AF8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1" spans="18:32" x14ac:dyDescent="0.2">
      <c r="R8901" t="s">
        <v>10</v>
      </c>
      <c r="S8901" t="s">
        <v>260</v>
      </c>
      <c r="T8901" t="s">
        <v>441</v>
      </c>
      <c r="U8901" s="21">
        <v>4361.7</v>
      </c>
      <c r="V8901" s="21" t="s">
        <v>368</v>
      </c>
      <c r="W8901" t="str">
        <f>VLOOKUP(Table_Query_from_Actuarial___Production[[#This Row],[Kor1]],$AI$3:$AK$105,3,FALSE)</f>
        <v>Commissions</v>
      </c>
      <c r="X8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1"/>
      <c r="Z8901" t="s">
        <v>19</v>
      </c>
      <c r="AA8901" t="s">
        <v>255</v>
      </c>
      <c r="AB8901" t="s">
        <v>356</v>
      </c>
      <c r="AC8901" s="21">
        <v>736</v>
      </c>
      <c r="AD8901" s="21" t="s">
        <v>368</v>
      </c>
      <c r="AE8901" t="str">
        <f>VLOOKUP(Table_Query_from_Actuarial___Production3[[#This Row],[Kor1]],$AI$3:$AK$105,3,FALSE)</f>
        <v>Misc. Expense for Insolvent Companies</v>
      </c>
      <c r="AF8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2" spans="18:32" x14ac:dyDescent="0.2">
      <c r="R8902" t="s">
        <v>14</v>
      </c>
      <c r="S8902" t="s">
        <v>268</v>
      </c>
      <c r="T8902" t="s">
        <v>442</v>
      </c>
      <c r="U8902" s="21">
        <v>17103.84</v>
      </c>
      <c r="V8902" s="21" t="s">
        <v>368</v>
      </c>
      <c r="W8902" t="str">
        <f>VLOOKUP(Table_Query_from_Actuarial___Production[[#This Row],[Kor1]],$AI$3:$AK$105,3,FALSE)</f>
        <v>Claims Expense</v>
      </c>
      <c r="X8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2"/>
      <c r="Z8902" t="s">
        <v>10</v>
      </c>
      <c r="AA8902" t="s">
        <v>247</v>
      </c>
      <c r="AB8902" t="s">
        <v>5</v>
      </c>
      <c r="AC8902" s="21">
        <v>2033.2</v>
      </c>
      <c r="AD8902" s="21" t="s">
        <v>368</v>
      </c>
      <c r="AE8902" t="str">
        <f>VLOOKUP(Table_Query_from_Actuarial___Production3[[#This Row],[Kor1]],$AI$3:$AK$105,3,FALSE)</f>
        <v>Commissions</v>
      </c>
      <c r="AF8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3" spans="18:32" x14ac:dyDescent="0.2">
      <c r="R8903" t="s">
        <v>20</v>
      </c>
      <c r="S8903" t="s">
        <v>260</v>
      </c>
      <c r="T8903" t="s">
        <v>445</v>
      </c>
      <c r="U8903" s="21">
        <v>28.48</v>
      </c>
      <c r="V8903" s="21" t="s">
        <v>368</v>
      </c>
      <c r="W8903" t="str">
        <f>VLOOKUP(Table_Query_from_Actuarial___Production[[#This Row],[Kor1]],$AI$3:$AK$105,3,FALSE)</f>
        <v>Misc. Expense</v>
      </c>
      <c r="X8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3"/>
      <c r="Z8903" t="s">
        <v>13</v>
      </c>
      <c r="AA8903" t="s">
        <v>262</v>
      </c>
      <c r="AB8903" t="s">
        <v>356</v>
      </c>
      <c r="AC8903" s="21">
        <v>47426.45</v>
      </c>
      <c r="AD8903" s="21" t="s">
        <v>368</v>
      </c>
      <c r="AE8903" t="str">
        <f>VLOOKUP(Table_Query_from_Actuarial___Production3[[#This Row],[Kor1]],$AI$3:$AK$105,3,FALSE)</f>
        <v>Operating Service Fees</v>
      </c>
      <c r="AF8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4" spans="18:32" x14ac:dyDescent="0.2">
      <c r="R8904" t="s">
        <v>3</v>
      </c>
      <c r="S8904" t="s">
        <v>255</v>
      </c>
      <c r="T8904" t="s">
        <v>427</v>
      </c>
      <c r="U8904" s="21">
        <v>401785</v>
      </c>
      <c r="V8904" s="21" t="s">
        <v>368</v>
      </c>
      <c r="W8904" t="str">
        <f>VLOOKUP(Table_Query_from_Actuarial___Production[[#This Row],[Kor1]],$AI$3:$AK$105,3,FALSE)</f>
        <v>Premiums Written</v>
      </c>
      <c r="X8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4"/>
      <c r="Z8904" t="s">
        <v>3</v>
      </c>
      <c r="AA8904" t="s">
        <v>352</v>
      </c>
      <c r="AB8904" t="s">
        <v>5</v>
      </c>
      <c r="AC8904" s="21">
        <v>11302.64</v>
      </c>
      <c r="AD8904" s="21" t="s">
        <v>368</v>
      </c>
      <c r="AE8904" t="str">
        <f>VLOOKUP(Table_Query_from_Actuarial___Production3[[#This Row],[Kor1]],$AI$3:$AK$105,3,FALSE)</f>
        <v>Premiums Written</v>
      </c>
      <c r="AF8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905" spans="18:32" x14ac:dyDescent="0.2">
      <c r="R8905" t="s">
        <v>20</v>
      </c>
      <c r="S8905" t="s">
        <v>231</v>
      </c>
      <c r="T8905" t="s">
        <v>445</v>
      </c>
      <c r="U8905" s="21">
        <v>56.96</v>
      </c>
      <c r="V8905" s="21" t="s">
        <v>368</v>
      </c>
      <c r="W8905" t="str">
        <f>VLOOKUP(Table_Query_from_Actuarial___Production[[#This Row],[Kor1]],$AI$3:$AK$105,3,FALSE)</f>
        <v>Misc. Expense</v>
      </c>
      <c r="X8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5"/>
      <c r="Z8905" t="s">
        <v>31</v>
      </c>
      <c r="AA8905" t="s">
        <v>258</v>
      </c>
      <c r="AB8905" t="s">
        <v>8</v>
      </c>
      <c r="AC8905" s="21">
        <v>369.45</v>
      </c>
      <c r="AD8905" s="21" t="s">
        <v>368</v>
      </c>
      <c r="AE8905" t="str">
        <f>VLOOKUP(Table_Query_from_Actuarial___Production3[[#This Row],[Kor1]],$AI$3:$AK$105,3,FALSE)</f>
        <v>Misc. Expense</v>
      </c>
      <c r="AF8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6" spans="18:32" x14ac:dyDescent="0.2">
      <c r="R8906" t="s">
        <v>10</v>
      </c>
      <c r="S8906" t="s">
        <v>239</v>
      </c>
      <c r="T8906" t="s">
        <v>427</v>
      </c>
      <c r="U8906" s="21">
        <v>78424.100000000006</v>
      </c>
      <c r="V8906" s="21" t="s">
        <v>368</v>
      </c>
      <c r="W8906" t="str">
        <f>VLOOKUP(Table_Query_from_Actuarial___Production[[#This Row],[Kor1]],$AI$3:$AK$105,3,FALSE)</f>
        <v>Commissions</v>
      </c>
      <c r="X8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6"/>
      <c r="Z8906" t="s">
        <v>40</v>
      </c>
      <c r="AA8906" t="s">
        <v>251</v>
      </c>
      <c r="AB8906" t="s">
        <v>356</v>
      </c>
      <c r="AC8906" s="21">
        <v>1</v>
      </c>
      <c r="AD8906" s="21" t="s">
        <v>368</v>
      </c>
      <c r="AE8906" t="str">
        <f>VLOOKUP(Table_Query_from_Actuarial___Production3[[#This Row],[Kor1]],$AI$3:$AK$105,3,FALSE)</f>
        <v>Misc. Income</v>
      </c>
      <c r="AF8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7" spans="18:32" x14ac:dyDescent="0.2">
      <c r="R8907" t="s">
        <v>36</v>
      </c>
      <c r="S8907" t="s">
        <v>257</v>
      </c>
      <c r="T8907" t="s">
        <v>443</v>
      </c>
      <c r="U8907" s="21">
        <v>700</v>
      </c>
      <c r="V8907" s="21" t="s">
        <v>368</v>
      </c>
      <c r="W8907" t="str">
        <f>VLOOKUP(Table_Query_from_Actuarial___Production[[#This Row],[Kor1]],$AI$3:$AK$105,3,FALSE)</f>
        <v>Misc. Expense</v>
      </c>
      <c r="X8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7"/>
      <c r="Z8907" t="s">
        <v>44</v>
      </c>
      <c r="AA8907" t="s">
        <v>266</v>
      </c>
      <c r="AB8907" t="s">
        <v>9</v>
      </c>
      <c r="AC8907" s="21">
        <v>27946.04</v>
      </c>
      <c r="AD8907" s="21" t="s">
        <v>368</v>
      </c>
      <c r="AE8907" t="str">
        <f>VLOOKUP(Table_Query_from_Actuarial___Production3[[#This Row],[Kor1]],$AI$3:$AK$105,3,FALSE)</f>
        <v>Charge-offs</v>
      </c>
      <c r="AF8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8" spans="18:32" x14ac:dyDescent="0.2">
      <c r="R8908" t="s">
        <v>40</v>
      </c>
      <c r="S8908" t="s">
        <v>240</v>
      </c>
      <c r="T8908" t="s">
        <v>9</v>
      </c>
      <c r="U8908" s="21">
        <v>206.98</v>
      </c>
      <c r="V8908" s="21" t="s">
        <v>368</v>
      </c>
      <c r="W8908" t="str">
        <f>VLOOKUP(Table_Query_from_Actuarial___Production[[#This Row],[Kor1]],$AI$3:$AK$105,3,FALSE)</f>
        <v>Misc. Income</v>
      </c>
      <c r="X8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8"/>
      <c r="Z8908" t="s">
        <v>3</v>
      </c>
      <c r="AA8908" t="s">
        <v>237</v>
      </c>
      <c r="AB8908" t="s">
        <v>441</v>
      </c>
      <c r="AC8908" s="21">
        <v>67130903</v>
      </c>
      <c r="AD8908" s="21" t="s">
        <v>368</v>
      </c>
      <c r="AE8908" t="str">
        <f>VLOOKUP(Table_Query_from_Actuarial___Production3[[#This Row],[Kor1]],$AI$3:$AK$105,3,FALSE)</f>
        <v>Premiums Written</v>
      </c>
      <c r="AF8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09" spans="18:32" x14ac:dyDescent="0.2">
      <c r="R8909" t="s">
        <v>43</v>
      </c>
      <c r="S8909" t="s">
        <v>4</v>
      </c>
      <c r="T8909" t="s">
        <v>442</v>
      </c>
      <c r="U8909" s="21">
        <v>6127.79</v>
      </c>
      <c r="V8909" s="21" t="s">
        <v>368</v>
      </c>
      <c r="W8909" t="str">
        <f>VLOOKUP(Table_Query_from_Actuarial___Production[[#This Row],[Kor1]],$AI$3:$AK$105,3,FALSE)</f>
        <v>Charge-offs</v>
      </c>
      <c r="X8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09"/>
      <c r="Z8909" t="s">
        <v>3</v>
      </c>
      <c r="AA8909" t="s">
        <v>241</v>
      </c>
      <c r="AB8909" t="s">
        <v>8</v>
      </c>
      <c r="AC8909" s="21">
        <v>617689</v>
      </c>
      <c r="AD8909" s="21" t="s">
        <v>368</v>
      </c>
      <c r="AE8909" t="str">
        <f>VLOOKUP(Table_Query_from_Actuarial___Production3[[#This Row],[Kor1]],$AI$3:$AK$105,3,FALSE)</f>
        <v>Premiums Written</v>
      </c>
      <c r="AF8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0" spans="18:32" x14ac:dyDescent="0.2">
      <c r="R8910" t="s">
        <v>47</v>
      </c>
      <c r="S8910" t="s">
        <v>231</v>
      </c>
      <c r="T8910" t="s">
        <v>445</v>
      </c>
      <c r="U8910" s="21">
        <v>29386.78</v>
      </c>
      <c r="V8910" s="21" t="s">
        <v>368</v>
      </c>
      <c r="W8910" t="str">
        <f>VLOOKUP(Table_Query_from_Actuarial___Production[[#This Row],[Kor1]],$AI$3:$AK$105,3,FALSE)</f>
        <v>Investment Income</v>
      </c>
      <c r="X8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0"/>
      <c r="Z8910" t="s">
        <v>20</v>
      </c>
      <c r="AA8910" t="s">
        <v>264</v>
      </c>
      <c r="AB8910" t="s">
        <v>5</v>
      </c>
      <c r="AC8910" s="21">
        <v>28.87</v>
      </c>
      <c r="AD8910" s="21" t="s">
        <v>368</v>
      </c>
      <c r="AE8910" t="str">
        <f>VLOOKUP(Table_Query_from_Actuarial___Production3[[#This Row],[Kor1]],$AI$3:$AK$105,3,FALSE)</f>
        <v>Misc. Expense</v>
      </c>
      <c r="AF8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1" spans="18:32" x14ac:dyDescent="0.2">
      <c r="R8911" t="s">
        <v>50</v>
      </c>
      <c r="S8911" t="s">
        <v>246</v>
      </c>
      <c r="T8911" t="s">
        <v>441</v>
      </c>
      <c r="U8911" s="21">
        <v>120668.22</v>
      </c>
      <c r="V8911" s="21" t="s">
        <v>368</v>
      </c>
      <c r="W8911" t="str">
        <f>VLOOKUP(Table_Query_from_Actuarial___Production[[#This Row],[Kor1]],$AI$3:$AK$105,3,FALSE)</f>
        <v>ALAE Reserve</v>
      </c>
      <c r="X8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1"/>
      <c r="Z8911" t="s">
        <v>10</v>
      </c>
      <c r="AA8911" t="s">
        <v>260</v>
      </c>
      <c r="AB8911" t="s">
        <v>441</v>
      </c>
      <c r="AC8911" s="21">
        <v>4361.7</v>
      </c>
      <c r="AD8911" s="21" t="s">
        <v>368</v>
      </c>
      <c r="AE8911" t="str">
        <f>VLOOKUP(Table_Query_from_Actuarial___Production3[[#This Row],[Kor1]],$AI$3:$AK$105,3,FALSE)</f>
        <v>Commissions</v>
      </c>
      <c r="AF8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2" spans="18:32" x14ac:dyDescent="0.2">
      <c r="R8912" t="s">
        <v>33</v>
      </c>
      <c r="S8912" t="s">
        <v>240</v>
      </c>
      <c r="T8912" t="s">
        <v>433</v>
      </c>
      <c r="U8912" s="21">
        <v>14087.24</v>
      </c>
      <c r="V8912" s="21" t="s">
        <v>368</v>
      </c>
      <c r="W8912" t="str">
        <f>VLOOKUP(Table_Query_from_Actuarial___Production[[#This Row],[Kor1]],$AI$3:$AK$105,3,FALSE)</f>
        <v>Misc. Expense</v>
      </c>
      <c r="X8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2"/>
      <c r="Z8912" t="s">
        <v>14</v>
      </c>
      <c r="AA8912" t="s">
        <v>268</v>
      </c>
      <c r="AB8912" t="s">
        <v>442</v>
      </c>
      <c r="AC8912" s="21">
        <v>17006.78</v>
      </c>
      <c r="AD8912" s="21" t="s">
        <v>368</v>
      </c>
      <c r="AE8912" t="str">
        <f>VLOOKUP(Table_Query_from_Actuarial___Production3[[#This Row],[Kor1]],$AI$3:$AK$105,3,FALSE)</f>
        <v>Claims Expense</v>
      </c>
      <c r="AF8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3" spans="18:32" x14ac:dyDescent="0.2">
      <c r="R8913" t="s">
        <v>20</v>
      </c>
      <c r="S8913" t="s">
        <v>262</v>
      </c>
      <c r="T8913" t="s">
        <v>445</v>
      </c>
      <c r="U8913" s="21">
        <v>28.48</v>
      </c>
      <c r="V8913" s="21" t="s">
        <v>368</v>
      </c>
      <c r="W8913" t="str">
        <f>VLOOKUP(Table_Query_from_Actuarial___Production[[#This Row],[Kor1]],$AI$3:$AK$105,3,FALSE)</f>
        <v>Misc. Expense</v>
      </c>
      <c r="X8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3"/>
      <c r="Z8913" t="s">
        <v>3</v>
      </c>
      <c r="AA8913" t="s">
        <v>255</v>
      </c>
      <c r="AB8913" t="s">
        <v>427</v>
      </c>
      <c r="AC8913" s="21">
        <v>401785</v>
      </c>
      <c r="AD8913" s="21" t="s">
        <v>368</v>
      </c>
      <c r="AE8913" t="str">
        <f>VLOOKUP(Table_Query_from_Actuarial___Production3[[#This Row],[Kor1]],$AI$3:$AK$105,3,FALSE)</f>
        <v>Premiums Written</v>
      </c>
      <c r="AF8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4" spans="18:32" x14ac:dyDescent="0.2">
      <c r="R8914" t="s">
        <v>34</v>
      </c>
      <c r="S8914" t="s">
        <v>239</v>
      </c>
      <c r="T8914" t="s">
        <v>433</v>
      </c>
      <c r="U8914" s="21">
        <v>44.27</v>
      </c>
      <c r="V8914" s="21" t="s">
        <v>368</v>
      </c>
      <c r="W8914" t="str">
        <f>VLOOKUP(Table_Query_from_Actuarial___Production[[#This Row],[Kor1]],$AI$3:$AK$105,3,FALSE)</f>
        <v>Misc. Expense</v>
      </c>
      <c r="X8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4"/>
      <c r="Z8914" t="s">
        <v>14</v>
      </c>
      <c r="AA8914" t="s">
        <v>235</v>
      </c>
      <c r="AB8914" t="s">
        <v>5</v>
      </c>
      <c r="AC8914" s="21">
        <v>11360.27</v>
      </c>
      <c r="AD8914" s="21" t="s">
        <v>368</v>
      </c>
      <c r="AE8914" t="str">
        <f>VLOOKUP(Table_Query_from_Actuarial___Production3[[#This Row],[Kor1]],$AI$3:$AK$105,3,FALSE)</f>
        <v>Claims Expense</v>
      </c>
      <c r="AF8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5" spans="18:32" x14ac:dyDescent="0.2">
      <c r="R8915" t="s">
        <v>3</v>
      </c>
      <c r="S8915" t="s">
        <v>245</v>
      </c>
      <c r="T8915" t="s">
        <v>351</v>
      </c>
      <c r="U8915" s="21">
        <v>2105</v>
      </c>
      <c r="V8915" s="21" t="s">
        <v>368</v>
      </c>
      <c r="W8915" t="str">
        <f>VLOOKUP(Table_Query_from_Actuarial___Production[[#This Row],[Kor1]],$AI$3:$AK$105,3,FALSE)</f>
        <v>Premiums Written</v>
      </c>
      <c r="X8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5"/>
      <c r="Z8915" t="s">
        <v>10</v>
      </c>
      <c r="AA8915" t="s">
        <v>239</v>
      </c>
      <c r="AB8915" t="s">
        <v>427</v>
      </c>
      <c r="AC8915" s="21">
        <v>78424.100000000006</v>
      </c>
      <c r="AD8915" s="21" t="s">
        <v>368</v>
      </c>
      <c r="AE8915" t="str">
        <f>VLOOKUP(Table_Query_from_Actuarial___Production3[[#This Row],[Kor1]],$AI$3:$AK$105,3,FALSE)</f>
        <v>Commissions</v>
      </c>
      <c r="AF8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6" spans="18:32" x14ac:dyDescent="0.2">
      <c r="R8916" t="s">
        <v>19</v>
      </c>
      <c r="S8916" t="s">
        <v>248</v>
      </c>
      <c r="T8916" t="s">
        <v>6</v>
      </c>
      <c r="U8916" s="21">
        <v>3</v>
      </c>
      <c r="V8916" s="21" t="s">
        <v>368</v>
      </c>
      <c r="W8916" t="str">
        <f>VLOOKUP(Table_Query_from_Actuarial___Production[[#This Row],[Kor1]],$AI$3:$AK$105,3,FALSE)</f>
        <v>Misc. Expense for Insolvent Companies</v>
      </c>
      <c r="X8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6"/>
      <c r="Z8916" t="s">
        <v>40</v>
      </c>
      <c r="AA8916" t="s">
        <v>240</v>
      </c>
      <c r="AB8916" t="s">
        <v>9</v>
      </c>
      <c r="AC8916" s="21">
        <v>206.98</v>
      </c>
      <c r="AD8916" s="21" t="s">
        <v>368</v>
      </c>
      <c r="AE8916" t="str">
        <f>VLOOKUP(Table_Query_from_Actuarial___Production3[[#This Row],[Kor1]],$AI$3:$AK$105,3,FALSE)</f>
        <v>Misc. Income</v>
      </c>
      <c r="AF8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7" spans="18:32" x14ac:dyDescent="0.2">
      <c r="R8917" t="s">
        <v>13</v>
      </c>
      <c r="S8917" t="s">
        <v>354</v>
      </c>
      <c r="T8917" t="s">
        <v>445</v>
      </c>
      <c r="U8917" s="21">
        <v>19365487.91</v>
      </c>
      <c r="V8917" s="21" t="s">
        <v>368</v>
      </c>
      <c r="W8917" t="str">
        <f>VLOOKUP(Table_Query_from_Actuarial___Production[[#This Row],[Kor1]],$AI$3:$AK$105,3,FALSE)</f>
        <v>Operating Service Fees</v>
      </c>
      <c r="X8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917"/>
      <c r="Z8917" t="s">
        <v>43</v>
      </c>
      <c r="AA8917" t="s">
        <v>4</v>
      </c>
      <c r="AB8917" t="s">
        <v>442</v>
      </c>
      <c r="AC8917" s="21">
        <v>9987.4</v>
      </c>
      <c r="AD8917" s="21" t="s">
        <v>368</v>
      </c>
      <c r="AE8917" t="str">
        <f>VLOOKUP(Table_Query_from_Actuarial___Production3[[#This Row],[Kor1]],$AI$3:$AK$105,3,FALSE)</f>
        <v>Charge-offs</v>
      </c>
      <c r="AF8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8" spans="18:32" x14ac:dyDescent="0.2">
      <c r="R8918" t="s">
        <v>46</v>
      </c>
      <c r="S8918" t="s">
        <v>224</v>
      </c>
      <c r="T8918" t="s">
        <v>445</v>
      </c>
      <c r="U8918" s="21">
        <v>25705.33</v>
      </c>
      <c r="V8918" s="21" t="s">
        <v>370</v>
      </c>
      <c r="W8918" t="str">
        <f>VLOOKUP(Table_Query_from_Actuarial___Production[[#This Row],[Kor1]],$AI$3:$AK$105,3,FALSE)</f>
        <v>Investment Income</v>
      </c>
      <c r="X8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918"/>
      <c r="Z8918" t="s">
        <v>50</v>
      </c>
      <c r="AA8918" t="s">
        <v>246</v>
      </c>
      <c r="AB8918" t="s">
        <v>441</v>
      </c>
      <c r="AC8918" s="21">
        <v>163845.81</v>
      </c>
      <c r="AD8918" s="21" t="s">
        <v>368</v>
      </c>
      <c r="AE8918" t="str">
        <f>VLOOKUP(Table_Query_from_Actuarial___Production3[[#This Row],[Kor1]],$AI$3:$AK$105,3,FALSE)</f>
        <v>ALAE Reserve</v>
      </c>
      <c r="AF8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19" spans="18:32" x14ac:dyDescent="0.2">
      <c r="R8919" t="s">
        <v>41</v>
      </c>
      <c r="S8919" t="s">
        <v>261</v>
      </c>
      <c r="T8919" t="s">
        <v>351</v>
      </c>
      <c r="U8919" s="21">
        <v>915.69</v>
      </c>
      <c r="V8919" s="21" t="s">
        <v>368</v>
      </c>
      <c r="W8919" t="str">
        <f>VLOOKUP(Table_Query_from_Actuarial___Production[[#This Row],[Kor1]],$AI$3:$AK$105,3,FALSE)</f>
        <v>Misc. Income</v>
      </c>
      <c r="X8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19"/>
      <c r="Z8919" t="s">
        <v>33</v>
      </c>
      <c r="AA8919" t="s">
        <v>240</v>
      </c>
      <c r="AB8919" t="s">
        <v>433</v>
      </c>
      <c r="AC8919" s="21">
        <v>14087.24</v>
      </c>
      <c r="AD8919" s="21" t="s">
        <v>368</v>
      </c>
      <c r="AE8919" t="str">
        <f>VLOOKUP(Table_Query_from_Actuarial___Production3[[#This Row],[Kor1]],$AI$3:$AK$105,3,FALSE)</f>
        <v>Misc. Expense</v>
      </c>
      <c r="AF8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0" spans="18:32" x14ac:dyDescent="0.2">
      <c r="R8920" t="s">
        <v>50</v>
      </c>
      <c r="S8920" t="s">
        <v>264</v>
      </c>
      <c r="T8920" t="s">
        <v>442</v>
      </c>
      <c r="U8920" s="21">
        <v>164955.09</v>
      </c>
      <c r="V8920" s="21" t="s">
        <v>368</v>
      </c>
      <c r="W8920" t="str">
        <f>VLOOKUP(Table_Query_from_Actuarial___Production[[#This Row],[Kor1]],$AI$3:$AK$105,3,FALSE)</f>
        <v>ALAE Reserve</v>
      </c>
      <c r="X8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0"/>
      <c r="Z8920" t="s">
        <v>34</v>
      </c>
      <c r="AA8920" t="s">
        <v>239</v>
      </c>
      <c r="AB8920" t="s">
        <v>433</v>
      </c>
      <c r="AC8920" s="21">
        <v>44.27</v>
      </c>
      <c r="AD8920" s="21" t="s">
        <v>368</v>
      </c>
      <c r="AE8920" t="str">
        <f>VLOOKUP(Table_Query_from_Actuarial___Production3[[#This Row],[Kor1]],$AI$3:$AK$105,3,FALSE)</f>
        <v>Misc. Expense</v>
      </c>
      <c r="AF8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1" spans="18:32" x14ac:dyDescent="0.2">
      <c r="R8921" t="s">
        <v>33</v>
      </c>
      <c r="S8921" t="s">
        <v>235</v>
      </c>
      <c r="T8921" t="s">
        <v>7</v>
      </c>
      <c r="U8921" s="21">
        <v>13864.91</v>
      </c>
      <c r="V8921" s="21" t="s">
        <v>368</v>
      </c>
      <c r="W8921" t="str">
        <f>VLOOKUP(Table_Query_from_Actuarial___Production[[#This Row],[Kor1]],$AI$3:$AK$105,3,FALSE)</f>
        <v>Misc. Expense</v>
      </c>
      <c r="X8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1"/>
      <c r="Z8921" t="s">
        <v>3</v>
      </c>
      <c r="AA8921" t="s">
        <v>245</v>
      </c>
      <c r="AB8921" t="s">
        <v>351</v>
      </c>
      <c r="AC8921" s="21">
        <v>2105</v>
      </c>
      <c r="AD8921" s="21" t="s">
        <v>368</v>
      </c>
      <c r="AE8921" t="str">
        <f>VLOOKUP(Table_Query_from_Actuarial___Production3[[#This Row],[Kor1]],$AI$3:$AK$105,3,FALSE)</f>
        <v>Premiums Written</v>
      </c>
      <c r="AF8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2" spans="18:32" x14ac:dyDescent="0.2">
      <c r="R8922" t="s">
        <v>43</v>
      </c>
      <c r="S8922" t="s">
        <v>250</v>
      </c>
      <c r="T8922" t="s">
        <v>433</v>
      </c>
      <c r="U8922" s="21">
        <v>-1.1000000000000001</v>
      </c>
      <c r="V8922" s="21" t="s">
        <v>368</v>
      </c>
      <c r="W8922" t="str">
        <f>VLOOKUP(Table_Query_from_Actuarial___Production[[#This Row],[Kor1]],$AI$3:$AK$105,3,FALSE)</f>
        <v>Charge-offs</v>
      </c>
      <c r="X8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2"/>
      <c r="Z8922" t="s">
        <v>10</v>
      </c>
      <c r="AA8922" t="s">
        <v>252</v>
      </c>
      <c r="AB8922" t="s">
        <v>5</v>
      </c>
      <c r="AC8922" s="21">
        <v>341157.3</v>
      </c>
      <c r="AD8922" s="21" t="s">
        <v>368</v>
      </c>
      <c r="AE8922" t="str">
        <f>VLOOKUP(Table_Query_from_Actuarial___Production3[[#This Row],[Kor1]],$AI$3:$AK$105,3,FALSE)</f>
        <v>Commissions</v>
      </c>
      <c r="AF8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3" spans="18:32" x14ac:dyDescent="0.2">
      <c r="R8923" t="s">
        <v>37</v>
      </c>
      <c r="S8923" t="s">
        <v>267</v>
      </c>
      <c r="T8923" t="s">
        <v>356</v>
      </c>
      <c r="U8923" s="21">
        <v>0.64</v>
      </c>
      <c r="V8923" s="21" t="s">
        <v>368</v>
      </c>
      <c r="W8923" t="str">
        <f>VLOOKUP(Table_Query_from_Actuarial___Production[[#This Row],[Kor1]],$AI$3:$AK$105,3,FALSE)</f>
        <v>Misc. Expense</v>
      </c>
      <c r="X8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3"/>
      <c r="Z8923" t="s">
        <v>19</v>
      </c>
      <c r="AA8923" t="s">
        <v>248</v>
      </c>
      <c r="AB8923" t="s">
        <v>6</v>
      </c>
      <c r="AC8923" s="21">
        <v>3</v>
      </c>
      <c r="AD8923" s="21" t="s">
        <v>368</v>
      </c>
      <c r="AE8923" t="str">
        <f>VLOOKUP(Table_Query_from_Actuarial___Production3[[#This Row],[Kor1]],$AI$3:$AK$105,3,FALSE)</f>
        <v>Misc. Expense for Insolvent Companies</v>
      </c>
      <c r="AF8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4" spans="18:32" x14ac:dyDescent="0.2">
      <c r="R8924" t="s">
        <v>47</v>
      </c>
      <c r="S8924" t="s">
        <v>264</v>
      </c>
      <c r="T8924" t="s">
        <v>443</v>
      </c>
      <c r="U8924" s="21">
        <v>20071.53</v>
      </c>
      <c r="V8924" s="21" t="s">
        <v>368</v>
      </c>
      <c r="W8924" t="str">
        <f>VLOOKUP(Table_Query_from_Actuarial___Production[[#This Row],[Kor1]],$AI$3:$AK$105,3,FALSE)</f>
        <v>Investment Income</v>
      </c>
      <c r="X8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4"/>
      <c r="Z8924" t="s">
        <v>22</v>
      </c>
      <c r="AA8924" t="s">
        <v>250</v>
      </c>
      <c r="AB8924" t="s">
        <v>5</v>
      </c>
      <c r="AC8924" s="21">
        <v>-131.13</v>
      </c>
      <c r="AD8924" s="21" t="s">
        <v>368</v>
      </c>
      <c r="AE8924" t="str">
        <f>VLOOKUP(Table_Query_from_Actuarial___Production3[[#This Row],[Kor1]],$AI$3:$AK$105,3,FALSE)</f>
        <v>Misc. Expense</v>
      </c>
      <c r="AF8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5" spans="18:32" x14ac:dyDescent="0.2">
      <c r="R8925" t="s">
        <v>11</v>
      </c>
      <c r="S8925" t="s">
        <v>226</v>
      </c>
      <c r="T8925" t="s">
        <v>427</v>
      </c>
      <c r="U8925" s="21">
        <v>1031239.05</v>
      </c>
      <c r="V8925" s="21" t="s">
        <v>368</v>
      </c>
      <c r="W8925" t="str">
        <f>VLOOKUP(Table_Query_from_Actuarial___Production[[#This Row],[Kor1]],$AI$3:$AK$105,3,FALSE)</f>
        <v>Losses Paid</v>
      </c>
      <c r="X8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925"/>
      <c r="Z8925" t="s">
        <v>41</v>
      </c>
      <c r="AA8925" t="s">
        <v>261</v>
      </c>
      <c r="AB8925" t="s">
        <v>351</v>
      </c>
      <c r="AC8925" s="21">
        <v>915.69</v>
      </c>
      <c r="AD8925" s="21" t="s">
        <v>368</v>
      </c>
      <c r="AE8925" t="str">
        <f>VLOOKUP(Table_Query_from_Actuarial___Production3[[#This Row],[Kor1]],$AI$3:$AK$105,3,FALSE)</f>
        <v>Misc. Income</v>
      </c>
      <c r="AF8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6" spans="18:32" x14ac:dyDescent="0.2">
      <c r="R8926" t="s">
        <v>44</v>
      </c>
      <c r="S8926" t="s">
        <v>265</v>
      </c>
      <c r="T8926" t="s">
        <v>7</v>
      </c>
      <c r="U8926" s="21">
        <v>342.2</v>
      </c>
      <c r="V8926" s="21" t="s">
        <v>368</v>
      </c>
      <c r="W8926" t="str">
        <f>VLOOKUP(Table_Query_from_Actuarial___Production[[#This Row],[Kor1]],$AI$3:$AK$105,3,FALSE)</f>
        <v>Charge-offs</v>
      </c>
      <c r="X8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6"/>
      <c r="Z8926" t="s">
        <v>50</v>
      </c>
      <c r="AA8926" t="s">
        <v>264</v>
      </c>
      <c r="AB8926" t="s">
        <v>442</v>
      </c>
      <c r="AC8926" s="21">
        <v>114750.72</v>
      </c>
      <c r="AD8926" s="21" t="s">
        <v>368</v>
      </c>
      <c r="AE8926" t="str">
        <f>VLOOKUP(Table_Query_from_Actuarial___Production3[[#This Row],[Kor1]],$AI$3:$AK$105,3,FALSE)</f>
        <v>ALAE Reserve</v>
      </c>
      <c r="AF8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7" spans="18:32" x14ac:dyDescent="0.2">
      <c r="R8927" t="s">
        <v>11</v>
      </c>
      <c r="S8927" t="s">
        <v>244</v>
      </c>
      <c r="T8927" t="s">
        <v>7</v>
      </c>
      <c r="U8927" s="21">
        <v>775641.5</v>
      </c>
      <c r="V8927" s="21" t="s">
        <v>368</v>
      </c>
      <c r="W8927" t="str">
        <f>VLOOKUP(Table_Query_from_Actuarial___Production[[#This Row],[Kor1]],$AI$3:$AK$105,3,FALSE)</f>
        <v>Losses Paid</v>
      </c>
      <c r="X8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7"/>
      <c r="Z8927" t="s">
        <v>33</v>
      </c>
      <c r="AA8927" t="s">
        <v>235</v>
      </c>
      <c r="AB8927" t="s">
        <v>7</v>
      </c>
      <c r="AC8927" s="21">
        <v>13864.91</v>
      </c>
      <c r="AD8927" s="21" t="s">
        <v>368</v>
      </c>
      <c r="AE8927" t="str">
        <f>VLOOKUP(Table_Query_from_Actuarial___Production3[[#This Row],[Kor1]],$AI$3:$AK$105,3,FALSE)</f>
        <v>Misc. Expense</v>
      </c>
      <c r="AF8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8" spans="18:32" x14ac:dyDescent="0.2">
      <c r="R8928" t="s">
        <v>20</v>
      </c>
      <c r="S8928" t="s">
        <v>247</v>
      </c>
      <c r="T8928" t="s">
        <v>427</v>
      </c>
      <c r="U8928" s="21">
        <v>85.11</v>
      </c>
      <c r="V8928" s="21" t="s">
        <v>368</v>
      </c>
      <c r="W8928" t="str">
        <f>VLOOKUP(Table_Query_from_Actuarial___Production[[#This Row],[Kor1]],$AI$3:$AK$105,3,FALSE)</f>
        <v>Misc. Expense</v>
      </c>
      <c r="X8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8"/>
      <c r="Z8928" t="s">
        <v>43</v>
      </c>
      <c r="AA8928" t="s">
        <v>250</v>
      </c>
      <c r="AB8928" t="s">
        <v>433</v>
      </c>
      <c r="AC8928" s="21">
        <v>-1.1000000000000001</v>
      </c>
      <c r="AD8928" s="21" t="s">
        <v>368</v>
      </c>
      <c r="AE8928" t="str">
        <f>VLOOKUP(Table_Query_from_Actuarial___Production3[[#This Row],[Kor1]],$AI$3:$AK$105,3,FALSE)</f>
        <v>Charge-offs</v>
      </c>
      <c r="AF8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29" spans="18:32" x14ac:dyDescent="0.2">
      <c r="R8929" t="s">
        <v>10</v>
      </c>
      <c r="S8929" t="s">
        <v>227</v>
      </c>
      <c r="T8929" t="s">
        <v>427</v>
      </c>
      <c r="U8929" s="21">
        <v>321.8</v>
      </c>
      <c r="V8929" s="21" t="s">
        <v>368</v>
      </c>
      <c r="W8929" t="str">
        <f>VLOOKUP(Table_Query_from_Actuarial___Production[[#This Row],[Kor1]],$AI$3:$AK$105,3,FALSE)</f>
        <v>Commissions</v>
      </c>
      <c r="X8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29"/>
      <c r="Z8929" t="s">
        <v>37</v>
      </c>
      <c r="AA8929" t="s">
        <v>267</v>
      </c>
      <c r="AB8929" t="s">
        <v>356</v>
      </c>
      <c r="AC8929" s="21">
        <v>0.64</v>
      </c>
      <c r="AD8929" s="21" t="s">
        <v>368</v>
      </c>
      <c r="AE8929" t="str">
        <f>VLOOKUP(Table_Query_from_Actuarial___Production3[[#This Row],[Kor1]],$AI$3:$AK$105,3,FALSE)</f>
        <v>Misc. Expense</v>
      </c>
      <c r="AF8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0" spans="18:32" x14ac:dyDescent="0.2">
      <c r="R8930" t="s">
        <v>77</v>
      </c>
      <c r="S8930" t="s">
        <v>242</v>
      </c>
      <c r="T8930" t="s">
        <v>445</v>
      </c>
      <c r="U8930" s="21">
        <v>116583</v>
      </c>
      <c r="V8930" s="21" t="s">
        <v>368</v>
      </c>
      <c r="W8930" t="str">
        <f>VLOOKUP(Table_Query_from_Actuarial___Production[[#This Row],[Kor1]],$AI$3:$AK$105,3,FALSE)</f>
        <v>PDR</v>
      </c>
      <c r="X8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0"/>
      <c r="Z8930" t="s">
        <v>47</v>
      </c>
      <c r="AA8930" t="s">
        <v>264</v>
      </c>
      <c r="AB8930" t="s">
        <v>443</v>
      </c>
      <c r="AC8930" s="21">
        <v>6342.38</v>
      </c>
      <c r="AD8930" s="21" t="s">
        <v>368</v>
      </c>
      <c r="AE8930" t="str">
        <f>VLOOKUP(Table_Query_from_Actuarial___Production3[[#This Row],[Kor1]],$AI$3:$AK$105,3,FALSE)</f>
        <v>Investment Income</v>
      </c>
      <c r="AF8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1" spans="18:32" x14ac:dyDescent="0.2">
      <c r="R8931" t="s">
        <v>48</v>
      </c>
      <c r="S8931" t="s">
        <v>354</v>
      </c>
      <c r="T8931" t="s">
        <v>8</v>
      </c>
      <c r="U8931" s="21">
        <v>33744.910000000003</v>
      </c>
      <c r="V8931" s="21" t="s">
        <v>369</v>
      </c>
      <c r="W8931" t="str">
        <f>VLOOKUP(Table_Query_from_Actuarial___Production[[#This Row],[Kor1]],$AI$3:$AK$105,3,FALSE)</f>
        <v>Anticipated Salvage</v>
      </c>
      <c r="X8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931"/>
      <c r="Z8931" t="s">
        <v>11</v>
      </c>
      <c r="AA8931" t="s">
        <v>226</v>
      </c>
      <c r="AB8931" t="s">
        <v>427</v>
      </c>
      <c r="AC8931" s="21">
        <v>962354.88</v>
      </c>
      <c r="AD8931" s="21" t="s">
        <v>368</v>
      </c>
      <c r="AE8931" t="str">
        <f>VLOOKUP(Table_Query_from_Actuarial___Production3[[#This Row],[Kor1]],$AI$3:$AK$105,3,FALSE)</f>
        <v>Losses Paid</v>
      </c>
      <c r="AF8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932" spans="18:32" x14ac:dyDescent="0.2">
      <c r="R8932" t="s">
        <v>46</v>
      </c>
      <c r="S8932" t="s">
        <v>352</v>
      </c>
      <c r="T8932" t="s">
        <v>6</v>
      </c>
      <c r="U8932" s="21">
        <v>0.72</v>
      </c>
      <c r="V8932" s="21" t="s">
        <v>368</v>
      </c>
      <c r="W8932" t="str">
        <f>VLOOKUP(Table_Query_from_Actuarial___Production[[#This Row],[Kor1]],$AI$3:$AK$105,3,FALSE)</f>
        <v>Investment Income</v>
      </c>
      <c r="X8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8932"/>
      <c r="Z8932" t="s">
        <v>44</v>
      </c>
      <c r="AA8932" t="s">
        <v>265</v>
      </c>
      <c r="AB8932" t="s">
        <v>7</v>
      </c>
      <c r="AC8932" s="21">
        <v>342.2</v>
      </c>
      <c r="AD8932" s="21" t="s">
        <v>368</v>
      </c>
      <c r="AE8932" t="str">
        <f>VLOOKUP(Table_Query_from_Actuarial___Production3[[#This Row],[Kor1]],$AI$3:$AK$105,3,FALSE)</f>
        <v>Charge-offs</v>
      </c>
      <c r="AF8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3" spans="18:32" x14ac:dyDescent="0.2">
      <c r="R8933" t="s">
        <v>31</v>
      </c>
      <c r="S8933" t="s">
        <v>261</v>
      </c>
      <c r="T8933" t="s">
        <v>443</v>
      </c>
      <c r="U8933" s="21">
        <v>1146.21</v>
      </c>
      <c r="V8933" s="21" t="s">
        <v>368</v>
      </c>
      <c r="W8933" t="str">
        <f>VLOOKUP(Table_Query_from_Actuarial___Production[[#This Row],[Kor1]],$AI$3:$AK$105,3,FALSE)</f>
        <v>Misc. Expense</v>
      </c>
      <c r="X8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3"/>
      <c r="Z8933" t="s">
        <v>11</v>
      </c>
      <c r="AA8933" t="s">
        <v>244</v>
      </c>
      <c r="AB8933" t="s">
        <v>7</v>
      </c>
      <c r="AC8933" s="21">
        <v>775641.5</v>
      </c>
      <c r="AD8933" s="21" t="s">
        <v>368</v>
      </c>
      <c r="AE8933" t="str">
        <f>VLOOKUP(Table_Query_from_Actuarial___Production3[[#This Row],[Kor1]],$AI$3:$AK$105,3,FALSE)</f>
        <v>Losses Paid</v>
      </c>
      <c r="AF8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4" spans="18:32" x14ac:dyDescent="0.2">
      <c r="R8934" t="s">
        <v>47</v>
      </c>
      <c r="S8934" t="s">
        <v>253</v>
      </c>
      <c r="T8934" t="s">
        <v>441</v>
      </c>
      <c r="U8934" s="21">
        <v>2.57</v>
      </c>
      <c r="V8934" s="21" t="s">
        <v>368</v>
      </c>
      <c r="W8934" t="str">
        <f>VLOOKUP(Table_Query_from_Actuarial___Production[[#This Row],[Kor1]],$AI$3:$AK$105,3,FALSE)</f>
        <v>Investment Income</v>
      </c>
      <c r="X8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4"/>
      <c r="Z8934" t="s">
        <v>20</v>
      </c>
      <c r="AA8934" t="s">
        <v>247</v>
      </c>
      <c r="AB8934" t="s">
        <v>427</v>
      </c>
      <c r="AC8934" s="21">
        <v>85.11</v>
      </c>
      <c r="AD8934" s="21" t="s">
        <v>368</v>
      </c>
      <c r="AE8934" t="str">
        <f>VLOOKUP(Table_Query_from_Actuarial___Production3[[#This Row],[Kor1]],$AI$3:$AK$105,3,FALSE)</f>
        <v>Misc. Expense</v>
      </c>
      <c r="AF8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5" spans="18:32" x14ac:dyDescent="0.2">
      <c r="R8935" t="s">
        <v>77</v>
      </c>
      <c r="S8935" t="s">
        <v>231</v>
      </c>
      <c r="T8935" t="s">
        <v>445</v>
      </c>
      <c r="U8935" s="21">
        <v>67268</v>
      </c>
      <c r="V8935" s="21" t="s">
        <v>368</v>
      </c>
      <c r="W8935" t="str">
        <f>VLOOKUP(Table_Query_from_Actuarial___Production[[#This Row],[Kor1]],$AI$3:$AK$105,3,FALSE)</f>
        <v>PDR</v>
      </c>
      <c r="X8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5"/>
      <c r="Z8935" t="s">
        <v>10</v>
      </c>
      <c r="AA8935" t="s">
        <v>227</v>
      </c>
      <c r="AB8935" t="s">
        <v>427</v>
      </c>
      <c r="AC8935" s="21">
        <v>321.8</v>
      </c>
      <c r="AD8935" s="21" t="s">
        <v>368</v>
      </c>
      <c r="AE8935" t="str">
        <f>VLOOKUP(Table_Query_from_Actuarial___Production3[[#This Row],[Kor1]],$AI$3:$AK$105,3,FALSE)</f>
        <v>Commissions</v>
      </c>
      <c r="AF8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6" spans="18:32" x14ac:dyDescent="0.2">
      <c r="R8936" t="s">
        <v>12</v>
      </c>
      <c r="S8936" t="s">
        <v>241</v>
      </c>
      <c r="T8936" t="s">
        <v>9</v>
      </c>
      <c r="U8936" s="21">
        <v>16868.98</v>
      </c>
      <c r="V8936" s="21" t="s">
        <v>368</v>
      </c>
      <c r="W8936" t="str">
        <f>VLOOKUP(Table_Query_from_Actuarial___Production[[#This Row],[Kor1]],$AI$3:$AK$105,3,FALSE)</f>
        <v>Premium Tax</v>
      </c>
      <c r="X8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6"/>
      <c r="Z8936" t="s">
        <v>48</v>
      </c>
      <c r="AA8936" t="s">
        <v>354</v>
      </c>
      <c r="AB8936" t="s">
        <v>8</v>
      </c>
      <c r="AC8936" s="21">
        <v>58466.06</v>
      </c>
      <c r="AD8936" s="21" t="s">
        <v>369</v>
      </c>
      <c r="AE8936" t="str">
        <f>VLOOKUP(Table_Query_from_Actuarial___Production3[[#This Row],[Kor1]],$AI$3:$AK$105,3,FALSE)</f>
        <v>Anticipated Salvage</v>
      </c>
      <c r="AF8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8937" spans="18:32" x14ac:dyDescent="0.2">
      <c r="R8937" t="s">
        <v>47</v>
      </c>
      <c r="S8937" t="s">
        <v>247</v>
      </c>
      <c r="T8937" t="s">
        <v>441</v>
      </c>
      <c r="U8937" s="21">
        <v>2.87</v>
      </c>
      <c r="V8937" s="21" t="s">
        <v>368</v>
      </c>
      <c r="W8937" t="str">
        <f>VLOOKUP(Table_Query_from_Actuarial___Production[[#This Row],[Kor1]],$AI$3:$AK$105,3,FALSE)</f>
        <v>Investment Income</v>
      </c>
      <c r="X8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7"/>
      <c r="Z8937" t="s">
        <v>46</v>
      </c>
      <c r="AA8937" t="s">
        <v>352</v>
      </c>
      <c r="AB8937" t="s">
        <v>6</v>
      </c>
      <c r="AC8937" s="21">
        <v>0.72</v>
      </c>
      <c r="AD8937" s="21" t="s">
        <v>368</v>
      </c>
      <c r="AE8937" t="str">
        <f>VLOOKUP(Table_Query_from_Actuarial___Production3[[#This Row],[Kor1]],$AI$3:$AK$105,3,FALSE)</f>
        <v>Investment Income</v>
      </c>
      <c r="AF8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8938" spans="18:32" x14ac:dyDescent="0.2">
      <c r="R8938" t="s">
        <v>47</v>
      </c>
      <c r="S8938" t="s">
        <v>236</v>
      </c>
      <c r="T8938" t="s">
        <v>441</v>
      </c>
      <c r="U8938" s="21">
        <v>2.5299999999999998</v>
      </c>
      <c r="V8938" s="21" t="s">
        <v>368</v>
      </c>
      <c r="W8938" t="str">
        <f>VLOOKUP(Table_Query_from_Actuarial___Production[[#This Row],[Kor1]],$AI$3:$AK$105,3,FALSE)</f>
        <v>Investment Income</v>
      </c>
      <c r="X8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8"/>
      <c r="Z8938" t="s">
        <v>10</v>
      </c>
      <c r="AA8938" t="s">
        <v>260</v>
      </c>
      <c r="AB8938" t="s">
        <v>5</v>
      </c>
      <c r="AC8938" s="21">
        <v>627.6</v>
      </c>
      <c r="AD8938" s="21" t="s">
        <v>368</v>
      </c>
      <c r="AE8938" t="str">
        <f>VLOOKUP(Table_Query_from_Actuarial___Production3[[#This Row],[Kor1]],$AI$3:$AK$105,3,FALSE)</f>
        <v>Commissions</v>
      </c>
      <c r="AF8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39" spans="18:32" x14ac:dyDescent="0.2">
      <c r="R8939" t="s">
        <v>50</v>
      </c>
      <c r="S8939" t="s">
        <v>4</v>
      </c>
      <c r="T8939" t="s">
        <v>356</v>
      </c>
      <c r="U8939" s="21">
        <v>231060.56</v>
      </c>
      <c r="V8939" s="21" t="s">
        <v>368</v>
      </c>
      <c r="W8939" t="str">
        <f>VLOOKUP(Table_Query_from_Actuarial___Production[[#This Row],[Kor1]],$AI$3:$AK$105,3,FALSE)</f>
        <v>ALAE Reserve</v>
      </c>
      <c r="X8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39"/>
      <c r="Z8939" t="s">
        <v>31</v>
      </c>
      <c r="AA8939" t="s">
        <v>261</v>
      </c>
      <c r="AB8939" t="s">
        <v>443</v>
      </c>
      <c r="AC8939" s="21">
        <v>735.53</v>
      </c>
      <c r="AD8939" s="21" t="s">
        <v>368</v>
      </c>
      <c r="AE8939" t="str">
        <f>VLOOKUP(Table_Query_from_Actuarial___Production3[[#This Row],[Kor1]],$AI$3:$AK$105,3,FALSE)</f>
        <v>Misc. Expense</v>
      </c>
      <c r="AF8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0" spans="18:32" x14ac:dyDescent="0.2">
      <c r="R8940" t="s">
        <v>3</v>
      </c>
      <c r="S8940" t="s">
        <v>255</v>
      </c>
      <c r="T8940" t="s">
        <v>7</v>
      </c>
      <c r="U8940" s="21">
        <v>142648</v>
      </c>
      <c r="V8940" s="21" t="s">
        <v>368</v>
      </c>
      <c r="W8940" t="str">
        <f>VLOOKUP(Table_Query_from_Actuarial___Production[[#This Row],[Kor1]],$AI$3:$AK$105,3,FALSE)</f>
        <v>Premiums Written</v>
      </c>
      <c r="X8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0"/>
      <c r="Z8940" t="s">
        <v>47</v>
      </c>
      <c r="AA8940" t="s">
        <v>253</v>
      </c>
      <c r="AB8940" t="s">
        <v>441</v>
      </c>
      <c r="AC8940" s="21">
        <v>2.57</v>
      </c>
      <c r="AD8940" s="21" t="s">
        <v>368</v>
      </c>
      <c r="AE8940" t="str">
        <f>VLOOKUP(Table_Query_from_Actuarial___Production3[[#This Row],[Kor1]],$AI$3:$AK$105,3,FALSE)</f>
        <v>Investment Income</v>
      </c>
      <c r="AF8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1" spans="18:32" x14ac:dyDescent="0.2">
      <c r="R8941" t="s">
        <v>31</v>
      </c>
      <c r="S8941" t="s">
        <v>252</v>
      </c>
      <c r="T8941" t="s">
        <v>433</v>
      </c>
      <c r="U8941" s="21">
        <v>52.22</v>
      </c>
      <c r="V8941" s="21" t="s">
        <v>368</v>
      </c>
      <c r="W8941" t="str">
        <f>VLOOKUP(Table_Query_from_Actuarial___Production[[#This Row],[Kor1]],$AI$3:$AK$105,3,FALSE)</f>
        <v>Misc. Expense</v>
      </c>
      <c r="X8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1"/>
      <c r="Z8941" t="s">
        <v>19</v>
      </c>
      <c r="AA8941" t="s">
        <v>240</v>
      </c>
      <c r="AB8941" t="s">
        <v>5</v>
      </c>
      <c r="AC8941" s="21">
        <v>2963.99</v>
      </c>
      <c r="AD8941" s="21" t="s">
        <v>368</v>
      </c>
      <c r="AE8941" t="str">
        <f>VLOOKUP(Table_Query_from_Actuarial___Production3[[#This Row],[Kor1]],$AI$3:$AK$105,3,FALSE)</f>
        <v>Misc. Expense for Insolvent Companies</v>
      </c>
      <c r="AF8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2" spans="18:32" x14ac:dyDescent="0.2">
      <c r="R8942" t="s">
        <v>39</v>
      </c>
      <c r="S8942" t="s">
        <v>264</v>
      </c>
      <c r="T8942" t="s">
        <v>6</v>
      </c>
      <c r="U8942" s="21">
        <v>678.46</v>
      </c>
      <c r="V8942" s="21" t="s">
        <v>368</v>
      </c>
      <c r="W8942" t="str">
        <f>VLOOKUP(Table_Query_from_Actuarial___Production[[#This Row],[Kor1]],$AI$3:$AK$105,3,FALSE)</f>
        <v>Misc. Income for Insolvent Companies</v>
      </c>
      <c r="X8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2"/>
      <c r="Z8942" t="s">
        <v>12</v>
      </c>
      <c r="AA8942" t="s">
        <v>241</v>
      </c>
      <c r="AB8942" t="s">
        <v>9</v>
      </c>
      <c r="AC8942" s="21">
        <v>16868.98</v>
      </c>
      <c r="AD8942" s="21" t="s">
        <v>368</v>
      </c>
      <c r="AE8942" t="str">
        <f>VLOOKUP(Table_Query_from_Actuarial___Production3[[#This Row],[Kor1]],$AI$3:$AK$105,3,FALSE)</f>
        <v>Premium Tax</v>
      </c>
      <c r="AF8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3" spans="18:32" x14ac:dyDescent="0.2">
      <c r="R8943" t="s">
        <v>11</v>
      </c>
      <c r="S8943" t="s">
        <v>238</v>
      </c>
      <c r="T8943" t="s">
        <v>9</v>
      </c>
      <c r="U8943" s="21">
        <v>875</v>
      </c>
      <c r="V8943" s="21" t="s">
        <v>368</v>
      </c>
      <c r="W8943" t="str">
        <f>VLOOKUP(Table_Query_from_Actuarial___Production[[#This Row],[Kor1]],$AI$3:$AK$105,3,FALSE)</f>
        <v>Losses Paid</v>
      </c>
      <c r="X8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3"/>
      <c r="Z8943" t="s">
        <v>47</v>
      </c>
      <c r="AA8943" t="s">
        <v>247</v>
      </c>
      <c r="AB8943" t="s">
        <v>441</v>
      </c>
      <c r="AC8943" s="21">
        <v>2.87</v>
      </c>
      <c r="AD8943" s="21" t="s">
        <v>368</v>
      </c>
      <c r="AE8943" t="str">
        <f>VLOOKUP(Table_Query_from_Actuarial___Production3[[#This Row],[Kor1]],$AI$3:$AK$105,3,FALSE)</f>
        <v>Investment Income</v>
      </c>
      <c r="AF8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4" spans="18:32" x14ac:dyDescent="0.2">
      <c r="R8944" t="s">
        <v>13</v>
      </c>
      <c r="S8944" t="s">
        <v>261</v>
      </c>
      <c r="T8944" t="s">
        <v>8</v>
      </c>
      <c r="U8944" s="21">
        <v>166560.32999999999</v>
      </c>
      <c r="V8944" s="21" t="s">
        <v>368</v>
      </c>
      <c r="W8944" t="str">
        <f>VLOOKUP(Table_Query_from_Actuarial___Production[[#This Row],[Kor1]],$AI$3:$AK$105,3,FALSE)</f>
        <v>Operating Service Fees</v>
      </c>
      <c r="X8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4"/>
      <c r="Z8944" t="s">
        <v>47</v>
      </c>
      <c r="AA8944" t="s">
        <v>236</v>
      </c>
      <c r="AB8944" t="s">
        <v>441</v>
      </c>
      <c r="AC8944" s="21">
        <v>2.5299999999999998</v>
      </c>
      <c r="AD8944" s="21" t="s">
        <v>368</v>
      </c>
      <c r="AE8944" t="str">
        <f>VLOOKUP(Table_Query_from_Actuarial___Production3[[#This Row],[Kor1]],$AI$3:$AK$105,3,FALSE)</f>
        <v>Investment Income</v>
      </c>
      <c r="AF8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5" spans="18:32" x14ac:dyDescent="0.2">
      <c r="R8945" t="s">
        <v>21</v>
      </c>
      <c r="S8945" t="s">
        <v>237</v>
      </c>
      <c r="T8945" t="s">
        <v>427</v>
      </c>
      <c r="U8945" s="21">
        <v>21234.67</v>
      </c>
      <c r="V8945" s="21" t="s">
        <v>368</v>
      </c>
      <c r="W8945" t="str">
        <f>VLOOKUP(Table_Query_from_Actuarial___Production[[#This Row],[Kor1]],$AI$3:$AK$105,3,FALSE)</f>
        <v>Misc. Expense</v>
      </c>
      <c r="X8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5"/>
      <c r="Z8945" t="s">
        <v>50</v>
      </c>
      <c r="AA8945" t="s">
        <v>4</v>
      </c>
      <c r="AB8945" t="s">
        <v>356</v>
      </c>
      <c r="AC8945" s="21">
        <v>269440.64000000001</v>
      </c>
      <c r="AD8945" s="21" t="s">
        <v>368</v>
      </c>
      <c r="AE8945" t="str">
        <f>VLOOKUP(Table_Query_from_Actuarial___Production3[[#This Row],[Kor1]],$AI$3:$AK$105,3,FALSE)</f>
        <v>ALAE Reserve</v>
      </c>
      <c r="AF8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6" spans="18:32" x14ac:dyDescent="0.2">
      <c r="R8946" t="s">
        <v>13</v>
      </c>
      <c r="S8946" t="s">
        <v>240</v>
      </c>
      <c r="T8946" t="s">
        <v>7</v>
      </c>
      <c r="U8946" s="21">
        <v>259549.39</v>
      </c>
      <c r="V8946" s="21" t="s">
        <v>368</v>
      </c>
      <c r="W8946" t="str">
        <f>VLOOKUP(Table_Query_from_Actuarial___Production[[#This Row],[Kor1]],$AI$3:$AK$105,3,FALSE)</f>
        <v>Operating Service Fees</v>
      </c>
      <c r="X8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6"/>
      <c r="Z8946" t="s">
        <v>3</v>
      </c>
      <c r="AA8946" t="s">
        <v>255</v>
      </c>
      <c r="AB8946" t="s">
        <v>7</v>
      </c>
      <c r="AC8946" s="21">
        <v>142648</v>
      </c>
      <c r="AD8946" s="21" t="s">
        <v>368</v>
      </c>
      <c r="AE8946" t="str">
        <f>VLOOKUP(Table_Query_from_Actuarial___Production3[[#This Row],[Kor1]],$AI$3:$AK$105,3,FALSE)</f>
        <v>Premiums Written</v>
      </c>
      <c r="AF8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7" spans="18:32" x14ac:dyDescent="0.2">
      <c r="R8947" t="s">
        <v>47</v>
      </c>
      <c r="S8947" t="s">
        <v>234</v>
      </c>
      <c r="T8947" t="s">
        <v>442</v>
      </c>
      <c r="U8947" s="21">
        <v>2902.32</v>
      </c>
      <c r="V8947" s="21" t="s">
        <v>368</v>
      </c>
      <c r="W8947" t="str">
        <f>VLOOKUP(Table_Query_from_Actuarial___Production[[#This Row],[Kor1]],$AI$3:$AK$105,3,FALSE)</f>
        <v>Investment Income</v>
      </c>
      <c r="X8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7"/>
      <c r="Z8947" t="s">
        <v>31</v>
      </c>
      <c r="AA8947" t="s">
        <v>252</v>
      </c>
      <c r="AB8947" t="s">
        <v>433</v>
      </c>
      <c r="AC8947" s="21">
        <v>52.22</v>
      </c>
      <c r="AD8947" s="21" t="s">
        <v>368</v>
      </c>
      <c r="AE8947" t="str">
        <f>VLOOKUP(Table_Query_from_Actuarial___Production3[[#This Row],[Kor1]],$AI$3:$AK$105,3,FALSE)</f>
        <v>Misc. Expense</v>
      </c>
      <c r="AF8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8" spans="18:32" x14ac:dyDescent="0.2">
      <c r="R8948" t="s">
        <v>13</v>
      </c>
      <c r="S8948" t="s">
        <v>239</v>
      </c>
      <c r="T8948" t="s">
        <v>8</v>
      </c>
      <c r="U8948" s="21">
        <v>56592.07</v>
      </c>
      <c r="V8948" s="21" t="s">
        <v>368</v>
      </c>
      <c r="W8948" t="str">
        <f>VLOOKUP(Table_Query_from_Actuarial___Production[[#This Row],[Kor1]],$AI$3:$AK$105,3,FALSE)</f>
        <v>Operating Service Fees</v>
      </c>
      <c r="X8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8"/>
      <c r="Z8948" t="s">
        <v>39</v>
      </c>
      <c r="AA8948" t="s">
        <v>264</v>
      </c>
      <c r="AB8948" t="s">
        <v>6</v>
      </c>
      <c r="AC8948" s="21">
        <v>678.46</v>
      </c>
      <c r="AD8948" s="21" t="s">
        <v>368</v>
      </c>
      <c r="AE8948" t="str">
        <f>VLOOKUP(Table_Query_from_Actuarial___Production3[[#This Row],[Kor1]],$AI$3:$AK$105,3,FALSE)</f>
        <v>Misc. Income for Insolvent Companies</v>
      </c>
      <c r="AF8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49" spans="18:32" x14ac:dyDescent="0.2">
      <c r="R8949" t="s">
        <v>31</v>
      </c>
      <c r="S8949" t="s">
        <v>230</v>
      </c>
      <c r="T8949" t="s">
        <v>442</v>
      </c>
      <c r="U8949" s="21">
        <v>1268.01</v>
      </c>
      <c r="V8949" s="21" t="s">
        <v>368</v>
      </c>
      <c r="W8949" t="str">
        <f>VLOOKUP(Table_Query_from_Actuarial___Production[[#This Row],[Kor1]],$AI$3:$AK$105,3,FALSE)</f>
        <v>Misc. Expense</v>
      </c>
      <c r="X8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49"/>
      <c r="Z8949" t="s">
        <v>11</v>
      </c>
      <c r="AA8949" t="s">
        <v>238</v>
      </c>
      <c r="AB8949" t="s">
        <v>9</v>
      </c>
      <c r="AC8949" s="21">
        <v>875</v>
      </c>
      <c r="AD8949" s="21" t="s">
        <v>368</v>
      </c>
      <c r="AE8949" t="str">
        <f>VLOOKUP(Table_Query_from_Actuarial___Production3[[#This Row],[Kor1]],$AI$3:$AK$105,3,FALSE)</f>
        <v>Losses Paid</v>
      </c>
      <c r="AF8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0" spans="18:32" x14ac:dyDescent="0.2">
      <c r="R8950" t="s">
        <v>33</v>
      </c>
      <c r="S8950" t="s">
        <v>262</v>
      </c>
      <c r="T8950" t="s">
        <v>441</v>
      </c>
      <c r="U8950" s="21">
        <v>14546.81</v>
      </c>
      <c r="V8950" s="21" t="s">
        <v>368</v>
      </c>
      <c r="W8950" t="str">
        <f>VLOOKUP(Table_Query_from_Actuarial___Production[[#This Row],[Kor1]],$AI$3:$AK$105,3,FALSE)</f>
        <v>Misc. Expense</v>
      </c>
      <c r="X8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0"/>
      <c r="Z8950" t="s">
        <v>13</v>
      </c>
      <c r="AA8950" t="s">
        <v>261</v>
      </c>
      <c r="AB8950" t="s">
        <v>8</v>
      </c>
      <c r="AC8950" s="21">
        <v>166560.32999999999</v>
      </c>
      <c r="AD8950" s="21" t="s">
        <v>368</v>
      </c>
      <c r="AE8950" t="str">
        <f>VLOOKUP(Table_Query_from_Actuarial___Production3[[#This Row],[Kor1]],$AI$3:$AK$105,3,FALSE)</f>
        <v>Operating Service Fees</v>
      </c>
      <c r="AF8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1" spans="18:32" x14ac:dyDescent="0.2">
      <c r="R8951" t="s">
        <v>50</v>
      </c>
      <c r="S8951" t="s">
        <v>268</v>
      </c>
      <c r="T8951" t="s">
        <v>442</v>
      </c>
      <c r="U8951" s="21">
        <v>13249.29</v>
      </c>
      <c r="V8951" s="21" t="s">
        <v>368</v>
      </c>
      <c r="W8951" t="str">
        <f>VLOOKUP(Table_Query_from_Actuarial___Production[[#This Row],[Kor1]],$AI$3:$AK$105,3,FALSE)</f>
        <v>ALAE Reserve</v>
      </c>
      <c r="X8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1"/>
      <c r="Z8951" t="s">
        <v>21</v>
      </c>
      <c r="AA8951" t="s">
        <v>237</v>
      </c>
      <c r="AB8951" t="s">
        <v>427</v>
      </c>
      <c r="AC8951" s="21">
        <v>21234.67</v>
      </c>
      <c r="AD8951" s="21" t="s">
        <v>368</v>
      </c>
      <c r="AE8951" t="str">
        <f>VLOOKUP(Table_Query_from_Actuarial___Production3[[#This Row],[Kor1]],$AI$3:$AK$105,3,FALSE)</f>
        <v>Misc. Expense</v>
      </c>
      <c r="AF8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2" spans="18:32" x14ac:dyDescent="0.2">
      <c r="R8952" t="s">
        <v>144</v>
      </c>
      <c r="S8952" t="s">
        <v>224</v>
      </c>
      <c r="T8952" t="s">
        <v>445</v>
      </c>
      <c r="U8952" s="21">
        <v>9100</v>
      </c>
      <c r="V8952" s="21" t="s">
        <v>368</v>
      </c>
      <c r="W8952" t="str">
        <f>VLOOKUP(Table_Query_from_Actuarial___Production[[#This Row],[Kor1]],$AI$3:$AK$105,3,FALSE)</f>
        <v>Claims Expense</v>
      </c>
      <c r="X8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8952"/>
      <c r="Z8952" t="s">
        <v>3</v>
      </c>
      <c r="AA8952" t="s">
        <v>230</v>
      </c>
      <c r="AB8952" t="s">
        <v>5</v>
      </c>
      <c r="AC8952" s="21">
        <v>8264703</v>
      </c>
      <c r="AD8952" s="21" t="s">
        <v>368</v>
      </c>
      <c r="AE8952" t="str">
        <f>VLOOKUP(Table_Query_from_Actuarial___Production3[[#This Row],[Kor1]],$AI$3:$AK$105,3,FALSE)</f>
        <v>Premiums Written</v>
      </c>
      <c r="AF8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3" spans="18:32" x14ac:dyDescent="0.2">
      <c r="R8953" t="s">
        <v>20</v>
      </c>
      <c r="S8953" t="s">
        <v>253</v>
      </c>
      <c r="T8953" t="s">
        <v>6</v>
      </c>
      <c r="U8953" s="21">
        <v>113.37</v>
      </c>
      <c r="V8953" s="21" t="s">
        <v>368</v>
      </c>
      <c r="W8953" t="str">
        <f>VLOOKUP(Table_Query_from_Actuarial___Production[[#This Row],[Kor1]],$AI$3:$AK$105,3,FALSE)</f>
        <v>Misc. Expense</v>
      </c>
      <c r="X8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3"/>
      <c r="Z8953" t="s">
        <v>13</v>
      </c>
      <c r="AA8953" t="s">
        <v>240</v>
      </c>
      <c r="AB8953" t="s">
        <v>7</v>
      </c>
      <c r="AC8953" s="21">
        <v>259549.39</v>
      </c>
      <c r="AD8953" s="21" t="s">
        <v>368</v>
      </c>
      <c r="AE8953" t="str">
        <f>VLOOKUP(Table_Query_from_Actuarial___Production3[[#This Row],[Kor1]],$AI$3:$AK$105,3,FALSE)</f>
        <v>Operating Service Fees</v>
      </c>
      <c r="AF8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4" spans="18:32" x14ac:dyDescent="0.2">
      <c r="R8954" t="s">
        <v>3</v>
      </c>
      <c r="S8954" t="s">
        <v>251</v>
      </c>
      <c r="T8954" t="s">
        <v>443</v>
      </c>
      <c r="U8954" s="21">
        <v>557870</v>
      </c>
      <c r="V8954" s="21" t="s">
        <v>368</v>
      </c>
      <c r="W8954" t="str">
        <f>VLOOKUP(Table_Query_from_Actuarial___Production[[#This Row],[Kor1]],$AI$3:$AK$105,3,FALSE)</f>
        <v>Premiums Written</v>
      </c>
      <c r="X8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4"/>
      <c r="Z8954" t="s">
        <v>47</v>
      </c>
      <c r="AA8954" t="s">
        <v>234</v>
      </c>
      <c r="AB8954" t="s">
        <v>442</v>
      </c>
      <c r="AC8954" s="21">
        <v>2902.32</v>
      </c>
      <c r="AD8954" s="21" t="s">
        <v>368</v>
      </c>
      <c r="AE8954" t="str">
        <f>VLOOKUP(Table_Query_from_Actuarial___Production3[[#This Row],[Kor1]],$AI$3:$AK$105,3,FALSE)</f>
        <v>Investment Income</v>
      </c>
      <c r="AF8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5" spans="18:32" x14ac:dyDescent="0.2">
      <c r="R8955" t="s">
        <v>16</v>
      </c>
      <c r="S8955" t="s">
        <v>240</v>
      </c>
      <c r="T8955" t="s">
        <v>433</v>
      </c>
      <c r="U8955" s="21">
        <v>171495.42</v>
      </c>
      <c r="V8955" s="21" t="s">
        <v>368</v>
      </c>
      <c r="W8955" t="str">
        <f>VLOOKUP(Table_Query_from_Actuarial___Production[[#This Row],[Kor1]],$AI$3:$AK$105,3,FALSE)</f>
        <v>Losses Outstanding</v>
      </c>
      <c r="X8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5"/>
      <c r="Z8955" t="s">
        <v>13</v>
      </c>
      <c r="AA8955" t="s">
        <v>239</v>
      </c>
      <c r="AB8955" t="s">
        <v>8</v>
      </c>
      <c r="AC8955" s="21">
        <v>56592.07</v>
      </c>
      <c r="AD8955" s="21" t="s">
        <v>368</v>
      </c>
      <c r="AE8955" t="str">
        <f>VLOOKUP(Table_Query_from_Actuarial___Production3[[#This Row],[Kor1]],$AI$3:$AK$105,3,FALSE)</f>
        <v>Operating Service Fees</v>
      </c>
      <c r="AF8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6" spans="18:32" x14ac:dyDescent="0.2">
      <c r="R8956" t="s">
        <v>49</v>
      </c>
      <c r="S8956" t="s">
        <v>232</v>
      </c>
      <c r="T8956" t="s">
        <v>441</v>
      </c>
      <c r="U8956" s="21">
        <v>9890.17</v>
      </c>
      <c r="V8956" s="21" t="s">
        <v>368</v>
      </c>
      <c r="W8956" t="str">
        <f>VLOOKUP(Table_Query_from_Actuarial___Production[[#This Row],[Kor1]],$AI$3:$AK$105,3,FALSE)</f>
        <v>ALAE Paid</v>
      </c>
      <c r="X8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6"/>
      <c r="Z8956" t="s">
        <v>39</v>
      </c>
      <c r="AA8956" t="s">
        <v>241</v>
      </c>
      <c r="AB8956" t="s">
        <v>5</v>
      </c>
      <c r="AC8956" s="21">
        <v>21920.1</v>
      </c>
      <c r="AD8956" s="21" t="s">
        <v>368</v>
      </c>
      <c r="AE8956" t="str">
        <f>VLOOKUP(Table_Query_from_Actuarial___Production3[[#This Row],[Kor1]],$AI$3:$AK$105,3,FALSE)</f>
        <v>Misc. Income for Insolvent Companies</v>
      </c>
      <c r="AF8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7" spans="18:32" x14ac:dyDescent="0.2">
      <c r="R8957" t="s">
        <v>10</v>
      </c>
      <c r="S8957" t="s">
        <v>225</v>
      </c>
      <c r="T8957" t="s">
        <v>433</v>
      </c>
      <c r="U8957" s="21">
        <v>64628.51</v>
      </c>
      <c r="V8957" s="21" t="s">
        <v>368</v>
      </c>
      <c r="W8957" t="str">
        <f>VLOOKUP(Table_Query_from_Actuarial___Production[[#This Row],[Kor1]],$AI$3:$AK$105,3,FALSE)</f>
        <v>Commissions</v>
      </c>
      <c r="X8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8957"/>
      <c r="Z8957" t="s">
        <v>31</v>
      </c>
      <c r="AA8957" t="s">
        <v>230</v>
      </c>
      <c r="AB8957" t="s">
        <v>442</v>
      </c>
      <c r="AC8957" s="21">
        <v>1268.01</v>
      </c>
      <c r="AD8957" s="21" t="s">
        <v>368</v>
      </c>
      <c r="AE8957" t="str">
        <f>VLOOKUP(Table_Query_from_Actuarial___Production3[[#This Row],[Kor1]],$AI$3:$AK$105,3,FALSE)</f>
        <v>Misc. Expense</v>
      </c>
      <c r="AF8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8" spans="18:32" x14ac:dyDescent="0.2">
      <c r="R8958" t="s">
        <v>31</v>
      </c>
      <c r="S8958" t="s">
        <v>261</v>
      </c>
      <c r="T8958" t="s">
        <v>427</v>
      </c>
      <c r="U8958" s="21">
        <v>156.01</v>
      </c>
      <c r="V8958" s="21" t="s">
        <v>368</v>
      </c>
      <c r="W8958" t="str">
        <f>VLOOKUP(Table_Query_from_Actuarial___Production[[#This Row],[Kor1]],$AI$3:$AK$105,3,FALSE)</f>
        <v>Misc. Expense</v>
      </c>
      <c r="X8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8"/>
      <c r="Z8958" t="s">
        <v>33</v>
      </c>
      <c r="AA8958" t="s">
        <v>262</v>
      </c>
      <c r="AB8958" t="s">
        <v>441</v>
      </c>
      <c r="AC8958" s="21">
        <v>14546.81</v>
      </c>
      <c r="AD8958" s="21" t="s">
        <v>368</v>
      </c>
      <c r="AE8958" t="str">
        <f>VLOOKUP(Table_Query_from_Actuarial___Production3[[#This Row],[Kor1]],$AI$3:$AK$105,3,FALSE)</f>
        <v>Misc. Expense</v>
      </c>
      <c r="AF8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59" spans="18:32" x14ac:dyDescent="0.2">
      <c r="R8959" t="s">
        <v>10</v>
      </c>
      <c r="S8959" t="s">
        <v>231</v>
      </c>
      <c r="T8959" t="s">
        <v>351</v>
      </c>
      <c r="U8959" s="21">
        <v>11028.67</v>
      </c>
      <c r="V8959" s="21" t="s">
        <v>368</v>
      </c>
      <c r="W8959" t="str">
        <f>VLOOKUP(Table_Query_from_Actuarial___Production[[#This Row],[Kor1]],$AI$3:$AK$105,3,FALSE)</f>
        <v>Commissions</v>
      </c>
      <c r="X8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59"/>
      <c r="Z8959" t="s">
        <v>50</v>
      </c>
      <c r="AA8959" t="s">
        <v>268</v>
      </c>
      <c r="AB8959" t="s">
        <v>442</v>
      </c>
      <c r="AC8959" s="21">
        <v>8783.84</v>
      </c>
      <c r="AD8959" s="21" t="s">
        <v>368</v>
      </c>
      <c r="AE8959" t="str">
        <f>VLOOKUP(Table_Query_from_Actuarial___Production3[[#This Row],[Kor1]],$AI$3:$AK$105,3,FALSE)</f>
        <v>ALAE Reserve</v>
      </c>
      <c r="AF8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0" spans="18:32" x14ac:dyDescent="0.2">
      <c r="R8960" t="s">
        <v>34</v>
      </c>
      <c r="S8960" t="s">
        <v>239</v>
      </c>
      <c r="T8960" t="s">
        <v>351</v>
      </c>
      <c r="U8960" s="21">
        <v>1061.9100000000001</v>
      </c>
      <c r="V8960" s="21" t="s">
        <v>368</v>
      </c>
      <c r="W8960" t="str">
        <f>VLOOKUP(Table_Query_from_Actuarial___Production[[#This Row],[Kor1]],$AI$3:$AK$105,3,FALSE)</f>
        <v>Misc. Expense</v>
      </c>
      <c r="X8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0"/>
      <c r="Z8960" t="s">
        <v>20</v>
      </c>
      <c r="AA8960" t="s">
        <v>253</v>
      </c>
      <c r="AB8960" t="s">
        <v>6</v>
      </c>
      <c r="AC8960" s="21">
        <v>113.37</v>
      </c>
      <c r="AD8960" s="21" t="s">
        <v>368</v>
      </c>
      <c r="AE8960" t="str">
        <f>VLOOKUP(Table_Query_from_Actuarial___Production3[[#This Row],[Kor1]],$AI$3:$AK$105,3,FALSE)</f>
        <v>Misc. Expense</v>
      </c>
      <c r="AF8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1" spans="18:32" x14ac:dyDescent="0.2">
      <c r="R8961" t="s">
        <v>47</v>
      </c>
      <c r="S8961" t="s">
        <v>250</v>
      </c>
      <c r="T8961" t="s">
        <v>356</v>
      </c>
      <c r="U8961" s="21">
        <v>3376.32</v>
      </c>
      <c r="V8961" s="21" t="s">
        <v>368</v>
      </c>
      <c r="W8961" t="str">
        <f>VLOOKUP(Table_Query_from_Actuarial___Production[[#This Row],[Kor1]],$AI$3:$AK$105,3,FALSE)</f>
        <v>Investment Income</v>
      </c>
      <c r="X8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1"/>
      <c r="Z8961" t="s">
        <v>3</v>
      </c>
      <c r="AA8961" t="s">
        <v>251</v>
      </c>
      <c r="AB8961" t="s">
        <v>443</v>
      </c>
      <c r="AC8961" s="21">
        <v>155370</v>
      </c>
      <c r="AD8961" s="21" t="s">
        <v>368</v>
      </c>
      <c r="AE8961" t="str">
        <f>VLOOKUP(Table_Query_from_Actuarial___Production3[[#This Row],[Kor1]],$AI$3:$AK$105,3,FALSE)</f>
        <v>Premiums Written</v>
      </c>
      <c r="AF8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2" spans="18:32" x14ac:dyDescent="0.2">
      <c r="R8962" t="s">
        <v>43</v>
      </c>
      <c r="S8962" t="s">
        <v>252</v>
      </c>
      <c r="T8962" t="s">
        <v>6</v>
      </c>
      <c r="U8962" s="21">
        <v>-502.15</v>
      </c>
      <c r="V8962" s="21" t="s">
        <v>368</v>
      </c>
      <c r="W8962" t="str">
        <f>VLOOKUP(Table_Query_from_Actuarial___Production[[#This Row],[Kor1]],$AI$3:$AK$105,3,FALSE)</f>
        <v>Charge-offs</v>
      </c>
      <c r="X8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2"/>
      <c r="Z8962" t="s">
        <v>16</v>
      </c>
      <c r="AA8962" t="s">
        <v>240</v>
      </c>
      <c r="AB8962" t="s">
        <v>433</v>
      </c>
      <c r="AC8962" s="21">
        <v>1846841.74</v>
      </c>
      <c r="AD8962" s="21" t="s">
        <v>368</v>
      </c>
      <c r="AE8962" t="str">
        <f>VLOOKUP(Table_Query_from_Actuarial___Production3[[#This Row],[Kor1]],$AI$3:$AK$105,3,FALSE)</f>
        <v>Losses Outstanding</v>
      </c>
      <c r="AF8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3" spans="18:32" x14ac:dyDescent="0.2">
      <c r="R8963" t="s">
        <v>3</v>
      </c>
      <c r="S8963" t="s">
        <v>256</v>
      </c>
      <c r="T8963" t="s">
        <v>7</v>
      </c>
      <c r="U8963" s="21">
        <v>49549</v>
      </c>
      <c r="V8963" s="21" t="s">
        <v>368</v>
      </c>
      <c r="W8963" t="str">
        <f>VLOOKUP(Table_Query_from_Actuarial___Production[[#This Row],[Kor1]],$AI$3:$AK$105,3,FALSE)</f>
        <v>Premiums Written</v>
      </c>
      <c r="X8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3"/>
      <c r="Z8963" t="s">
        <v>10</v>
      </c>
      <c r="AA8963" t="s">
        <v>225</v>
      </c>
      <c r="AB8963" t="s">
        <v>433</v>
      </c>
      <c r="AC8963" s="21">
        <v>64628.51</v>
      </c>
      <c r="AD8963" s="21" t="s">
        <v>368</v>
      </c>
      <c r="AE8963" t="str">
        <f>VLOOKUP(Table_Query_from_Actuarial___Production3[[#This Row],[Kor1]],$AI$3:$AK$105,3,FALSE)</f>
        <v>Commissions</v>
      </c>
      <c r="AF8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8964" spans="18:32" x14ac:dyDescent="0.2">
      <c r="R8964" t="s">
        <v>12</v>
      </c>
      <c r="S8964" t="s">
        <v>239</v>
      </c>
      <c r="T8964" t="s">
        <v>445</v>
      </c>
      <c r="U8964" s="21">
        <v>93870.99</v>
      </c>
      <c r="V8964" s="21" t="s">
        <v>368</v>
      </c>
      <c r="W8964" t="str">
        <f>VLOOKUP(Table_Query_from_Actuarial___Production[[#This Row],[Kor1]],$AI$3:$AK$105,3,FALSE)</f>
        <v>Premium Tax</v>
      </c>
      <c r="X8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4"/>
      <c r="Z8964" t="s">
        <v>31</v>
      </c>
      <c r="AA8964" t="s">
        <v>261</v>
      </c>
      <c r="AB8964" t="s">
        <v>427</v>
      </c>
      <c r="AC8964" s="21">
        <v>156.01</v>
      </c>
      <c r="AD8964" s="21" t="s">
        <v>368</v>
      </c>
      <c r="AE8964" t="str">
        <f>VLOOKUP(Table_Query_from_Actuarial___Production3[[#This Row],[Kor1]],$AI$3:$AK$105,3,FALSE)</f>
        <v>Misc. Expense</v>
      </c>
      <c r="AF8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5" spans="18:32" x14ac:dyDescent="0.2">
      <c r="R8965" t="s">
        <v>43</v>
      </c>
      <c r="S8965" t="s">
        <v>244</v>
      </c>
      <c r="T8965" t="s">
        <v>443</v>
      </c>
      <c r="U8965" s="21">
        <v>-831.38</v>
      </c>
      <c r="V8965" s="21" t="s">
        <v>368</v>
      </c>
      <c r="W8965" t="str">
        <f>VLOOKUP(Table_Query_from_Actuarial___Production[[#This Row],[Kor1]],$AI$3:$AK$105,3,FALSE)</f>
        <v>Charge-offs</v>
      </c>
      <c r="X8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5"/>
      <c r="Z8965" t="s">
        <v>10</v>
      </c>
      <c r="AA8965" t="s">
        <v>231</v>
      </c>
      <c r="AB8965" t="s">
        <v>351</v>
      </c>
      <c r="AC8965" s="21">
        <v>11028.67</v>
      </c>
      <c r="AD8965" s="21" t="s">
        <v>368</v>
      </c>
      <c r="AE8965" t="str">
        <f>VLOOKUP(Table_Query_from_Actuarial___Production3[[#This Row],[Kor1]],$AI$3:$AK$105,3,FALSE)</f>
        <v>Commissions</v>
      </c>
      <c r="AF8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6" spans="18:32" x14ac:dyDescent="0.2">
      <c r="R8966" t="s">
        <v>10</v>
      </c>
      <c r="S8966" t="s">
        <v>226</v>
      </c>
      <c r="T8966" t="s">
        <v>441</v>
      </c>
      <c r="U8966" s="21">
        <v>332281.05</v>
      </c>
      <c r="V8966" s="21" t="s">
        <v>368</v>
      </c>
      <c r="W8966" t="str">
        <f>VLOOKUP(Table_Query_from_Actuarial___Production[[#This Row],[Kor1]],$AI$3:$AK$105,3,FALSE)</f>
        <v>Commissions</v>
      </c>
      <c r="X8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966"/>
      <c r="Z8966" t="s">
        <v>34</v>
      </c>
      <c r="AA8966" t="s">
        <v>239</v>
      </c>
      <c r="AB8966" t="s">
        <v>351</v>
      </c>
      <c r="AC8966" s="21">
        <v>1061.9100000000001</v>
      </c>
      <c r="AD8966" s="21" t="s">
        <v>368</v>
      </c>
      <c r="AE8966" t="str">
        <f>VLOOKUP(Table_Query_from_Actuarial___Production3[[#This Row],[Kor1]],$AI$3:$AK$105,3,FALSE)</f>
        <v>Misc. Expense</v>
      </c>
      <c r="AF8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7" spans="18:32" x14ac:dyDescent="0.2">
      <c r="R8967" t="s">
        <v>11</v>
      </c>
      <c r="S8967" t="s">
        <v>233</v>
      </c>
      <c r="T8967" t="s">
        <v>7</v>
      </c>
      <c r="U8967" s="21">
        <v>119912.95</v>
      </c>
      <c r="V8967" s="21" t="s">
        <v>368</v>
      </c>
      <c r="W8967" t="str">
        <f>VLOOKUP(Table_Query_from_Actuarial___Production[[#This Row],[Kor1]],$AI$3:$AK$105,3,FALSE)</f>
        <v>Losses Paid</v>
      </c>
      <c r="X8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7"/>
      <c r="Z8967" t="s">
        <v>47</v>
      </c>
      <c r="AA8967" t="s">
        <v>250</v>
      </c>
      <c r="AB8967" t="s">
        <v>356</v>
      </c>
      <c r="AC8967" s="21">
        <v>3376.32</v>
      </c>
      <c r="AD8967" s="21" t="s">
        <v>368</v>
      </c>
      <c r="AE8967" t="str">
        <f>VLOOKUP(Table_Query_from_Actuarial___Production3[[#This Row],[Kor1]],$AI$3:$AK$105,3,FALSE)</f>
        <v>Investment Income</v>
      </c>
      <c r="AF8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8" spans="18:32" x14ac:dyDescent="0.2">
      <c r="R8968" t="s">
        <v>12</v>
      </c>
      <c r="S8968" t="s">
        <v>240</v>
      </c>
      <c r="T8968" t="s">
        <v>7</v>
      </c>
      <c r="U8968" s="21">
        <v>24553.759999999998</v>
      </c>
      <c r="V8968" s="21" t="s">
        <v>368</v>
      </c>
      <c r="W8968" t="str">
        <f>VLOOKUP(Table_Query_from_Actuarial___Production[[#This Row],[Kor1]],$AI$3:$AK$105,3,FALSE)</f>
        <v>Premium Tax</v>
      </c>
      <c r="X8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8"/>
      <c r="Z8968" t="s">
        <v>77</v>
      </c>
      <c r="AA8968" t="s">
        <v>254</v>
      </c>
      <c r="AB8968" t="s">
        <v>442</v>
      </c>
      <c r="AC8968" s="21">
        <v>2137620</v>
      </c>
      <c r="AD8968" s="21" t="s">
        <v>368</v>
      </c>
      <c r="AE8968" t="str">
        <f>VLOOKUP(Table_Query_from_Actuarial___Production3[[#This Row],[Kor1]],$AI$3:$AK$105,3,FALSE)</f>
        <v>PDR</v>
      </c>
      <c r="AF8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69" spans="18:32" x14ac:dyDescent="0.2">
      <c r="R8969" t="s">
        <v>14</v>
      </c>
      <c r="S8969" t="s">
        <v>260</v>
      </c>
      <c r="T8969" t="s">
        <v>433</v>
      </c>
      <c r="U8969" s="21">
        <v>640.59</v>
      </c>
      <c r="V8969" s="21" t="s">
        <v>368</v>
      </c>
      <c r="W8969" t="str">
        <f>VLOOKUP(Table_Query_from_Actuarial___Production[[#This Row],[Kor1]],$AI$3:$AK$105,3,FALSE)</f>
        <v>Claims Expense</v>
      </c>
      <c r="X8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69"/>
      <c r="Z8969" t="s">
        <v>43</v>
      </c>
      <c r="AA8969" t="s">
        <v>252</v>
      </c>
      <c r="AB8969" t="s">
        <v>6</v>
      </c>
      <c r="AC8969" s="21">
        <v>-502.15</v>
      </c>
      <c r="AD8969" s="21" t="s">
        <v>368</v>
      </c>
      <c r="AE8969" t="str">
        <f>VLOOKUP(Table_Query_from_Actuarial___Production3[[#This Row],[Kor1]],$AI$3:$AK$105,3,FALSE)</f>
        <v>Charge-offs</v>
      </c>
      <c r="AF8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0" spans="18:32" x14ac:dyDescent="0.2">
      <c r="R8970" t="s">
        <v>41</v>
      </c>
      <c r="S8970" t="s">
        <v>261</v>
      </c>
      <c r="T8970" t="s">
        <v>441</v>
      </c>
      <c r="U8970" s="21">
        <v>750</v>
      </c>
      <c r="V8970" s="21" t="s">
        <v>368</v>
      </c>
      <c r="W8970" t="str">
        <f>VLOOKUP(Table_Query_from_Actuarial___Production[[#This Row],[Kor1]],$AI$3:$AK$105,3,FALSE)</f>
        <v>Misc. Income</v>
      </c>
      <c r="X8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0"/>
      <c r="Z8970" t="s">
        <v>3</v>
      </c>
      <c r="AA8970" t="s">
        <v>256</v>
      </c>
      <c r="AB8970" t="s">
        <v>7</v>
      </c>
      <c r="AC8970" s="21">
        <v>49549</v>
      </c>
      <c r="AD8970" s="21" t="s">
        <v>368</v>
      </c>
      <c r="AE8970" t="str">
        <f>VLOOKUP(Table_Query_from_Actuarial___Production3[[#This Row],[Kor1]],$AI$3:$AK$105,3,FALSE)</f>
        <v>Premiums Written</v>
      </c>
      <c r="AF8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1" spans="18:32" x14ac:dyDescent="0.2">
      <c r="R8971" t="s">
        <v>10</v>
      </c>
      <c r="S8971" t="s">
        <v>244</v>
      </c>
      <c r="T8971" t="s">
        <v>356</v>
      </c>
      <c r="U8971" s="21">
        <v>116297.7</v>
      </c>
      <c r="V8971" s="21" t="s">
        <v>368</v>
      </c>
      <c r="W8971" t="str">
        <f>VLOOKUP(Table_Query_from_Actuarial___Production[[#This Row],[Kor1]],$AI$3:$AK$105,3,FALSE)</f>
        <v>Commissions</v>
      </c>
      <c r="X8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1"/>
      <c r="Z8971" t="s">
        <v>10</v>
      </c>
      <c r="AA8971" t="s">
        <v>226</v>
      </c>
      <c r="AB8971" t="s">
        <v>441</v>
      </c>
      <c r="AC8971" s="21">
        <v>332294.15000000002</v>
      </c>
      <c r="AD8971" s="21" t="s">
        <v>368</v>
      </c>
      <c r="AE8971" t="str">
        <f>VLOOKUP(Table_Query_from_Actuarial___Production3[[#This Row],[Kor1]],$AI$3:$AK$105,3,FALSE)</f>
        <v>Commissions</v>
      </c>
      <c r="AF8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8972" spans="18:32" x14ac:dyDescent="0.2">
      <c r="R8972" t="s">
        <v>17</v>
      </c>
      <c r="S8972" t="s">
        <v>255</v>
      </c>
      <c r="T8972" t="s">
        <v>445</v>
      </c>
      <c r="U8972" s="21">
        <v>24650.51</v>
      </c>
      <c r="V8972" s="21" t="s">
        <v>368</v>
      </c>
      <c r="W8972" t="str">
        <f>VLOOKUP(Table_Query_from_Actuarial___Production[[#This Row],[Kor1]],$AI$3:$AK$105,3,FALSE)</f>
        <v>IBNR</v>
      </c>
      <c r="X8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2"/>
      <c r="Z8972" t="s">
        <v>11</v>
      </c>
      <c r="AA8972" t="s">
        <v>233</v>
      </c>
      <c r="AB8972" t="s">
        <v>7</v>
      </c>
      <c r="AC8972" s="21">
        <v>119912.95</v>
      </c>
      <c r="AD8972" s="21" t="s">
        <v>368</v>
      </c>
      <c r="AE8972" t="str">
        <f>VLOOKUP(Table_Query_from_Actuarial___Production3[[#This Row],[Kor1]],$AI$3:$AK$105,3,FALSE)</f>
        <v>Losses Paid</v>
      </c>
      <c r="AF8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3" spans="18:32" x14ac:dyDescent="0.2">
      <c r="R8973" t="s">
        <v>41</v>
      </c>
      <c r="S8973" t="s">
        <v>258</v>
      </c>
      <c r="T8973" t="s">
        <v>8</v>
      </c>
      <c r="U8973" s="21">
        <v>350</v>
      </c>
      <c r="V8973" s="21" t="s">
        <v>368</v>
      </c>
      <c r="W8973" t="str">
        <f>VLOOKUP(Table_Query_from_Actuarial___Production[[#This Row],[Kor1]],$AI$3:$AK$105,3,FALSE)</f>
        <v>Misc. Income</v>
      </c>
      <c r="X8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3"/>
      <c r="Z8973" t="s">
        <v>12</v>
      </c>
      <c r="AA8973" t="s">
        <v>240</v>
      </c>
      <c r="AB8973" t="s">
        <v>7</v>
      </c>
      <c r="AC8973" s="21">
        <v>24553.759999999998</v>
      </c>
      <c r="AD8973" s="21" t="s">
        <v>368</v>
      </c>
      <c r="AE8973" t="str">
        <f>VLOOKUP(Table_Query_from_Actuarial___Production3[[#This Row],[Kor1]],$AI$3:$AK$105,3,FALSE)</f>
        <v>Premium Tax</v>
      </c>
      <c r="AF8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4" spans="18:32" x14ac:dyDescent="0.2">
      <c r="R8974" t="s">
        <v>47</v>
      </c>
      <c r="S8974" t="s">
        <v>232</v>
      </c>
      <c r="T8974" t="s">
        <v>445</v>
      </c>
      <c r="U8974" s="21">
        <v>17179.41</v>
      </c>
      <c r="V8974" s="21" t="s">
        <v>368</v>
      </c>
      <c r="W8974" t="str">
        <f>VLOOKUP(Table_Query_from_Actuarial___Production[[#This Row],[Kor1]],$AI$3:$AK$105,3,FALSE)</f>
        <v>Investment Income</v>
      </c>
      <c r="X8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4"/>
      <c r="Z8974" t="s">
        <v>14</v>
      </c>
      <c r="AA8974" t="s">
        <v>260</v>
      </c>
      <c r="AB8974" t="s">
        <v>433</v>
      </c>
      <c r="AC8974" s="21">
        <v>640.59</v>
      </c>
      <c r="AD8974" s="21" t="s">
        <v>368</v>
      </c>
      <c r="AE8974" t="str">
        <f>VLOOKUP(Table_Query_from_Actuarial___Production3[[#This Row],[Kor1]],$AI$3:$AK$105,3,FALSE)</f>
        <v>Claims Expense</v>
      </c>
      <c r="AF8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5" spans="18:32" x14ac:dyDescent="0.2">
      <c r="R8975" t="s">
        <v>14</v>
      </c>
      <c r="S8975" t="s">
        <v>354</v>
      </c>
      <c r="T8975" t="s">
        <v>443</v>
      </c>
      <c r="U8975" s="21">
        <v>16362744.210000001</v>
      </c>
      <c r="V8975" s="21" t="s">
        <v>368</v>
      </c>
      <c r="W8975" t="str">
        <f>VLOOKUP(Table_Query_from_Actuarial___Production[[#This Row],[Kor1]],$AI$3:$AK$105,3,FALSE)</f>
        <v>Claims Expense</v>
      </c>
      <c r="X8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8975"/>
      <c r="Z8975" t="s">
        <v>41</v>
      </c>
      <c r="AA8975" t="s">
        <v>261</v>
      </c>
      <c r="AB8975" t="s">
        <v>441</v>
      </c>
      <c r="AC8975" s="21">
        <v>750</v>
      </c>
      <c r="AD8975" s="21" t="s">
        <v>368</v>
      </c>
      <c r="AE8975" t="str">
        <f>VLOOKUP(Table_Query_from_Actuarial___Production3[[#This Row],[Kor1]],$AI$3:$AK$105,3,FALSE)</f>
        <v>Misc. Income</v>
      </c>
      <c r="AF8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6" spans="18:32" x14ac:dyDescent="0.2">
      <c r="R8976" t="s">
        <v>3</v>
      </c>
      <c r="S8976" t="s">
        <v>255</v>
      </c>
      <c r="T8976" t="s">
        <v>443</v>
      </c>
      <c r="U8976" s="21">
        <v>371700</v>
      </c>
      <c r="V8976" s="21" t="s">
        <v>368</v>
      </c>
      <c r="W8976" t="str">
        <f>VLOOKUP(Table_Query_from_Actuarial___Production[[#This Row],[Kor1]],$AI$3:$AK$105,3,FALSE)</f>
        <v>Premiums Written</v>
      </c>
      <c r="X8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6"/>
      <c r="Z8976" t="s">
        <v>75</v>
      </c>
      <c r="AA8976" t="s">
        <v>4</v>
      </c>
      <c r="AB8976" t="s">
        <v>441</v>
      </c>
      <c r="AC8976" s="21">
        <v>399169</v>
      </c>
      <c r="AD8976" s="21" t="s">
        <v>368</v>
      </c>
      <c r="AE8976" t="str">
        <f>VLOOKUP(Table_Query_from_Actuarial___Production3[[#This Row],[Kor1]],$AI$3:$AK$105,3,FALSE)</f>
        <v>EBUB</v>
      </c>
      <c r="AF8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7" spans="18:32" x14ac:dyDescent="0.2">
      <c r="R8977" t="s">
        <v>12</v>
      </c>
      <c r="S8977" t="s">
        <v>234</v>
      </c>
      <c r="T8977" t="s">
        <v>441</v>
      </c>
      <c r="U8977" s="21">
        <v>20802.580000000002</v>
      </c>
      <c r="V8977" s="21" t="s">
        <v>368</v>
      </c>
      <c r="W8977" t="str">
        <f>VLOOKUP(Table_Query_from_Actuarial___Production[[#This Row],[Kor1]],$AI$3:$AK$105,3,FALSE)</f>
        <v>Premium Tax</v>
      </c>
      <c r="X8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7"/>
      <c r="Z8977" t="s">
        <v>10</v>
      </c>
      <c r="AA8977" t="s">
        <v>244</v>
      </c>
      <c r="AB8977" t="s">
        <v>356</v>
      </c>
      <c r="AC8977" s="21">
        <v>116297.7</v>
      </c>
      <c r="AD8977" s="21" t="s">
        <v>368</v>
      </c>
      <c r="AE8977" t="str">
        <f>VLOOKUP(Table_Query_from_Actuarial___Production3[[#This Row],[Kor1]],$AI$3:$AK$105,3,FALSE)</f>
        <v>Commissions</v>
      </c>
      <c r="AF8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8" spans="18:32" x14ac:dyDescent="0.2">
      <c r="R8978" t="s">
        <v>41</v>
      </c>
      <c r="S8978" t="s">
        <v>237</v>
      </c>
      <c r="T8978" t="s">
        <v>442</v>
      </c>
      <c r="U8978" s="21">
        <v>5484.9</v>
      </c>
      <c r="V8978" s="21" t="s">
        <v>368</v>
      </c>
      <c r="W8978" t="str">
        <f>VLOOKUP(Table_Query_from_Actuarial___Production[[#This Row],[Kor1]],$AI$3:$AK$105,3,FALSE)</f>
        <v>Misc. Income</v>
      </c>
      <c r="X8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8"/>
      <c r="Z8978" t="s">
        <v>41</v>
      </c>
      <c r="AA8978" t="s">
        <v>258</v>
      </c>
      <c r="AB8978" t="s">
        <v>8</v>
      </c>
      <c r="AC8978" s="21">
        <v>350</v>
      </c>
      <c r="AD8978" s="21" t="s">
        <v>368</v>
      </c>
      <c r="AE8978" t="str">
        <f>VLOOKUP(Table_Query_from_Actuarial___Production3[[#This Row],[Kor1]],$AI$3:$AK$105,3,FALSE)</f>
        <v>Misc. Income</v>
      </c>
      <c r="AF8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79" spans="18:32" x14ac:dyDescent="0.2">
      <c r="R8979" t="s">
        <v>43</v>
      </c>
      <c r="S8979" t="s">
        <v>258</v>
      </c>
      <c r="T8979" t="s">
        <v>356</v>
      </c>
      <c r="U8979" s="21">
        <v>899.38</v>
      </c>
      <c r="V8979" s="21" t="s">
        <v>368</v>
      </c>
      <c r="W8979" t="str">
        <f>VLOOKUP(Table_Query_from_Actuarial___Production[[#This Row],[Kor1]],$AI$3:$AK$105,3,FALSE)</f>
        <v>Charge-offs</v>
      </c>
      <c r="X8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79"/>
      <c r="Z8979" t="s">
        <v>14</v>
      </c>
      <c r="AA8979" t="s">
        <v>354</v>
      </c>
      <c r="AB8979" t="s">
        <v>443</v>
      </c>
      <c r="AC8979" s="21">
        <v>8971798</v>
      </c>
      <c r="AD8979" s="21" t="s">
        <v>368</v>
      </c>
      <c r="AE8979" t="str">
        <f>VLOOKUP(Table_Query_from_Actuarial___Production3[[#This Row],[Kor1]],$AI$3:$AK$105,3,FALSE)</f>
        <v>Claims Expense</v>
      </c>
      <c r="AF8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8980" spans="18:32" x14ac:dyDescent="0.2">
      <c r="R8980" t="s">
        <v>49</v>
      </c>
      <c r="S8980" t="s">
        <v>258</v>
      </c>
      <c r="T8980" t="s">
        <v>356</v>
      </c>
      <c r="U8980" s="21">
        <v>61036.3</v>
      </c>
      <c r="V8980" s="21" t="s">
        <v>368</v>
      </c>
      <c r="W8980" t="str">
        <f>VLOOKUP(Table_Query_from_Actuarial___Production[[#This Row],[Kor1]],$AI$3:$AK$105,3,FALSE)</f>
        <v>ALAE Paid</v>
      </c>
      <c r="X8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0"/>
      <c r="Z8980" t="s">
        <v>3</v>
      </c>
      <c r="AA8980" t="s">
        <v>255</v>
      </c>
      <c r="AB8980" t="s">
        <v>443</v>
      </c>
      <c r="AC8980" s="21">
        <v>166272</v>
      </c>
      <c r="AD8980" s="21" t="s">
        <v>368</v>
      </c>
      <c r="AE8980" t="str">
        <f>VLOOKUP(Table_Query_from_Actuarial___Production3[[#This Row],[Kor1]],$AI$3:$AK$105,3,FALSE)</f>
        <v>Premiums Written</v>
      </c>
      <c r="AF8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1" spans="18:32" x14ac:dyDescent="0.2">
      <c r="R8981" t="s">
        <v>39</v>
      </c>
      <c r="S8981" t="s">
        <v>248</v>
      </c>
      <c r="T8981" t="s">
        <v>8</v>
      </c>
      <c r="U8981" s="21">
        <v>89</v>
      </c>
      <c r="V8981" s="21" t="s">
        <v>368</v>
      </c>
      <c r="W8981" t="str">
        <f>VLOOKUP(Table_Query_from_Actuarial___Production[[#This Row],[Kor1]],$AI$3:$AK$105,3,FALSE)</f>
        <v>Misc. Income for Insolvent Companies</v>
      </c>
      <c r="X8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1"/>
      <c r="Z8981" t="s">
        <v>12</v>
      </c>
      <c r="AA8981" t="s">
        <v>234</v>
      </c>
      <c r="AB8981" t="s">
        <v>441</v>
      </c>
      <c r="AC8981" s="21">
        <v>20802.580000000002</v>
      </c>
      <c r="AD8981" s="21" t="s">
        <v>368</v>
      </c>
      <c r="AE8981" t="str">
        <f>VLOOKUP(Table_Query_from_Actuarial___Production3[[#This Row],[Kor1]],$AI$3:$AK$105,3,FALSE)</f>
        <v>Premium Tax</v>
      </c>
      <c r="AF8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2" spans="18:32" x14ac:dyDescent="0.2">
      <c r="R8982" t="s">
        <v>47</v>
      </c>
      <c r="S8982" t="s">
        <v>264</v>
      </c>
      <c r="T8982" t="s">
        <v>427</v>
      </c>
      <c r="U8982" s="21">
        <v>5771.6</v>
      </c>
      <c r="V8982" s="21" t="s">
        <v>368</v>
      </c>
      <c r="W8982" t="str">
        <f>VLOOKUP(Table_Query_from_Actuarial___Production[[#This Row],[Kor1]],$AI$3:$AK$105,3,FALSE)</f>
        <v>Investment Income</v>
      </c>
      <c r="X8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2"/>
      <c r="Z8982" t="s">
        <v>41</v>
      </c>
      <c r="AA8982" t="s">
        <v>237</v>
      </c>
      <c r="AB8982" t="s">
        <v>442</v>
      </c>
      <c r="AC8982" s="21">
        <v>5484.9</v>
      </c>
      <c r="AD8982" s="21" t="s">
        <v>368</v>
      </c>
      <c r="AE8982" t="str">
        <f>VLOOKUP(Table_Query_from_Actuarial___Production3[[#This Row],[Kor1]],$AI$3:$AK$105,3,FALSE)</f>
        <v>Misc. Income</v>
      </c>
      <c r="AF8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3" spans="18:32" x14ac:dyDescent="0.2">
      <c r="R8983" t="s">
        <v>49</v>
      </c>
      <c r="S8983" t="s">
        <v>235</v>
      </c>
      <c r="T8983" t="s">
        <v>8</v>
      </c>
      <c r="U8983" s="21">
        <v>100164.26</v>
      </c>
      <c r="V8983" s="21" t="s">
        <v>368</v>
      </c>
      <c r="W8983" t="str">
        <f>VLOOKUP(Table_Query_from_Actuarial___Production[[#This Row],[Kor1]],$AI$3:$AK$105,3,FALSE)</f>
        <v>ALAE Paid</v>
      </c>
      <c r="X8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3"/>
      <c r="Z8983" t="s">
        <v>43</v>
      </c>
      <c r="AA8983" t="s">
        <v>258</v>
      </c>
      <c r="AB8983" t="s">
        <v>356</v>
      </c>
      <c r="AC8983" s="21">
        <v>899.38</v>
      </c>
      <c r="AD8983" s="21" t="s">
        <v>368</v>
      </c>
      <c r="AE8983" t="str">
        <f>VLOOKUP(Table_Query_from_Actuarial___Production3[[#This Row],[Kor1]],$AI$3:$AK$105,3,FALSE)</f>
        <v>Charge-offs</v>
      </c>
      <c r="AF8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4" spans="18:32" x14ac:dyDescent="0.2">
      <c r="R8984" t="s">
        <v>49</v>
      </c>
      <c r="S8984" t="s">
        <v>261</v>
      </c>
      <c r="T8984" t="s">
        <v>441</v>
      </c>
      <c r="U8984" s="21">
        <v>25254.15</v>
      </c>
      <c r="V8984" s="21" t="s">
        <v>368</v>
      </c>
      <c r="W8984" t="str">
        <f>VLOOKUP(Table_Query_from_Actuarial___Production[[#This Row],[Kor1]],$AI$3:$AK$105,3,FALSE)</f>
        <v>ALAE Paid</v>
      </c>
      <c r="X8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4"/>
      <c r="Z8984" t="s">
        <v>49</v>
      </c>
      <c r="AA8984" t="s">
        <v>258</v>
      </c>
      <c r="AB8984" t="s">
        <v>356</v>
      </c>
      <c r="AC8984" s="21">
        <v>56783.3</v>
      </c>
      <c r="AD8984" s="21" t="s">
        <v>368</v>
      </c>
      <c r="AE8984" t="str">
        <f>VLOOKUP(Table_Query_from_Actuarial___Production3[[#This Row],[Kor1]],$AI$3:$AK$105,3,FALSE)</f>
        <v>ALAE Paid</v>
      </c>
      <c r="AF8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5" spans="18:32" x14ac:dyDescent="0.2">
      <c r="R8985" t="s">
        <v>77</v>
      </c>
      <c r="S8985" t="s">
        <v>226</v>
      </c>
      <c r="T8985" t="s">
        <v>445</v>
      </c>
      <c r="U8985" s="21">
        <v>124770</v>
      </c>
      <c r="V8985" s="21" t="s">
        <v>368</v>
      </c>
      <c r="W8985" t="str">
        <f>VLOOKUP(Table_Query_from_Actuarial___Production[[#This Row],[Kor1]],$AI$3:$AK$105,3,FALSE)</f>
        <v>PDR</v>
      </c>
      <c r="X8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985"/>
      <c r="Z8985" t="s">
        <v>39</v>
      </c>
      <c r="AA8985" t="s">
        <v>248</v>
      </c>
      <c r="AB8985" t="s">
        <v>8</v>
      </c>
      <c r="AC8985" s="21">
        <v>89</v>
      </c>
      <c r="AD8985" s="21" t="s">
        <v>368</v>
      </c>
      <c r="AE8985" t="str">
        <f>VLOOKUP(Table_Query_from_Actuarial___Production3[[#This Row],[Kor1]],$AI$3:$AK$105,3,FALSE)</f>
        <v>Misc. Income for Insolvent Companies</v>
      </c>
      <c r="AF8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6" spans="18:32" x14ac:dyDescent="0.2">
      <c r="R8986" t="s">
        <v>32</v>
      </c>
      <c r="S8986" t="s">
        <v>235</v>
      </c>
      <c r="T8986" t="s">
        <v>427</v>
      </c>
      <c r="U8986" s="21">
        <v>-21237.14</v>
      </c>
      <c r="V8986" s="21" t="s">
        <v>368</v>
      </c>
      <c r="W8986" t="str">
        <f>VLOOKUP(Table_Query_from_Actuarial___Production[[#This Row],[Kor1]],$AI$3:$AK$105,3,FALSE)</f>
        <v>Misc. Expense</v>
      </c>
      <c r="X8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6"/>
      <c r="Z8986" t="s">
        <v>47</v>
      </c>
      <c r="AA8986" t="s">
        <v>264</v>
      </c>
      <c r="AB8986" t="s">
        <v>427</v>
      </c>
      <c r="AC8986" s="21">
        <v>5771.6</v>
      </c>
      <c r="AD8986" s="21" t="s">
        <v>368</v>
      </c>
      <c r="AE8986" t="str">
        <f>VLOOKUP(Table_Query_from_Actuarial___Production3[[#This Row],[Kor1]],$AI$3:$AK$105,3,FALSE)</f>
        <v>Investment Income</v>
      </c>
      <c r="AF8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7" spans="18:32" x14ac:dyDescent="0.2">
      <c r="R8987" t="s">
        <v>11</v>
      </c>
      <c r="S8987" t="s">
        <v>252</v>
      </c>
      <c r="T8987" t="s">
        <v>9</v>
      </c>
      <c r="U8987" s="21">
        <v>21680905.140000001</v>
      </c>
      <c r="V8987" s="21" t="s">
        <v>368</v>
      </c>
      <c r="W8987" t="str">
        <f>VLOOKUP(Table_Query_from_Actuarial___Production[[#This Row],[Kor1]],$AI$3:$AK$105,3,FALSE)</f>
        <v>Losses Paid</v>
      </c>
      <c r="X8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7"/>
      <c r="Z8987" t="s">
        <v>49</v>
      </c>
      <c r="AA8987" t="s">
        <v>235</v>
      </c>
      <c r="AB8987" t="s">
        <v>8</v>
      </c>
      <c r="AC8987" s="21">
        <v>100164.26</v>
      </c>
      <c r="AD8987" s="21" t="s">
        <v>368</v>
      </c>
      <c r="AE8987" t="str">
        <f>VLOOKUP(Table_Query_from_Actuarial___Production3[[#This Row],[Kor1]],$AI$3:$AK$105,3,FALSE)</f>
        <v>ALAE Paid</v>
      </c>
      <c r="AF8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8" spans="18:32" x14ac:dyDescent="0.2">
      <c r="R8988" t="s">
        <v>44</v>
      </c>
      <c r="S8988" t="s">
        <v>240</v>
      </c>
      <c r="T8988" t="s">
        <v>351</v>
      </c>
      <c r="U8988" s="21">
        <v>56874.71</v>
      </c>
      <c r="V8988" s="21" t="s">
        <v>368</v>
      </c>
      <c r="W8988" t="str">
        <f>VLOOKUP(Table_Query_from_Actuarial___Production[[#This Row],[Kor1]],$AI$3:$AK$105,3,FALSE)</f>
        <v>Charge-offs</v>
      </c>
      <c r="X8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8"/>
      <c r="Z8988" t="s">
        <v>49</v>
      </c>
      <c r="AA8988" t="s">
        <v>261</v>
      </c>
      <c r="AB8988" t="s">
        <v>441</v>
      </c>
      <c r="AC8988" s="21">
        <v>5427.35</v>
      </c>
      <c r="AD8988" s="21" t="s">
        <v>368</v>
      </c>
      <c r="AE8988" t="str">
        <f>VLOOKUP(Table_Query_from_Actuarial___Production3[[#This Row],[Kor1]],$AI$3:$AK$105,3,FALSE)</f>
        <v>ALAE Paid</v>
      </c>
      <c r="AF8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89" spans="18:32" x14ac:dyDescent="0.2">
      <c r="R8989" t="s">
        <v>14</v>
      </c>
      <c r="S8989" t="s">
        <v>235</v>
      </c>
      <c r="T8989" t="s">
        <v>441</v>
      </c>
      <c r="U8989" s="21">
        <v>27693.84</v>
      </c>
      <c r="V8989" s="21" t="s">
        <v>368</v>
      </c>
      <c r="W8989" t="str">
        <f>VLOOKUP(Table_Query_from_Actuarial___Production[[#This Row],[Kor1]],$AI$3:$AK$105,3,FALSE)</f>
        <v>Claims Expense</v>
      </c>
      <c r="X8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89"/>
      <c r="Z8989" t="s">
        <v>32</v>
      </c>
      <c r="AA8989" t="s">
        <v>235</v>
      </c>
      <c r="AB8989" t="s">
        <v>427</v>
      </c>
      <c r="AC8989" s="21">
        <v>-21237.14</v>
      </c>
      <c r="AD8989" s="21" t="s">
        <v>368</v>
      </c>
      <c r="AE8989" t="str">
        <f>VLOOKUP(Table_Query_from_Actuarial___Production3[[#This Row],[Kor1]],$AI$3:$AK$105,3,FALSE)</f>
        <v>Misc. Expense</v>
      </c>
      <c r="AF8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0" spans="18:32" x14ac:dyDescent="0.2">
      <c r="R8990" t="s">
        <v>33</v>
      </c>
      <c r="S8990" t="s">
        <v>267</v>
      </c>
      <c r="T8990" t="s">
        <v>427</v>
      </c>
      <c r="U8990" s="21">
        <v>12497.24</v>
      </c>
      <c r="V8990" s="21" t="s">
        <v>368</v>
      </c>
      <c r="W8990" t="str">
        <f>VLOOKUP(Table_Query_from_Actuarial___Production[[#This Row],[Kor1]],$AI$3:$AK$105,3,FALSE)</f>
        <v>Misc. Expense</v>
      </c>
      <c r="X8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0"/>
      <c r="Z8990" t="s">
        <v>11</v>
      </c>
      <c r="AA8990" t="s">
        <v>252</v>
      </c>
      <c r="AB8990" t="s">
        <v>9</v>
      </c>
      <c r="AC8990" s="21">
        <v>21654256.59</v>
      </c>
      <c r="AD8990" s="21" t="s">
        <v>368</v>
      </c>
      <c r="AE8990" t="str">
        <f>VLOOKUP(Table_Query_from_Actuarial___Production3[[#This Row],[Kor1]],$AI$3:$AK$105,3,FALSE)</f>
        <v>Losses Paid</v>
      </c>
      <c r="AF8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1" spans="18:32" x14ac:dyDescent="0.2">
      <c r="R8991" t="s">
        <v>21</v>
      </c>
      <c r="S8991" t="s">
        <v>257</v>
      </c>
      <c r="T8991" t="s">
        <v>356</v>
      </c>
      <c r="U8991" s="21">
        <v>883.03</v>
      </c>
      <c r="V8991" s="21" t="s">
        <v>368</v>
      </c>
      <c r="W8991" t="str">
        <f>VLOOKUP(Table_Query_from_Actuarial___Production[[#This Row],[Kor1]],$AI$3:$AK$105,3,FALSE)</f>
        <v>Misc. Expense</v>
      </c>
      <c r="X8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1"/>
      <c r="Z8991" t="s">
        <v>20</v>
      </c>
      <c r="AA8991" t="s">
        <v>240</v>
      </c>
      <c r="AB8991" t="s">
        <v>5</v>
      </c>
      <c r="AC8991" s="21">
        <v>34.53</v>
      </c>
      <c r="AD8991" s="21" t="s">
        <v>368</v>
      </c>
      <c r="AE8991" t="str">
        <f>VLOOKUP(Table_Query_from_Actuarial___Production3[[#This Row],[Kor1]],$AI$3:$AK$105,3,FALSE)</f>
        <v>Misc. Expense</v>
      </c>
      <c r="AF8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2" spans="18:32" x14ac:dyDescent="0.2">
      <c r="R8992" t="s">
        <v>130</v>
      </c>
      <c r="S8992" t="s">
        <v>224</v>
      </c>
      <c r="T8992" t="s">
        <v>351</v>
      </c>
      <c r="U8992" s="21">
        <v>2135337.17</v>
      </c>
      <c r="V8992" s="21" t="s">
        <v>370</v>
      </c>
      <c r="W8992" t="str">
        <f>VLOOKUP(Table_Query_from_Actuarial___Production[[#This Row],[Kor1]],$AI$3:$AK$105,3,FALSE)</f>
        <v>CPAI Charge-offs</v>
      </c>
      <c r="X8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8992"/>
      <c r="Z8992" t="s">
        <v>44</v>
      </c>
      <c r="AA8992" t="s">
        <v>240</v>
      </c>
      <c r="AB8992" t="s">
        <v>351</v>
      </c>
      <c r="AC8992" s="21">
        <v>56874.71</v>
      </c>
      <c r="AD8992" s="21" t="s">
        <v>368</v>
      </c>
      <c r="AE8992" t="str">
        <f>VLOOKUP(Table_Query_from_Actuarial___Production3[[#This Row],[Kor1]],$AI$3:$AK$105,3,FALSE)</f>
        <v>Charge-offs</v>
      </c>
      <c r="AF8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3" spans="18:32" x14ac:dyDescent="0.2">
      <c r="R8993" t="s">
        <v>444</v>
      </c>
      <c r="S8993" t="s">
        <v>238</v>
      </c>
      <c r="T8993" t="s">
        <v>443</v>
      </c>
      <c r="U8993" s="21">
        <v>10167.81</v>
      </c>
      <c r="V8993" s="21" t="s">
        <v>368</v>
      </c>
      <c r="W8993" t="str">
        <f>VLOOKUP(Table_Query_from_Actuarial___Production[[#This Row],[Kor1]],$AI$3:$AK$105,3,FALSE)</f>
        <v>Misc. Expense</v>
      </c>
      <c r="X8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3"/>
      <c r="Z8993" t="s">
        <v>12</v>
      </c>
      <c r="AA8993" t="s">
        <v>228</v>
      </c>
      <c r="AB8993" t="s">
        <v>5</v>
      </c>
      <c r="AC8993" s="21">
        <v>9742.35</v>
      </c>
      <c r="AD8993" s="21" t="s">
        <v>368</v>
      </c>
      <c r="AE8993" t="str">
        <f>VLOOKUP(Table_Query_from_Actuarial___Production3[[#This Row],[Kor1]],$AI$3:$AK$105,3,FALSE)</f>
        <v>Premium Tax</v>
      </c>
      <c r="AF8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4" spans="18:32" x14ac:dyDescent="0.2">
      <c r="R8994" t="s">
        <v>41</v>
      </c>
      <c r="S8994" t="s">
        <v>240</v>
      </c>
      <c r="T8994" t="s">
        <v>9</v>
      </c>
      <c r="U8994" s="21">
        <v>99.99</v>
      </c>
      <c r="V8994" s="21" t="s">
        <v>368</v>
      </c>
      <c r="W8994" t="str">
        <f>VLOOKUP(Table_Query_from_Actuarial___Production[[#This Row],[Kor1]],$AI$3:$AK$105,3,FALSE)</f>
        <v>Misc. Income</v>
      </c>
      <c r="X8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4"/>
      <c r="Z8994" t="s">
        <v>14</v>
      </c>
      <c r="AA8994" t="s">
        <v>235</v>
      </c>
      <c r="AB8994" t="s">
        <v>441</v>
      </c>
      <c r="AC8994" s="21">
        <v>27693.84</v>
      </c>
      <c r="AD8994" s="21" t="s">
        <v>368</v>
      </c>
      <c r="AE8994" t="str">
        <f>VLOOKUP(Table_Query_from_Actuarial___Production3[[#This Row],[Kor1]],$AI$3:$AK$105,3,FALSE)</f>
        <v>Claims Expense</v>
      </c>
      <c r="AF8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5" spans="18:32" x14ac:dyDescent="0.2">
      <c r="R8995" t="s">
        <v>18</v>
      </c>
      <c r="S8995" t="s">
        <v>354</v>
      </c>
      <c r="T8995" t="s">
        <v>351</v>
      </c>
      <c r="U8995" s="21">
        <v>5874328.9000000004</v>
      </c>
      <c r="V8995" s="21" t="s">
        <v>369</v>
      </c>
      <c r="W8995" t="str">
        <f>VLOOKUP(Table_Query_from_Actuarial___Production[[#This Row],[Kor1]],$AI$3:$AK$105,3,FALSE)</f>
        <v>Misc. Expense</v>
      </c>
      <c r="X8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8995"/>
      <c r="Z8995" t="s">
        <v>33</v>
      </c>
      <c r="AA8995" t="s">
        <v>267</v>
      </c>
      <c r="AB8995" t="s">
        <v>427</v>
      </c>
      <c r="AC8995" s="21">
        <v>12497.24</v>
      </c>
      <c r="AD8995" s="21" t="s">
        <v>368</v>
      </c>
      <c r="AE8995" t="str">
        <f>VLOOKUP(Table_Query_from_Actuarial___Production3[[#This Row],[Kor1]],$AI$3:$AK$105,3,FALSE)</f>
        <v>Misc. Expense</v>
      </c>
      <c r="AF8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6" spans="18:32" x14ac:dyDescent="0.2">
      <c r="R8996" t="s">
        <v>17</v>
      </c>
      <c r="S8996" t="s">
        <v>234</v>
      </c>
      <c r="T8996" t="s">
        <v>433</v>
      </c>
      <c r="U8996" s="21">
        <v>51119.93</v>
      </c>
      <c r="V8996" s="21" t="s">
        <v>368</v>
      </c>
      <c r="W8996" t="str">
        <f>VLOOKUP(Table_Query_from_Actuarial___Production[[#This Row],[Kor1]],$AI$3:$AK$105,3,FALSE)</f>
        <v>IBNR</v>
      </c>
      <c r="X8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6"/>
      <c r="Z8996" t="s">
        <v>21</v>
      </c>
      <c r="AA8996" t="s">
        <v>257</v>
      </c>
      <c r="AB8996" t="s">
        <v>356</v>
      </c>
      <c r="AC8996" s="21">
        <v>883.03</v>
      </c>
      <c r="AD8996" s="21" t="s">
        <v>368</v>
      </c>
      <c r="AE8996" t="str">
        <f>VLOOKUP(Table_Query_from_Actuarial___Production3[[#This Row],[Kor1]],$AI$3:$AK$105,3,FALSE)</f>
        <v>Misc. Expense</v>
      </c>
      <c r="AF8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7" spans="18:32" x14ac:dyDescent="0.2">
      <c r="R8997" t="s">
        <v>18</v>
      </c>
      <c r="S8997" t="s">
        <v>226</v>
      </c>
      <c r="T8997" t="s">
        <v>442</v>
      </c>
      <c r="U8997" s="21">
        <v>-19643.009999999998</v>
      </c>
      <c r="V8997" s="21" t="s">
        <v>368</v>
      </c>
      <c r="W8997" t="str">
        <f>VLOOKUP(Table_Query_from_Actuarial___Production[[#This Row],[Kor1]],$AI$3:$AK$105,3,FALSE)</f>
        <v>Misc. Expense</v>
      </c>
      <c r="X8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8997"/>
      <c r="Z8997" t="s">
        <v>130</v>
      </c>
      <c r="AA8997" t="s">
        <v>224</v>
      </c>
      <c r="AB8997" t="s">
        <v>351</v>
      </c>
      <c r="AC8997" s="21">
        <v>2135337.17</v>
      </c>
      <c r="AD8997" s="21" t="s">
        <v>370</v>
      </c>
      <c r="AE8997" t="str">
        <f>VLOOKUP(Table_Query_from_Actuarial___Production3[[#This Row],[Kor1]],$AI$3:$AK$105,3,FALSE)</f>
        <v>CPAI Charge-offs</v>
      </c>
      <c r="AF8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8998" spans="18:32" x14ac:dyDescent="0.2">
      <c r="R8998" t="s">
        <v>10</v>
      </c>
      <c r="S8998" t="s">
        <v>233</v>
      </c>
      <c r="T8998" t="s">
        <v>8</v>
      </c>
      <c r="U8998" s="21">
        <v>40969.550000000003</v>
      </c>
      <c r="V8998" s="21" t="s">
        <v>368</v>
      </c>
      <c r="W8998" t="str">
        <f>VLOOKUP(Table_Query_from_Actuarial___Production[[#This Row],[Kor1]],$AI$3:$AK$105,3,FALSE)</f>
        <v>Commissions</v>
      </c>
      <c r="X8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8"/>
      <c r="Z8998" t="s">
        <v>41</v>
      </c>
      <c r="AA8998" t="s">
        <v>240</v>
      </c>
      <c r="AB8998" t="s">
        <v>9</v>
      </c>
      <c r="AC8998" s="21">
        <v>99.99</v>
      </c>
      <c r="AD8998" s="21" t="s">
        <v>368</v>
      </c>
      <c r="AE8998" t="str">
        <f>VLOOKUP(Table_Query_from_Actuarial___Production3[[#This Row],[Kor1]],$AI$3:$AK$105,3,FALSE)</f>
        <v>Misc. Income</v>
      </c>
      <c r="AF8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8999" spans="18:32" x14ac:dyDescent="0.2">
      <c r="R8999" t="s">
        <v>47</v>
      </c>
      <c r="S8999" t="s">
        <v>233</v>
      </c>
      <c r="T8999" t="s">
        <v>356</v>
      </c>
      <c r="U8999" s="21">
        <v>2743.31</v>
      </c>
      <c r="V8999" s="21" t="s">
        <v>368</v>
      </c>
      <c r="W8999" t="str">
        <f>VLOOKUP(Table_Query_from_Actuarial___Production[[#This Row],[Kor1]],$AI$3:$AK$105,3,FALSE)</f>
        <v>Investment Income</v>
      </c>
      <c r="X8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8999"/>
      <c r="Z8999" t="s">
        <v>18</v>
      </c>
      <c r="AA8999" t="s">
        <v>354</v>
      </c>
      <c r="AB8999" t="s">
        <v>351</v>
      </c>
      <c r="AC8999" s="21">
        <v>5874328.9000000004</v>
      </c>
      <c r="AD8999" s="21" t="s">
        <v>369</v>
      </c>
      <c r="AE8999" t="str">
        <f>VLOOKUP(Table_Query_from_Actuarial___Production3[[#This Row],[Kor1]],$AI$3:$AK$105,3,FALSE)</f>
        <v>Misc. Expense</v>
      </c>
      <c r="AF8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000" spans="18:32" x14ac:dyDescent="0.2">
      <c r="R9000" t="s">
        <v>16</v>
      </c>
      <c r="S9000" t="s">
        <v>238</v>
      </c>
      <c r="T9000" t="s">
        <v>433</v>
      </c>
      <c r="U9000" s="21">
        <v>742066.35</v>
      </c>
      <c r="V9000" s="21" t="s">
        <v>368</v>
      </c>
      <c r="W9000" t="str">
        <f>VLOOKUP(Table_Query_from_Actuarial___Production[[#This Row],[Kor1]],$AI$3:$AK$105,3,FALSE)</f>
        <v>Losses Outstanding</v>
      </c>
      <c r="X9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0"/>
      <c r="Z9000" t="s">
        <v>17</v>
      </c>
      <c r="AA9000" t="s">
        <v>234</v>
      </c>
      <c r="AB9000" t="s">
        <v>433</v>
      </c>
      <c r="AC9000" s="21">
        <v>118256.18</v>
      </c>
      <c r="AD9000" s="21" t="s">
        <v>368</v>
      </c>
      <c r="AE9000" t="str">
        <f>VLOOKUP(Table_Query_from_Actuarial___Production3[[#This Row],[Kor1]],$AI$3:$AK$105,3,FALSE)</f>
        <v>IBNR</v>
      </c>
      <c r="AF9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1" spans="18:32" x14ac:dyDescent="0.2">
      <c r="R9001" t="s">
        <v>33</v>
      </c>
      <c r="S9001" t="s">
        <v>252</v>
      </c>
      <c r="T9001" t="s">
        <v>356</v>
      </c>
      <c r="U9001" s="21">
        <v>21163.08</v>
      </c>
      <c r="V9001" s="21" t="s">
        <v>368</v>
      </c>
      <c r="W9001" t="str">
        <f>VLOOKUP(Table_Query_from_Actuarial___Production[[#This Row],[Kor1]],$AI$3:$AK$105,3,FALSE)</f>
        <v>Misc. Expense</v>
      </c>
      <c r="X9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1"/>
      <c r="Z9001" t="s">
        <v>18</v>
      </c>
      <c r="AA9001" t="s">
        <v>226</v>
      </c>
      <c r="AB9001" t="s">
        <v>442</v>
      </c>
      <c r="AC9001" s="21">
        <v>-19643.009999999998</v>
      </c>
      <c r="AD9001" s="21" t="s">
        <v>368</v>
      </c>
      <c r="AE9001" t="str">
        <f>VLOOKUP(Table_Query_from_Actuarial___Production3[[#This Row],[Kor1]],$AI$3:$AK$105,3,FALSE)</f>
        <v>Misc. Expense</v>
      </c>
      <c r="AF9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002" spans="18:32" x14ac:dyDescent="0.2">
      <c r="R9002" t="s">
        <v>43</v>
      </c>
      <c r="S9002" t="s">
        <v>233</v>
      </c>
      <c r="T9002" t="s">
        <v>442</v>
      </c>
      <c r="U9002" s="21">
        <v>927.97</v>
      </c>
      <c r="V9002" s="21" t="s">
        <v>368</v>
      </c>
      <c r="W9002" t="str">
        <f>VLOOKUP(Table_Query_from_Actuarial___Production[[#This Row],[Kor1]],$AI$3:$AK$105,3,FALSE)</f>
        <v>Charge-offs</v>
      </c>
      <c r="X9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2"/>
      <c r="Z9002" t="s">
        <v>10</v>
      </c>
      <c r="AA9002" t="s">
        <v>233</v>
      </c>
      <c r="AB9002" t="s">
        <v>8</v>
      </c>
      <c r="AC9002" s="21">
        <v>40969.550000000003</v>
      </c>
      <c r="AD9002" s="21" t="s">
        <v>368</v>
      </c>
      <c r="AE9002" t="str">
        <f>VLOOKUP(Table_Query_from_Actuarial___Production3[[#This Row],[Kor1]],$AI$3:$AK$105,3,FALSE)</f>
        <v>Commissions</v>
      </c>
      <c r="AF9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3" spans="18:32" x14ac:dyDescent="0.2">
      <c r="R9003" t="s">
        <v>47</v>
      </c>
      <c r="S9003" t="s">
        <v>235</v>
      </c>
      <c r="T9003" t="s">
        <v>433</v>
      </c>
      <c r="U9003" s="21">
        <v>1171.53</v>
      </c>
      <c r="V9003" s="21" t="s">
        <v>368</v>
      </c>
      <c r="W9003" t="str">
        <f>VLOOKUP(Table_Query_from_Actuarial___Production[[#This Row],[Kor1]],$AI$3:$AK$105,3,FALSE)</f>
        <v>Investment Income</v>
      </c>
      <c r="X9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3"/>
      <c r="Z9003" t="s">
        <v>47</v>
      </c>
      <c r="AA9003" t="s">
        <v>233</v>
      </c>
      <c r="AB9003" t="s">
        <v>356</v>
      </c>
      <c r="AC9003" s="21">
        <v>2743.31</v>
      </c>
      <c r="AD9003" s="21" t="s">
        <v>368</v>
      </c>
      <c r="AE9003" t="str">
        <f>VLOOKUP(Table_Query_from_Actuarial___Production3[[#This Row],[Kor1]],$AI$3:$AK$105,3,FALSE)</f>
        <v>Investment Income</v>
      </c>
      <c r="AF9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4" spans="18:32" x14ac:dyDescent="0.2">
      <c r="R9004" t="s">
        <v>16</v>
      </c>
      <c r="S9004" t="s">
        <v>261</v>
      </c>
      <c r="T9004" t="s">
        <v>441</v>
      </c>
      <c r="U9004" s="21">
        <v>333409.21999999997</v>
      </c>
      <c r="V9004" s="21" t="s">
        <v>368</v>
      </c>
      <c r="W9004" t="str">
        <f>VLOOKUP(Table_Query_from_Actuarial___Production[[#This Row],[Kor1]],$AI$3:$AK$105,3,FALSE)</f>
        <v>Losses Outstanding</v>
      </c>
      <c r="X9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4"/>
      <c r="Z9004" t="s">
        <v>16</v>
      </c>
      <c r="AA9004" t="s">
        <v>238</v>
      </c>
      <c r="AB9004" t="s">
        <v>433</v>
      </c>
      <c r="AC9004" s="21">
        <v>165954.41</v>
      </c>
      <c r="AD9004" s="21" t="s">
        <v>368</v>
      </c>
      <c r="AE9004" t="str">
        <f>VLOOKUP(Table_Query_from_Actuarial___Production3[[#This Row],[Kor1]],$AI$3:$AK$105,3,FALSE)</f>
        <v>Losses Outstanding</v>
      </c>
      <c r="AF9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5" spans="18:32" x14ac:dyDescent="0.2">
      <c r="R9005" t="s">
        <v>48</v>
      </c>
      <c r="S9005" t="s">
        <v>255</v>
      </c>
      <c r="T9005" t="s">
        <v>442</v>
      </c>
      <c r="U9005" s="21">
        <v>555.85</v>
      </c>
      <c r="V9005" s="21" t="s">
        <v>368</v>
      </c>
      <c r="W9005" t="str">
        <f>VLOOKUP(Table_Query_from_Actuarial___Production[[#This Row],[Kor1]],$AI$3:$AK$105,3,FALSE)</f>
        <v>Anticipated Salvage</v>
      </c>
      <c r="X9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5"/>
      <c r="Z9005" t="s">
        <v>33</v>
      </c>
      <c r="AA9005" t="s">
        <v>252</v>
      </c>
      <c r="AB9005" t="s">
        <v>356</v>
      </c>
      <c r="AC9005" s="21">
        <v>21163.08</v>
      </c>
      <c r="AD9005" s="21" t="s">
        <v>368</v>
      </c>
      <c r="AE9005" t="str">
        <f>VLOOKUP(Table_Query_from_Actuarial___Production3[[#This Row],[Kor1]],$AI$3:$AK$105,3,FALSE)</f>
        <v>Misc. Expense</v>
      </c>
      <c r="AF9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6" spans="18:32" x14ac:dyDescent="0.2">
      <c r="R9006" t="s">
        <v>13</v>
      </c>
      <c r="S9006" t="s">
        <v>224</v>
      </c>
      <c r="T9006" t="s">
        <v>427</v>
      </c>
      <c r="U9006" s="21">
        <v>10220.530000000001</v>
      </c>
      <c r="V9006" s="21" t="s">
        <v>369</v>
      </c>
      <c r="W9006" t="str">
        <f>VLOOKUP(Table_Query_from_Actuarial___Production[[#This Row],[Kor1]],$AI$3:$AK$105,3,FALSE)</f>
        <v>Operating Service Fees</v>
      </c>
      <c r="X9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006"/>
      <c r="Z9006" t="s">
        <v>43</v>
      </c>
      <c r="AA9006" t="s">
        <v>233</v>
      </c>
      <c r="AB9006" t="s">
        <v>442</v>
      </c>
      <c r="AC9006" s="21">
        <v>-19.12</v>
      </c>
      <c r="AD9006" s="21" t="s">
        <v>368</v>
      </c>
      <c r="AE9006" t="str">
        <f>VLOOKUP(Table_Query_from_Actuarial___Production3[[#This Row],[Kor1]],$AI$3:$AK$105,3,FALSE)</f>
        <v>Charge-offs</v>
      </c>
      <c r="AF9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7" spans="18:32" x14ac:dyDescent="0.2">
      <c r="R9007" t="s">
        <v>14</v>
      </c>
      <c r="S9007" t="s">
        <v>224</v>
      </c>
      <c r="T9007" t="s">
        <v>442</v>
      </c>
      <c r="U9007" s="21">
        <v>7458.52</v>
      </c>
      <c r="V9007" s="21" t="s">
        <v>369</v>
      </c>
      <c r="W9007" t="str">
        <f>VLOOKUP(Table_Query_from_Actuarial___Production[[#This Row],[Kor1]],$AI$3:$AK$105,3,FALSE)</f>
        <v>Claims Expense</v>
      </c>
      <c r="X9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007"/>
      <c r="Z9007" t="s">
        <v>47</v>
      </c>
      <c r="AA9007" t="s">
        <v>235</v>
      </c>
      <c r="AB9007" t="s">
        <v>433</v>
      </c>
      <c r="AC9007" s="21">
        <v>1171.53</v>
      </c>
      <c r="AD9007" s="21" t="s">
        <v>368</v>
      </c>
      <c r="AE9007" t="str">
        <f>VLOOKUP(Table_Query_from_Actuarial___Production3[[#This Row],[Kor1]],$AI$3:$AK$105,3,FALSE)</f>
        <v>Investment Income</v>
      </c>
      <c r="AF9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8" spans="18:32" x14ac:dyDescent="0.2">
      <c r="R9008" t="s">
        <v>17</v>
      </c>
      <c r="S9008" t="s">
        <v>354</v>
      </c>
      <c r="T9008" t="s">
        <v>356</v>
      </c>
      <c r="U9008" s="21">
        <v>21950.880000000001</v>
      </c>
      <c r="V9008" s="21" t="s">
        <v>368</v>
      </c>
      <c r="W9008" t="str">
        <f>VLOOKUP(Table_Query_from_Actuarial___Production[[#This Row],[Kor1]],$AI$3:$AK$105,3,FALSE)</f>
        <v>IBNR</v>
      </c>
      <c r="X9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008"/>
      <c r="Z9008" t="s">
        <v>16</v>
      </c>
      <c r="AA9008" t="s">
        <v>261</v>
      </c>
      <c r="AB9008" t="s">
        <v>441</v>
      </c>
      <c r="AC9008" s="21">
        <v>288823.01</v>
      </c>
      <c r="AD9008" s="21" t="s">
        <v>368</v>
      </c>
      <c r="AE9008" t="str">
        <f>VLOOKUP(Table_Query_from_Actuarial___Production3[[#This Row],[Kor1]],$AI$3:$AK$105,3,FALSE)</f>
        <v>Losses Outstanding</v>
      </c>
      <c r="AF9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09" spans="18:32" x14ac:dyDescent="0.2">
      <c r="R9009" t="s">
        <v>10</v>
      </c>
      <c r="S9009" t="s">
        <v>4</v>
      </c>
      <c r="T9009" t="s">
        <v>442</v>
      </c>
      <c r="U9009" s="21">
        <v>4329165.72</v>
      </c>
      <c r="V9009" s="21" t="s">
        <v>368</v>
      </c>
      <c r="W9009" t="str">
        <f>VLOOKUP(Table_Query_from_Actuarial___Production[[#This Row],[Kor1]],$AI$3:$AK$105,3,FALSE)</f>
        <v>Commissions</v>
      </c>
      <c r="X9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09"/>
      <c r="Z9009" t="s">
        <v>48</v>
      </c>
      <c r="AA9009" t="s">
        <v>255</v>
      </c>
      <c r="AB9009" t="s">
        <v>442</v>
      </c>
      <c r="AC9009" s="21">
        <v>1087</v>
      </c>
      <c r="AD9009" s="21" t="s">
        <v>368</v>
      </c>
      <c r="AE9009" t="str">
        <f>VLOOKUP(Table_Query_from_Actuarial___Production3[[#This Row],[Kor1]],$AI$3:$AK$105,3,FALSE)</f>
        <v>Anticipated Salvage</v>
      </c>
      <c r="AF9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0" spans="18:32" x14ac:dyDescent="0.2">
      <c r="R9010" t="s">
        <v>46</v>
      </c>
      <c r="S9010" t="s">
        <v>354</v>
      </c>
      <c r="T9010" t="s">
        <v>7</v>
      </c>
      <c r="U9010" s="21">
        <v>26826220.27</v>
      </c>
      <c r="V9010" s="21" t="s">
        <v>369</v>
      </c>
      <c r="W9010" t="str">
        <f>VLOOKUP(Table_Query_from_Actuarial___Production[[#This Row],[Kor1]],$AI$3:$AK$105,3,FALSE)</f>
        <v>Investment Income</v>
      </c>
      <c r="X9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010"/>
      <c r="Z9010" t="s">
        <v>13</v>
      </c>
      <c r="AA9010" t="s">
        <v>224</v>
      </c>
      <c r="AB9010" t="s">
        <v>427</v>
      </c>
      <c r="AC9010" s="21">
        <v>10220.530000000001</v>
      </c>
      <c r="AD9010" s="21" t="s">
        <v>369</v>
      </c>
      <c r="AE9010" t="str">
        <f>VLOOKUP(Table_Query_from_Actuarial___Production3[[#This Row],[Kor1]],$AI$3:$AK$105,3,FALSE)</f>
        <v>Operating Service Fees</v>
      </c>
      <c r="AF9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011" spans="18:32" x14ac:dyDescent="0.2">
      <c r="R9011" t="s">
        <v>10</v>
      </c>
      <c r="S9011" t="s">
        <v>264</v>
      </c>
      <c r="T9011" t="s">
        <v>443</v>
      </c>
      <c r="U9011" s="21">
        <v>253491.34</v>
      </c>
      <c r="V9011" s="21" t="s">
        <v>368</v>
      </c>
      <c r="W9011" t="str">
        <f>VLOOKUP(Table_Query_from_Actuarial___Production[[#This Row],[Kor1]],$AI$3:$AK$105,3,FALSE)</f>
        <v>Commissions</v>
      </c>
      <c r="X9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1"/>
      <c r="Z9011" t="s">
        <v>14</v>
      </c>
      <c r="AA9011" t="s">
        <v>224</v>
      </c>
      <c r="AB9011" t="s">
        <v>442</v>
      </c>
      <c r="AC9011" s="21">
        <v>6569.01</v>
      </c>
      <c r="AD9011" s="21" t="s">
        <v>369</v>
      </c>
      <c r="AE9011" t="str">
        <f>VLOOKUP(Table_Query_from_Actuarial___Production3[[#This Row],[Kor1]],$AI$3:$AK$105,3,FALSE)</f>
        <v>Claims Expense</v>
      </c>
      <c r="AF9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012" spans="18:32" x14ac:dyDescent="0.2">
      <c r="R9012" t="s">
        <v>16</v>
      </c>
      <c r="S9012" t="s">
        <v>252</v>
      </c>
      <c r="T9012" t="s">
        <v>351</v>
      </c>
      <c r="U9012" s="21">
        <v>1129876.7</v>
      </c>
      <c r="V9012" s="21" t="s">
        <v>368</v>
      </c>
      <c r="W9012" t="str">
        <f>VLOOKUP(Table_Query_from_Actuarial___Production[[#This Row],[Kor1]],$AI$3:$AK$105,3,FALSE)</f>
        <v>Losses Outstanding</v>
      </c>
      <c r="X9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2"/>
      <c r="Z9012" t="s">
        <v>17</v>
      </c>
      <c r="AA9012" t="s">
        <v>354</v>
      </c>
      <c r="AB9012" t="s">
        <v>356</v>
      </c>
      <c r="AC9012" s="21">
        <v>528287.18000000005</v>
      </c>
      <c r="AD9012" s="21" t="s">
        <v>368</v>
      </c>
      <c r="AE9012" t="str">
        <f>VLOOKUP(Table_Query_from_Actuarial___Production3[[#This Row],[Kor1]],$AI$3:$AK$105,3,FALSE)</f>
        <v>IBNR</v>
      </c>
      <c r="AF9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013" spans="18:32" x14ac:dyDescent="0.2">
      <c r="R9013" t="s">
        <v>37</v>
      </c>
      <c r="S9013" t="s">
        <v>230</v>
      </c>
      <c r="T9013" t="s">
        <v>442</v>
      </c>
      <c r="U9013" s="21">
        <v>148646.85999999999</v>
      </c>
      <c r="V9013" s="21" t="s">
        <v>368</v>
      </c>
      <c r="W9013" t="str">
        <f>VLOOKUP(Table_Query_from_Actuarial___Production[[#This Row],[Kor1]],$AI$3:$AK$105,3,FALSE)</f>
        <v>Misc. Expense</v>
      </c>
      <c r="X9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3"/>
      <c r="Z9013" t="s">
        <v>10</v>
      </c>
      <c r="AA9013" t="s">
        <v>4</v>
      </c>
      <c r="AB9013" t="s">
        <v>442</v>
      </c>
      <c r="AC9013" s="21">
        <v>4297828.2</v>
      </c>
      <c r="AD9013" s="21" t="s">
        <v>368</v>
      </c>
      <c r="AE9013" t="str">
        <f>VLOOKUP(Table_Query_from_Actuarial___Production3[[#This Row],[Kor1]],$AI$3:$AK$105,3,FALSE)</f>
        <v>Commissions</v>
      </c>
      <c r="AF9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4" spans="18:32" x14ac:dyDescent="0.2">
      <c r="R9014" t="s">
        <v>37</v>
      </c>
      <c r="S9014" t="s">
        <v>241</v>
      </c>
      <c r="T9014" t="s">
        <v>351</v>
      </c>
      <c r="U9014" s="21">
        <v>1586.64</v>
      </c>
      <c r="V9014" s="21" t="s">
        <v>368</v>
      </c>
      <c r="W9014" t="str">
        <f>VLOOKUP(Table_Query_from_Actuarial___Production[[#This Row],[Kor1]],$AI$3:$AK$105,3,FALSE)</f>
        <v>Misc. Expense</v>
      </c>
      <c r="X9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4"/>
      <c r="Z9014" t="s">
        <v>46</v>
      </c>
      <c r="AA9014" t="s">
        <v>354</v>
      </c>
      <c r="AB9014" t="s">
        <v>7</v>
      </c>
      <c r="AC9014" s="21">
        <v>26826220.27</v>
      </c>
      <c r="AD9014" s="21" t="s">
        <v>369</v>
      </c>
      <c r="AE9014" t="str">
        <f>VLOOKUP(Table_Query_from_Actuarial___Production3[[#This Row],[Kor1]],$AI$3:$AK$105,3,FALSE)</f>
        <v>Investment Income</v>
      </c>
      <c r="AF9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015" spans="18:32" x14ac:dyDescent="0.2">
      <c r="R9015" t="s">
        <v>3</v>
      </c>
      <c r="S9015" t="s">
        <v>232</v>
      </c>
      <c r="T9015" t="s">
        <v>441</v>
      </c>
      <c r="U9015" s="21">
        <v>1263916</v>
      </c>
      <c r="V9015" s="21" t="s">
        <v>368</v>
      </c>
      <c r="W9015" t="str">
        <f>VLOOKUP(Table_Query_from_Actuarial___Production[[#This Row],[Kor1]],$AI$3:$AK$105,3,FALSE)</f>
        <v>Premiums Written</v>
      </c>
      <c r="X9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5"/>
      <c r="Z9015" t="s">
        <v>10</v>
      </c>
      <c r="AA9015" t="s">
        <v>264</v>
      </c>
      <c r="AB9015" t="s">
        <v>443</v>
      </c>
      <c r="AC9015" s="21">
        <v>71261.45</v>
      </c>
      <c r="AD9015" s="21" t="s">
        <v>368</v>
      </c>
      <c r="AE9015" t="str">
        <f>VLOOKUP(Table_Query_from_Actuarial___Production3[[#This Row],[Kor1]],$AI$3:$AK$105,3,FALSE)</f>
        <v>Commissions</v>
      </c>
      <c r="AF9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6" spans="18:32" x14ac:dyDescent="0.2">
      <c r="R9016" t="s">
        <v>32</v>
      </c>
      <c r="S9016" t="s">
        <v>4</v>
      </c>
      <c r="T9016" t="s">
        <v>9</v>
      </c>
      <c r="U9016" s="21">
        <v>28837.67</v>
      </c>
      <c r="V9016" s="21" t="s">
        <v>368</v>
      </c>
      <c r="W9016" t="str">
        <f>VLOOKUP(Table_Query_from_Actuarial___Production[[#This Row],[Kor1]],$AI$3:$AK$105,3,FALSE)</f>
        <v>Misc. Expense</v>
      </c>
      <c r="X9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6"/>
      <c r="Z9016" t="s">
        <v>16</v>
      </c>
      <c r="AA9016" t="s">
        <v>252</v>
      </c>
      <c r="AB9016" t="s">
        <v>351</v>
      </c>
      <c r="AC9016" s="21">
        <v>2452515.29</v>
      </c>
      <c r="AD9016" s="21" t="s">
        <v>368</v>
      </c>
      <c r="AE9016" t="str">
        <f>VLOOKUP(Table_Query_from_Actuarial___Production3[[#This Row],[Kor1]],$AI$3:$AK$105,3,FALSE)</f>
        <v>Losses Outstanding</v>
      </c>
      <c r="AF9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7" spans="18:32" x14ac:dyDescent="0.2">
      <c r="R9017" t="s">
        <v>28</v>
      </c>
      <c r="S9017" t="s">
        <v>4</v>
      </c>
      <c r="T9017" t="s">
        <v>6</v>
      </c>
      <c r="U9017" s="21">
        <v>-0.05</v>
      </c>
      <c r="V9017" s="21" t="s">
        <v>368</v>
      </c>
      <c r="W9017" t="str">
        <f>VLOOKUP(Table_Query_from_Actuarial___Production[[#This Row],[Kor1]],$AI$3:$AK$105,3,FALSE)</f>
        <v>Misc. Expense</v>
      </c>
      <c r="X9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7"/>
      <c r="Z9017" t="s">
        <v>37</v>
      </c>
      <c r="AA9017" t="s">
        <v>230</v>
      </c>
      <c r="AB9017" t="s">
        <v>442</v>
      </c>
      <c r="AC9017" s="21">
        <v>146591.21</v>
      </c>
      <c r="AD9017" s="21" t="s">
        <v>368</v>
      </c>
      <c r="AE9017" t="str">
        <f>VLOOKUP(Table_Query_from_Actuarial___Production3[[#This Row],[Kor1]],$AI$3:$AK$105,3,FALSE)</f>
        <v>Misc. Expense</v>
      </c>
      <c r="AF9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8" spans="18:32" x14ac:dyDescent="0.2">
      <c r="R9018" t="s">
        <v>50</v>
      </c>
      <c r="S9018" t="s">
        <v>237</v>
      </c>
      <c r="T9018" t="s">
        <v>443</v>
      </c>
      <c r="U9018" s="21">
        <v>166026</v>
      </c>
      <c r="V9018" s="21" t="s">
        <v>368</v>
      </c>
      <c r="W9018" t="str">
        <f>VLOOKUP(Table_Query_from_Actuarial___Production[[#This Row],[Kor1]],$AI$3:$AK$105,3,FALSE)</f>
        <v>ALAE Reserve</v>
      </c>
      <c r="X9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8"/>
      <c r="Z9018" t="s">
        <v>37</v>
      </c>
      <c r="AA9018" t="s">
        <v>241</v>
      </c>
      <c r="AB9018" t="s">
        <v>351</v>
      </c>
      <c r="AC9018" s="21">
        <v>1586.64</v>
      </c>
      <c r="AD9018" s="21" t="s">
        <v>368</v>
      </c>
      <c r="AE9018" t="str">
        <f>VLOOKUP(Table_Query_from_Actuarial___Production3[[#This Row],[Kor1]],$AI$3:$AK$105,3,FALSE)</f>
        <v>Misc. Expense</v>
      </c>
      <c r="AF9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19" spans="18:32" x14ac:dyDescent="0.2">
      <c r="R9019" t="s">
        <v>14</v>
      </c>
      <c r="S9019" t="s">
        <v>267</v>
      </c>
      <c r="T9019" t="s">
        <v>6</v>
      </c>
      <c r="U9019" s="21">
        <v>19432.47</v>
      </c>
      <c r="V9019" s="21" t="s">
        <v>368</v>
      </c>
      <c r="W9019" t="str">
        <f>VLOOKUP(Table_Query_from_Actuarial___Production[[#This Row],[Kor1]],$AI$3:$AK$105,3,FALSE)</f>
        <v>Claims Expense</v>
      </c>
      <c r="X9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19"/>
      <c r="Z9019" t="s">
        <v>3</v>
      </c>
      <c r="AA9019" t="s">
        <v>232</v>
      </c>
      <c r="AB9019" t="s">
        <v>441</v>
      </c>
      <c r="AC9019" s="21">
        <v>1263916</v>
      </c>
      <c r="AD9019" s="21" t="s">
        <v>368</v>
      </c>
      <c r="AE9019" t="str">
        <f>VLOOKUP(Table_Query_from_Actuarial___Production3[[#This Row],[Kor1]],$AI$3:$AK$105,3,FALSE)</f>
        <v>Premiums Written</v>
      </c>
      <c r="AF9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0" spans="18:32" x14ac:dyDescent="0.2">
      <c r="R9020" t="s">
        <v>19</v>
      </c>
      <c r="S9020" t="s">
        <v>241</v>
      </c>
      <c r="T9020" t="s">
        <v>427</v>
      </c>
      <c r="U9020" s="21">
        <v>1201</v>
      </c>
      <c r="V9020" s="21" t="s">
        <v>368</v>
      </c>
      <c r="W9020" t="str">
        <f>VLOOKUP(Table_Query_from_Actuarial___Production[[#This Row],[Kor1]],$AI$3:$AK$105,3,FALSE)</f>
        <v>Misc. Expense for Insolvent Companies</v>
      </c>
      <c r="X9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0"/>
      <c r="Z9020" t="s">
        <v>32</v>
      </c>
      <c r="AA9020" t="s">
        <v>4</v>
      </c>
      <c r="AB9020" t="s">
        <v>9</v>
      </c>
      <c r="AC9020" s="21">
        <v>28837.67</v>
      </c>
      <c r="AD9020" s="21" t="s">
        <v>368</v>
      </c>
      <c r="AE9020" t="str">
        <f>VLOOKUP(Table_Query_from_Actuarial___Production3[[#This Row],[Kor1]],$AI$3:$AK$105,3,FALSE)</f>
        <v>Misc. Expense</v>
      </c>
      <c r="AF9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1" spans="18:32" x14ac:dyDescent="0.2">
      <c r="R9021" t="s">
        <v>46</v>
      </c>
      <c r="S9021" t="s">
        <v>224</v>
      </c>
      <c r="T9021" t="s">
        <v>443</v>
      </c>
      <c r="U9021" s="21">
        <v>3631.68</v>
      </c>
      <c r="V9021" s="21" t="s">
        <v>369</v>
      </c>
      <c r="W9021" t="str">
        <f>VLOOKUP(Table_Query_from_Actuarial___Production[[#This Row],[Kor1]],$AI$3:$AK$105,3,FALSE)</f>
        <v>Investment Income</v>
      </c>
      <c r="X9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021"/>
      <c r="Z9021" t="s">
        <v>28</v>
      </c>
      <c r="AA9021" t="s">
        <v>4</v>
      </c>
      <c r="AB9021" t="s">
        <v>6</v>
      </c>
      <c r="AC9021" s="21">
        <v>-0.05</v>
      </c>
      <c r="AD9021" s="21" t="s">
        <v>368</v>
      </c>
      <c r="AE9021" t="str">
        <f>VLOOKUP(Table_Query_from_Actuarial___Production3[[#This Row],[Kor1]],$AI$3:$AK$105,3,FALSE)</f>
        <v>Misc. Expense</v>
      </c>
      <c r="AF9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2" spans="18:32" x14ac:dyDescent="0.2">
      <c r="R9022" t="s">
        <v>47</v>
      </c>
      <c r="S9022" t="s">
        <v>227</v>
      </c>
      <c r="T9022" t="s">
        <v>441</v>
      </c>
      <c r="U9022" s="21">
        <v>743.59</v>
      </c>
      <c r="V9022" s="21" t="s">
        <v>368</v>
      </c>
      <c r="W9022" t="str">
        <f>VLOOKUP(Table_Query_from_Actuarial___Production[[#This Row],[Kor1]],$AI$3:$AK$105,3,FALSE)</f>
        <v>Investment Income</v>
      </c>
      <c r="X9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2"/>
      <c r="Z9022" t="s">
        <v>38</v>
      </c>
      <c r="AA9022" t="s">
        <v>224</v>
      </c>
      <c r="AB9022" t="s">
        <v>5</v>
      </c>
      <c r="AC9022" s="21">
        <v>194471.63</v>
      </c>
      <c r="AD9022" s="21" t="s">
        <v>368</v>
      </c>
      <c r="AE9022" t="str">
        <f>VLOOKUP(Table_Query_from_Actuarial___Production3[[#This Row],[Kor1]],$AI$3:$AK$105,3,FALSE)</f>
        <v>Misc. Income</v>
      </c>
      <c r="AF9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023" spans="18:32" x14ac:dyDescent="0.2">
      <c r="R9023" t="s">
        <v>12</v>
      </c>
      <c r="S9023" t="s">
        <v>244</v>
      </c>
      <c r="T9023" t="s">
        <v>8</v>
      </c>
      <c r="U9023" s="21">
        <v>25759.7</v>
      </c>
      <c r="V9023" s="21" t="s">
        <v>368</v>
      </c>
      <c r="W9023" t="str">
        <f>VLOOKUP(Table_Query_from_Actuarial___Production[[#This Row],[Kor1]],$AI$3:$AK$105,3,FALSE)</f>
        <v>Premium Tax</v>
      </c>
      <c r="X9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3"/>
      <c r="Z9023" t="s">
        <v>14</v>
      </c>
      <c r="AA9023" t="s">
        <v>267</v>
      </c>
      <c r="AB9023" t="s">
        <v>6</v>
      </c>
      <c r="AC9023" s="21">
        <v>19432.47</v>
      </c>
      <c r="AD9023" s="21" t="s">
        <v>368</v>
      </c>
      <c r="AE9023" t="str">
        <f>VLOOKUP(Table_Query_from_Actuarial___Production3[[#This Row],[Kor1]],$AI$3:$AK$105,3,FALSE)</f>
        <v>Claims Expense</v>
      </c>
      <c r="AF9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4" spans="18:32" x14ac:dyDescent="0.2">
      <c r="R9024" t="s">
        <v>75</v>
      </c>
      <c r="S9024" t="s">
        <v>237</v>
      </c>
      <c r="T9024" t="s">
        <v>443</v>
      </c>
      <c r="U9024" s="21">
        <v>49225</v>
      </c>
      <c r="V9024" s="21" t="s">
        <v>368</v>
      </c>
      <c r="W9024" t="str">
        <f>VLOOKUP(Table_Query_from_Actuarial___Production[[#This Row],[Kor1]],$AI$3:$AK$105,3,FALSE)</f>
        <v>EBUB</v>
      </c>
      <c r="X9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4"/>
      <c r="Z9024" t="s">
        <v>19</v>
      </c>
      <c r="AA9024" t="s">
        <v>241</v>
      </c>
      <c r="AB9024" t="s">
        <v>427</v>
      </c>
      <c r="AC9024" s="21">
        <v>1201</v>
      </c>
      <c r="AD9024" s="21" t="s">
        <v>368</v>
      </c>
      <c r="AE9024" t="str">
        <f>VLOOKUP(Table_Query_from_Actuarial___Production3[[#This Row],[Kor1]],$AI$3:$AK$105,3,FALSE)</f>
        <v>Misc. Expense for Insolvent Companies</v>
      </c>
      <c r="AF9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5" spans="18:32" x14ac:dyDescent="0.2">
      <c r="R9025" t="s">
        <v>40</v>
      </c>
      <c r="S9025" t="s">
        <v>230</v>
      </c>
      <c r="T9025" t="s">
        <v>433</v>
      </c>
      <c r="U9025" s="21">
        <v>1.01</v>
      </c>
      <c r="V9025" s="21" t="s">
        <v>368</v>
      </c>
      <c r="W9025" t="str">
        <f>VLOOKUP(Table_Query_from_Actuarial___Production[[#This Row],[Kor1]],$AI$3:$AK$105,3,FALSE)</f>
        <v>Misc. Income</v>
      </c>
      <c r="X9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5"/>
      <c r="Z9025" t="s">
        <v>46</v>
      </c>
      <c r="AA9025" t="s">
        <v>224</v>
      </c>
      <c r="AB9025" t="s">
        <v>443</v>
      </c>
      <c r="AC9025" s="21">
        <v>501.23</v>
      </c>
      <c r="AD9025" s="21" t="s">
        <v>369</v>
      </c>
      <c r="AE9025" t="str">
        <f>VLOOKUP(Table_Query_from_Actuarial___Production3[[#This Row],[Kor1]],$AI$3:$AK$105,3,FALSE)</f>
        <v>Investment Income</v>
      </c>
      <c r="AF9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026" spans="18:32" x14ac:dyDescent="0.2">
      <c r="R9026" t="s">
        <v>12</v>
      </c>
      <c r="S9026" t="s">
        <v>242</v>
      </c>
      <c r="T9026" t="s">
        <v>8</v>
      </c>
      <c r="U9026" s="21">
        <v>11587.61</v>
      </c>
      <c r="V9026" s="21" t="s">
        <v>368</v>
      </c>
      <c r="W9026" t="str">
        <f>VLOOKUP(Table_Query_from_Actuarial___Production[[#This Row],[Kor1]],$AI$3:$AK$105,3,FALSE)</f>
        <v>Premium Tax</v>
      </c>
      <c r="X9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6"/>
      <c r="Z9026" t="s">
        <v>47</v>
      </c>
      <c r="AA9026" t="s">
        <v>227</v>
      </c>
      <c r="AB9026" t="s">
        <v>441</v>
      </c>
      <c r="AC9026" s="21">
        <v>743.59</v>
      </c>
      <c r="AD9026" s="21" t="s">
        <v>368</v>
      </c>
      <c r="AE9026" t="str">
        <f>VLOOKUP(Table_Query_from_Actuarial___Production3[[#This Row],[Kor1]],$AI$3:$AK$105,3,FALSE)</f>
        <v>Investment Income</v>
      </c>
      <c r="AF9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7" spans="18:32" x14ac:dyDescent="0.2">
      <c r="R9027" t="s">
        <v>13</v>
      </c>
      <c r="S9027" t="s">
        <v>250</v>
      </c>
      <c r="T9027" t="s">
        <v>6</v>
      </c>
      <c r="U9027" s="21">
        <v>146837.06</v>
      </c>
      <c r="V9027" s="21" t="s">
        <v>368</v>
      </c>
      <c r="W9027" t="str">
        <f>VLOOKUP(Table_Query_from_Actuarial___Production[[#This Row],[Kor1]],$AI$3:$AK$105,3,FALSE)</f>
        <v>Operating Service Fees</v>
      </c>
      <c r="X9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7"/>
      <c r="Z9027" t="s">
        <v>12</v>
      </c>
      <c r="AA9027" t="s">
        <v>244</v>
      </c>
      <c r="AB9027" t="s">
        <v>8</v>
      </c>
      <c r="AC9027" s="21">
        <v>25759.7</v>
      </c>
      <c r="AD9027" s="21" t="s">
        <v>368</v>
      </c>
      <c r="AE9027" t="str">
        <f>VLOOKUP(Table_Query_from_Actuarial___Production3[[#This Row],[Kor1]],$AI$3:$AK$105,3,FALSE)</f>
        <v>Premium Tax</v>
      </c>
      <c r="AF9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8" spans="18:32" x14ac:dyDescent="0.2">
      <c r="R9028" t="s">
        <v>37</v>
      </c>
      <c r="S9028" t="s">
        <v>239</v>
      </c>
      <c r="T9028" t="s">
        <v>9</v>
      </c>
      <c r="U9028" s="21">
        <v>-83.59</v>
      </c>
      <c r="V9028" s="21" t="s">
        <v>368</v>
      </c>
      <c r="W9028" t="str">
        <f>VLOOKUP(Table_Query_from_Actuarial___Production[[#This Row],[Kor1]],$AI$3:$AK$105,3,FALSE)</f>
        <v>Misc. Expense</v>
      </c>
      <c r="X9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8"/>
      <c r="Z9028" t="s">
        <v>40</v>
      </c>
      <c r="AA9028" t="s">
        <v>230</v>
      </c>
      <c r="AB9028" t="s">
        <v>433</v>
      </c>
      <c r="AC9028" s="21">
        <v>1.01</v>
      </c>
      <c r="AD9028" s="21" t="s">
        <v>368</v>
      </c>
      <c r="AE9028" t="str">
        <f>VLOOKUP(Table_Query_from_Actuarial___Production3[[#This Row],[Kor1]],$AI$3:$AK$105,3,FALSE)</f>
        <v>Misc. Income</v>
      </c>
      <c r="AF9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29" spans="18:32" x14ac:dyDescent="0.2">
      <c r="R9029" t="s">
        <v>37</v>
      </c>
      <c r="S9029" t="s">
        <v>4</v>
      </c>
      <c r="T9029" t="s">
        <v>351</v>
      </c>
      <c r="U9029" s="21">
        <v>35823.86</v>
      </c>
      <c r="V9029" s="21" t="s">
        <v>368</v>
      </c>
      <c r="W9029" t="str">
        <f>VLOOKUP(Table_Query_from_Actuarial___Production[[#This Row],[Kor1]],$AI$3:$AK$105,3,FALSE)</f>
        <v>Misc. Expense</v>
      </c>
      <c r="X9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29"/>
      <c r="Z9029" t="s">
        <v>12</v>
      </c>
      <c r="AA9029" t="s">
        <v>242</v>
      </c>
      <c r="AB9029" t="s">
        <v>8</v>
      </c>
      <c r="AC9029" s="21">
        <v>11587.61</v>
      </c>
      <c r="AD9029" s="21" t="s">
        <v>368</v>
      </c>
      <c r="AE9029" t="str">
        <f>VLOOKUP(Table_Query_from_Actuarial___Production3[[#This Row],[Kor1]],$AI$3:$AK$105,3,FALSE)</f>
        <v>Premium Tax</v>
      </c>
      <c r="AF9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0" spans="18:32" x14ac:dyDescent="0.2">
      <c r="R9030" t="s">
        <v>14</v>
      </c>
      <c r="S9030" t="s">
        <v>268</v>
      </c>
      <c r="T9030" t="s">
        <v>427</v>
      </c>
      <c r="U9030" s="21">
        <v>64.8</v>
      </c>
      <c r="V9030" s="21" t="s">
        <v>368</v>
      </c>
      <c r="W9030" t="str">
        <f>VLOOKUP(Table_Query_from_Actuarial___Production[[#This Row],[Kor1]],$AI$3:$AK$105,3,FALSE)</f>
        <v>Claims Expense</v>
      </c>
      <c r="X9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0"/>
      <c r="Z9030" t="s">
        <v>13</v>
      </c>
      <c r="AA9030" t="s">
        <v>250</v>
      </c>
      <c r="AB9030" t="s">
        <v>6</v>
      </c>
      <c r="AC9030" s="21">
        <v>146837.06</v>
      </c>
      <c r="AD9030" s="21" t="s">
        <v>368</v>
      </c>
      <c r="AE9030" t="str">
        <f>VLOOKUP(Table_Query_from_Actuarial___Production3[[#This Row],[Kor1]],$AI$3:$AK$105,3,FALSE)</f>
        <v>Operating Service Fees</v>
      </c>
      <c r="AF9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1" spans="18:32" x14ac:dyDescent="0.2">
      <c r="R9031" t="s">
        <v>39</v>
      </c>
      <c r="S9031" t="s">
        <v>252</v>
      </c>
      <c r="T9031" t="s">
        <v>441</v>
      </c>
      <c r="U9031" s="21">
        <v>9140.83</v>
      </c>
      <c r="V9031" s="21" t="s">
        <v>368</v>
      </c>
      <c r="W9031" t="str">
        <f>VLOOKUP(Table_Query_from_Actuarial___Production[[#This Row],[Kor1]],$AI$3:$AK$105,3,FALSE)</f>
        <v>Misc. Income for Insolvent Companies</v>
      </c>
      <c r="X9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1"/>
      <c r="Z9031" t="s">
        <v>37</v>
      </c>
      <c r="AA9031" t="s">
        <v>239</v>
      </c>
      <c r="AB9031" t="s">
        <v>9</v>
      </c>
      <c r="AC9031" s="21">
        <v>-83.59</v>
      </c>
      <c r="AD9031" s="21" t="s">
        <v>368</v>
      </c>
      <c r="AE9031" t="str">
        <f>VLOOKUP(Table_Query_from_Actuarial___Production3[[#This Row],[Kor1]],$AI$3:$AK$105,3,FALSE)</f>
        <v>Misc. Expense</v>
      </c>
      <c r="AF9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2" spans="18:32" x14ac:dyDescent="0.2">
      <c r="R9032" t="s">
        <v>48</v>
      </c>
      <c r="S9032" t="s">
        <v>237</v>
      </c>
      <c r="T9032" t="s">
        <v>445</v>
      </c>
      <c r="U9032" s="21">
        <v>34248</v>
      </c>
      <c r="V9032" s="21" t="s">
        <v>368</v>
      </c>
      <c r="W9032" t="str">
        <f>VLOOKUP(Table_Query_from_Actuarial___Production[[#This Row],[Kor1]],$AI$3:$AK$105,3,FALSE)</f>
        <v>Anticipated Salvage</v>
      </c>
      <c r="X9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2"/>
      <c r="Z9032" t="s">
        <v>37</v>
      </c>
      <c r="AA9032" t="s">
        <v>4</v>
      </c>
      <c r="AB9032" t="s">
        <v>351</v>
      </c>
      <c r="AC9032" s="21">
        <v>35823.86</v>
      </c>
      <c r="AD9032" s="21" t="s">
        <v>368</v>
      </c>
      <c r="AE9032" t="str">
        <f>VLOOKUP(Table_Query_from_Actuarial___Production3[[#This Row],[Kor1]],$AI$3:$AK$105,3,FALSE)</f>
        <v>Misc. Expense</v>
      </c>
      <c r="AF9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3" spans="18:32" x14ac:dyDescent="0.2">
      <c r="R9033" t="s">
        <v>10</v>
      </c>
      <c r="S9033" t="s">
        <v>265</v>
      </c>
      <c r="T9033" t="s">
        <v>442</v>
      </c>
      <c r="U9033" s="21">
        <v>37449.35</v>
      </c>
      <c r="V9033" s="21" t="s">
        <v>368</v>
      </c>
      <c r="W9033" t="str">
        <f>VLOOKUP(Table_Query_from_Actuarial___Production[[#This Row],[Kor1]],$AI$3:$AK$105,3,FALSE)</f>
        <v>Commissions</v>
      </c>
      <c r="X9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3"/>
      <c r="Z9033" t="s">
        <v>14</v>
      </c>
      <c r="AA9033" t="s">
        <v>268</v>
      </c>
      <c r="AB9033" t="s">
        <v>427</v>
      </c>
      <c r="AC9033" s="21">
        <v>64.8</v>
      </c>
      <c r="AD9033" s="21" t="s">
        <v>368</v>
      </c>
      <c r="AE9033" t="str">
        <f>VLOOKUP(Table_Query_from_Actuarial___Production3[[#This Row],[Kor1]],$AI$3:$AK$105,3,FALSE)</f>
        <v>Claims Expense</v>
      </c>
      <c r="AF9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4" spans="18:32" x14ac:dyDescent="0.2">
      <c r="R9034" t="s">
        <v>13</v>
      </c>
      <c r="S9034" t="s">
        <v>4</v>
      </c>
      <c r="T9034" t="s">
        <v>427</v>
      </c>
      <c r="U9034" s="21">
        <v>8550326.6500000004</v>
      </c>
      <c r="V9034" s="21" t="s">
        <v>368</v>
      </c>
      <c r="W9034" t="str">
        <f>VLOOKUP(Table_Query_from_Actuarial___Production[[#This Row],[Kor1]],$AI$3:$AK$105,3,FALSE)</f>
        <v>Operating Service Fees</v>
      </c>
      <c r="X9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4"/>
      <c r="Z9034" t="s">
        <v>39</v>
      </c>
      <c r="AA9034" t="s">
        <v>252</v>
      </c>
      <c r="AB9034" t="s">
        <v>441</v>
      </c>
      <c r="AC9034" s="21">
        <v>9140.83</v>
      </c>
      <c r="AD9034" s="21" t="s">
        <v>368</v>
      </c>
      <c r="AE9034" t="str">
        <f>VLOOKUP(Table_Query_from_Actuarial___Production3[[#This Row],[Kor1]],$AI$3:$AK$105,3,FALSE)</f>
        <v>Misc. Income for Insolvent Companies</v>
      </c>
      <c r="AF9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5" spans="18:32" x14ac:dyDescent="0.2">
      <c r="R9035" t="s">
        <v>15</v>
      </c>
      <c r="S9035" t="s">
        <v>266</v>
      </c>
      <c r="T9035" t="s">
        <v>445</v>
      </c>
      <c r="U9035" s="21">
        <v>425953.31</v>
      </c>
      <c r="V9035" s="21" t="s">
        <v>368</v>
      </c>
      <c r="W9035" t="str">
        <f>VLOOKUP(Table_Query_from_Actuarial___Production[[#This Row],[Kor1]],$AI$3:$AK$105,3,FALSE)</f>
        <v>Unearned Premiums</v>
      </c>
      <c r="X9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5"/>
      <c r="Z9035" t="s">
        <v>10</v>
      </c>
      <c r="AA9035" t="s">
        <v>265</v>
      </c>
      <c r="AB9035" t="s">
        <v>442</v>
      </c>
      <c r="AC9035" s="21">
        <v>37489.35</v>
      </c>
      <c r="AD9035" s="21" t="s">
        <v>368</v>
      </c>
      <c r="AE9035" t="str">
        <f>VLOOKUP(Table_Query_from_Actuarial___Production3[[#This Row],[Kor1]],$AI$3:$AK$105,3,FALSE)</f>
        <v>Commissions</v>
      </c>
      <c r="AF9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6" spans="18:32" x14ac:dyDescent="0.2">
      <c r="R9036" t="s">
        <v>39</v>
      </c>
      <c r="S9036" t="s">
        <v>258</v>
      </c>
      <c r="T9036" t="s">
        <v>441</v>
      </c>
      <c r="U9036" s="21">
        <v>3200.84</v>
      </c>
      <c r="V9036" s="21" t="s">
        <v>368</v>
      </c>
      <c r="W9036" t="str">
        <f>VLOOKUP(Table_Query_from_Actuarial___Production[[#This Row],[Kor1]],$AI$3:$AK$105,3,FALSE)</f>
        <v>Misc. Income for Insolvent Companies</v>
      </c>
      <c r="X9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6"/>
      <c r="Z9036" t="s">
        <v>41</v>
      </c>
      <c r="AA9036" t="s">
        <v>265</v>
      </c>
      <c r="AB9036" t="s">
        <v>5</v>
      </c>
      <c r="AC9036" s="21">
        <v>0</v>
      </c>
      <c r="AD9036" s="21" t="s">
        <v>368</v>
      </c>
      <c r="AE9036" t="str">
        <f>VLOOKUP(Table_Query_from_Actuarial___Production3[[#This Row],[Kor1]],$AI$3:$AK$105,3,FALSE)</f>
        <v>Misc. Income</v>
      </c>
      <c r="AF9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7" spans="18:32" x14ac:dyDescent="0.2">
      <c r="R9037" t="s">
        <v>41</v>
      </c>
      <c r="S9037" t="s">
        <v>268</v>
      </c>
      <c r="T9037" t="s">
        <v>9</v>
      </c>
      <c r="U9037" s="21">
        <v>400</v>
      </c>
      <c r="V9037" s="21" t="s">
        <v>368</v>
      </c>
      <c r="W9037" t="str">
        <f>VLOOKUP(Table_Query_from_Actuarial___Production[[#This Row],[Kor1]],$AI$3:$AK$105,3,FALSE)</f>
        <v>Misc. Income</v>
      </c>
      <c r="X9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7"/>
      <c r="Z9037" t="s">
        <v>15</v>
      </c>
      <c r="AA9037" t="s">
        <v>268</v>
      </c>
      <c r="AB9037" t="s">
        <v>442</v>
      </c>
      <c r="AC9037" s="21">
        <v>2257.39</v>
      </c>
      <c r="AD9037" s="21" t="s">
        <v>368</v>
      </c>
      <c r="AE9037" t="str">
        <f>VLOOKUP(Table_Query_from_Actuarial___Production3[[#This Row],[Kor1]],$AI$3:$AK$105,3,FALSE)</f>
        <v>Unearned Premiums</v>
      </c>
      <c r="AF9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8" spans="18:32" x14ac:dyDescent="0.2">
      <c r="R9038" t="s">
        <v>50</v>
      </c>
      <c r="S9038" t="s">
        <v>239</v>
      </c>
      <c r="T9038" t="s">
        <v>433</v>
      </c>
      <c r="U9038" s="21">
        <v>188746.71</v>
      </c>
      <c r="V9038" s="21" t="s">
        <v>368</v>
      </c>
      <c r="W9038" t="str">
        <f>VLOOKUP(Table_Query_from_Actuarial___Production[[#This Row],[Kor1]],$AI$3:$AK$105,3,FALSE)</f>
        <v>ALAE Reserve</v>
      </c>
      <c r="X9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8"/>
      <c r="Z9038" t="s">
        <v>13</v>
      </c>
      <c r="AA9038" t="s">
        <v>4</v>
      </c>
      <c r="AB9038" t="s">
        <v>427</v>
      </c>
      <c r="AC9038" s="21">
        <v>8550326.6500000004</v>
      </c>
      <c r="AD9038" s="21" t="s">
        <v>368</v>
      </c>
      <c r="AE9038" t="str">
        <f>VLOOKUP(Table_Query_from_Actuarial___Production3[[#This Row],[Kor1]],$AI$3:$AK$105,3,FALSE)</f>
        <v>Operating Service Fees</v>
      </c>
      <c r="AF9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39" spans="18:32" x14ac:dyDescent="0.2">
      <c r="R9039" t="s">
        <v>14</v>
      </c>
      <c r="S9039" t="s">
        <v>229</v>
      </c>
      <c r="T9039" t="s">
        <v>9</v>
      </c>
      <c r="U9039" s="21">
        <v>3784.38</v>
      </c>
      <c r="V9039" s="21" t="s">
        <v>368</v>
      </c>
      <c r="W9039" t="str">
        <f>VLOOKUP(Table_Query_from_Actuarial___Production[[#This Row],[Kor1]],$AI$3:$AK$105,3,FALSE)</f>
        <v>Claims Expense</v>
      </c>
      <c r="X9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39"/>
      <c r="Z9039" t="s">
        <v>39</v>
      </c>
      <c r="AA9039" t="s">
        <v>258</v>
      </c>
      <c r="AB9039" t="s">
        <v>441</v>
      </c>
      <c r="AC9039" s="21">
        <v>3200.84</v>
      </c>
      <c r="AD9039" s="21" t="s">
        <v>368</v>
      </c>
      <c r="AE9039" t="str">
        <f>VLOOKUP(Table_Query_from_Actuarial___Production3[[#This Row],[Kor1]],$AI$3:$AK$105,3,FALSE)</f>
        <v>Misc. Income for Insolvent Companies</v>
      </c>
      <c r="AF9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0" spans="18:32" x14ac:dyDescent="0.2">
      <c r="R9040" t="s">
        <v>49</v>
      </c>
      <c r="S9040" t="s">
        <v>257</v>
      </c>
      <c r="T9040" t="s">
        <v>427</v>
      </c>
      <c r="U9040" s="21">
        <v>31126.35</v>
      </c>
      <c r="V9040" s="21" t="s">
        <v>368</v>
      </c>
      <c r="W9040" t="str">
        <f>VLOOKUP(Table_Query_from_Actuarial___Production[[#This Row],[Kor1]],$AI$3:$AK$105,3,FALSE)</f>
        <v>ALAE Paid</v>
      </c>
      <c r="X9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0"/>
      <c r="Z9040" t="s">
        <v>40</v>
      </c>
      <c r="AA9040" t="s">
        <v>242</v>
      </c>
      <c r="AB9040" t="s">
        <v>5</v>
      </c>
      <c r="AC9040" s="21">
        <v>397.36</v>
      </c>
      <c r="AD9040" s="21" t="s">
        <v>368</v>
      </c>
      <c r="AE9040" t="str">
        <f>VLOOKUP(Table_Query_from_Actuarial___Production3[[#This Row],[Kor1]],$AI$3:$AK$105,3,FALSE)</f>
        <v>Misc. Income</v>
      </c>
      <c r="AF9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1" spans="18:32" x14ac:dyDescent="0.2">
      <c r="R9041" t="s">
        <v>13</v>
      </c>
      <c r="S9041" t="s">
        <v>251</v>
      </c>
      <c r="T9041" t="s">
        <v>427</v>
      </c>
      <c r="U9041" s="21">
        <v>180427.96</v>
      </c>
      <c r="V9041" s="21" t="s">
        <v>368</v>
      </c>
      <c r="W9041" t="str">
        <f>VLOOKUP(Table_Query_from_Actuarial___Production[[#This Row],[Kor1]],$AI$3:$AK$105,3,FALSE)</f>
        <v>Operating Service Fees</v>
      </c>
      <c r="X9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1"/>
      <c r="Z9041" t="s">
        <v>41</v>
      </c>
      <c r="AA9041" t="s">
        <v>268</v>
      </c>
      <c r="AB9041" t="s">
        <v>9</v>
      </c>
      <c r="AC9041" s="21">
        <v>400</v>
      </c>
      <c r="AD9041" s="21" t="s">
        <v>368</v>
      </c>
      <c r="AE9041" t="str">
        <f>VLOOKUP(Table_Query_from_Actuarial___Production3[[#This Row],[Kor1]],$AI$3:$AK$105,3,FALSE)</f>
        <v>Misc. Income</v>
      </c>
      <c r="AF9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2" spans="18:32" x14ac:dyDescent="0.2">
      <c r="R9042" t="s">
        <v>43</v>
      </c>
      <c r="S9042" t="s">
        <v>264</v>
      </c>
      <c r="T9042" t="s">
        <v>445</v>
      </c>
      <c r="U9042" s="21">
        <v>268.99</v>
      </c>
      <c r="V9042" s="21" t="s">
        <v>368</v>
      </c>
      <c r="W9042" t="str">
        <f>VLOOKUP(Table_Query_from_Actuarial___Production[[#This Row],[Kor1]],$AI$3:$AK$105,3,FALSE)</f>
        <v>Charge-offs</v>
      </c>
      <c r="X9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2"/>
      <c r="Z9042" t="s">
        <v>50</v>
      </c>
      <c r="AA9042" t="s">
        <v>239</v>
      </c>
      <c r="AB9042" t="s">
        <v>433</v>
      </c>
      <c r="AC9042" s="21">
        <v>260331.34</v>
      </c>
      <c r="AD9042" s="21" t="s">
        <v>368</v>
      </c>
      <c r="AE9042" t="str">
        <f>VLOOKUP(Table_Query_from_Actuarial___Production3[[#This Row],[Kor1]],$AI$3:$AK$105,3,FALSE)</f>
        <v>ALAE Reserve</v>
      </c>
      <c r="AF9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3" spans="18:32" x14ac:dyDescent="0.2">
      <c r="R9043" t="s">
        <v>46</v>
      </c>
      <c r="S9043" t="s">
        <v>352</v>
      </c>
      <c r="T9043" t="s">
        <v>427</v>
      </c>
      <c r="U9043" s="21">
        <v>7276.74</v>
      </c>
      <c r="V9043" s="21" t="s">
        <v>369</v>
      </c>
      <c r="W9043" t="str">
        <f>VLOOKUP(Table_Query_from_Actuarial___Production[[#This Row],[Kor1]],$AI$3:$AK$105,3,FALSE)</f>
        <v>Investment Income</v>
      </c>
      <c r="X9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043"/>
      <c r="Z9043" t="s">
        <v>14</v>
      </c>
      <c r="AA9043" t="s">
        <v>229</v>
      </c>
      <c r="AB9043" t="s">
        <v>9</v>
      </c>
      <c r="AC9043" s="21">
        <v>3784.38</v>
      </c>
      <c r="AD9043" s="21" t="s">
        <v>368</v>
      </c>
      <c r="AE9043" t="str">
        <f>VLOOKUP(Table_Query_from_Actuarial___Production3[[#This Row],[Kor1]],$AI$3:$AK$105,3,FALSE)</f>
        <v>Claims Expense</v>
      </c>
      <c r="AF9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4" spans="18:32" x14ac:dyDescent="0.2">
      <c r="R9044" t="s">
        <v>46</v>
      </c>
      <c r="S9044" t="s">
        <v>224</v>
      </c>
      <c r="T9044" t="s">
        <v>9</v>
      </c>
      <c r="U9044" s="21">
        <v>412.49</v>
      </c>
      <c r="V9044" s="21" t="s">
        <v>425</v>
      </c>
      <c r="W9044" t="str">
        <f>VLOOKUP(Table_Query_from_Actuarial___Production[[#This Row],[Kor1]],$AI$3:$AK$105,3,FALSE)</f>
        <v>Investment Income</v>
      </c>
      <c r="X9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044"/>
      <c r="Z9044" t="s">
        <v>49</v>
      </c>
      <c r="AA9044" t="s">
        <v>257</v>
      </c>
      <c r="AB9044" t="s">
        <v>427</v>
      </c>
      <c r="AC9044" s="21">
        <v>5546.94</v>
      </c>
      <c r="AD9044" s="21" t="s">
        <v>368</v>
      </c>
      <c r="AE9044" t="str">
        <f>VLOOKUP(Table_Query_from_Actuarial___Production3[[#This Row],[Kor1]],$AI$3:$AK$105,3,FALSE)</f>
        <v>ALAE Paid</v>
      </c>
      <c r="AF9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5" spans="18:32" x14ac:dyDescent="0.2">
      <c r="R9045" t="s">
        <v>11</v>
      </c>
      <c r="S9045" t="s">
        <v>267</v>
      </c>
      <c r="T9045" t="s">
        <v>427</v>
      </c>
      <c r="U9045" s="21">
        <v>93680.61</v>
      </c>
      <c r="V9045" s="21" t="s">
        <v>368</v>
      </c>
      <c r="W9045" t="str">
        <f>VLOOKUP(Table_Query_from_Actuarial___Production[[#This Row],[Kor1]],$AI$3:$AK$105,3,FALSE)</f>
        <v>Losses Paid</v>
      </c>
      <c r="X9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5"/>
      <c r="Z9045" t="s">
        <v>13</v>
      </c>
      <c r="AA9045" t="s">
        <v>251</v>
      </c>
      <c r="AB9045" t="s">
        <v>427</v>
      </c>
      <c r="AC9045" s="21">
        <v>180427.96</v>
      </c>
      <c r="AD9045" s="21" t="s">
        <v>368</v>
      </c>
      <c r="AE9045" t="str">
        <f>VLOOKUP(Table_Query_from_Actuarial___Production3[[#This Row],[Kor1]],$AI$3:$AK$105,3,FALSE)</f>
        <v>Operating Service Fees</v>
      </c>
      <c r="AF9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6" spans="18:32" x14ac:dyDescent="0.2">
      <c r="R9046" t="s">
        <v>19</v>
      </c>
      <c r="S9046" t="s">
        <v>229</v>
      </c>
      <c r="T9046" t="s">
        <v>9</v>
      </c>
      <c r="U9046" s="21">
        <v>6</v>
      </c>
      <c r="V9046" s="21" t="s">
        <v>368</v>
      </c>
      <c r="W9046" t="str">
        <f>VLOOKUP(Table_Query_from_Actuarial___Production[[#This Row],[Kor1]],$AI$3:$AK$105,3,FALSE)</f>
        <v>Misc. Expense for Insolvent Companies</v>
      </c>
      <c r="X9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6"/>
      <c r="Z9046" t="s">
        <v>12</v>
      </c>
      <c r="AA9046" t="s">
        <v>259</v>
      </c>
      <c r="AB9046" t="s">
        <v>5</v>
      </c>
      <c r="AC9046" s="21">
        <v>2338.4699999999998</v>
      </c>
      <c r="AD9046" s="21" t="s">
        <v>368</v>
      </c>
      <c r="AE9046" t="str">
        <f>VLOOKUP(Table_Query_from_Actuarial___Production3[[#This Row],[Kor1]],$AI$3:$AK$105,3,FALSE)</f>
        <v>Premium Tax</v>
      </c>
      <c r="AF9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47" spans="18:32" x14ac:dyDescent="0.2">
      <c r="R9047" t="s">
        <v>32</v>
      </c>
      <c r="S9047" t="s">
        <v>252</v>
      </c>
      <c r="T9047" t="s">
        <v>443</v>
      </c>
      <c r="U9047" s="21">
        <v>129986.37</v>
      </c>
      <c r="V9047" s="21" t="s">
        <v>368</v>
      </c>
      <c r="W9047" t="str">
        <f>VLOOKUP(Table_Query_from_Actuarial___Production[[#This Row],[Kor1]],$AI$3:$AK$105,3,FALSE)</f>
        <v>Misc. Expense</v>
      </c>
      <c r="X9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7"/>
      <c r="Z9047" t="s">
        <v>46</v>
      </c>
      <c r="AA9047" t="s">
        <v>352</v>
      </c>
      <c r="AB9047" t="s">
        <v>427</v>
      </c>
      <c r="AC9047" s="21">
        <v>7276.74</v>
      </c>
      <c r="AD9047" s="21" t="s">
        <v>369</v>
      </c>
      <c r="AE9047" t="str">
        <f>VLOOKUP(Table_Query_from_Actuarial___Production3[[#This Row],[Kor1]],$AI$3:$AK$105,3,FALSE)</f>
        <v>Investment Income</v>
      </c>
      <c r="AF9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048" spans="18:32" x14ac:dyDescent="0.2">
      <c r="R9048" t="s">
        <v>17</v>
      </c>
      <c r="S9048" t="s">
        <v>264</v>
      </c>
      <c r="T9048" t="s">
        <v>445</v>
      </c>
      <c r="U9048" s="21">
        <v>373281.9</v>
      </c>
      <c r="V9048" s="21" t="s">
        <v>368</v>
      </c>
      <c r="W9048" t="str">
        <f>VLOOKUP(Table_Query_from_Actuarial___Production[[#This Row],[Kor1]],$AI$3:$AK$105,3,FALSE)</f>
        <v>IBNR</v>
      </c>
      <c r="X9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8"/>
      <c r="Z9048" t="s">
        <v>46</v>
      </c>
      <c r="AA9048" t="s">
        <v>224</v>
      </c>
      <c r="AB9048" t="s">
        <v>9</v>
      </c>
      <c r="AC9048" s="21">
        <v>412.49</v>
      </c>
      <c r="AD9048" s="21" t="s">
        <v>425</v>
      </c>
      <c r="AE9048" t="str">
        <f>VLOOKUP(Table_Query_from_Actuarial___Production3[[#This Row],[Kor1]],$AI$3:$AK$105,3,FALSE)</f>
        <v>Investment Income</v>
      </c>
      <c r="AF9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049" spans="18:32" x14ac:dyDescent="0.2">
      <c r="R9049" t="s">
        <v>34</v>
      </c>
      <c r="S9049" t="s">
        <v>240</v>
      </c>
      <c r="T9049" t="s">
        <v>6</v>
      </c>
      <c r="U9049" s="21">
        <v>1.33</v>
      </c>
      <c r="V9049" s="21" t="s">
        <v>368</v>
      </c>
      <c r="W9049" t="str">
        <f>VLOOKUP(Table_Query_from_Actuarial___Production[[#This Row],[Kor1]],$AI$3:$AK$105,3,FALSE)</f>
        <v>Misc. Expense</v>
      </c>
      <c r="X9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49"/>
      <c r="Z9049" t="s">
        <v>11</v>
      </c>
      <c r="AA9049" t="s">
        <v>267</v>
      </c>
      <c r="AB9049" t="s">
        <v>427</v>
      </c>
      <c r="AC9049" s="21">
        <v>93680.61</v>
      </c>
      <c r="AD9049" s="21" t="s">
        <v>368</v>
      </c>
      <c r="AE9049" t="str">
        <f>VLOOKUP(Table_Query_from_Actuarial___Production3[[#This Row],[Kor1]],$AI$3:$AK$105,3,FALSE)</f>
        <v>Losses Paid</v>
      </c>
      <c r="AF9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0" spans="18:32" x14ac:dyDescent="0.2">
      <c r="R9050" t="s">
        <v>48</v>
      </c>
      <c r="S9050" t="s">
        <v>239</v>
      </c>
      <c r="T9050" t="s">
        <v>443</v>
      </c>
      <c r="U9050" s="21">
        <v>14258.12</v>
      </c>
      <c r="V9050" s="21" t="s">
        <v>368</v>
      </c>
      <c r="W9050" t="str">
        <f>VLOOKUP(Table_Query_from_Actuarial___Production[[#This Row],[Kor1]],$AI$3:$AK$105,3,FALSE)</f>
        <v>Anticipated Salvage</v>
      </c>
      <c r="X9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0"/>
      <c r="Z9050" t="s">
        <v>19</v>
      </c>
      <c r="AA9050" t="s">
        <v>229</v>
      </c>
      <c r="AB9050" t="s">
        <v>9</v>
      </c>
      <c r="AC9050" s="21">
        <v>6</v>
      </c>
      <c r="AD9050" s="21" t="s">
        <v>368</v>
      </c>
      <c r="AE9050" t="str">
        <f>VLOOKUP(Table_Query_from_Actuarial___Production3[[#This Row],[Kor1]],$AI$3:$AK$105,3,FALSE)</f>
        <v>Misc. Expense for Insolvent Companies</v>
      </c>
      <c r="AF9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1" spans="18:32" x14ac:dyDescent="0.2">
      <c r="R9051" t="s">
        <v>10</v>
      </c>
      <c r="S9051" t="s">
        <v>238</v>
      </c>
      <c r="T9051" t="s">
        <v>442</v>
      </c>
      <c r="U9051" s="21">
        <v>109000.5</v>
      </c>
      <c r="V9051" s="21" t="s">
        <v>368</v>
      </c>
      <c r="W9051" t="str">
        <f>VLOOKUP(Table_Query_from_Actuarial___Production[[#This Row],[Kor1]],$AI$3:$AK$105,3,FALSE)</f>
        <v>Commissions</v>
      </c>
      <c r="X9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1"/>
      <c r="Z9051" t="s">
        <v>15</v>
      </c>
      <c r="AA9051" t="s">
        <v>242</v>
      </c>
      <c r="AB9051" t="s">
        <v>442</v>
      </c>
      <c r="AC9051" s="21">
        <v>178276.54</v>
      </c>
      <c r="AD9051" s="21" t="s">
        <v>368</v>
      </c>
      <c r="AE9051" t="str">
        <f>VLOOKUP(Table_Query_from_Actuarial___Production3[[#This Row],[Kor1]],$AI$3:$AK$105,3,FALSE)</f>
        <v>Unearned Premiums</v>
      </c>
      <c r="AF9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2" spans="18:32" x14ac:dyDescent="0.2">
      <c r="R9052" t="s">
        <v>46</v>
      </c>
      <c r="S9052" t="s">
        <v>225</v>
      </c>
      <c r="T9052" t="s">
        <v>433</v>
      </c>
      <c r="U9052" s="21">
        <v>27345.39</v>
      </c>
      <c r="V9052" s="21" t="s">
        <v>369</v>
      </c>
      <c r="W9052" t="str">
        <f>VLOOKUP(Table_Query_from_Actuarial___Production[[#This Row],[Kor1]],$AI$3:$AK$105,3,FALSE)</f>
        <v>Investment Income</v>
      </c>
      <c r="X9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052"/>
      <c r="Z9052" t="s">
        <v>34</v>
      </c>
      <c r="AA9052" t="s">
        <v>240</v>
      </c>
      <c r="AB9052" t="s">
        <v>6</v>
      </c>
      <c r="AC9052" s="21">
        <v>1.33</v>
      </c>
      <c r="AD9052" s="21" t="s">
        <v>368</v>
      </c>
      <c r="AE9052" t="str">
        <f>VLOOKUP(Table_Query_from_Actuarial___Production3[[#This Row],[Kor1]],$AI$3:$AK$105,3,FALSE)</f>
        <v>Misc. Expense</v>
      </c>
      <c r="AF9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3" spans="18:32" x14ac:dyDescent="0.2">
      <c r="R9053" t="s">
        <v>17</v>
      </c>
      <c r="S9053" t="s">
        <v>266</v>
      </c>
      <c r="T9053" t="s">
        <v>442</v>
      </c>
      <c r="U9053" s="21">
        <v>156992.84</v>
      </c>
      <c r="V9053" s="21" t="s">
        <v>368</v>
      </c>
      <c r="W9053" t="str">
        <f>VLOOKUP(Table_Query_from_Actuarial___Production[[#This Row],[Kor1]],$AI$3:$AK$105,3,FALSE)</f>
        <v>IBNR</v>
      </c>
      <c r="X9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3"/>
      <c r="Z9053" t="s">
        <v>48</v>
      </c>
      <c r="AA9053" t="s">
        <v>239</v>
      </c>
      <c r="AB9053" t="s">
        <v>443</v>
      </c>
      <c r="AC9053" s="21">
        <v>1237.8800000000001</v>
      </c>
      <c r="AD9053" s="21" t="s">
        <v>368</v>
      </c>
      <c r="AE9053" t="str">
        <f>VLOOKUP(Table_Query_from_Actuarial___Production3[[#This Row],[Kor1]],$AI$3:$AK$105,3,FALSE)</f>
        <v>Anticipated Salvage</v>
      </c>
      <c r="AF9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4" spans="18:32" x14ac:dyDescent="0.2">
      <c r="R9054" t="s">
        <v>36</v>
      </c>
      <c r="S9054" t="s">
        <v>242</v>
      </c>
      <c r="T9054" t="s">
        <v>356</v>
      </c>
      <c r="U9054" s="21">
        <v>-3.99</v>
      </c>
      <c r="V9054" s="21" t="s">
        <v>368</v>
      </c>
      <c r="W9054" t="str">
        <f>VLOOKUP(Table_Query_from_Actuarial___Production[[#This Row],[Kor1]],$AI$3:$AK$105,3,FALSE)</f>
        <v>Misc. Expense</v>
      </c>
      <c r="X9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4"/>
      <c r="Z9054" t="s">
        <v>10</v>
      </c>
      <c r="AA9054" t="s">
        <v>238</v>
      </c>
      <c r="AB9054" t="s">
        <v>442</v>
      </c>
      <c r="AC9054" s="21">
        <v>132694.54999999999</v>
      </c>
      <c r="AD9054" s="21" t="s">
        <v>368</v>
      </c>
      <c r="AE9054" t="str">
        <f>VLOOKUP(Table_Query_from_Actuarial___Production3[[#This Row],[Kor1]],$AI$3:$AK$105,3,FALSE)</f>
        <v>Commissions</v>
      </c>
      <c r="AF9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5" spans="18:32" x14ac:dyDescent="0.2">
      <c r="R9055" t="s">
        <v>14</v>
      </c>
      <c r="S9055" t="s">
        <v>244</v>
      </c>
      <c r="T9055" t="s">
        <v>427</v>
      </c>
      <c r="U9055" s="21">
        <v>284981.58</v>
      </c>
      <c r="V9055" s="21" t="s">
        <v>368</v>
      </c>
      <c r="W9055" t="str">
        <f>VLOOKUP(Table_Query_from_Actuarial___Production[[#This Row],[Kor1]],$AI$3:$AK$105,3,FALSE)</f>
        <v>Claims Expense</v>
      </c>
      <c r="X9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5"/>
      <c r="Z9055" t="s">
        <v>46</v>
      </c>
      <c r="AA9055" t="s">
        <v>225</v>
      </c>
      <c r="AB9055" t="s">
        <v>433</v>
      </c>
      <c r="AC9055" s="21">
        <v>27345.39</v>
      </c>
      <c r="AD9055" s="21" t="s">
        <v>369</v>
      </c>
      <c r="AE9055" t="str">
        <f>VLOOKUP(Table_Query_from_Actuarial___Production3[[#This Row],[Kor1]],$AI$3:$AK$105,3,FALSE)</f>
        <v>Investment Income</v>
      </c>
      <c r="AF9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056" spans="18:32" x14ac:dyDescent="0.2">
      <c r="R9056" t="s">
        <v>33</v>
      </c>
      <c r="S9056" t="s">
        <v>238</v>
      </c>
      <c r="T9056" t="s">
        <v>433</v>
      </c>
      <c r="U9056" s="21">
        <v>14828.01</v>
      </c>
      <c r="V9056" s="21" t="s">
        <v>368</v>
      </c>
      <c r="W9056" t="str">
        <f>VLOOKUP(Table_Query_from_Actuarial___Production[[#This Row],[Kor1]],$AI$3:$AK$105,3,FALSE)</f>
        <v>Misc. Expense</v>
      </c>
      <c r="X9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6"/>
      <c r="Z9056" t="s">
        <v>17</v>
      </c>
      <c r="AA9056" t="s">
        <v>266</v>
      </c>
      <c r="AB9056" t="s">
        <v>442</v>
      </c>
      <c r="AC9056" s="21">
        <v>250041.47</v>
      </c>
      <c r="AD9056" s="21" t="s">
        <v>368</v>
      </c>
      <c r="AE9056" t="str">
        <f>VLOOKUP(Table_Query_from_Actuarial___Production3[[#This Row],[Kor1]],$AI$3:$AK$105,3,FALSE)</f>
        <v>IBNR</v>
      </c>
      <c r="AF9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7" spans="18:32" x14ac:dyDescent="0.2">
      <c r="R9057" t="s">
        <v>14</v>
      </c>
      <c r="S9057" t="s">
        <v>231</v>
      </c>
      <c r="T9057" t="s">
        <v>443</v>
      </c>
      <c r="U9057" s="21">
        <v>223393.77</v>
      </c>
      <c r="V9057" s="21" t="s">
        <v>368</v>
      </c>
      <c r="W9057" t="str">
        <f>VLOOKUP(Table_Query_from_Actuarial___Production[[#This Row],[Kor1]],$AI$3:$AK$105,3,FALSE)</f>
        <v>Claims Expense</v>
      </c>
      <c r="X9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7"/>
      <c r="Z9057" t="s">
        <v>36</v>
      </c>
      <c r="AA9057" t="s">
        <v>242</v>
      </c>
      <c r="AB9057" t="s">
        <v>356</v>
      </c>
      <c r="AC9057" s="21">
        <v>-3.99</v>
      </c>
      <c r="AD9057" s="21" t="s">
        <v>368</v>
      </c>
      <c r="AE9057" t="str">
        <f>VLOOKUP(Table_Query_from_Actuarial___Production3[[#This Row],[Kor1]],$AI$3:$AK$105,3,FALSE)</f>
        <v>Misc. Expense</v>
      </c>
      <c r="AF9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8" spans="18:32" x14ac:dyDescent="0.2">
      <c r="R9058" t="s">
        <v>11</v>
      </c>
      <c r="S9058" t="s">
        <v>241</v>
      </c>
      <c r="T9058" t="s">
        <v>7</v>
      </c>
      <c r="U9058" s="21">
        <v>2103456.2200000002</v>
      </c>
      <c r="V9058" s="21" t="s">
        <v>368</v>
      </c>
      <c r="W9058" t="str">
        <f>VLOOKUP(Table_Query_from_Actuarial___Production[[#This Row],[Kor1]],$AI$3:$AK$105,3,FALSE)</f>
        <v>Losses Paid</v>
      </c>
      <c r="X9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8"/>
      <c r="Z9058" t="s">
        <v>41</v>
      </c>
      <c r="AA9058" t="s">
        <v>4</v>
      </c>
      <c r="AB9058" t="s">
        <v>5</v>
      </c>
      <c r="AC9058" s="21">
        <v>2170.29</v>
      </c>
      <c r="AD9058" s="21" t="s">
        <v>368</v>
      </c>
      <c r="AE9058" t="str">
        <f>VLOOKUP(Table_Query_from_Actuarial___Production3[[#This Row],[Kor1]],$AI$3:$AK$105,3,FALSE)</f>
        <v>Misc. Income</v>
      </c>
      <c r="AF9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59" spans="18:32" x14ac:dyDescent="0.2">
      <c r="R9059" t="s">
        <v>14</v>
      </c>
      <c r="S9059" t="s">
        <v>255</v>
      </c>
      <c r="T9059" t="s">
        <v>433</v>
      </c>
      <c r="U9059" s="21">
        <v>10810.48</v>
      </c>
      <c r="V9059" s="21" t="s">
        <v>368</v>
      </c>
      <c r="W9059" t="str">
        <f>VLOOKUP(Table_Query_from_Actuarial___Production[[#This Row],[Kor1]],$AI$3:$AK$105,3,FALSE)</f>
        <v>Claims Expense</v>
      </c>
      <c r="X9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59"/>
      <c r="Z9059" t="s">
        <v>14</v>
      </c>
      <c r="AA9059" t="s">
        <v>244</v>
      </c>
      <c r="AB9059" t="s">
        <v>427</v>
      </c>
      <c r="AC9059" s="21">
        <v>284981.58</v>
      </c>
      <c r="AD9059" s="21" t="s">
        <v>368</v>
      </c>
      <c r="AE9059" t="str">
        <f>VLOOKUP(Table_Query_from_Actuarial___Production3[[#This Row],[Kor1]],$AI$3:$AK$105,3,FALSE)</f>
        <v>Claims Expense</v>
      </c>
      <c r="AF9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0" spans="18:32" x14ac:dyDescent="0.2">
      <c r="R9060" t="s">
        <v>37</v>
      </c>
      <c r="S9060" t="s">
        <v>254</v>
      </c>
      <c r="T9060" t="s">
        <v>8</v>
      </c>
      <c r="U9060" s="21">
        <v>12375.6</v>
      </c>
      <c r="V9060" s="21" t="s">
        <v>368</v>
      </c>
      <c r="W9060" t="str">
        <f>VLOOKUP(Table_Query_from_Actuarial___Production[[#This Row],[Kor1]],$AI$3:$AK$105,3,FALSE)</f>
        <v>Misc. Expense</v>
      </c>
      <c r="X9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0"/>
      <c r="Z9060" t="s">
        <v>33</v>
      </c>
      <c r="AA9060" t="s">
        <v>238</v>
      </c>
      <c r="AB9060" t="s">
        <v>433</v>
      </c>
      <c r="AC9060" s="21">
        <v>14828.01</v>
      </c>
      <c r="AD9060" s="21" t="s">
        <v>368</v>
      </c>
      <c r="AE9060" t="str">
        <f>VLOOKUP(Table_Query_from_Actuarial___Production3[[#This Row],[Kor1]],$AI$3:$AK$105,3,FALSE)</f>
        <v>Misc. Expense</v>
      </c>
      <c r="AF9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1" spans="18:32" x14ac:dyDescent="0.2">
      <c r="R9061" t="s">
        <v>44</v>
      </c>
      <c r="S9061" t="s">
        <v>249</v>
      </c>
      <c r="T9061" t="s">
        <v>8</v>
      </c>
      <c r="U9061" s="21">
        <v>36691</v>
      </c>
      <c r="V9061" s="21" t="s">
        <v>368</v>
      </c>
      <c r="W9061" t="str">
        <f>VLOOKUP(Table_Query_from_Actuarial___Production[[#This Row],[Kor1]],$AI$3:$AK$105,3,FALSE)</f>
        <v>Charge-offs</v>
      </c>
      <c r="X9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1"/>
      <c r="Z9061" t="s">
        <v>14</v>
      </c>
      <c r="AA9061" t="s">
        <v>231</v>
      </c>
      <c r="AB9061" t="s">
        <v>443</v>
      </c>
      <c r="AC9061" s="21">
        <v>17035.240000000002</v>
      </c>
      <c r="AD9061" s="21" t="s">
        <v>368</v>
      </c>
      <c r="AE9061" t="str">
        <f>VLOOKUP(Table_Query_from_Actuarial___Production3[[#This Row],[Kor1]],$AI$3:$AK$105,3,FALSE)</f>
        <v>Claims Expense</v>
      </c>
      <c r="AF9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2" spans="18:32" x14ac:dyDescent="0.2">
      <c r="R9062" t="s">
        <v>3</v>
      </c>
      <c r="S9062" t="s">
        <v>249</v>
      </c>
      <c r="T9062" t="s">
        <v>356</v>
      </c>
      <c r="U9062" s="21">
        <v>557841</v>
      </c>
      <c r="V9062" s="21" t="s">
        <v>368</v>
      </c>
      <c r="W9062" t="str">
        <f>VLOOKUP(Table_Query_from_Actuarial___Production[[#This Row],[Kor1]],$AI$3:$AK$105,3,FALSE)</f>
        <v>Premiums Written</v>
      </c>
      <c r="X9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2"/>
      <c r="Z9062" t="s">
        <v>11</v>
      </c>
      <c r="AA9062" t="s">
        <v>241</v>
      </c>
      <c r="AB9062" t="s">
        <v>7</v>
      </c>
      <c r="AC9062" s="21">
        <v>2103456.2200000002</v>
      </c>
      <c r="AD9062" s="21" t="s">
        <v>368</v>
      </c>
      <c r="AE9062" t="str">
        <f>VLOOKUP(Table_Query_from_Actuarial___Production3[[#This Row],[Kor1]],$AI$3:$AK$105,3,FALSE)</f>
        <v>Losses Paid</v>
      </c>
      <c r="AF9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3" spans="18:32" x14ac:dyDescent="0.2">
      <c r="R9063" t="s">
        <v>40</v>
      </c>
      <c r="S9063" t="s">
        <v>4</v>
      </c>
      <c r="T9063" t="s">
        <v>433</v>
      </c>
      <c r="U9063" s="21">
        <v>-280.57</v>
      </c>
      <c r="V9063" s="21" t="s">
        <v>368</v>
      </c>
      <c r="W9063" t="str">
        <f>VLOOKUP(Table_Query_from_Actuarial___Production[[#This Row],[Kor1]],$AI$3:$AK$105,3,FALSE)</f>
        <v>Misc. Income</v>
      </c>
      <c r="X9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3"/>
      <c r="Z9063" t="s">
        <v>14</v>
      </c>
      <c r="AA9063" t="s">
        <v>255</v>
      </c>
      <c r="AB9063" t="s">
        <v>433</v>
      </c>
      <c r="AC9063" s="21">
        <v>10810.48</v>
      </c>
      <c r="AD9063" s="21" t="s">
        <v>368</v>
      </c>
      <c r="AE9063" t="str">
        <f>VLOOKUP(Table_Query_from_Actuarial___Production3[[#This Row],[Kor1]],$AI$3:$AK$105,3,FALSE)</f>
        <v>Claims Expense</v>
      </c>
      <c r="AF9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4" spans="18:32" x14ac:dyDescent="0.2">
      <c r="R9064" t="s">
        <v>12</v>
      </c>
      <c r="S9064" t="s">
        <v>266</v>
      </c>
      <c r="T9064" t="s">
        <v>356</v>
      </c>
      <c r="U9064" s="21">
        <v>18503.599999999999</v>
      </c>
      <c r="V9064" s="21" t="s">
        <v>368</v>
      </c>
      <c r="W9064" t="str">
        <f>VLOOKUP(Table_Query_from_Actuarial___Production[[#This Row],[Kor1]],$AI$3:$AK$105,3,FALSE)</f>
        <v>Premium Tax</v>
      </c>
      <c r="X9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4"/>
      <c r="Z9064" t="s">
        <v>37</v>
      </c>
      <c r="AA9064" t="s">
        <v>254</v>
      </c>
      <c r="AB9064" t="s">
        <v>8</v>
      </c>
      <c r="AC9064" s="21">
        <v>12375.6</v>
      </c>
      <c r="AD9064" s="21" t="s">
        <v>368</v>
      </c>
      <c r="AE9064" t="str">
        <f>VLOOKUP(Table_Query_from_Actuarial___Production3[[#This Row],[Kor1]],$AI$3:$AK$105,3,FALSE)</f>
        <v>Misc. Expense</v>
      </c>
      <c r="AF9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5" spans="18:32" x14ac:dyDescent="0.2">
      <c r="R9065" t="s">
        <v>13</v>
      </c>
      <c r="S9065" t="s">
        <v>243</v>
      </c>
      <c r="T9065" t="s">
        <v>433</v>
      </c>
      <c r="U9065" s="21">
        <v>97067.4</v>
      </c>
      <c r="V9065" s="21" t="s">
        <v>368</v>
      </c>
      <c r="W9065" t="str">
        <f>VLOOKUP(Table_Query_from_Actuarial___Production[[#This Row],[Kor1]],$AI$3:$AK$105,3,FALSE)</f>
        <v>Operating Service Fees</v>
      </c>
      <c r="X9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5"/>
      <c r="Z9065" t="s">
        <v>44</v>
      </c>
      <c r="AA9065" t="s">
        <v>249</v>
      </c>
      <c r="AB9065" t="s">
        <v>8</v>
      </c>
      <c r="AC9065" s="21">
        <v>36691</v>
      </c>
      <c r="AD9065" s="21" t="s">
        <v>368</v>
      </c>
      <c r="AE9065" t="str">
        <f>VLOOKUP(Table_Query_from_Actuarial___Production3[[#This Row],[Kor1]],$AI$3:$AK$105,3,FALSE)</f>
        <v>Charge-offs</v>
      </c>
      <c r="AF9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6" spans="18:32" x14ac:dyDescent="0.2">
      <c r="R9066" t="s">
        <v>3</v>
      </c>
      <c r="S9066" t="s">
        <v>243</v>
      </c>
      <c r="T9066" t="s">
        <v>427</v>
      </c>
      <c r="U9066" s="21">
        <v>757664</v>
      </c>
      <c r="V9066" s="21" t="s">
        <v>368</v>
      </c>
      <c r="W9066" t="str">
        <f>VLOOKUP(Table_Query_from_Actuarial___Production[[#This Row],[Kor1]],$AI$3:$AK$105,3,FALSE)</f>
        <v>Premiums Written</v>
      </c>
      <c r="X9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6"/>
      <c r="Z9066" t="s">
        <v>3</v>
      </c>
      <c r="AA9066" t="s">
        <v>249</v>
      </c>
      <c r="AB9066" t="s">
        <v>356</v>
      </c>
      <c r="AC9066" s="21">
        <v>557841</v>
      </c>
      <c r="AD9066" s="21" t="s">
        <v>368</v>
      </c>
      <c r="AE9066" t="str">
        <f>VLOOKUP(Table_Query_from_Actuarial___Production3[[#This Row],[Kor1]],$AI$3:$AK$105,3,FALSE)</f>
        <v>Premiums Written</v>
      </c>
      <c r="AF9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7" spans="18:32" x14ac:dyDescent="0.2">
      <c r="R9067" t="s">
        <v>12</v>
      </c>
      <c r="S9067" t="s">
        <v>240</v>
      </c>
      <c r="T9067" t="s">
        <v>443</v>
      </c>
      <c r="U9067" s="21">
        <v>77533.63</v>
      </c>
      <c r="V9067" s="21" t="s">
        <v>368</v>
      </c>
      <c r="W9067" t="str">
        <f>VLOOKUP(Table_Query_from_Actuarial___Production[[#This Row],[Kor1]],$AI$3:$AK$105,3,FALSE)</f>
        <v>Premium Tax</v>
      </c>
      <c r="X9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7"/>
      <c r="Z9067" t="s">
        <v>40</v>
      </c>
      <c r="AA9067" t="s">
        <v>4</v>
      </c>
      <c r="AB9067" t="s">
        <v>433</v>
      </c>
      <c r="AC9067" s="21">
        <v>-280.57</v>
      </c>
      <c r="AD9067" s="21" t="s">
        <v>368</v>
      </c>
      <c r="AE9067" t="str">
        <f>VLOOKUP(Table_Query_from_Actuarial___Production3[[#This Row],[Kor1]],$AI$3:$AK$105,3,FALSE)</f>
        <v>Misc. Income</v>
      </c>
      <c r="AF9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8" spans="18:32" x14ac:dyDescent="0.2">
      <c r="R9068" t="s">
        <v>47</v>
      </c>
      <c r="S9068" t="s">
        <v>249</v>
      </c>
      <c r="T9068" t="s">
        <v>433</v>
      </c>
      <c r="U9068" s="21">
        <v>1506.94</v>
      </c>
      <c r="V9068" s="21" t="s">
        <v>368</v>
      </c>
      <c r="W9068" t="str">
        <f>VLOOKUP(Table_Query_from_Actuarial___Production[[#This Row],[Kor1]],$AI$3:$AK$105,3,FALSE)</f>
        <v>Investment Income</v>
      </c>
      <c r="X9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8"/>
      <c r="Z9068" t="s">
        <v>12</v>
      </c>
      <c r="AA9068" t="s">
        <v>266</v>
      </c>
      <c r="AB9068" t="s">
        <v>356</v>
      </c>
      <c r="AC9068" s="21">
        <v>18503.599999999999</v>
      </c>
      <c r="AD9068" s="21" t="s">
        <v>368</v>
      </c>
      <c r="AE9068" t="str">
        <f>VLOOKUP(Table_Query_from_Actuarial___Production3[[#This Row],[Kor1]],$AI$3:$AK$105,3,FALSE)</f>
        <v>Premium Tax</v>
      </c>
      <c r="AF9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69" spans="18:32" x14ac:dyDescent="0.2">
      <c r="R9069" t="s">
        <v>48</v>
      </c>
      <c r="S9069" t="s">
        <v>252</v>
      </c>
      <c r="T9069" t="s">
        <v>441</v>
      </c>
      <c r="U9069" s="21">
        <v>96177.42</v>
      </c>
      <c r="V9069" s="21" t="s">
        <v>368</v>
      </c>
      <c r="W9069" t="str">
        <f>VLOOKUP(Table_Query_from_Actuarial___Production[[#This Row],[Kor1]],$AI$3:$AK$105,3,FALSE)</f>
        <v>Anticipated Salvage</v>
      </c>
      <c r="X9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69"/>
      <c r="Z9069" t="s">
        <v>13</v>
      </c>
      <c r="AA9069" t="s">
        <v>243</v>
      </c>
      <c r="AB9069" t="s">
        <v>433</v>
      </c>
      <c r="AC9069" s="21">
        <v>97067.4</v>
      </c>
      <c r="AD9069" s="21" t="s">
        <v>368</v>
      </c>
      <c r="AE9069" t="str">
        <f>VLOOKUP(Table_Query_from_Actuarial___Production3[[#This Row],[Kor1]],$AI$3:$AK$105,3,FALSE)</f>
        <v>Operating Service Fees</v>
      </c>
      <c r="AF9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0" spans="18:32" x14ac:dyDescent="0.2">
      <c r="R9070" t="s">
        <v>46</v>
      </c>
      <c r="S9070" t="s">
        <v>224</v>
      </c>
      <c r="T9070" t="s">
        <v>7</v>
      </c>
      <c r="U9070" s="21">
        <v>27.91</v>
      </c>
      <c r="V9070" s="21" t="s">
        <v>369</v>
      </c>
      <c r="W9070" t="str">
        <f>VLOOKUP(Table_Query_from_Actuarial___Production[[#This Row],[Kor1]],$AI$3:$AK$105,3,FALSE)</f>
        <v>Investment Income</v>
      </c>
      <c r="X9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070"/>
      <c r="Z9070" t="s">
        <v>47</v>
      </c>
      <c r="AA9070" t="s">
        <v>254</v>
      </c>
      <c r="AB9070" t="s">
        <v>5</v>
      </c>
      <c r="AC9070" s="21">
        <v>0.74</v>
      </c>
      <c r="AD9070" s="21" t="s">
        <v>368</v>
      </c>
      <c r="AE9070" t="str">
        <f>VLOOKUP(Table_Query_from_Actuarial___Production3[[#This Row],[Kor1]],$AI$3:$AK$105,3,FALSE)</f>
        <v>Investment Income</v>
      </c>
      <c r="AF9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1" spans="18:32" x14ac:dyDescent="0.2">
      <c r="R9071" t="s">
        <v>14</v>
      </c>
      <c r="S9071" t="s">
        <v>234</v>
      </c>
      <c r="T9071" t="s">
        <v>9</v>
      </c>
      <c r="U9071" s="21">
        <v>30129.72</v>
      </c>
      <c r="V9071" s="21" t="s">
        <v>368</v>
      </c>
      <c r="W9071" t="str">
        <f>VLOOKUP(Table_Query_from_Actuarial___Production[[#This Row],[Kor1]],$AI$3:$AK$105,3,FALSE)</f>
        <v>Claims Expense</v>
      </c>
      <c r="X9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1"/>
      <c r="Z9071" t="s">
        <v>3</v>
      </c>
      <c r="AA9071" t="s">
        <v>243</v>
      </c>
      <c r="AB9071" t="s">
        <v>427</v>
      </c>
      <c r="AC9071" s="21">
        <v>757664</v>
      </c>
      <c r="AD9071" s="21" t="s">
        <v>368</v>
      </c>
      <c r="AE9071" t="str">
        <f>VLOOKUP(Table_Query_from_Actuarial___Production3[[#This Row],[Kor1]],$AI$3:$AK$105,3,FALSE)</f>
        <v>Premiums Written</v>
      </c>
      <c r="AF9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2" spans="18:32" x14ac:dyDescent="0.2">
      <c r="R9072" t="s">
        <v>19</v>
      </c>
      <c r="S9072" t="s">
        <v>230</v>
      </c>
      <c r="T9072" t="s">
        <v>442</v>
      </c>
      <c r="U9072" s="21">
        <v>30888.89</v>
      </c>
      <c r="V9072" s="21" t="s">
        <v>368</v>
      </c>
      <c r="W9072" t="str">
        <f>VLOOKUP(Table_Query_from_Actuarial___Production[[#This Row],[Kor1]],$AI$3:$AK$105,3,FALSE)</f>
        <v>Misc. Expense for Insolvent Companies</v>
      </c>
      <c r="X9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2"/>
      <c r="Z9072" t="s">
        <v>12</v>
      </c>
      <c r="AA9072" t="s">
        <v>240</v>
      </c>
      <c r="AB9072" t="s">
        <v>443</v>
      </c>
      <c r="AC9072" s="21">
        <v>24424.33</v>
      </c>
      <c r="AD9072" s="21" t="s">
        <v>368</v>
      </c>
      <c r="AE9072" t="str">
        <f>VLOOKUP(Table_Query_from_Actuarial___Production3[[#This Row],[Kor1]],$AI$3:$AK$105,3,FALSE)</f>
        <v>Premium Tax</v>
      </c>
      <c r="AF9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3" spans="18:32" x14ac:dyDescent="0.2">
      <c r="R9073" t="s">
        <v>48</v>
      </c>
      <c r="S9073" t="s">
        <v>265</v>
      </c>
      <c r="T9073" t="s">
        <v>443</v>
      </c>
      <c r="U9073" s="21">
        <v>1624.75</v>
      </c>
      <c r="V9073" s="21" t="s">
        <v>368</v>
      </c>
      <c r="W9073" t="str">
        <f>VLOOKUP(Table_Query_from_Actuarial___Production[[#This Row],[Kor1]],$AI$3:$AK$105,3,FALSE)</f>
        <v>Anticipated Salvage</v>
      </c>
      <c r="X9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3"/>
      <c r="Z9073" t="s">
        <v>13</v>
      </c>
      <c r="AA9073" t="s">
        <v>260</v>
      </c>
      <c r="AB9073" t="s">
        <v>5</v>
      </c>
      <c r="AC9073" s="21">
        <v>1451.71</v>
      </c>
      <c r="AD9073" s="21" t="s">
        <v>368</v>
      </c>
      <c r="AE9073" t="str">
        <f>VLOOKUP(Table_Query_from_Actuarial___Production3[[#This Row],[Kor1]],$AI$3:$AK$105,3,FALSE)</f>
        <v>Operating Service Fees</v>
      </c>
      <c r="AF9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4" spans="18:32" x14ac:dyDescent="0.2">
      <c r="R9074" t="s">
        <v>38</v>
      </c>
      <c r="S9074" t="s">
        <v>352</v>
      </c>
      <c r="T9074" t="s">
        <v>443</v>
      </c>
      <c r="U9074" s="21">
        <v>29421.95</v>
      </c>
      <c r="V9074" s="21" t="s">
        <v>369</v>
      </c>
      <c r="W9074" t="str">
        <f>VLOOKUP(Table_Query_from_Actuarial___Production[[#This Row],[Kor1]],$AI$3:$AK$105,3,FALSE)</f>
        <v>Misc. Income</v>
      </c>
      <c r="X9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074"/>
      <c r="Z9074" t="s">
        <v>47</v>
      </c>
      <c r="AA9074" t="s">
        <v>249</v>
      </c>
      <c r="AB9074" t="s">
        <v>433</v>
      </c>
      <c r="AC9074" s="21">
        <v>1506.94</v>
      </c>
      <c r="AD9074" s="21" t="s">
        <v>368</v>
      </c>
      <c r="AE9074" t="str">
        <f>VLOOKUP(Table_Query_from_Actuarial___Production3[[#This Row],[Kor1]],$AI$3:$AK$105,3,FALSE)</f>
        <v>Investment Income</v>
      </c>
      <c r="AF9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5" spans="18:32" x14ac:dyDescent="0.2">
      <c r="R9075" t="s">
        <v>14</v>
      </c>
      <c r="S9075" t="s">
        <v>267</v>
      </c>
      <c r="T9075" t="s">
        <v>445</v>
      </c>
      <c r="U9075" s="21">
        <v>5355.73</v>
      </c>
      <c r="V9075" s="21" t="s">
        <v>368</v>
      </c>
      <c r="W9075" t="str">
        <f>VLOOKUP(Table_Query_from_Actuarial___Production[[#This Row],[Kor1]],$AI$3:$AK$105,3,FALSE)</f>
        <v>Claims Expense</v>
      </c>
      <c r="X9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5"/>
      <c r="Z9075" t="s">
        <v>48</v>
      </c>
      <c r="AA9075" t="s">
        <v>252</v>
      </c>
      <c r="AB9075" t="s">
        <v>441</v>
      </c>
      <c r="AC9075" s="21">
        <v>111659.84</v>
      </c>
      <c r="AD9075" s="21" t="s">
        <v>368</v>
      </c>
      <c r="AE9075" t="str">
        <f>VLOOKUP(Table_Query_from_Actuarial___Production3[[#This Row],[Kor1]],$AI$3:$AK$105,3,FALSE)</f>
        <v>Anticipated Salvage</v>
      </c>
      <c r="AF9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6" spans="18:32" x14ac:dyDescent="0.2">
      <c r="R9076" t="s">
        <v>31</v>
      </c>
      <c r="S9076" t="s">
        <v>256</v>
      </c>
      <c r="T9076" t="s">
        <v>433</v>
      </c>
      <c r="U9076" s="21">
        <v>1082.43</v>
      </c>
      <c r="V9076" s="21" t="s">
        <v>368</v>
      </c>
      <c r="W9076" t="str">
        <f>VLOOKUP(Table_Query_from_Actuarial___Production[[#This Row],[Kor1]],$AI$3:$AK$105,3,FALSE)</f>
        <v>Misc. Expense</v>
      </c>
      <c r="X9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6"/>
      <c r="Z9076" t="s">
        <v>12</v>
      </c>
      <c r="AA9076" t="s">
        <v>261</v>
      </c>
      <c r="AB9076" t="s">
        <v>5</v>
      </c>
      <c r="AC9076" s="21">
        <v>7271.33</v>
      </c>
      <c r="AD9076" s="21" t="s">
        <v>368</v>
      </c>
      <c r="AE9076" t="str">
        <f>VLOOKUP(Table_Query_from_Actuarial___Production3[[#This Row],[Kor1]],$AI$3:$AK$105,3,FALSE)</f>
        <v>Premium Tax</v>
      </c>
      <c r="AF9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7" spans="18:32" x14ac:dyDescent="0.2">
      <c r="R9077" t="s">
        <v>21</v>
      </c>
      <c r="S9077" t="s">
        <v>237</v>
      </c>
      <c r="T9077" t="s">
        <v>443</v>
      </c>
      <c r="U9077" s="21">
        <v>11905.54</v>
      </c>
      <c r="V9077" s="21" t="s">
        <v>368</v>
      </c>
      <c r="W9077" t="str">
        <f>VLOOKUP(Table_Query_from_Actuarial___Production[[#This Row],[Kor1]],$AI$3:$AK$105,3,FALSE)</f>
        <v>Misc. Expense</v>
      </c>
      <c r="X9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7"/>
      <c r="Z9077" t="s">
        <v>46</v>
      </c>
      <c r="AA9077" t="s">
        <v>224</v>
      </c>
      <c r="AB9077" t="s">
        <v>7</v>
      </c>
      <c r="AC9077" s="21">
        <v>27.91</v>
      </c>
      <c r="AD9077" s="21" t="s">
        <v>369</v>
      </c>
      <c r="AE9077" t="str">
        <f>VLOOKUP(Table_Query_from_Actuarial___Production3[[#This Row],[Kor1]],$AI$3:$AK$105,3,FALSE)</f>
        <v>Investment Income</v>
      </c>
      <c r="AF9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078" spans="18:32" x14ac:dyDescent="0.2">
      <c r="R9078" t="s">
        <v>40</v>
      </c>
      <c r="S9078" t="s">
        <v>248</v>
      </c>
      <c r="T9078" t="s">
        <v>6</v>
      </c>
      <c r="U9078" s="21">
        <v>196</v>
      </c>
      <c r="V9078" s="21" t="s">
        <v>368</v>
      </c>
      <c r="W9078" t="str">
        <f>VLOOKUP(Table_Query_from_Actuarial___Production[[#This Row],[Kor1]],$AI$3:$AK$105,3,FALSE)</f>
        <v>Misc. Income</v>
      </c>
      <c r="X9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8"/>
      <c r="Z9078" t="s">
        <v>14</v>
      </c>
      <c r="AA9078" t="s">
        <v>234</v>
      </c>
      <c r="AB9078" t="s">
        <v>9</v>
      </c>
      <c r="AC9078" s="21">
        <v>30129.72</v>
      </c>
      <c r="AD9078" s="21" t="s">
        <v>368</v>
      </c>
      <c r="AE9078" t="str">
        <f>VLOOKUP(Table_Query_from_Actuarial___Production3[[#This Row],[Kor1]],$AI$3:$AK$105,3,FALSE)</f>
        <v>Claims Expense</v>
      </c>
      <c r="AF9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79" spans="18:32" x14ac:dyDescent="0.2">
      <c r="R9079" t="s">
        <v>44</v>
      </c>
      <c r="S9079" t="s">
        <v>254</v>
      </c>
      <c r="T9079" t="s">
        <v>433</v>
      </c>
      <c r="U9079" s="21">
        <v>376519.6</v>
      </c>
      <c r="V9079" s="21" t="s">
        <v>368</v>
      </c>
      <c r="W9079" t="str">
        <f>VLOOKUP(Table_Query_from_Actuarial___Production[[#This Row],[Kor1]],$AI$3:$AK$105,3,FALSE)</f>
        <v>Charge-offs</v>
      </c>
      <c r="X9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79"/>
      <c r="Z9079" t="s">
        <v>19</v>
      </c>
      <c r="AA9079" t="s">
        <v>230</v>
      </c>
      <c r="AB9079" t="s">
        <v>442</v>
      </c>
      <c r="AC9079" s="21">
        <v>30888.89</v>
      </c>
      <c r="AD9079" s="21" t="s">
        <v>368</v>
      </c>
      <c r="AE9079" t="str">
        <f>VLOOKUP(Table_Query_from_Actuarial___Production3[[#This Row],[Kor1]],$AI$3:$AK$105,3,FALSE)</f>
        <v>Misc. Expense for Insolvent Companies</v>
      </c>
      <c r="AF9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0" spans="18:32" x14ac:dyDescent="0.2">
      <c r="R9080" t="s">
        <v>36</v>
      </c>
      <c r="S9080" t="s">
        <v>262</v>
      </c>
      <c r="T9080" t="s">
        <v>445</v>
      </c>
      <c r="U9080" s="21">
        <v>124.15</v>
      </c>
      <c r="V9080" s="21" t="s">
        <v>368</v>
      </c>
      <c r="W9080" t="str">
        <f>VLOOKUP(Table_Query_from_Actuarial___Production[[#This Row],[Kor1]],$AI$3:$AK$105,3,FALSE)</f>
        <v>Misc. Expense</v>
      </c>
      <c r="X9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0"/>
      <c r="Z9080" t="s">
        <v>48</v>
      </c>
      <c r="AA9080" t="s">
        <v>265</v>
      </c>
      <c r="AB9080" t="s">
        <v>443</v>
      </c>
      <c r="AC9080" s="21">
        <v>111.94</v>
      </c>
      <c r="AD9080" s="21" t="s">
        <v>368</v>
      </c>
      <c r="AE9080" t="str">
        <f>VLOOKUP(Table_Query_from_Actuarial___Production3[[#This Row],[Kor1]],$AI$3:$AK$105,3,FALSE)</f>
        <v>Anticipated Salvage</v>
      </c>
      <c r="AF9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1" spans="18:32" x14ac:dyDescent="0.2">
      <c r="R9081" t="s">
        <v>40</v>
      </c>
      <c r="S9081" t="s">
        <v>238</v>
      </c>
      <c r="T9081" t="s">
        <v>443</v>
      </c>
      <c r="U9081" s="21">
        <v>58</v>
      </c>
      <c r="V9081" s="21" t="s">
        <v>368</v>
      </c>
      <c r="W9081" t="str">
        <f>VLOOKUP(Table_Query_from_Actuarial___Production[[#This Row],[Kor1]],$AI$3:$AK$105,3,FALSE)</f>
        <v>Misc. Income</v>
      </c>
      <c r="X9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1"/>
      <c r="Z9081" t="s">
        <v>38</v>
      </c>
      <c r="AA9081" t="s">
        <v>352</v>
      </c>
      <c r="AB9081" t="s">
        <v>443</v>
      </c>
      <c r="AC9081" s="21">
        <v>26492.02</v>
      </c>
      <c r="AD9081" s="21" t="s">
        <v>369</v>
      </c>
      <c r="AE9081" t="str">
        <f>VLOOKUP(Table_Query_from_Actuarial___Production3[[#This Row],[Kor1]],$AI$3:$AK$105,3,FALSE)</f>
        <v>Misc. Income</v>
      </c>
      <c r="AF9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082" spans="18:32" x14ac:dyDescent="0.2">
      <c r="R9082" t="s">
        <v>43</v>
      </c>
      <c r="S9082" t="s">
        <v>227</v>
      </c>
      <c r="T9082" t="s">
        <v>9</v>
      </c>
      <c r="U9082" s="21">
        <v>216.07</v>
      </c>
      <c r="V9082" s="21" t="s">
        <v>368</v>
      </c>
      <c r="W9082" t="str">
        <f>VLOOKUP(Table_Query_from_Actuarial___Production[[#This Row],[Kor1]],$AI$3:$AK$105,3,FALSE)</f>
        <v>Charge-offs</v>
      </c>
      <c r="X9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2"/>
      <c r="Z9082" t="s">
        <v>31</v>
      </c>
      <c r="AA9082" t="s">
        <v>256</v>
      </c>
      <c r="AB9082" t="s">
        <v>433</v>
      </c>
      <c r="AC9082" s="21">
        <v>1082.43</v>
      </c>
      <c r="AD9082" s="21" t="s">
        <v>368</v>
      </c>
      <c r="AE9082" t="str">
        <f>VLOOKUP(Table_Query_from_Actuarial___Production3[[#This Row],[Kor1]],$AI$3:$AK$105,3,FALSE)</f>
        <v>Misc. Expense</v>
      </c>
      <c r="AF9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3" spans="18:32" x14ac:dyDescent="0.2">
      <c r="R9083" t="s">
        <v>13</v>
      </c>
      <c r="S9083" t="s">
        <v>224</v>
      </c>
      <c r="T9083" t="s">
        <v>8</v>
      </c>
      <c r="U9083" s="21">
        <v>157119.17000000001</v>
      </c>
      <c r="V9083" s="21" t="s">
        <v>370</v>
      </c>
      <c r="W9083" t="str">
        <f>VLOOKUP(Table_Query_from_Actuarial___Production[[#This Row],[Kor1]],$AI$3:$AK$105,3,FALSE)</f>
        <v>Operating Service Fees</v>
      </c>
      <c r="X9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083"/>
      <c r="Z9083" t="s">
        <v>12</v>
      </c>
      <c r="AA9083" t="s">
        <v>234</v>
      </c>
      <c r="AB9083" t="s">
        <v>5</v>
      </c>
      <c r="AC9083" s="21">
        <v>9474.51</v>
      </c>
      <c r="AD9083" s="21" t="s">
        <v>368</v>
      </c>
      <c r="AE9083" t="str">
        <f>VLOOKUP(Table_Query_from_Actuarial___Production3[[#This Row],[Kor1]],$AI$3:$AK$105,3,FALSE)</f>
        <v>Premium Tax</v>
      </c>
      <c r="AF9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4" spans="18:32" x14ac:dyDescent="0.2">
      <c r="R9084" t="s">
        <v>37</v>
      </c>
      <c r="S9084" t="s">
        <v>246</v>
      </c>
      <c r="T9084" t="s">
        <v>441</v>
      </c>
      <c r="U9084" s="21">
        <v>-115.96</v>
      </c>
      <c r="V9084" s="21" t="s">
        <v>368</v>
      </c>
      <c r="W9084" t="str">
        <f>VLOOKUP(Table_Query_from_Actuarial___Production[[#This Row],[Kor1]],$AI$3:$AK$105,3,FALSE)</f>
        <v>Misc. Expense</v>
      </c>
      <c r="X9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4"/>
      <c r="Z9084" t="s">
        <v>21</v>
      </c>
      <c r="AA9084" t="s">
        <v>237</v>
      </c>
      <c r="AB9084" t="s">
        <v>443</v>
      </c>
      <c r="AC9084" s="21">
        <v>11905.54</v>
      </c>
      <c r="AD9084" s="21" t="s">
        <v>368</v>
      </c>
      <c r="AE9084" t="str">
        <f>VLOOKUP(Table_Query_from_Actuarial___Production3[[#This Row],[Kor1]],$AI$3:$AK$105,3,FALSE)</f>
        <v>Misc. Expense</v>
      </c>
      <c r="AF9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5" spans="18:32" x14ac:dyDescent="0.2">
      <c r="R9085" t="s">
        <v>439</v>
      </c>
      <c r="S9085" t="s">
        <v>239</v>
      </c>
      <c r="T9085" t="s">
        <v>443</v>
      </c>
      <c r="U9085" s="21">
        <v>-210973.11</v>
      </c>
      <c r="V9085" s="21" t="s">
        <v>368</v>
      </c>
      <c r="W9085" t="str">
        <f>VLOOKUP(Table_Query_from_Actuarial___Production[[#This Row],[Kor1]],$AI$3:$AK$105,3,FALSE)</f>
        <v>Operating Service Fees</v>
      </c>
      <c r="X9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5"/>
      <c r="Z9085" t="s">
        <v>40</v>
      </c>
      <c r="AA9085" t="s">
        <v>248</v>
      </c>
      <c r="AB9085" t="s">
        <v>6</v>
      </c>
      <c r="AC9085" s="21">
        <v>196</v>
      </c>
      <c r="AD9085" s="21" t="s">
        <v>368</v>
      </c>
      <c r="AE9085" t="str">
        <f>VLOOKUP(Table_Query_from_Actuarial___Production3[[#This Row],[Kor1]],$AI$3:$AK$105,3,FALSE)</f>
        <v>Misc. Income</v>
      </c>
      <c r="AF9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6" spans="18:32" x14ac:dyDescent="0.2">
      <c r="R9086" t="s">
        <v>37</v>
      </c>
      <c r="S9086" t="s">
        <v>249</v>
      </c>
      <c r="T9086" t="s">
        <v>7</v>
      </c>
      <c r="U9086" s="21">
        <v>61.51</v>
      </c>
      <c r="V9086" s="21" t="s">
        <v>368</v>
      </c>
      <c r="W9086" t="str">
        <f>VLOOKUP(Table_Query_from_Actuarial___Production[[#This Row],[Kor1]],$AI$3:$AK$105,3,FALSE)</f>
        <v>Misc. Expense</v>
      </c>
      <c r="X9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6"/>
      <c r="Z9086" t="s">
        <v>44</v>
      </c>
      <c r="AA9086" t="s">
        <v>254</v>
      </c>
      <c r="AB9086" t="s">
        <v>433</v>
      </c>
      <c r="AC9086" s="21">
        <v>378270.6</v>
      </c>
      <c r="AD9086" s="21" t="s">
        <v>368</v>
      </c>
      <c r="AE9086" t="str">
        <f>VLOOKUP(Table_Query_from_Actuarial___Production3[[#This Row],[Kor1]],$AI$3:$AK$105,3,FALSE)</f>
        <v>Charge-offs</v>
      </c>
      <c r="AF9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7" spans="18:32" x14ac:dyDescent="0.2">
      <c r="R9087" t="s">
        <v>49</v>
      </c>
      <c r="S9087" t="s">
        <v>257</v>
      </c>
      <c r="T9087" t="s">
        <v>443</v>
      </c>
      <c r="U9087" s="21">
        <v>32088.82</v>
      </c>
      <c r="V9087" s="21" t="s">
        <v>368</v>
      </c>
      <c r="W9087" t="str">
        <f>VLOOKUP(Table_Query_from_Actuarial___Production[[#This Row],[Kor1]],$AI$3:$AK$105,3,FALSE)</f>
        <v>ALAE Paid</v>
      </c>
      <c r="X9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7"/>
      <c r="Z9087" t="s">
        <v>43</v>
      </c>
      <c r="AA9087" t="s">
        <v>227</v>
      </c>
      <c r="AB9087" t="s">
        <v>9</v>
      </c>
      <c r="AC9087" s="21">
        <v>216.07</v>
      </c>
      <c r="AD9087" s="21" t="s">
        <v>368</v>
      </c>
      <c r="AE9087" t="str">
        <f>VLOOKUP(Table_Query_from_Actuarial___Production3[[#This Row],[Kor1]],$AI$3:$AK$105,3,FALSE)</f>
        <v>Charge-offs</v>
      </c>
      <c r="AF9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88" spans="18:32" x14ac:dyDescent="0.2">
      <c r="R9088" t="s">
        <v>43</v>
      </c>
      <c r="S9088" t="s">
        <v>254</v>
      </c>
      <c r="T9088" t="s">
        <v>433</v>
      </c>
      <c r="U9088" s="21">
        <v>1075.6600000000001</v>
      </c>
      <c r="V9088" s="21" t="s">
        <v>368</v>
      </c>
      <c r="W9088" t="str">
        <f>VLOOKUP(Table_Query_from_Actuarial___Production[[#This Row],[Kor1]],$AI$3:$AK$105,3,FALSE)</f>
        <v>Charge-offs</v>
      </c>
      <c r="X9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88"/>
      <c r="Z9088" t="s">
        <v>13</v>
      </c>
      <c r="AA9088" t="s">
        <v>224</v>
      </c>
      <c r="AB9088" t="s">
        <v>8</v>
      </c>
      <c r="AC9088" s="21">
        <v>157119.17000000001</v>
      </c>
      <c r="AD9088" s="21" t="s">
        <v>370</v>
      </c>
      <c r="AE9088" t="str">
        <f>VLOOKUP(Table_Query_from_Actuarial___Production3[[#This Row],[Kor1]],$AI$3:$AK$105,3,FALSE)</f>
        <v>Operating Service Fees</v>
      </c>
      <c r="AF9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089" spans="18:32" x14ac:dyDescent="0.2">
      <c r="R9089" t="s">
        <v>16</v>
      </c>
      <c r="S9089" t="s">
        <v>354</v>
      </c>
      <c r="T9089" t="s">
        <v>433</v>
      </c>
      <c r="U9089" s="21">
        <v>11187151.609999999</v>
      </c>
      <c r="V9089" s="21" t="s">
        <v>369</v>
      </c>
      <c r="W9089" t="str">
        <f>VLOOKUP(Table_Query_from_Actuarial___Production[[#This Row],[Kor1]],$AI$3:$AK$105,3,FALSE)</f>
        <v>Losses Outstanding</v>
      </c>
      <c r="X9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089"/>
      <c r="Z9089" t="s">
        <v>37</v>
      </c>
      <c r="AA9089" t="s">
        <v>246</v>
      </c>
      <c r="AB9089" t="s">
        <v>441</v>
      </c>
      <c r="AC9089" s="21">
        <v>-115.96</v>
      </c>
      <c r="AD9089" s="21" t="s">
        <v>368</v>
      </c>
      <c r="AE9089" t="str">
        <f>VLOOKUP(Table_Query_from_Actuarial___Production3[[#This Row],[Kor1]],$AI$3:$AK$105,3,FALSE)</f>
        <v>Misc. Expense</v>
      </c>
      <c r="AF9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0" spans="18:32" x14ac:dyDescent="0.2">
      <c r="R9090" t="s">
        <v>10</v>
      </c>
      <c r="S9090" t="s">
        <v>231</v>
      </c>
      <c r="T9090" t="s">
        <v>441</v>
      </c>
      <c r="U9090" s="21">
        <v>103273.75</v>
      </c>
      <c r="V9090" s="21" t="s">
        <v>368</v>
      </c>
      <c r="W9090" t="str">
        <f>VLOOKUP(Table_Query_from_Actuarial___Production[[#This Row],[Kor1]],$AI$3:$AK$105,3,FALSE)</f>
        <v>Commissions</v>
      </c>
      <c r="X9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0"/>
      <c r="Z9090" t="s">
        <v>439</v>
      </c>
      <c r="AA9090" t="s">
        <v>239</v>
      </c>
      <c r="AB9090" t="s">
        <v>443</v>
      </c>
      <c r="AC9090" s="21">
        <v>-210973.11</v>
      </c>
      <c r="AD9090" s="21" t="s">
        <v>368</v>
      </c>
      <c r="AE9090" t="str">
        <f>VLOOKUP(Table_Query_from_Actuarial___Production3[[#This Row],[Kor1]],$AI$3:$AK$105,3,FALSE)</f>
        <v>Operating Service Fees</v>
      </c>
      <c r="AF9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1" spans="18:32" x14ac:dyDescent="0.2">
      <c r="R9091" t="s">
        <v>50</v>
      </c>
      <c r="S9091" t="s">
        <v>266</v>
      </c>
      <c r="T9091" t="s">
        <v>442</v>
      </c>
      <c r="U9091" s="21">
        <v>50579.33</v>
      </c>
      <c r="V9091" s="21" t="s">
        <v>368</v>
      </c>
      <c r="W9091" t="str">
        <f>VLOOKUP(Table_Query_from_Actuarial___Production[[#This Row],[Kor1]],$AI$3:$AK$105,3,FALSE)</f>
        <v>ALAE Reserve</v>
      </c>
      <c r="X9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1"/>
      <c r="Z9091" t="s">
        <v>19</v>
      </c>
      <c r="AA9091" t="s">
        <v>266</v>
      </c>
      <c r="AB9091" t="s">
        <v>5</v>
      </c>
      <c r="AC9091" s="21">
        <v>15</v>
      </c>
      <c r="AD9091" s="21" t="s">
        <v>368</v>
      </c>
      <c r="AE9091" t="str">
        <f>VLOOKUP(Table_Query_from_Actuarial___Production3[[#This Row],[Kor1]],$AI$3:$AK$105,3,FALSE)</f>
        <v>Misc. Expense for Insolvent Companies</v>
      </c>
      <c r="AF9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2" spans="18:32" x14ac:dyDescent="0.2">
      <c r="R9092" t="s">
        <v>34</v>
      </c>
      <c r="S9092" t="s">
        <v>252</v>
      </c>
      <c r="T9092" t="s">
        <v>7</v>
      </c>
      <c r="U9092" s="21">
        <v>29.13</v>
      </c>
      <c r="V9092" s="21" t="s">
        <v>368</v>
      </c>
      <c r="W9092" t="str">
        <f>VLOOKUP(Table_Query_from_Actuarial___Production[[#This Row],[Kor1]],$AI$3:$AK$105,3,FALSE)</f>
        <v>Misc. Expense</v>
      </c>
      <c r="X9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2"/>
      <c r="Z9092" t="s">
        <v>37</v>
      </c>
      <c r="AA9092" t="s">
        <v>249</v>
      </c>
      <c r="AB9092" t="s">
        <v>7</v>
      </c>
      <c r="AC9092" s="21">
        <v>61.51</v>
      </c>
      <c r="AD9092" s="21" t="s">
        <v>368</v>
      </c>
      <c r="AE9092" t="str">
        <f>VLOOKUP(Table_Query_from_Actuarial___Production3[[#This Row],[Kor1]],$AI$3:$AK$105,3,FALSE)</f>
        <v>Misc. Expense</v>
      </c>
      <c r="AF9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3" spans="18:32" x14ac:dyDescent="0.2">
      <c r="R9093" t="s">
        <v>15</v>
      </c>
      <c r="S9093" t="s">
        <v>226</v>
      </c>
      <c r="T9093" t="s">
        <v>443</v>
      </c>
      <c r="U9093" s="21">
        <v>15007.84</v>
      </c>
      <c r="V9093" s="21" t="s">
        <v>368</v>
      </c>
      <c r="W9093" t="str">
        <f>VLOOKUP(Table_Query_from_Actuarial___Production[[#This Row],[Kor1]],$AI$3:$AK$105,3,FALSE)</f>
        <v>Unearned Premiums</v>
      </c>
      <c r="X9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093"/>
      <c r="Z9093" t="s">
        <v>43</v>
      </c>
      <c r="AA9093" t="s">
        <v>254</v>
      </c>
      <c r="AB9093" t="s">
        <v>433</v>
      </c>
      <c r="AC9093" s="21">
        <v>1075.6600000000001</v>
      </c>
      <c r="AD9093" s="21" t="s">
        <v>368</v>
      </c>
      <c r="AE9093" t="str">
        <f>VLOOKUP(Table_Query_from_Actuarial___Production3[[#This Row],[Kor1]],$AI$3:$AK$105,3,FALSE)</f>
        <v>Charge-offs</v>
      </c>
      <c r="AF9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4" spans="18:32" x14ac:dyDescent="0.2">
      <c r="R9094" t="s">
        <v>16</v>
      </c>
      <c r="S9094" t="s">
        <v>226</v>
      </c>
      <c r="T9094" t="s">
        <v>7</v>
      </c>
      <c r="U9094" s="21">
        <v>334800</v>
      </c>
      <c r="V9094" s="21" t="s">
        <v>368</v>
      </c>
      <c r="W9094" t="str">
        <f>VLOOKUP(Table_Query_from_Actuarial___Production[[#This Row],[Kor1]],$AI$3:$AK$105,3,FALSE)</f>
        <v>Losses Outstanding</v>
      </c>
      <c r="X9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094"/>
      <c r="Z9094" t="s">
        <v>16</v>
      </c>
      <c r="AA9094" t="s">
        <v>354</v>
      </c>
      <c r="AB9094" t="s">
        <v>433</v>
      </c>
      <c r="AC9094" s="21">
        <v>33816421.310000002</v>
      </c>
      <c r="AD9094" s="21" t="s">
        <v>369</v>
      </c>
      <c r="AE9094" t="str">
        <f>VLOOKUP(Table_Query_from_Actuarial___Production3[[#This Row],[Kor1]],$AI$3:$AK$105,3,FALSE)</f>
        <v>Losses Outstanding</v>
      </c>
      <c r="AF9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095" spans="18:32" x14ac:dyDescent="0.2">
      <c r="R9095" t="s">
        <v>14</v>
      </c>
      <c r="S9095" t="s">
        <v>261</v>
      </c>
      <c r="T9095" t="s">
        <v>9</v>
      </c>
      <c r="U9095" s="21">
        <v>82461.56</v>
      </c>
      <c r="V9095" s="21" t="s">
        <v>368</v>
      </c>
      <c r="W9095" t="str">
        <f>VLOOKUP(Table_Query_from_Actuarial___Production[[#This Row],[Kor1]],$AI$3:$AK$105,3,FALSE)</f>
        <v>Claims Expense</v>
      </c>
      <c r="X9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5"/>
      <c r="Z9095" t="s">
        <v>10</v>
      </c>
      <c r="AA9095" t="s">
        <v>231</v>
      </c>
      <c r="AB9095" t="s">
        <v>441</v>
      </c>
      <c r="AC9095" s="21">
        <v>103273.75</v>
      </c>
      <c r="AD9095" s="21" t="s">
        <v>368</v>
      </c>
      <c r="AE9095" t="str">
        <f>VLOOKUP(Table_Query_from_Actuarial___Production3[[#This Row],[Kor1]],$AI$3:$AK$105,3,FALSE)</f>
        <v>Commissions</v>
      </c>
      <c r="AF9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6" spans="18:32" x14ac:dyDescent="0.2">
      <c r="R9096" t="s">
        <v>50</v>
      </c>
      <c r="S9096" t="s">
        <v>246</v>
      </c>
      <c r="T9096" t="s">
        <v>433</v>
      </c>
      <c r="U9096" s="21">
        <v>68694.77</v>
      </c>
      <c r="V9096" s="21" t="s">
        <v>368</v>
      </c>
      <c r="W9096" t="str">
        <f>VLOOKUP(Table_Query_from_Actuarial___Production[[#This Row],[Kor1]],$AI$3:$AK$105,3,FALSE)</f>
        <v>ALAE Reserve</v>
      </c>
      <c r="X9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6"/>
      <c r="Z9096" t="s">
        <v>50</v>
      </c>
      <c r="AA9096" t="s">
        <v>266</v>
      </c>
      <c r="AB9096" t="s">
        <v>442</v>
      </c>
      <c r="AC9096" s="21">
        <v>39115.25</v>
      </c>
      <c r="AD9096" s="21" t="s">
        <v>368</v>
      </c>
      <c r="AE9096" t="str">
        <f>VLOOKUP(Table_Query_from_Actuarial___Production3[[#This Row],[Kor1]],$AI$3:$AK$105,3,FALSE)</f>
        <v>ALAE Reserve</v>
      </c>
      <c r="AF9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7" spans="18:32" x14ac:dyDescent="0.2">
      <c r="R9097" t="s">
        <v>36</v>
      </c>
      <c r="S9097" t="s">
        <v>241</v>
      </c>
      <c r="T9097" t="s">
        <v>356</v>
      </c>
      <c r="U9097" s="21">
        <v>1346.77</v>
      </c>
      <c r="V9097" s="21" t="s">
        <v>368</v>
      </c>
      <c r="W9097" t="str">
        <f>VLOOKUP(Table_Query_from_Actuarial___Production[[#This Row],[Kor1]],$AI$3:$AK$105,3,FALSE)</f>
        <v>Misc. Expense</v>
      </c>
      <c r="X9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7"/>
      <c r="Z9097" t="s">
        <v>34</v>
      </c>
      <c r="AA9097" t="s">
        <v>252</v>
      </c>
      <c r="AB9097" t="s">
        <v>7</v>
      </c>
      <c r="AC9097" s="21">
        <v>29.13</v>
      </c>
      <c r="AD9097" s="21" t="s">
        <v>368</v>
      </c>
      <c r="AE9097" t="str">
        <f>VLOOKUP(Table_Query_from_Actuarial___Production3[[#This Row],[Kor1]],$AI$3:$AK$105,3,FALSE)</f>
        <v>Misc. Expense</v>
      </c>
      <c r="AF9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098" spans="18:32" x14ac:dyDescent="0.2">
      <c r="R9098" t="s">
        <v>49</v>
      </c>
      <c r="S9098" t="s">
        <v>251</v>
      </c>
      <c r="T9098" t="s">
        <v>441</v>
      </c>
      <c r="U9098" s="21">
        <v>18156.310000000001</v>
      </c>
      <c r="V9098" s="21" t="s">
        <v>368</v>
      </c>
      <c r="W9098" t="str">
        <f>VLOOKUP(Table_Query_from_Actuarial___Production[[#This Row],[Kor1]],$AI$3:$AK$105,3,FALSE)</f>
        <v>ALAE Paid</v>
      </c>
      <c r="X9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8"/>
      <c r="Z9098" t="s">
        <v>15</v>
      </c>
      <c r="AA9098" t="s">
        <v>226</v>
      </c>
      <c r="AB9098" t="s">
        <v>443</v>
      </c>
      <c r="AC9098" s="21">
        <v>4469793.55</v>
      </c>
      <c r="AD9098" s="21" t="s">
        <v>368</v>
      </c>
      <c r="AE9098" t="str">
        <f>VLOOKUP(Table_Query_from_Actuarial___Production3[[#This Row],[Kor1]],$AI$3:$AK$105,3,FALSE)</f>
        <v>Unearned Premiums</v>
      </c>
      <c r="AF9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099" spans="18:32" x14ac:dyDescent="0.2">
      <c r="R9099" t="s">
        <v>43</v>
      </c>
      <c r="S9099" t="s">
        <v>264</v>
      </c>
      <c r="T9099" t="s">
        <v>6</v>
      </c>
      <c r="U9099" s="21">
        <v>-425.87</v>
      </c>
      <c r="V9099" s="21" t="s">
        <v>368</v>
      </c>
      <c r="W9099" t="str">
        <f>VLOOKUP(Table_Query_from_Actuarial___Production[[#This Row],[Kor1]],$AI$3:$AK$105,3,FALSE)</f>
        <v>Charge-offs</v>
      </c>
      <c r="X9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099"/>
      <c r="Z9099" t="s">
        <v>16</v>
      </c>
      <c r="AA9099" t="s">
        <v>226</v>
      </c>
      <c r="AB9099" t="s">
        <v>7</v>
      </c>
      <c r="AC9099" s="21">
        <v>130200</v>
      </c>
      <c r="AD9099" s="21" t="s">
        <v>368</v>
      </c>
      <c r="AE9099" t="str">
        <f>VLOOKUP(Table_Query_from_Actuarial___Production3[[#This Row],[Kor1]],$AI$3:$AK$105,3,FALSE)</f>
        <v>Losses Outstanding</v>
      </c>
      <c r="AF9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100" spans="18:32" x14ac:dyDescent="0.2">
      <c r="R9100" t="s">
        <v>17</v>
      </c>
      <c r="S9100" t="s">
        <v>247</v>
      </c>
      <c r="T9100" t="s">
        <v>443</v>
      </c>
      <c r="U9100" s="21">
        <v>1528.54</v>
      </c>
      <c r="V9100" s="21" t="s">
        <v>368</v>
      </c>
      <c r="W9100" t="str">
        <f>VLOOKUP(Table_Query_from_Actuarial___Production[[#This Row],[Kor1]],$AI$3:$AK$105,3,FALSE)</f>
        <v>IBNR</v>
      </c>
      <c r="X9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0"/>
      <c r="Z9100" t="s">
        <v>14</v>
      </c>
      <c r="AA9100" t="s">
        <v>261</v>
      </c>
      <c r="AB9100" t="s">
        <v>9</v>
      </c>
      <c r="AC9100" s="21">
        <v>82461.56</v>
      </c>
      <c r="AD9100" s="21" t="s">
        <v>368</v>
      </c>
      <c r="AE9100" t="str">
        <f>VLOOKUP(Table_Query_from_Actuarial___Production3[[#This Row],[Kor1]],$AI$3:$AK$105,3,FALSE)</f>
        <v>Claims Expense</v>
      </c>
      <c r="AF9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1" spans="18:32" x14ac:dyDescent="0.2">
      <c r="R9101" t="s">
        <v>10</v>
      </c>
      <c r="S9101" t="s">
        <v>258</v>
      </c>
      <c r="T9101" t="s">
        <v>351</v>
      </c>
      <c r="U9101" s="21">
        <v>180157.61</v>
      </c>
      <c r="V9101" s="21" t="s">
        <v>368</v>
      </c>
      <c r="W9101" t="str">
        <f>VLOOKUP(Table_Query_from_Actuarial___Production[[#This Row],[Kor1]],$AI$3:$AK$105,3,FALSE)</f>
        <v>Commissions</v>
      </c>
      <c r="X9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1"/>
      <c r="Z9101" t="s">
        <v>50</v>
      </c>
      <c r="AA9101" t="s">
        <v>246</v>
      </c>
      <c r="AB9101" t="s">
        <v>433</v>
      </c>
      <c r="AC9101" s="21">
        <v>70686.720000000001</v>
      </c>
      <c r="AD9101" s="21" t="s">
        <v>368</v>
      </c>
      <c r="AE9101" t="str">
        <f>VLOOKUP(Table_Query_from_Actuarial___Production3[[#This Row],[Kor1]],$AI$3:$AK$105,3,FALSE)</f>
        <v>ALAE Reserve</v>
      </c>
      <c r="AF9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2" spans="18:32" x14ac:dyDescent="0.2">
      <c r="R9102" t="s">
        <v>12</v>
      </c>
      <c r="S9102" t="s">
        <v>240</v>
      </c>
      <c r="T9102" t="s">
        <v>427</v>
      </c>
      <c r="U9102" s="21">
        <v>99415.8</v>
      </c>
      <c r="V9102" s="21" t="s">
        <v>368</v>
      </c>
      <c r="W9102" t="str">
        <f>VLOOKUP(Table_Query_from_Actuarial___Production[[#This Row],[Kor1]],$AI$3:$AK$105,3,FALSE)</f>
        <v>Premium Tax</v>
      </c>
      <c r="X9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2"/>
      <c r="Z9102" t="s">
        <v>36</v>
      </c>
      <c r="AA9102" t="s">
        <v>241</v>
      </c>
      <c r="AB9102" t="s">
        <v>356</v>
      </c>
      <c r="AC9102" s="21">
        <v>1346.77</v>
      </c>
      <c r="AD9102" s="21" t="s">
        <v>368</v>
      </c>
      <c r="AE9102" t="str">
        <f>VLOOKUP(Table_Query_from_Actuarial___Production3[[#This Row],[Kor1]],$AI$3:$AK$105,3,FALSE)</f>
        <v>Misc. Expense</v>
      </c>
      <c r="AF9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3" spans="18:32" x14ac:dyDescent="0.2">
      <c r="R9103" t="s">
        <v>18</v>
      </c>
      <c r="S9103" t="s">
        <v>225</v>
      </c>
      <c r="T9103" t="s">
        <v>427</v>
      </c>
      <c r="U9103" s="21">
        <v>502927.17</v>
      </c>
      <c r="V9103" s="21" t="s">
        <v>369</v>
      </c>
      <c r="W9103" t="str">
        <f>VLOOKUP(Table_Query_from_Actuarial___Production[[#This Row],[Kor1]],$AI$3:$AK$105,3,FALSE)</f>
        <v>Misc. Expense</v>
      </c>
      <c r="X9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103"/>
      <c r="Z9103" t="s">
        <v>49</v>
      </c>
      <c r="AA9103" t="s">
        <v>251</v>
      </c>
      <c r="AB9103" t="s">
        <v>441</v>
      </c>
      <c r="AC9103" s="21">
        <v>166.5</v>
      </c>
      <c r="AD9103" s="21" t="s">
        <v>368</v>
      </c>
      <c r="AE9103" t="str">
        <f>VLOOKUP(Table_Query_from_Actuarial___Production3[[#This Row],[Kor1]],$AI$3:$AK$105,3,FALSE)</f>
        <v>ALAE Paid</v>
      </c>
      <c r="AF9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4" spans="18:32" x14ac:dyDescent="0.2">
      <c r="R9104" t="s">
        <v>40</v>
      </c>
      <c r="S9104" t="s">
        <v>259</v>
      </c>
      <c r="T9104" t="s">
        <v>356</v>
      </c>
      <c r="U9104" s="21">
        <v>508</v>
      </c>
      <c r="V9104" s="21" t="s">
        <v>368</v>
      </c>
      <c r="W9104" t="str">
        <f>VLOOKUP(Table_Query_from_Actuarial___Production[[#This Row],[Kor1]],$AI$3:$AK$105,3,FALSE)</f>
        <v>Misc. Income</v>
      </c>
      <c r="X9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4"/>
      <c r="Z9104" t="s">
        <v>19</v>
      </c>
      <c r="AA9104" t="s">
        <v>239</v>
      </c>
      <c r="AB9104" t="s">
        <v>5</v>
      </c>
      <c r="AC9104" s="21">
        <v>789</v>
      </c>
      <c r="AD9104" s="21" t="s">
        <v>368</v>
      </c>
      <c r="AE9104" t="str">
        <f>VLOOKUP(Table_Query_from_Actuarial___Production3[[#This Row],[Kor1]],$AI$3:$AK$105,3,FALSE)</f>
        <v>Misc. Expense for Insolvent Companies</v>
      </c>
      <c r="AF9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5" spans="18:32" x14ac:dyDescent="0.2">
      <c r="R9105" t="s">
        <v>44</v>
      </c>
      <c r="S9105" t="s">
        <v>256</v>
      </c>
      <c r="T9105" t="s">
        <v>433</v>
      </c>
      <c r="U9105" s="21">
        <v>9725.2000000000007</v>
      </c>
      <c r="V9105" s="21" t="s">
        <v>368</v>
      </c>
      <c r="W9105" t="str">
        <f>VLOOKUP(Table_Query_from_Actuarial___Production[[#This Row],[Kor1]],$AI$3:$AK$105,3,FALSE)</f>
        <v>Charge-offs</v>
      </c>
      <c r="X9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5"/>
      <c r="Z9105" t="s">
        <v>43</v>
      </c>
      <c r="AA9105" t="s">
        <v>264</v>
      </c>
      <c r="AB9105" t="s">
        <v>6</v>
      </c>
      <c r="AC9105" s="21">
        <v>-425.87</v>
      </c>
      <c r="AD9105" s="21" t="s">
        <v>368</v>
      </c>
      <c r="AE9105" t="str">
        <f>VLOOKUP(Table_Query_from_Actuarial___Production3[[#This Row],[Kor1]],$AI$3:$AK$105,3,FALSE)</f>
        <v>Charge-offs</v>
      </c>
      <c r="AF9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6" spans="18:32" x14ac:dyDescent="0.2">
      <c r="R9106" t="s">
        <v>11</v>
      </c>
      <c r="S9106" t="s">
        <v>230</v>
      </c>
      <c r="T9106" t="s">
        <v>442</v>
      </c>
      <c r="U9106" s="21">
        <v>5223809.71</v>
      </c>
      <c r="V9106" s="21" t="s">
        <v>368</v>
      </c>
      <c r="W9106" t="str">
        <f>VLOOKUP(Table_Query_from_Actuarial___Production[[#This Row],[Kor1]],$AI$3:$AK$105,3,FALSE)</f>
        <v>Losses Paid</v>
      </c>
      <c r="X9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6"/>
      <c r="Z9106" t="s">
        <v>47</v>
      </c>
      <c r="AA9106" t="s">
        <v>227</v>
      </c>
      <c r="AB9106" t="s">
        <v>5</v>
      </c>
      <c r="AC9106" s="21">
        <v>1.37</v>
      </c>
      <c r="AD9106" s="21" t="s">
        <v>368</v>
      </c>
      <c r="AE9106" t="str">
        <f>VLOOKUP(Table_Query_from_Actuarial___Production3[[#This Row],[Kor1]],$AI$3:$AK$105,3,FALSE)</f>
        <v>Investment Income</v>
      </c>
      <c r="AF9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7" spans="18:32" x14ac:dyDescent="0.2">
      <c r="R9107" t="s">
        <v>11</v>
      </c>
      <c r="S9107" t="s">
        <v>242</v>
      </c>
      <c r="T9107" t="s">
        <v>6</v>
      </c>
      <c r="U9107" s="21">
        <v>54689.58</v>
      </c>
      <c r="V9107" s="21" t="s">
        <v>368</v>
      </c>
      <c r="W9107" t="str">
        <f>VLOOKUP(Table_Query_from_Actuarial___Production[[#This Row],[Kor1]],$AI$3:$AK$105,3,FALSE)</f>
        <v>Losses Paid</v>
      </c>
      <c r="X9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7"/>
      <c r="Z9107" t="s">
        <v>10</v>
      </c>
      <c r="AA9107" t="s">
        <v>258</v>
      </c>
      <c r="AB9107" t="s">
        <v>351</v>
      </c>
      <c r="AC9107" s="21">
        <v>180157.61</v>
      </c>
      <c r="AD9107" s="21" t="s">
        <v>368</v>
      </c>
      <c r="AE9107" t="str">
        <f>VLOOKUP(Table_Query_from_Actuarial___Production3[[#This Row],[Kor1]],$AI$3:$AK$105,3,FALSE)</f>
        <v>Commissions</v>
      </c>
      <c r="AF9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8" spans="18:32" x14ac:dyDescent="0.2">
      <c r="R9108" t="s">
        <v>17</v>
      </c>
      <c r="S9108" t="s">
        <v>267</v>
      </c>
      <c r="T9108" t="s">
        <v>441</v>
      </c>
      <c r="U9108" s="21">
        <v>142660.04</v>
      </c>
      <c r="V9108" s="21" t="s">
        <v>368</v>
      </c>
      <c r="W9108" t="str">
        <f>VLOOKUP(Table_Query_from_Actuarial___Production[[#This Row],[Kor1]],$AI$3:$AK$105,3,FALSE)</f>
        <v>IBNR</v>
      </c>
      <c r="X9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8"/>
      <c r="Z9108" t="s">
        <v>12</v>
      </c>
      <c r="AA9108" t="s">
        <v>240</v>
      </c>
      <c r="AB9108" t="s">
        <v>427</v>
      </c>
      <c r="AC9108" s="21">
        <v>99415.8</v>
      </c>
      <c r="AD9108" s="21" t="s">
        <v>368</v>
      </c>
      <c r="AE9108" t="str">
        <f>VLOOKUP(Table_Query_from_Actuarial___Production3[[#This Row],[Kor1]],$AI$3:$AK$105,3,FALSE)</f>
        <v>Premium Tax</v>
      </c>
      <c r="AF9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09" spans="18:32" x14ac:dyDescent="0.2">
      <c r="R9109" t="s">
        <v>41</v>
      </c>
      <c r="S9109" t="s">
        <v>230</v>
      </c>
      <c r="T9109" t="s">
        <v>442</v>
      </c>
      <c r="U9109" s="21">
        <v>5064.8500000000004</v>
      </c>
      <c r="V9109" s="21" t="s">
        <v>368</v>
      </c>
      <c r="W9109" t="str">
        <f>VLOOKUP(Table_Query_from_Actuarial___Production[[#This Row],[Kor1]],$AI$3:$AK$105,3,FALSE)</f>
        <v>Misc. Income</v>
      </c>
      <c r="X9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09"/>
      <c r="Z9109" t="s">
        <v>18</v>
      </c>
      <c r="AA9109" t="s">
        <v>225</v>
      </c>
      <c r="AB9109" t="s">
        <v>427</v>
      </c>
      <c r="AC9109" s="21">
        <v>502927.17</v>
      </c>
      <c r="AD9109" s="21" t="s">
        <v>369</v>
      </c>
      <c r="AE9109" t="str">
        <f>VLOOKUP(Table_Query_from_Actuarial___Production3[[#This Row],[Kor1]],$AI$3:$AK$105,3,FALSE)</f>
        <v>Misc. Expense</v>
      </c>
      <c r="AF9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110" spans="18:32" x14ac:dyDescent="0.2">
      <c r="R9110" t="s">
        <v>46</v>
      </c>
      <c r="S9110" t="s">
        <v>352</v>
      </c>
      <c r="T9110" t="s">
        <v>9</v>
      </c>
      <c r="U9110" s="21">
        <v>620.16999999999996</v>
      </c>
      <c r="V9110" s="21" t="s">
        <v>369</v>
      </c>
      <c r="W9110" t="str">
        <f>VLOOKUP(Table_Query_from_Actuarial___Production[[#This Row],[Kor1]],$AI$3:$AK$105,3,FALSE)</f>
        <v>Investment Income</v>
      </c>
      <c r="X9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110"/>
      <c r="Z9110" t="s">
        <v>40</v>
      </c>
      <c r="AA9110" t="s">
        <v>259</v>
      </c>
      <c r="AB9110" t="s">
        <v>356</v>
      </c>
      <c r="AC9110" s="21">
        <v>508</v>
      </c>
      <c r="AD9110" s="21" t="s">
        <v>368</v>
      </c>
      <c r="AE9110" t="str">
        <f>VLOOKUP(Table_Query_from_Actuarial___Production3[[#This Row],[Kor1]],$AI$3:$AK$105,3,FALSE)</f>
        <v>Misc. Income</v>
      </c>
      <c r="AF9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1" spans="18:32" x14ac:dyDescent="0.2">
      <c r="R9111" t="s">
        <v>14</v>
      </c>
      <c r="S9111" t="s">
        <v>243</v>
      </c>
      <c r="T9111" t="s">
        <v>9</v>
      </c>
      <c r="U9111" s="21">
        <v>35297.910000000003</v>
      </c>
      <c r="V9111" s="21" t="s">
        <v>368</v>
      </c>
      <c r="W9111" t="str">
        <f>VLOOKUP(Table_Query_from_Actuarial___Production[[#This Row],[Kor1]],$AI$3:$AK$105,3,FALSE)</f>
        <v>Claims Expense</v>
      </c>
      <c r="X9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1"/>
      <c r="Z9111" t="s">
        <v>44</v>
      </c>
      <c r="AA9111" t="s">
        <v>256</v>
      </c>
      <c r="AB9111" t="s">
        <v>433</v>
      </c>
      <c r="AC9111" s="21">
        <v>9725.2000000000007</v>
      </c>
      <c r="AD9111" s="21" t="s">
        <v>368</v>
      </c>
      <c r="AE9111" t="str">
        <f>VLOOKUP(Table_Query_from_Actuarial___Production3[[#This Row],[Kor1]],$AI$3:$AK$105,3,FALSE)</f>
        <v>Charge-offs</v>
      </c>
      <c r="AF9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2" spans="18:32" x14ac:dyDescent="0.2">
      <c r="R9112" t="s">
        <v>40</v>
      </c>
      <c r="S9112" t="s">
        <v>235</v>
      </c>
      <c r="T9112" t="s">
        <v>8</v>
      </c>
      <c r="U9112" s="21">
        <v>25.01</v>
      </c>
      <c r="V9112" s="21" t="s">
        <v>368</v>
      </c>
      <c r="W9112" t="str">
        <f>VLOOKUP(Table_Query_from_Actuarial___Production[[#This Row],[Kor1]],$AI$3:$AK$105,3,FALSE)</f>
        <v>Misc. Income</v>
      </c>
      <c r="X9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2"/>
      <c r="Z9112" t="s">
        <v>11</v>
      </c>
      <c r="AA9112" t="s">
        <v>230</v>
      </c>
      <c r="AB9112" t="s">
        <v>442</v>
      </c>
      <c r="AC9112" s="21">
        <v>1020431.76</v>
      </c>
      <c r="AD9112" s="21" t="s">
        <v>368</v>
      </c>
      <c r="AE9112" t="str">
        <f>VLOOKUP(Table_Query_from_Actuarial___Production3[[#This Row],[Kor1]],$AI$3:$AK$105,3,FALSE)</f>
        <v>Losses Paid</v>
      </c>
      <c r="AF9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3" spans="18:32" x14ac:dyDescent="0.2">
      <c r="R9113" t="s">
        <v>21</v>
      </c>
      <c r="S9113" t="s">
        <v>249</v>
      </c>
      <c r="T9113" t="s">
        <v>442</v>
      </c>
      <c r="U9113" s="21">
        <v>1480.5</v>
      </c>
      <c r="V9113" s="21" t="s">
        <v>368</v>
      </c>
      <c r="W9113" t="str">
        <f>VLOOKUP(Table_Query_from_Actuarial___Production[[#This Row],[Kor1]],$AI$3:$AK$105,3,FALSE)</f>
        <v>Misc. Expense</v>
      </c>
      <c r="X9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3"/>
      <c r="Z9113" t="s">
        <v>11</v>
      </c>
      <c r="AA9113" t="s">
        <v>242</v>
      </c>
      <c r="AB9113" t="s">
        <v>6</v>
      </c>
      <c r="AC9113" s="21">
        <v>4803.59</v>
      </c>
      <c r="AD9113" s="21" t="s">
        <v>368</v>
      </c>
      <c r="AE9113" t="str">
        <f>VLOOKUP(Table_Query_from_Actuarial___Production3[[#This Row],[Kor1]],$AI$3:$AK$105,3,FALSE)</f>
        <v>Losses Paid</v>
      </c>
      <c r="AF9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4" spans="18:32" x14ac:dyDescent="0.2">
      <c r="R9114" t="s">
        <v>12</v>
      </c>
      <c r="S9114" t="s">
        <v>228</v>
      </c>
      <c r="T9114" t="s">
        <v>351</v>
      </c>
      <c r="U9114" s="21">
        <v>7978.4</v>
      </c>
      <c r="V9114" s="21" t="s">
        <v>368</v>
      </c>
      <c r="W9114" t="str">
        <f>VLOOKUP(Table_Query_from_Actuarial___Production[[#This Row],[Kor1]],$AI$3:$AK$105,3,FALSE)</f>
        <v>Premium Tax</v>
      </c>
      <c r="X9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4"/>
      <c r="Z9114" t="s">
        <v>17</v>
      </c>
      <c r="AA9114" t="s">
        <v>267</v>
      </c>
      <c r="AB9114" t="s">
        <v>441</v>
      </c>
      <c r="AC9114" s="21">
        <v>252772.44</v>
      </c>
      <c r="AD9114" s="21" t="s">
        <v>368</v>
      </c>
      <c r="AE9114" t="str">
        <f>VLOOKUP(Table_Query_from_Actuarial___Production3[[#This Row],[Kor1]],$AI$3:$AK$105,3,FALSE)</f>
        <v>IBNR</v>
      </c>
      <c r="AF9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5" spans="18:32" x14ac:dyDescent="0.2">
      <c r="R9115" t="s">
        <v>33</v>
      </c>
      <c r="S9115" t="s">
        <v>266</v>
      </c>
      <c r="T9115" t="s">
        <v>443</v>
      </c>
      <c r="U9115" s="21">
        <v>17677.63</v>
      </c>
      <c r="V9115" s="21" t="s">
        <v>368</v>
      </c>
      <c r="W9115" t="str">
        <f>VLOOKUP(Table_Query_from_Actuarial___Production[[#This Row],[Kor1]],$AI$3:$AK$105,3,FALSE)</f>
        <v>Misc. Expense</v>
      </c>
      <c r="X9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5"/>
      <c r="Z9115" t="s">
        <v>41</v>
      </c>
      <c r="AA9115" t="s">
        <v>230</v>
      </c>
      <c r="AB9115" t="s">
        <v>442</v>
      </c>
      <c r="AC9115" s="21">
        <v>5064.8500000000004</v>
      </c>
      <c r="AD9115" s="21" t="s">
        <v>368</v>
      </c>
      <c r="AE9115" t="str">
        <f>VLOOKUP(Table_Query_from_Actuarial___Production3[[#This Row],[Kor1]],$AI$3:$AK$105,3,FALSE)</f>
        <v>Misc. Income</v>
      </c>
      <c r="AF9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6" spans="18:32" x14ac:dyDescent="0.2">
      <c r="R9116" t="s">
        <v>47</v>
      </c>
      <c r="S9116" t="s">
        <v>256</v>
      </c>
      <c r="T9116" t="s">
        <v>356</v>
      </c>
      <c r="U9116" s="21">
        <v>1021.56</v>
      </c>
      <c r="V9116" s="21" t="s">
        <v>368</v>
      </c>
      <c r="W9116" t="str">
        <f>VLOOKUP(Table_Query_from_Actuarial___Production[[#This Row],[Kor1]],$AI$3:$AK$105,3,FALSE)</f>
        <v>Investment Income</v>
      </c>
      <c r="X9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6"/>
      <c r="Z9116" t="s">
        <v>46</v>
      </c>
      <c r="AA9116" t="s">
        <v>352</v>
      </c>
      <c r="AB9116" t="s">
        <v>9</v>
      </c>
      <c r="AC9116" s="21">
        <v>620.16999999999996</v>
      </c>
      <c r="AD9116" s="21" t="s">
        <v>369</v>
      </c>
      <c r="AE9116" t="str">
        <f>VLOOKUP(Table_Query_from_Actuarial___Production3[[#This Row],[Kor1]],$AI$3:$AK$105,3,FALSE)</f>
        <v>Investment Income</v>
      </c>
      <c r="AF9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117" spans="18:32" x14ac:dyDescent="0.2">
      <c r="R9117" t="s">
        <v>12</v>
      </c>
      <c r="S9117" t="s">
        <v>245</v>
      </c>
      <c r="T9117" t="s">
        <v>433</v>
      </c>
      <c r="U9117" s="21">
        <v>63.87</v>
      </c>
      <c r="V9117" s="21" t="s">
        <v>368</v>
      </c>
      <c r="W9117" t="str">
        <f>VLOOKUP(Table_Query_from_Actuarial___Production[[#This Row],[Kor1]],$AI$3:$AK$105,3,FALSE)</f>
        <v>Premium Tax</v>
      </c>
      <c r="X9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7"/>
      <c r="Z9117" t="s">
        <v>14</v>
      </c>
      <c r="AA9117" t="s">
        <v>243</v>
      </c>
      <c r="AB9117" t="s">
        <v>9</v>
      </c>
      <c r="AC9117" s="21">
        <v>35297.910000000003</v>
      </c>
      <c r="AD9117" s="21" t="s">
        <v>368</v>
      </c>
      <c r="AE9117" t="str">
        <f>VLOOKUP(Table_Query_from_Actuarial___Production3[[#This Row],[Kor1]],$AI$3:$AK$105,3,FALSE)</f>
        <v>Claims Expense</v>
      </c>
      <c r="AF9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8" spans="18:32" x14ac:dyDescent="0.2">
      <c r="R9118" t="s">
        <v>32</v>
      </c>
      <c r="S9118" t="s">
        <v>236</v>
      </c>
      <c r="T9118" t="s">
        <v>9</v>
      </c>
      <c r="U9118" s="21">
        <v>-4269.7700000000004</v>
      </c>
      <c r="V9118" s="21" t="s">
        <v>368</v>
      </c>
      <c r="W9118" t="str">
        <f>VLOOKUP(Table_Query_from_Actuarial___Production[[#This Row],[Kor1]],$AI$3:$AK$105,3,FALSE)</f>
        <v>Misc. Expense</v>
      </c>
      <c r="X9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8"/>
      <c r="Z9118" t="s">
        <v>40</v>
      </c>
      <c r="AA9118" t="s">
        <v>235</v>
      </c>
      <c r="AB9118" t="s">
        <v>8</v>
      </c>
      <c r="AC9118" s="21">
        <v>25.01</v>
      </c>
      <c r="AD9118" s="21" t="s">
        <v>368</v>
      </c>
      <c r="AE9118" t="str">
        <f>VLOOKUP(Table_Query_from_Actuarial___Production3[[#This Row],[Kor1]],$AI$3:$AK$105,3,FALSE)</f>
        <v>Misc. Income</v>
      </c>
      <c r="AF9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19" spans="18:32" x14ac:dyDescent="0.2">
      <c r="R9119" t="s">
        <v>3</v>
      </c>
      <c r="S9119" t="s">
        <v>231</v>
      </c>
      <c r="T9119" t="s">
        <v>356</v>
      </c>
      <c r="U9119" s="21">
        <v>292960</v>
      </c>
      <c r="V9119" s="21" t="s">
        <v>368</v>
      </c>
      <c r="W9119" t="str">
        <f>VLOOKUP(Table_Query_from_Actuarial___Production[[#This Row],[Kor1]],$AI$3:$AK$105,3,FALSE)</f>
        <v>Premiums Written</v>
      </c>
      <c r="X9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19"/>
      <c r="Z9119" t="s">
        <v>21</v>
      </c>
      <c r="AA9119" t="s">
        <v>249</v>
      </c>
      <c r="AB9119" t="s">
        <v>442</v>
      </c>
      <c r="AC9119" s="21">
        <v>1480.5</v>
      </c>
      <c r="AD9119" s="21" t="s">
        <v>368</v>
      </c>
      <c r="AE9119" t="str">
        <f>VLOOKUP(Table_Query_from_Actuarial___Production3[[#This Row],[Kor1]],$AI$3:$AK$105,3,FALSE)</f>
        <v>Misc. Expense</v>
      </c>
      <c r="AF9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0" spans="18:32" x14ac:dyDescent="0.2">
      <c r="R9120" t="s">
        <v>31</v>
      </c>
      <c r="S9120" t="s">
        <v>245</v>
      </c>
      <c r="T9120" t="s">
        <v>441</v>
      </c>
      <c r="U9120" s="21">
        <v>1141.7</v>
      </c>
      <c r="V9120" s="21" t="s">
        <v>368</v>
      </c>
      <c r="W9120" t="str">
        <f>VLOOKUP(Table_Query_from_Actuarial___Production[[#This Row],[Kor1]],$AI$3:$AK$105,3,FALSE)</f>
        <v>Misc. Expense</v>
      </c>
      <c r="X9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0"/>
      <c r="Z9120" t="s">
        <v>12</v>
      </c>
      <c r="AA9120" t="s">
        <v>228</v>
      </c>
      <c r="AB9120" t="s">
        <v>351</v>
      </c>
      <c r="AC9120" s="21">
        <v>7978.4</v>
      </c>
      <c r="AD9120" s="21" t="s">
        <v>368</v>
      </c>
      <c r="AE9120" t="str">
        <f>VLOOKUP(Table_Query_from_Actuarial___Production3[[#This Row],[Kor1]],$AI$3:$AK$105,3,FALSE)</f>
        <v>Premium Tax</v>
      </c>
      <c r="AF9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1" spans="18:32" x14ac:dyDescent="0.2">
      <c r="R9121" t="s">
        <v>13</v>
      </c>
      <c r="S9121" t="s">
        <v>252</v>
      </c>
      <c r="T9121" t="s">
        <v>6</v>
      </c>
      <c r="U9121" s="21">
        <v>1999800.03</v>
      </c>
      <c r="V9121" s="21" t="s">
        <v>368</v>
      </c>
      <c r="W9121" t="str">
        <f>VLOOKUP(Table_Query_from_Actuarial___Production[[#This Row],[Kor1]],$AI$3:$AK$105,3,FALSE)</f>
        <v>Operating Service Fees</v>
      </c>
      <c r="X9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1"/>
      <c r="Z9121" t="s">
        <v>33</v>
      </c>
      <c r="AA9121" t="s">
        <v>266</v>
      </c>
      <c r="AB9121" t="s">
        <v>443</v>
      </c>
      <c r="AC9121" s="21">
        <v>9639.5400000000009</v>
      </c>
      <c r="AD9121" s="21" t="s">
        <v>368</v>
      </c>
      <c r="AE9121" t="str">
        <f>VLOOKUP(Table_Query_from_Actuarial___Production3[[#This Row],[Kor1]],$AI$3:$AK$105,3,FALSE)</f>
        <v>Misc. Expense</v>
      </c>
      <c r="AF9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2" spans="18:32" x14ac:dyDescent="0.2">
      <c r="R9122" t="s">
        <v>33</v>
      </c>
      <c r="S9122" t="s">
        <v>266</v>
      </c>
      <c r="T9122" t="s">
        <v>6</v>
      </c>
      <c r="U9122" s="21">
        <v>15094.53</v>
      </c>
      <c r="V9122" s="21" t="s">
        <v>368</v>
      </c>
      <c r="W9122" t="str">
        <f>VLOOKUP(Table_Query_from_Actuarial___Production[[#This Row],[Kor1]],$AI$3:$AK$105,3,FALSE)</f>
        <v>Misc. Expense</v>
      </c>
      <c r="X9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2"/>
      <c r="Z9122" t="s">
        <v>47</v>
      </c>
      <c r="AA9122" t="s">
        <v>256</v>
      </c>
      <c r="AB9122" t="s">
        <v>356</v>
      </c>
      <c r="AC9122" s="21">
        <v>1021.56</v>
      </c>
      <c r="AD9122" s="21" t="s">
        <v>368</v>
      </c>
      <c r="AE9122" t="str">
        <f>VLOOKUP(Table_Query_from_Actuarial___Production3[[#This Row],[Kor1]],$AI$3:$AK$105,3,FALSE)</f>
        <v>Investment Income</v>
      </c>
      <c r="AF9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3" spans="18:32" x14ac:dyDescent="0.2">
      <c r="R9123" t="s">
        <v>37</v>
      </c>
      <c r="S9123" t="s">
        <v>246</v>
      </c>
      <c r="T9123" t="s">
        <v>351</v>
      </c>
      <c r="U9123" s="21">
        <v>34.090000000000003</v>
      </c>
      <c r="V9123" s="21" t="s">
        <v>368</v>
      </c>
      <c r="W9123" t="str">
        <f>VLOOKUP(Table_Query_from_Actuarial___Production[[#This Row],[Kor1]],$AI$3:$AK$105,3,FALSE)</f>
        <v>Misc. Expense</v>
      </c>
      <c r="X9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3"/>
      <c r="Z9123" t="s">
        <v>12</v>
      </c>
      <c r="AA9123" t="s">
        <v>245</v>
      </c>
      <c r="AB9123" t="s">
        <v>433</v>
      </c>
      <c r="AC9123" s="21">
        <v>63.87</v>
      </c>
      <c r="AD9123" s="21" t="s">
        <v>368</v>
      </c>
      <c r="AE9123" t="str">
        <f>VLOOKUP(Table_Query_from_Actuarial___Production3[[#This Row],[Kor1]],$AI$3:$AK$105,3,FALSE)</f>
        <v>Premium Tax</v>
      </c>
      <c r="AF9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4" spans="18:32" x14ac:dyDescent="0.2">
      <c r="R9124" t="s">
        <v>47</v>
      </c>
      <c r="S9124" t="s">
        <v>254</v>
      </c>
      <c r="T9124" t="s">
        <v>441</v>
      </c>
      <c r="U9124" s="21">
        <v>177.01</v>
      </c>
      <c r="V9124" s="21" t="s">
        <v>368</v>
      </c>
      <c r="W9124" t="str">
        <f>VLOOKUP(Table_Query_from_Actuarial___Production[[#This Row],[Kor1]],$AI$3:$AK$105,3,FALSE)</f>
        <v>Investment Income</v>
      </c>
      <c r="X9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4"/>
      <c r="Z9124" t="s">
        <v>32</v>
      </c>
      <c r="AA9124" t="s">
        <v>236</v>
      </c>
      <c r="AB9124" t="s">
        <v>9</v>
      </c>
      <c r="AC9124" s="21">
        <v>-4269.7700000000004</v>
      </c>
      <c r="AD9124" s="21" t="s">
        <v>368</v>
      </c>
      <c r="AE9124" t="str">
        <f>VLOOKUP(Table_Query_from_Actuarial___Production3[[#This Row],[Kor1]],$AI$3:$AK$105,3,FALSE)</f>
        <v>Misc. Expense</v>
      </c>
      <c r="AF9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5" spans="18:32" x14ac:dyDescent="0.2">
      <c r="R9125" t="s">
        <v>46</v>
      </c>
      <c r="S9125" t="s">
        <v>224</v>
      </c>
      <c r="T9125" t="s">
        <v>427</v>
      </c>
      <c r="U9125" s="21">
        <v>3485.89</v>
      </c>
      <c r="V9125" s="21" t="s">
        <v>369</v>
      </c>
      <c r="W9125" t="str">
        <f>VLOOKUP(Table_Query_from_Actuarial___Production[[#This Row],[Kor1]],$AI$3:$AK$105,3,FALSE)</f>
        <v>Investment Income</v>
      </c>
      <c r="X9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125"/>
      <c r="Z9125" t="s">
        <v>3</v>
      </c>
      <c r="AA9125" t="s">
        <v>231</v>
      </c>
      <c r="AB9125" t="s">
        <v>356</v>
      </c>
      <c r="AC9125" s="21">
        <v>292960</v>
      </c>
      <c r="AD9125" s="21" t="s">
        <v>368</v>
      </c>
      <c r="AE9125" t="str">
        <f>VLOOKUP(Table_Query_from_Actuarial___Production3[[#This Row],[Kor1]],$AI$3:$AK$105,3,FALSE)</f>
        <v>Premiums Written</v>
      </c>
      <c r="AF9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6" spans="18:32" x14ac:dyDescent="0.2">
      <c r="R9126" t="s">
        <v>37</v>
      </c>
      <c r="S9126" t="s">
        <v>241</v>
      </c>
      <c r="T9126" t="s">
        <v>433</v>
      </c>
      <c r="U9126" s="21">
        <v>3675.67</v>
      </c>
      <c r="V9126" s="21" t="s">
        <v>368</v>
      </c>
      <c r="W9126" t="str">
        <f>VLOOKUP(Table_Query_from_Actuarial___Production[[#This Row],[Kor1]],$AI$3:$AK$105,3,FALSE)</f>
        <v>Misc. Expense</v>
      </c>
      <c r="X9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6"/>
      <c r="Z9126" t="s">
        <v>31</v>
      </c>
      <c r="AA9126" t="s">
        <v>245</v>
      </c>
      <c r="AB9126" t="s">
        <v>441</v>
      </c>
      <c r="AC9126" s="21">
        <v>1141.7</v>
      </c>
      <c r="AD9126" s="21" t="s">
        <v>368</v>
      </c>
      <c r="AE9126" t="str">
        <f>VLOOKUP(Table_Query_from_Actuarial___Production3[[#This Row],[Kor1]],$AI$3:$AK$105,3,FALSE)</f>
        <v>Misc. Expense</v>
      </c>
      <c r="AF9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7" spans="18:32" x14ac:dyDescent="0.2">
      <c r="R9127" t="s">
        <v>50</v>
      </c>
      <c r="S9127" t="s">
        <v>263</v>
      </c>
      <c r="T9127" t="s">
        <v>441</v>
      </c>
      <c r="U9127" s="21">
        <v>12923.88</v>
      </c>
      <c r="V9127" s="21" t="s">
        <v>368</v>
      </c>
      <c r="W9127" t="str">
        <f>VLOOKUP(Table_Query_from_Actuarial___Production[[#This Row],[Kor1]],$AI$3:$AK$105,3,FALSE)</f>
        <v>ALAE Reserve</v>
      </c>
      <c r="X9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7"/>
      <c r="Z9127" t="s">
        <v>13</v>
      </c>
      <c r="AA9127" t="s">
        <v>252</v>
      </c>
      <c r="AB9127" t="s">
        <v>6</v>
      </c>
      <c r="AC9127" s="21">
        <v>1999800.03</v>
      </c>
      <c r="AD9127" s="21" t="s">
        <v>368</v>
      </c>
      <c r="AE9127" t="str">
        <f>VLOOKUP(Table_Query_from_Actuarial___Production3[[#This Row],[Kor1]],$AI$3:$AK$105,3,FALSE)</f>
        <v>Operating Service Fees</v>
      </c>
      <c r="AF9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8" spans="18:32" x14ac:dyDescent="0.2">
      <c r="R9128" t="s">
        <v>32</v>
      </c>
      <c r="S9128" t="s">
        <v>251</v>
      </c>
      <c r="T9128" t="s">
        <v>433</v>
      </c>
      <c r="U9128" s="21">
        <v>28673.7</v>
      </c>
      <c r="V9128" s="21" t="s">
        <v>368</v>
      </c>
      <c r="W9128" t="str">
        <f>VLOOKUP(Table_Query_from_Actuarial___Production[[#This Row],[Kor1]],$AI$3:$AK$105,3,FALSE)</f>
        <v>Misc. Expense</v>
      </c>
      <c r="X9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8"/>
      <c r="Z9128" t="s">
        <v>33</v>
      </c>
      <c r="AA9128" t="s">
        <v>266</v>
      </c>
      <c r="AB9128" t="s">
        <v>6</v>
      </c>
      <c r="AC9128" s="21">
        <v>15094.53</v>
      </c>
      <c r="AD9128" s="21" t="s">
        <v>368</v>
      </c>
      <c r="AE9128" t="str">
        <f>VLOOKUP(Table_Query_from_Actuarial___Production3[[#This Row],[Kor1]],$AI$3:$AK$105,3,FALSE)</f>
        <v>Misc. Expense</v>
      </c>
      <c r="AF9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29" spans="18:32" x14ac:dyDescent="0.2">
      <c r="R9129" t="s">
        <v>44</v>
      </c>
      <c r="S9129" t="s">
        <v>264</v>
      </c>
      <c r="T9129" t="s">
        <v>6</v>
      </c>
      <c r="U9129" s="21">
        <v>23923.65</v>
      </c>
      <c r="V9129" s="21" t="s">
        <v>368</v>
      </c>
      <c r="W9129" t="str">
        <f>VLOOKUP(Table_Query_from_Actuarial___Production[[#This Row],[Kor1]],$AI$3:$AK$105,3,FALSE)</f>
        <v>Charge-offs</v>
      </c>
      <c r="X9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29"/>
      <c r="Z9129" t="s">
        <v>37</v>
      </c>
      <c r="AA9129" t="s">
        <v>246</v>
      </c>
      <c r="AB9129" t="s">
        <v>351</v>
      </c>
      <c r="AC9129" s="21">
        <v>34.090000000000003</v>
      </c>
      <c r="AD9129" s="21" t="s">
        <v>368</v>
      </c>
      <c r="AE9129" t="str">
        <f>VLOOKUP(Table_Query_from_Actuarial___Production3[[#This Row],[Kor1]],$AI$3:$AK$105,3,FALSE)</f>
        <v>Misc. Expense</v>
      </c>
      <c r="AF9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0" spans="18:32" x14ac:dyDescent="0.2">
      <c r="R9130" t="s">
        <v>47</v>
      </c>
      <c r="S9130" t="s">
        <v>248</v>
      </c>
      <c r="T9130" t="s">
        <v>445</v>
      </c>
      <c r="U9130" s="21">
        <v>6856.39</v>
      </c>
      <c r="V9130" s="21" t="s">
        <v>368</v>
      </c>
      <c r="W9130" t="str">
        <f>VLOOKUP(Table_Query_from_Actuarial___Production[[#This Row],[Kor1]],$AI$3:$AK$105,3,FALSE)</f>
        <v>Investment Income</v>
      </c>
      <c r="X9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0"/>
      <c r="Z9130" t="s">
        <v>47</v>
      </c>
      <c r="AA9130" t="s">
        <v>254</v>
      </c>
      <c r="AB9130" t="s">
        <v>441</v>
      </c>
      <c r="AC9130" s="21">
        <v>177.01</v>
      </c>
      <c r="AD9130" s="21" t="s">
        <v>368</v>
      </c>
      <c r="AE9130" t="str">
        <f>VLOOKUP(Table_Query_from_Actuarial___Production3[[#This Row],[Kor1]],$AI$3:$AK$105,3,FALSE)</f>
        <v>Investment Income</v>
      </c>
      <c r="AF9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1" spans="18:32" x14ac:dyDescent="0.2">
      <c r="R9131" t="s">
        <v>48</v>
      </c>
      <c r="S9131" t="s">
        <v>246</v>
      </c>
      <c r="T9131" t="s">
        <v>433</v>
      </c>
      <c r="U9131" s="21">
        <v>7290.13</v>
      </c>
      <c r="V9131" s="21" t="s">
        <v>368</v>
      </c>
      <c r="W9131" t="str">
        <f>VLOOKUP(Table_Query_from_Actuarial___Production[[#This Row],[Kor1]],$AI$3:$AK$105,3,FALSE)</f>
        <v>Anticipated Salvage</v>
      </c>
      <c r="X9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1"/>
      <c r="Z9131" t="s">
        <v>18</v>
      </c>
      <c r="AA9131" t="s">
        <v>354</v>
      </c>
      <c r="AB9131" t="s">
        <v>5</v>
      </c>
      <c r="AC9131" s="21">
        <v>6087144.25</v>
      </c>
      <c r="AD9131" s="21" t="s">
        <v>369</v>
      </c>
      <c r="AE9131" t="str">
        <f>VLOOKUP(Table_Query_from_Actuarial___Production3[[#This Row],[Kor1]],$AI$3:$AK$105,3,FALSE)</f>
        <v>Misc. Expense</v>
      </c>
      <c r="AF9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132" spans="18:32" x14ac:dyDescent="0.2">
      <c r="R9132" t="s">
        <v>38</v>
      </c>
      <c r="S9132" t="s">
        <v>224</v>
      </c>
      <c r="T9132" t="s">
        <v>351</v>
      </c>
      <c r="U9132" s="21">
        <v>190613.91</v>
      </c>
      <c r="V9132" s="21" t="s">
        <v>368</v>
      </c>
      <c r="W9132" t="str">
        <f>VLOOKUP(Table_Query_from_Actuarial___Production[[#This Row],[Kor1]],$AI$3:$AK$105,3,FALSE)</f>
        <v>Misc. Income</v>
      </c>
      <c r="X9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132"/>
      <c r="Z9132" t="s">
        <v>46</v>
      </c>
      <c r="AA9132" t="s">
        <v>224</v>
      </c>
      <c r="AB9132" t="s">
        <v>427</v>
      </c>
      <c r="AC9132" s="21">
        <v>3485.89</v>
      </c>
      <c r="AD9132" s="21" t="s">
        <v>369</v>
      </c>
      <c r="AE9132" t="str">
        <f>VLOOKUP(Table_Query_from_Actuarial___Production3[[#This Row],[Kor1]],$AI$3:$AK$105,3,FALSE)</f>
        <v>Investment Income</v>
      </c>
      <c r="AF9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133" spans="18:32" x14ac:dyDescent="0.2">
      <c r="R9133" t="s">
        <v>41</v>
      </c>
      <c r="S9133" t="s">
        <v>265</v>
      </c>
      <c r="T9133" t="s">
        <v>441</v>
      </c>
      <c r="U9133" s="21">
        <v>750.02</v>
      </c>
      <c r="V9133" s="21" t="s">
        <v>368</v>
      </c>
      <c r="W9133" t="str">
        <f>VLOOKUP(Table_Query_from_Actuarial___Production[[#This Row],[Kor1]],$AI$3:$AK$105,3,FALSE)</f>
        <v>Misc. Income</v>
      </c>
      <c r="X9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3"/>
      <c r="Z9133" t="s">
        <v>37</v>
      </c>
      <c r="AA9133" t="s">
        <v>241</v>
      </c>
      <c r="AB9133" t="s">
        <v>433</v>
      </c>
      <c r="AC9133" s="21">
        <v>3675.67</v>
      </c>
      <c r="AD9133" s="21" t="s">
        <v>368</v>
      </c>
      <c r="AE9133" t="str">
        <f>VLOOKUP(Table_Query_from_Actuarial___Production3[[#This Row],[Kor1]],$AI$3:$AK$105,3,FALSE)</f>
        <v>Misc. Expense</v>
      </c>
      <c r="AF9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4" spans="18:32" x14ac:dyDescent="0.2">
      <c r="R9134" t="s">
        <v>20</v>
      </c>
      <c r="S9134" t="s">
        <v>242</v>
      </c>
      <c r="T9134" t="s">
        <v>427</v>
      </c>
      <c r="U9134" s="21">
        <v>255.32</v>
      </c>
      <c r="V9134" s="21" t="s">
        <v>368</v>
      </c>
      <c r="W9134" t="str">
        <f>VLOOKUP(Table_Query_from_Actuarial___Production[[#This Row],[Kor1]],$AI$3:$AK$105,3,FALSE)</f>
        <v>Misc. Expense</v>
      </c>
      <c r="X9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4"/>
      <c r="Z9134" t="s">
        <v>50</v>
      </c>
      <c r="AA9134" t="s">
        <v>263</v>
      </c>
      <c r="AB9134" t="s">
        <v>441</v>
      </c>
      <c r="AC9134" s="21">
        <v>22942.95</v>
      </c>
      <c r="AD9134" s="21" t="s">
        <v>368</v>
      </c>
      <c r="AE9134" t="str">
        <f>VLOOKUP(Table_Query_from_Actuarial___Production3[[#This Row],[Kor1]],$AI$3:$AK$105,3,FALSE)</f>
        <v>ALAE Reserve</v>
      </c>
      <c r="AF9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5" spans="18:32" x14ac:dyDescent="0.2">
      <c r="R9135" t="s">
        <v>47</v>
      </c>
      <c r="S9135" t="s">
        <v>249</v>
      </c>
      <c r="T9135" t="s">
        <v>351</v>
      </c>
      <c r="U9135" s="21">
        <v>2122.4299999999998</v>
      </c>
      <c r="V9135" s="21" t="s">
        <v>368</v>
      </c>
      <c r="W9135" t="str">
        <f>VLOOKUP(Table_Query_from_Actuarial___Production[[#This Row],[Kor1]],$AI$3:$AK$105,3,FALSE)</f>
        <v>Investment Income</v>
      </c>
      <c r="X9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5"/>
      <c r="Z9135" t="s">
        <v>32</v>
      </c>
      <c r="AA9135" t="s">
        <v>251</v>
      </c>
      <c r="AB9135" t="s">
        <v>433</v>
      </c>
      <c r="AC9135" s="21">
        <v>28673.7</v>
      </c>
      <c r="AD9135" s="21" t="s">
        <v>368</v>
      </c>
      <c r="AE9135" t="str">
        <f>VLOOKUP(Table_Query_from_Actuarial___Production3[[#This Row],[Kor1]],$AI$3:$AK$105,3,FALSE)</f>
        <v>Misc. Expense</v>
      </c>
      <c r="AF9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6" spans="18:32" x14ac:dyDescent="0.2">
      <c r="R9136" t="s">
        <v>50</v>
      </c>
      <c r="S9136" t="s">
        <v>237</v>
      </c>
      <c r="T9136" t="s">
        <v>427</v>
      </c>
      <c r="U9136" s="21">
        <v>274666.90000000002</v>
      </c>
      <c r="V9136" s="21" t="s">
        <v>368</v>
      </c>
      <c r="W9136" t="str">
        <f>VLOOKUP(Table_Query_from_Actuarial___Production[[#This Row],[Kor1]],$AI$3:$AK$105,3,FALSE)</f>
        <v>ALAE Reserve</v>
      </c>
      <c r="X9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6"/>
      <c r="Z9136" t="s">
        <v>44</v>
      </c>
      <c r="AA9136" t="s">
        <v>264</v>
      </c>
      <c r="AB9136" t="s">
        <v>6</v>
      </c>
      <c r="AC9136" s="21">
        <v>23923.65</v>
      </c>
      <c r="AD9136" s="21" t="s">
        <v>368</v>
      </c>
      <c r="AE9136" t="str">
        <f>VLOOKUP(Table_Query_from_Actuarial___Production3[[#This Row],[Kor1]],$AI$3:$AK$105,3,FALSE)</f>
        <v>Charge-offs</v>
      </c>
      <c r="AF9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7" spans="18:32" x14ac:dyDescent="0.2">
      <c r="R9137" t="s">
        <v>46</v>
      </c>
      <c r="S9137" t="s">
        <v>354</v>
      </c>
      <c r="T9137" t="s">
        <v>443</v>
      </c>
      <c r="U9137" s="21">
        <v>24651918.100000001</v>
      </c>
      <c r="V9137" s="21" t="s">
        <v>369</v>
      </c>
      <c r="W9137" t="str">
        <f>VLOOKUP(Table_Query_from_Actuarial___Production[[#This Row],[Kor1]],$AI$3:$AK$105,3,FALSE)</f>
        <v>Investment Income</v>
      </c>
      <c r="X9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137"/>
      <c r="Z9137" t="s">
        <v>48</v>
      </c>
      <c r="AA9137" t="s">
        <v>246</v>
      </c>
      <c r="AB9137" t="s">
        <v>433</v>
      </c>
      <c r="AC9137" s="21">
        <v>7596.69</v>
      </c>
      <c r="AD9137" s="21" t="s">
        <v>368</v>
      </c>
      <c r="AE9137" t="str">
        <f>VLOOKUP(Table_Query_from_Actuarial___Production3[[#This Row],[Kor1]],$AI$3:$AK$105,3,FALSE)</f>
        <v>Anticipated Salvage</v>
      </c>
      <c r="AF9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38" spans="18:32" x14ac:dyDescent="0.2">
      <c r="R9138" t="s">
        <v>10</v>
      </c>
      <c r="S9138" t="s">
        <v>257</v>
      </c>
      <c r="T9138" t="s">
        <v>8</v>
      </c>
      <c r="U9138" s="21">
        <v>94777.35</v>
      </c>
      <c r="V9138" s="21" t="s">
        <v>368</v>
      </c>
      <c r="W9138" t="str">
        <f>VLOOKUP(Table_Query_from_Actuarial___Production[[#This Row],[Kor1]],$AI$3:$AK$105,3,FALSE)</f>
        <v>Commissions</v>
      </c>
      <c r="X9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8"/>
      <c r="Z9138" t="s">
        <v>38</v>
      </c>
      <c r="AA9138" t="s">
        <v>224</v>
      </c>
      <c r="AB9138" t="s">
        <v>351</v>
      </c>
      <c r="AC9138" s="21">
        <v>190613.91</v>
      </c>
      <c r="AD9138" s="21" t="s">
        <v>368</v>
      </c>
      <c r="AE9138" t="str">
        <f>VLOOKUP(Table_Query_from_Actuarial___Production3[[#This Row],[Kor1]],$AI$3:$AK$105,3,FALSE)</f>
        <v>Misc. Income</v>
      </c>
      <c r="AF9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139" spans="18:32" x14ac:dyDescent="0.2">
      <c r="R9139" t="s">
        <v>33</v>
      </c>
      <c r="S9139" t="s">
        <v>258</v>
      </c>
      <c r="T9139" t="s">
        <v>351</v>
      </c>
      <c r="U9139" s="21">
        <v>18760.77</v>
      </c>
      <c r="V9139" s="21" t="s">
        <v>368</v>
      </c>
      <c r="W9139" t="str">
        <f>VLOOKUP(Table_Query_from_Actuarial___Production[[#This Row],[Kor1]],$AI$3:$AK$105,3,FALSE)</f>
        <v>Misc. Expense</v>
      </c>
      <c r="X9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39"/>
      <c r="Z9139" t="s">
        <v>41</v>
      </c>
      <c r="AA9139" t="s">
        <v>265</v>
      </c>
      <c r="AB9139" t="s">
        <v>441</v>
      </c>
      <c r="AC9139" s="21">
        <v>750.02</v>
      </c>
      <c r="AD9139" s="21" t="s">
        <v>368</v>
      </c>
      <c r="AE9139" t="str">
        <f>VLOOKUP(Table_Query_from_Actuarial___Production3[[#This Row],[Kor1]],$AI$3:$AK$105,3,FALSE)</f>
        <v>Misc. Income</v>
      </c>
      <c r="AF9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0" spans="18:32" x14ac:dyDescent="0.2">
      <c r="R9140" t="s">
        <v>439</v>
      </c>
      <c r="S9140" t="s">
        <v>264</v>
      </c>
      <c r="T9140" t="s">
        <v>443</v>
      </c>
      <c r="U9140" s="21">
        <v>-103766.96</v>
      </c>
      <c r="V9140" s="21" t="s">
        <v>368</v>
      </c>
      <c r="W9140" t="str">
        <f>VLOOKUP(Table_Query_from_Actuarial___Production[[#This Row],[Kor1]],$AI$3:$AK$105,3,FALSE)</f>
        <v>Operating Service Fees</v>
      </c>
      <c r="X9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0"/>
      <c r="Z9140" t="s">
        <v>20</v>
      </c>
      <c r="AA9140" t="s">
        <v>242</v>
      </c>
      <c r="AB9140" t="s">
        <v>427</v>
      </c>
      <c r="AC9140" s="21">
        <v>255.32</v>
      </c>
      <c r="AD9140" s="21" t="s">
        <v>368</v>
      </c>
      <c r="AE9140" t="str">
        <f>VLOOKUP(Table_Query_from_Actuarial___Production3[[#This Row],[Kor1]],$AI$3:$AK$105,3,FALSE)</f>
        <v>Misc. Expense</v>
      </c>
      <c r="AF9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1" spans="18:32" x14ac:dyDescent="0.2">
      <c r="R9141" t="s">
        <v>40</v>
      </c>
      <c r="S9141" t="s">
        <v>230</v>
      </c>
      <c r="T9141" t="s">
        <v>351</v>
      </c>
      <c r="U9141" s="21">
        <v>3488.81</v>
      </c>
      <c r="V9141" s="21" t="s">
        <v>368</v>
      </c>
      <c r="W9141" t="str">
        <f>VLOOKUP(Table_Query_from_Actuarial___Production[[#This Row],[Kor1]],$AI$3:$AK$105,3,FALSE)</f>
        <v>Misc. Income</v>
      </c>
      <c r="X9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1"/>
      <c r="Z9141" t="s">
        <v>47</v>
      </c>
      <c r="AA9141" t="s">
        <v>249</v>
      </c>
      <c r="AB9141" t="s">
        <v>351</v>
      </c>
      <c r="AC9141" s="21">
        <v>2122.4299999999998</v>
      </c>
      <c r="AD9141" s="21" t="s">
        <v>368</v>
      </c>
      <c r="AE9141" t="str">
        <f>VLOOKUP(Table_Query_from_Actuarial___Production3[[#This Row],[Kor1]],$AI$3:$AK$105,3,FALSE)</f>
        <v>Investment Income</v>
      </c>
      <c r="AF9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2" spans="18:32" x14ac:dyDescent="0.2">
      <c r="R9142" t="s">
        <v>3</v>
      </c>
      <c r="S9142" t="s">
        <v>253</v>
      </c>
      <c r="T9142" t="s">
        <v>6</v>
      </c>
      <c r="U9142" s="21">
        <v>16465</v>
      </c>
      <c r="V9142" s="21" t="s">
        <v>368</v>
      </c>
      <c r="W9142" t="str">
        <f>VLOOKUP(Table_Query_from_Actuarial___Production[[#This Row],[Kor1]],$AI$3:$AK$105,3,FALSE)</f>
        <v>Premiums Written</v>
      </c>
      <c r="X9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2"/>
      <c r="Z9142" t="s">
        <v>50</v>
      </c>
      <c r="AA9142" t="s">
        <v>237</v>
      </c>
      <c r="AB9142" t="s">
        <v>427</v>
      </c>
      <c r="AC9142" s="21">
        <v>682723.74</v>
      </c>
      <c r="AD9142" s="21" t="s">
        <v>368</v>
      </c>
      <c r="AE9142" t="str">
        <f>VLOOKUP(Table_Query_from_Actuarial___Production3[[#This Row],[Kor1]],$AI$3:$AK$105,3,FALSE)</f>
        <v>ALAE Reserve</v>
      </c>
      <c r="AF9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3" spans="18:32" x14ac:dyDescent="0.2">
      <c r="R9143" t="s">
        <v>10</v>
      </c>
      <c r="S9143" t="s">
        <v>224</v>
      </c>
      <c r="T9143" t="s">
        <v>356</v>
      </c>
      <c r="U9143" s="21">
        <v>161388.53</v>
      </c>
      <c r="V9143" s="21" t="s">
        <v>368</v>
      </c>
      <c r="W9143" t="str">
        <f>VLOOKUP(Table_Query_from_Actuarial___Production[[#This Row],[Kor1]],$AI$3:$AK$105,3,FALSE)</f>
        <v>Commissions</v>
      </c>
      <c r="X9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143"/>
      <c r="Z9143" t="s">
        <v>46</v>
      </c>
      <c r="AA9143" t="s">
        <v>354</v>
      </c>
      <c r="AB9143" t="s">
        <v>443</v>
      </c>
      <c r="AC9143" s="21">
        <v>3506892.73</v>
      </c>
      <c r="AD9143" s="21" t="s">
        <v>369</v>
      </c>
      <c r="AE9143" t="str">
        <f>VLOOKUP(Table_Query_from_Actuarial___Production3[[#This Row],[Kor1]],$AI$3:$AK$105,3,FALSE)</f>
        <v>Investment Income</v>
      </c>
      <c r="AF9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144" spans="18:32" x14ac:dyDescent="0.2">
      <c r="R9144" t="s">
        <v>43</v>
      </c>
      <c r="S9144" t="s">
        <v>224</v>
      </c>
      <c r="T9144" t="s">
        <v>442</v>
      </c>
      <c r="U9144" s="21">
        <v>49.94</v>
      </c>
      <c r="V9144" s="21" t="s">
        <v>368</v>
      </c>
      <c r="W9144" t="str">
        <f>VLOOKUP(Table_Query_from_Actuarial___Production[[#This Row],[Kor1]],$AI$3:$AK$105,3,FALSE)</f>
        <v>Charge-offs</v>
      </c>
      <c r="X9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144"/>
      <c r="Z9144" t="s">
        <v>10</v>
      </c>
      <c r="AA9144" t="s">
        <v>257</v>
      </c>
      <c r="AB9144" t="s">
        <v>8</v>
      </c>
      <c r="AC9144" s="21">
        <v>94777.35</v>
      </c>
      <c r="AD9144" s="21" t="s">
        <v>368</v>
      </c>
      <c r="AE9144" t="str">
        <f>VLOOKUP(Table_Query_from_Actuarial___Production3[[#This Row],[Kor1]],$AI$3:$AK$105,3,FALSE)</f>
        <v>Commissions</v>
      </c>
      <c r="AF9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5" spans="18:32" x14ac:dyDescent="0.2">
      <c r="R9145" t="s">
        <v>47</v>
      </c>
      <c r="S9145" t="s">
        <v>230</v>
      </c>
      <c r="T9145" t="s">
        <v>427</v>
      </c>
      <c r="U9145" s="21">
        <v>86855.43</v>
      </c>
      <c r="V9145" s="21" t="s">
        <v>368</v>
      </c>
      <c r="W9145" t="str">
        <f>VLOOKUP(Table_Query_from_Actuarial___Production[[#This Row],[Kor1]],$AI$3:$AK$105,3,FALSE)</f>
        <v>Investment Income</v>
      </c>
      <c r="X9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5"/>
      <c r="Z9145" t="s">
        <v>33</v>
      </c>
      <c r="AA9145" t="s">
        <v>258</v>
      </c>
      <c r="AB9145" t="s">
        <v>351</v>
      </c>
      <c r="AC9145" s="21">
        <v>18760.77</v>
      </c>
      <c r="AD9145" s="21" t="s">
        <v>368</v>
      </c>
      <c r="AE9145" t="str">
        <f>VLOOKUP(Table_Query_from_Actuarial___Production3[[#This Row],[Kor1]],$AI$3:$AK$105,3,FALSE)</f>
        <v>Misc. Expense</v>
      </c>
      <c r="AF9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6" spans="18:32" x14ac:dyDescent="0.2">
      <c r="R9146" t="s">
        <v>3</v>
      </c>
      <c r="S9146" t="s">
        <v>232</v>
      </c>
      <c r="T9146" t="s">
        <v>351</v>
      </c>
      <c r="U9146" s="21">
        <v>1056270</v>
      </c>
      <c r="V9146" s="21" t="s">
        <v>368</v>
      </c>
      <c r="W9146" t="str">
        <f>VLOOKUP(Table_Query_from_Actuarial___Production[[#This Row],[Kor1]],$AI$3:$AK$105,3,FALSE)</f>
        <v>Premiums Written</v>
      </c>
      <c r="X9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6"/>
      <c r="Z9146" t="s">
        <v>439</v>
      </c>
      <c r="AA9146" t="s">
        <v>264</v>
      </c>
      <c r="AB9146" t="s">
        <v>443</v>
      </c>
      <c r="AC9146" s="21">
        <v>-103766.96</v>
      </c>
      <c r="AD9146" s="21" t="s">
        <v>368</v>
      </c>
      <c r="AE9146" t="str">
        <f>VLOOKUP(Table_Query_from_Actuarial___Production3[[#This Row],[Kor1]],$AI$3:$AK$105,3,FALSE)</f>
        <v>Operating Service Fees</v>
      </c>
      <c r="AF9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7" spans="18:32" x14ac:dyDescent="0.2">
      <c r="R9147" t="s">
        <v>19</v>
      </c>
      <c r="S9147" t="s">
        <v>240</v>
      </c>
      <c r="T9147" t="s">
        <v>433</v>
      </c>
      <c r="U9147" s="21">
        <v>7140.11</v>
      </c>
      <c r="V9147" s="21" t="s">
        <v>368</v>
      </c>
      <c r="W9147" t="str">
        <f>VLOOKUP(Table_Query_from_Actuarial___Production[[#This Row],[Kor1]],$AI$3:$AK$105,3,FALSE)</f>
        <v>Misc. Expense for Insolvent Companies</v>
      </c>
      <c r="X9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7"/>
      <c r="Z9147" t="s">
        <v>40</v>
      </c>
      <c r="AA9147" t="s">
        <v>230</v>
      </c>
      <c r="AB9147" t="s">
        <v>351</v>
      </c>
      <c r="AC9147" s="21">
        <v>3488.81</v>
      </c>
      <c r="AD9147" s="21" t="s">
        <v>368</v>
      </c>
      <c r="AE9147" t="str">
        <f>VLOOKUP(Table_Query_from_Actuarial___Production3[[#This Row],[Kor1]],$AI$3:$AK$105,3,FALSE)</f>
        <v>Misc. Income</v>
      </c>
      <c r="AF9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8" spans="18:32" x14ac:dyDescent="0.2">
      <c r="R9148" t="s">
        <v>37</v>
      </c>
      <c r="S9148" t="s">
        <v>266</v>
      </c>
      <c r="T9148" t="s">
        <v>356</v>
      </c>
      <c r="U9148" s="21">
        <v>167.85</v>
      </c>
      <c r="V9148" s="21" t="s">
        <v>368</v>
      </c>
      <c r="W9148" t="str">
        <f>VLOOKUP(Table_Query_from_Actuarial___Production[[#This Row],[Kor1]],$AI$3:$AK$105,3,FALSE)</f>
        <v>Misc. Expense</v>
      </c>
      <c r="X9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8"/>
      <c r="Z9148" t="s">
        <v>3</v>
      </c>
      <c r="AA9148" t="s">
        <v>253</v>
      </c>
      <c r="AB9148" t="s">
        <v>6</v>
      </c>
      <c r="AC9148" s="21">
        <v>16465</v>
      </c>
      <c r="AD9148" s="21" t="s">
        <v>368</v>
      </c>
      <c r="AE9148" t="str">
        <f>VLOOKUP(Table_Query_from_Actuarial___Production3[[#This Row],[Kor1]],$AI$3:$AK$105,3,FALSE)</f>
        <v>Premiums Written</v>
      </c>
      <c r="AF9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49" spans="18:32" x14ac:dyDescent="0.2">
      <c r="R9149" t="s">
        <v>44</v>
      </c>
      <c r="S9149" t="s">
        <v>266</v>
      </c>
      <c r="T9149" t="s">
        <v>427</v>
      </c>
      <c r="U9149" s="21">
        <v>23819.64</v>
      </c>
      <c r="V9149" s="21" t="s">
        <v>368</v>
      </c>
      <c r="W9149" t="str">
        <f>VLOOKUP(Table_Query_from_Actuarial___Production[[#This Row],[Kor1]],$AI$3:$AK$105,3,FALSE)</f>
        <v>Charge-offs</v>
      </c>
      <c r="X9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49"/>
      <c r="Z9149" t="s">
        <v>10</v>
      </c>
      <c r="AA9149" t="s">
        <v>224</v>
      </c>
      <c r="AB9149" t="s">
        <v>356</v>
      </c>
      <c r="AC9149" s="21">
        <v>161388.53</v>
      </c>
      <c r="AD9149" s="21" t="s">
        <v>368</v>
      </c>
      <c r="AE9149" t="str">
        <f>VLOOKUP(Table_Query_from_Actuarial___Production3[[#This Row],[Kor1]],$AI$3:$AK$105,3,FALSE)</f>
        <v>Commissions</v>
      </c>
      <c r="AF9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150" spans="18:32" x14ac:dyDescent="0.2">
      <c r="R9150" t="s">
        <v>12</v>
      </c>
      <c r="S9150" t="s">
        <v>255</v>
      </c>
      <c r="T9150" t="s">
        <v>6</v>
      </c>
      <c r="U9150" s="21">
        <v>3106.58</v>
      </c>
      <c r="V9150" s="21" t="s">
        <v>368</v>
      </c>
      <c r="W9150" t="str">
        <f>VLOOKUP(Table_Query_from_Actuarial___Production[[#This Row],[Kor1]],$AI$3:$AK$105,3,FALSE)</f>
        <v>Premium Tax</v>
      </c>
      <c r="X9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0"/>
      <c r="Z9150" t="s">
        <v>43</v>
      </c>
      <c r="AA9150" t="s">
        <v>224</v>
      </c>
      <c r="AB9150" t="s">
        <v>442</v>
      </c>
      <c r="AC9150" s="21">
        <v>49.94</v>
      </c>
      <c r="AD9150" s="21" t="s">
        <v>368</v>
      </c>
      <c r="AE9150" t="str">
        <f>VLOOKUP(Table_Query_from_Actuarial___Production3[[#This Row],[Kor1]],$AI$3:$AK$105,3,FALSE)</f>
        <v>Charge-offs</v>
      </c>
      <c r="AF9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151" spans="18:32" x14ac:dyDescent="0.2">
      <c r="R9151" t="s">
        <v>33</v>
      </c>
      <c r="S9151" t="s">
        <v>241</v>
      </c>
      <c r="T9151" t="s">
        <v>356</v>
      </c>
      <c r="U9151" s="21">
        <v>16035.65</v>
      </c>
      <c r="V9151" s="21" t="s">
        <v>368</v>
      </c>
      <c r="W9151" t="str">
        <f>VLOOKUP(Table_Query_from_Actuarial___Production[[#This Row],[Kor1]],$AI$3:$AK$105,3,FALSE)</f>
        <v>Misc. Expense</v>
      </c>
      <c r="X9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1"/>
      <c r="Z9151" t="s">
        <v>12</v>
      </c>
      <c r="AA9151" t="s">
        <v>242</v>
      </c>
      <c r="AB9151" t="s">
        <v>5</v>
      </c>
      <c r="AC9151" s="21">
        <v>8069.31</v>
      </c>
      <c r="AD9151" s="21" t="s">
        <v>368</v>
      </c>
      <c r="AE9151" t="str">
        <f>VLOOKUP(Table_Query_from_Actuarial___Production3[[#This Row],[Kor1]],$AI$3:$AK$105,3,FALSE)</f>
        <v>Premium Tax</v>
      </c>
      <c r="AF9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2" spans="18:32" x14ac:dyDescent="0.2">
      <c r="R9152" t="s">
        <v>14</v>
      </c>
      <c r="S9152" t="s">
        <v>257</v>
      </c>
      <c r="T9152" t="s">
        <v>6</v>
      </c>
      <c r="U9152" s="21">
        <v>137087.82</v>
      </c>
      <c r="V9152" s="21" t="s">
        <v>368</v>
      </c>
      <c r="W9152" t="str">
        <f>VLOOKUP(Table_Query_from_Actuarial___Production[[#This Row],[Kor1]],$AI$3:$AK$105,3,FALSE)</f>
        <v>Claims Expense</v>
      </c>
      <c r="X9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2"/>
      <c r="Z9152" t="s">
        <v>47</v>
      </c>
      <c r="AA9152" t="s">
        <v>230</v>
      </c>
      <c r="AB9152" t="s">
        <v>427</v>
      </c>
      <c r="AC9152" s="21">
        <v>86855.43</v>
      </c>
      <c r="AD9152" s="21" t="s">
        <v>368</v>
      </c>
      <c r="AE9152" t="str">
        <f>VLOOKUP(Table_Query_from_Actuarial___Production3[[#This Row],[Kor1]],$AI$3:$AK$105,3,FALSE)</f>
        <v>Investment Income</v>
      </c>
      <c r="AF9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3" spans="18:32" x14ac:dyDescent="0.2">
      <c r="R9153" t="s">
        <v>37</v>
      </c>
      <c r="S9153" t="s">
        <v>249</v>
      </c>
      <c r="T9153" t="s">
        <v>443</v>
      </c>
      <c r="U9153" s="21">
        <v>1574.02</v>
      </c>
      <c r="V9153" s="21" t="s">
        <v>368</v>
      </c>
      <c r="W9153" t="str">
        <f>VLOOKUP(Table_Query_from_Actuarial___Production[[#This Row],[Kor1]],$AI$3:$AK$105,3,FALSE)</f>
        <v>Misc. Expense</v>
      </c>
      <c r="X9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3"/>
      <c r="Z9153" t="s">
        <v>3</v>
      </c>
      <c r="AA9153" t="s">
        <v>232</v>
      </c>
      <c r="AB9153" t="s">
        <v>351</v>
      </c>
      <c r="AC9153" s="21">
        <v>1056270</v>
      </c>
      <c r="AD9153" s="21" t="s">
        <v>368</v>
      </c>
      <c r="AE9153" t="str">
        <f>VLOOKUP(Table_Query_from_Actuarial___Production3[[#This Row],[Kor1]],$AI$3:$AK$105,3,FALSE)</f>
        <v>Premiums Written</v>
      </c>
      <c r="AF9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4" spans="18:32" x14ac:dyDescent="0.2">
      <c r="R9154" t="s">
        <v>11</v>
      </c>
      <c r="S9154" t="s">
        <v>232</v>
      </c>
      <c r="T9154" t="s">
        <v>433</v>
      </c>
      <c r="U9154" s="21">
        <v>809014.78</v>
      </c>
      <c r="V9154" s="21" t="s">
        <v>368</v>
      </c>
      <c r="W9154" t="str">
        <f>VLOOKUP(Table_Query_from_Actuarial___Production[[#This Row],[Kor1]],$AI$3:$AK$105,3,FALSE)</f>
        <v>Losses Paid</v>
      </c>
      <c r="X9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4"/>
      <c r="Z9154" t="s">
        <v>19</v>
      </c>
      <c r="AA9154" t="s">
        <v>240</v>
      </c>
      <c r="AB9154" t="s">
        <v>433</v>
      </c>
      <c r="AC9154" s="21">
        <v>7140.11</v>
      </c>
      <c r="AD9154" s="21" t="s">
        <v>368</v>
      </c>
      <c r="AE9154" t="str">
        <f>VLOOKUP(Table_Query_from_Actuarial___Production3[[#This Row],[Kor1]],$AI$3:$AK$105,3,FALSE)</f>
        <v>Misc. Expense for Insolvent Companies</v>
      </c>
      <c r="AF9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5" spans="18:32" x14ac:dyDescent="0.2">
      <c r="R9155" t="s">
        <v>37</v>
      </c>
      <c r="S9155" t="s">
        <v>233</v>
      </c>
      <c r="T9155" t="s">
        <v>433</v>
      </c>
      <c r="U9155" s="21">
        <v>-120.75</v>
      </c>
      <c r="V9155" s="21" t="s">
        <v>368</v>
      </c>
      <c r="W9155" t="str">
        <f>VLOOKUP(Table_Query_from_Actuarial___Production[[#This Row],[Kor1]],$AI$3:$AK$105,3,FALSE)</f>
        <v>Misc. Expense</v>
      </c>
      <c r="X9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5"/>
      <c r="Z9155" t="s">
        <v>37</v>
      </c>
      <c r="AA9155" t="s">
        <v>266</v>
      </c>
      <c r="AB9155" t="s">
        <v>356</v>
      </c>
      <c r="AC9155" s="21">
        <v>167.85</v>
      </c>
      <c r="AD9155" s="21" t="s">
        <v>368</v>
      </c>
      <c r="AE9155" t="str">
        <f>VLOOKUP(Table_Query_from_Actuarial___Production3[[#This Row],[Kor1]],$AI$3:$AK$105,3,FALSE)</f>
        <v>Misc. Expense</v>
      </c>
      <c r="AF9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6" spans="18:32" x14ac:dyDescent="0.2">
      <c r="R9156" t="s">
        <v>3</v>
      </c>
      <c r="S9156" t="s">
        <v>236</v>
      </c>
      <c r="T9156" t="s">
        <v>9</v>
      </c>
      <c r="U9156" s="21">
        <v>177733</v>
      </c>
      <c r="V9156" s="21" t="s">
        <v>368</v>
      </c>
      <c r="W9156" t="str">
        <f>VLOOKUP(Table_Query_from_Actuarial___Production[[#This Row],[Kor1]],$AI$3:$AK$105,3,FALSE)</f>
        <v>Premiums Written</v>
      </c>
      <c r="X9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6"/>
      <c r="Z9156" t="s">
        <v>44</v>
      </c>
      <c r="AA9156" t="s">
        <v>266</v>
      </c>
      <c r="AB9156" t="s">
        <v>427</v>
      </c>
      <c r="AC9156" s="21">
        <v>23819.64</v>
      </c>
      <c r="AD9156" s="21" t="s">
        <v>368</v>
      </c>
      <c r="AE9156" t="str">
        <f>VLOOKUP(Table_Query_from_Actuarial___Production3[[#This Row],[Kor1]],$AI$3:$AK$105,3,FALSE)</f>
        <v>Charge-offs</v>
      </c>
      <c r="AF9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7" spans="18:32" x14ac:dyDescent="0.2">
      <c r="R9157" t="s">
        <v>41</v>
      </c>
      <c r="S9157" t="s">
        <v>260</v>
      </c>
      <c r="T9157" t="s">
        <v>9</v>
      </c>
      <c r="U9157" s="21">
        <v>650</v>
      </c>
      <c r="V9157" s="21" t="s">
        <v>368</v>
      </c>
      <c r="W9157" t="str">
        <f>VLOOKUP(Table_Query_from_Actuarial___Production[[#This Row],[Kor1]],$AI$3:$AK$105,3,FALSE)</f>
        <v>Misc. Income</v>
      </c>
      <c r="X9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7"/>
      <c r="Z9157" t="s">
        <v>12</v>
      </c>
      <c r="AA9157" t="s">
        <v>255</v>
      </c>
      <c r="AB9157" t="s">
        <v>6</v>
      </c>
      <c r="AC9157" s="21">
        <v>3106.58</v>
      </c>
      <c r="AD9157" s="21" t="s">
        <v>368</v>
      </c>
      <c r="AE9157" t="str">
        <f>VLOOKUP(Table_Query_from_Actuarial___Production3[[#This Row],[Kor1]],$AI$3:$AK$105,3,FALSE)</f>
        <v>Premium Tax</v>
      </c>
      <c r="AF9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8" spans="18:32" x14ac:dyDescent="0.2">
      <c r="R9158" t="s">
        <v>14</v>
      </c>
      <c r="S9158" t="s">
        <v>259</v>
      </c>
      <c r="T9158" t="s">
        <v>427</v>
      </c>
      <c r="U9158" s="21">
        <v>25884.55</v>
      </c>
      <c r="V9158" s="21" t="s">
        <v>368</v>
      </c>
      <c r="W9158" t="str">
        <f>VLOOKUP(Table_Query_from_Actuarial___Production[[#This Row],[Kor1]],$AI$3:$AK$105,3,FALSE)</f>
        <v>Claims Expense</v>
      </c>
      <c r="X9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8"/>
      <c r="Z9158" t="s">
        <v>33</v>
      </c>
      <c r="AA9158" t="s">
        <v>241</v>
      </c>
      <c r="AB9158" t="s">
        <v>356</v>
      </c>
      <c r="AC9158" s="21">
        <v>16035.65</v>
      </c>
      <c r="AD9158" s="21" t="s">
        <v>368</v>
      </c>
      <c r="AE9158" t="str">
        <f>VLOOKUP(Table_Query_from_Actuarial___Production3[[#This Row],[Kor1]],$AI$3:$AK$105,3,FALSE)</f>
        <v>Misc. Expense</v>
      </c>
      <c r="AF9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59" spans="18:32" x14ac:dyDescent="0.2">
      <c r="R9159" t="s">
        <v>36</v>
      </c>
      <c r="S9159" t="s">
        <v>230</v>
      </c>
      <c r="T9159" t="s">
        <v>9</v>
      </c>
      <c r="U9159" s="21">
        <v>23201.07</v>
      </c>
      <c r="V9159" s="21" t="s">
        <v>368</v>
      </c>
      <c r="W9159" t="str">
        <f>VLOOKUP(Table_Query_from_Actuarial___Production[[#This Row],[Kor1]],$AI$3:$AK$105,3,FALSE)</f>
        <v>Misc. Expense</v>
      </c>
      <c r="X9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59"/>
      <c r="Z9159" t="s">
        <v>14</v>
      </c>
      <c r="AA9159" t="s">
        <v>257</v>
      </c>
      <c r="AB9159" t="s">
        <v>6</v>
      </c>
      <c r="AC9159" s="21">
        <v>137087.82</v>
      </c>
      <c r="AD9159" s="21" t="s">
        <v>368</v>
      </c>
      <c r="AE9159" t="str">
        <f>VLOOKUP(Table_Query_from_Actuarial___Production3[[#This Row],[Kor1]],$AI$3:$AK$105,3,FALSE)</f>
        <v>Claims Expense</v>
      </c>
      <c r="AF9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0" spans="18:32" x14ac:dyDescent="0.2">
      <c r="R9160" t="s">
        <v>17</v>
      </c>
      <c r="S9160" t="s">
        <v>234</v>
      </c>
      <c r="T9160" t="s">
        <v>441</v>
      </c>
      <c r="U9160" s="21">
        <v>50622.239999999998</v>
      </c>
      <c r="V9160" s="21" t="s">
        <v>368</v>
      </c>
      <c r="W9160" t="str">
        <f>VLOOKUP(Table_Query_from_Actuarial___Production[[#This Row],[Kor1]],$AI$3:$AK$105,3,FALSE)</f>
        <v>IBNR</v>
      </c>
      <c r="X9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0"/>
      <c r="Z9160" t="s">
        <v>11</v>
      </c>
      <c r="AA9160" t="s">
        <v>232</v>
      </c>
      <c r="AB9160" t="s">
        <v>433</v>
      </c>
      <c r="AC9160" s="21">
        <v>809014.78</v>
      </c>
      <c r="AD9160" s="21" t="s">
        <v>368</v>
      </c>
      <c r="AE9160" t="str">
        <f>VLOOKUP(Table_Query_from_Actuarial___Production3[[#This Row],[Kor1]],$AI$3:$AK$105,3,FALSE)</f>
        <v>Losses Paid</v>
      </c>
      <c r="AF9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1" spans="18:32" x14ac:dyDescent="0.2">
      <c r="R9161" t="s">
        <v>3</v>
      </c>
      <c r="S9161" t="s">
        <v>228</v>
      </c>
      <c r="T9161" t="s">
        <v>356</v>
      </c>
      <c r="U9161" s="21">
        <v>140630</v>
      </c>
      <c r="V9161" s="21" t="s">
        <v>368</v>
      </c>
      <c r="W9161" t="str">
        <f>VLOOKUP(Table_Query_from_Actuarial___Production[[#This Row],[Kor1]],$AI$3:$AK$105,3,FALSE)</f>
        <v>Premiums Written</v>
      </c>
      <c r="X9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1"/>
      <c r="Z9161" t="s">
        <v>37</v>
      </c>
      <c r="AA9161" t="s">
        <v>233</v>
      </c>
      <c r="AB9161" t="s">
        <v>433</v>
      </c>
      <c r="AC9161" s="21">
        <v>-120.75</v>
      </c>
      <c r="AD9161" s="21" t="s">
        <v>368</v>
      </c>
      <c r="AE9161" t="str">
        <f>VLOOKUP(Table_Query_from_Actuarial___Production3[[#This Row],[Kor1]],$AI$3:$AK$105,3,FALSE)</f>
        <v>Misc. Expense</v>
      </c>
      <c r="AF9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2" spans="18:32" x14ac:dyDescent="0.2">
      <c r="R9162" t="s">
        <v>14</v>
      </c>
      <c r="S9162" t="s">
        <v>228</v>
      </c>
      <c r="T9162" t="s">
        <v>433</v>
      </c>
      <c r="U9162" s="21">
        <v>2333.14</v>
      </c>
      <c r="V9162" s="21" t="s">
        <v>368</v>
      </c>
      <c r="W9162" t="str">
        <f>VLOOKUP(Table_Query_from_Actuarial___Production[[#This Row],[Kor1]],$AI$3:$AK$105,3,FALSE)</f>
        <v>Claims Expense</v>
      </c>
      <c r="X9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2"/>
      <c r="Z9162" t="s">
        <v>3</v>
      </c>
      <c r="AA9162" t="s">
        <v>236</v>
      </c>
      <c r="AB9162" t="s">
        <v>9</v>
      </c>
      <c r="AC9162" s="21">
        <v>177733</v>
      </c>
      <c r="AD9162" s="21" t="s">
        <v>368</v>
      </c>
      <c r="AE9162" t="str">
        <f>VLOOKUP(Table_Query_from_Actuarial___Production3[[#This Row],[Kor1]],$AI$3:$AK$105,3,FALSE)</f>
        <v>Premiums Written</v>
      </c>
      <c r="AF9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3" spans="18:32" x14ac:dyDescent="0.2">
      <c r="R9163" t="s">
        <v>75</v>
      </c>
      <c r="S9163" t="s">
        <v>354</v>
      </c>
      <c r="T9163" t="s">
        <v>445</v>
      </c>
      <c r="U9163" s="21">
        <v>-2594.13</v>
      </c>
      <c r="V9163" s="21" t="s">
        <v>368</v>
      </c>
      <c r="W9163" t="str">
        <f>VLOOKUP(Table_Query_from_Actuarial___Production[[#This Row],[Kor1]],$AI$3:$AK$105,3,FALSE)</f>
        <v>EBUB</v>
      </c>
      <c r="X9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163"/>
      <c r="Z9163" t="s">
        <v>41</v>
      </c>
      <c r="AA9163" t="s">
        <v>260</v>
      </c>
      <c r="AB9163" t="s">
        <v>9</v>
      </c>
      <c r="AC9163" s="21">
        <v>650</v>
      </c>
      <c r="AD9163" s="21" t="s">
        <v>368</v>
      </c>
      <c r="AE9163" t="str">
        <f>VLOOKUP(Table_Query_from_Actuarial___Production3[[#This Row],[Kor1]],$AI$3:$AK$105,3,FALSE)</f>
        <v>Misc. Income</v>
      </c>
      <c r="AF9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4" spans="18:32" x14ac:dyDescent="0.2">
      <c r="R9164" t="s">
        <v>10</v>
      </c>
      <c r="S9164" t="s">
        <v>224</v>
      </c>
      <c r="T9164" t="s">
        <v>8</v>
      </c>
      <c r="U9164" s="21">
        <v>2357.27</v>
      </c>
      <c r="V9164" s="21" t="s">
        <v>369</v>
      </c>
      <c r="W9164" t="str">
        <f>VLOOKUP(Table_Query_from_Actuarial___Production[[#This Row],[Kor1]],$AI$3:$AK$105,3,FALSE)</f>
        <v>Commissions</v>
      </c>
      <c r="X9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164"/>
      <c r="Z9164" t="s">
        <v>14</v>
      </c>
      <c r="AA9164" t="s">
        <v>259</v>
      </c>
      <c r="AB9164" t="s">
        <v>427</v>
      </c>
      <c r="AC9164" s="21">
        <v>25884.55</v>
      </c>
      <c r="AD9164" s="21" t="s">
        <v>368</v>
      </c>
      <c r="AE9164" t="str">
        <f>VLOOKUP(Table_Query_from_Actuarial___Production3[[#This Row],[Kor1]],$AI$3:$AK$105,3,FALSE)</f>
        <v>Claims Expense</v>
      </c>
      <c r="AF9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5" spans="18:32" x14ac:dyDescent="0.2">
      <c r="R9165" t="s">
        <v>11</v>
      </c>
      <c r="S9165" t="s">
        <v>240</v>
      </c>
      <c r="T9165" t="s">
        <v>441</v>
      </c>
      <c r="U9165" s="21">
        <v>4761456.76</v>
      </c>
      <c r="V9165" s="21" t="s">
        <v>368</v>
      </c>
      <c r="W9165" t="str">
        <f>VLOOKUP(Table_Query_from_Actuarial___Production[[#This Row],[Kor1]],$AI$3:$AK$105,3,FALSE)</f>
        <v>Losses Paid</v>
      </c>
      <c r="X9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5"/>
      <c r="Z9165" t="s">
        <v>36</v>
      </c>
      <c r="AA9165" t="s">
        <v>230</v>
      </c>
      <c r="AB9165" t="s">
        <v>9</v>
      </c>
      <c r="AC9165" s="21">
        <v>23201.07</v>
      </c>
      <c r="AD9165" s="21" t="s">
        <v>368</v>
      </c>
      <c r="AE9165" t="str">
        <f>VLOOKUP(Table_Query_from_Actuarial___Production3[[#This Row],[Kor1]],$AI$3:$AK$105,3,FALSE)</f>
        <v>Misc. Expense</v>
      </c>
      <c r="AF9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6" spans="18:32" x14ac:dyDescent="0.2">
      <c r="R9166" t="s">
        <v>15</v>
      </c>
      <c r="S9166" t="s">
        <v>267</v>
      </c>
      <c r="T9166" t="s">
        <v>443</v>
      </c>
      <c r="U9166" s="21">
        <v>187443.13</v>
      </c>
      <c r="V9166" s="21" t="s">
        <v>368</v>
      </c>
      <c r="W9166" t="str">
        <f>VLOOKUP(Table_Query_from_Actuarial___Production[[#This Row],[Kor1]],$AI$3:$AK$105,3,FALSE)</f>
        <v>Unearned Premiums</v>
      </c>
      <c r="X9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6"/>
      <c r="Z9166" t="s">
        <v>17</v>
      </c>
      <c r="AA9166" t="s">
        <v>234</v>
      </c>
      <c r="AB9166" t="s">
        <v>441</v>
      </c>
      <c r="AC9166" s="21">
        <v>347054.46</v>
      </c>
      <c r="AD9166" s="21" t="s">
        <v>368</v>
      </c>
      <c r="AE9166" t="str">
        <f>VLOOKUP(Table_Query_from_Actuarial___Production3[[#This Row],[Kor1]],$AI$3:$AK$105,3,FALSE)</f>
        <v>IBNR</v>
      </c>
      <c r="AF9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7" spans="18:32" x14ac:dyDescent="0.2">
      <c r="R9167" t="s">
        <v>11</v>
      </c>
      <c r="S9167" t="s">
        <v>354</v>
      </c>
      <c r="T9167" t="s">
        <v>442</v>
      </c>
      <c r="U9167" s="21">
        <v>913406027.35000002</v>
      </c>
      <c r="V9167" s="21" t="s">
        <v>369</v>
      </c>
      <c r="W9167" t="str">
        <f>VLOOKUP(Table_Query_from_Actuarial___Production[[#This Row],[Kor1]],$AI$3:$AK$105,3,FALSE)</f>
        <v>Losses Paid</v>
      </c>
      <c r="X9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167"/>
      <c r="Z9167" t="s">
        <v>3</v>
      </c>
      <c r="AA9167" t="s">
        <v>228</v>
      </c>
      <c r="AB9167" t="s">
        <v>356</v>
      </c>
      <c r="AC9167" s="21">
        <v>140630</v>
      </c>
      <c r="AD9167" s="21" t="s">
        <v>368</v>
      </c>
      <c r="AE9167" t="str">
        <f>VLOOKUP(Table_Query_from_Actuarial___Production3[[#This Row],[Kor1]],$AI$3:$AK$105,3,FALSE)</f>
        <v>Premiums Written</v>
      </c>
      <c r="AF9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8" spans="18:32" x14ac:dyDescent="0.2">
      <c r="R9168" t="s">
        <v>24</v>
      </c>
      <c r="S9168" t="s">
        <v>259</v>
      </c>
      <c r="T9168" t="s">
        <v>433</v>
      </c>
      <c r="U9168" s="21">
        <v>200.3</v>
      </c>
      <c r="V9168" s="21" t="s">
        <v>368</v>
      </c>
      <c r="W9168" t="str">
        <f>VLOOKUP(Table_Query_from_Actuarial___Production[[#This Row],[Kor1]],$AI$3:$AK$105,3,FALSE)</f>
        <v>Misc. Expense</v>
      </c>
      <c r="X9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8"/>
      <c r="Z9168" t="s">
        <v>14</v>
      </c>
      <c r="AA9168" t="s">
        <v>228</v>
      </c>
      <c r="AB9168" t="s">
        <v>433</v>
      </c>
      <c r="AC9168" s="21">
        <v>2333.14</v>
      </c>
      <c r="AD9168" s="21" t="s">
        <v>368</v>
      </c>
      <c r="AE9168" t="str">
        <f>VLOOKUP(Table_Query_from_Actuarial___Production3[[#This Row],[Kor1]],$AI$3:$AK$105,3,FALSE)</f>
        <v>Claims Expense</v>
      </c>
      <c r="AF9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69" spans="18:32" x14ac:dyDescent="0.2">
      <c r="R9169" t="s">
        <v>47</v>
      </c>
      <c r="S9169" t="s">
        <v>254</v>
      </c>
      <c r="T9169" t="s">
        <v>351</v>
      </c>
      <c r="U9169" s="21">
        <v>1588.54</v>
      </c>
      <c r="V9169" s="21" t="s">
        <v>368</v>
      </c>
      <c r="W9169" t="str">
        <f>VLOOKUP(Table_Query_from_Actuarial___Production[[#This Row],[Kor1]],$AI$3:$AK$105,3,FALSE)</f>
        <v>Investment Income</v>
      </c>
      <c r="X9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69"/>
      <c r="Z9169" t="s">
        <v>50</v>
      </c>
      <c r="AA9169" t="s">
        <v>225</v>
      </c>
      <c r="AB9169" t="s">
        <v>442</v>
      </c>
      <c r="AC9169" s="21">
        <v>790</v>
      </c>
      <c r="AD9169" s="21" t="s">
        <v>369</v>
      </c>
      <c r="AE9169" t="str">
        <f>VLOOKUP(Table_Query_from_Actuarial___Production3[[#This Row],[Kor1]],$AI$3:$AK$105,3,FALSE)</f>
        <v>ALAE Reserve</v>
      </c>
      <c r="AF9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170" spans="18:32" x14ac:dyDescent="0.2">
      <c r="R9170" t="s">
        <v>47</v>
      </c>
      <c r="S9170" t="s">
        <v>261</v>
      </c>
      <c r="T9170" t="s">
        <v>441</v>
      </c>
      <c r="U9170" s="21">
        <v>20.71</v>
      </c>
      <c r="V9170" s="21" t="s">
        <v>368</v>
      </c>
      <c r="W9170" t="str">
        <f>VLOOKUP(Table_Query_from_Actuarial___Production[[#This Row],[Kor1]],$AI$3:$AK$105,3,FALSE)</f>
        <v>Investment Income</v>
      </c>
      <c r="X9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0"/>
      <c r="Z9170" t="s">
        <v>39</v>
      </c>
      <c r="AA9170" t="s">
        <v>267</v>
      </c>
      <c r="AB9170" t="s">
        <v>5</v>
      </c>
      <c r="AC9170" s="21">
        <v>43687.37</v>
      </c>
      <c r="AD9170" s="21" t="s">
        <v>368</v>
      </c>
      <c r="AE9170" t="str">
        <f>VLOOKUP(Table_Query_from_Actuarial___Production3[[#This Row],[Kor1]],$AI$3:$AK$105,3,FALSE)</f>
        <v>Misc. Income for Insolvent Companies</v>
      </c>
      <c r="AF9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1" spans="18:32" x14ac:dyDescent="0.2">
      <c r="R9171" t="s">
        <v>167</v>
      </c>
      <c r="S9171" t="s">
        <v>354</v>
      </c>
      <c r="T9171" t="s">
        <v>442</v>
      </c>
      <c r="U9171" s="21">
        <v>20437728</v>
      </c>
      <c r="V9171" s="21" t="s">
        <v>368</v>
      </c>
      <c r="W9171" t="str">
        <f>VLOOKUP(Table_Query_from_Actuarial___Production[[#This Row],[Kor1]],$AI$3:$AK$105,3,FALSE)</f>
        <v>Recoupment</v>
      </c>
      <c r="X9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171"/>
      <c r="Z9171" t="s">
        <v>10</v>
      </c>
      <c r="AA9171" t="s">
        <v>224</v>
      </c>
      <c r="AB9171" t="s">
        <v>8</v>
      </c>
      <c r="AC9171" s="21">
        <v>2357.27</v>
      </c>
      <c r="AD9171" s="21" t="s">
        <v>369</v>
      </c>
      <c r="AE9171" t="str">
        <f>VLOOKUP(Table_Query_from_Actuarial___Production3[[#This Row],[Kor1]],$AI$3:$AK$105,3,FALSE)</f>
        <v>Commissions</v>
      </c>
      <c r="AF9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172" spans="18:32" x14ac:dyDescent="0.2">
      <c r="R9172" t="s">
        <v>3</v>
      </c>
      <c r="S9172" t="s">
        <v>243</v>
      </c>
      <c r="T9172" t="s">
        <v>443</v>
      </c>
      <c r="U9172" s="21">
        <v>404611</v>
      </c>
      <c r="V9172" s="21" t="s">
        <v>368</v>
      </c>
      <c r="W9172" t="str">
        <f>VLOOKUP(Table_Query_from_Actuarial___Production[[#This Row],[Kor1]],$AI$3:$AK$105,3,FALSE)</f>
        <v>Premiums Written</v>
      </c>
      <c r="X9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2"/>
      <c r="Z9172" t="s">
        <v>11</v>
      </c>
      <c r="AA9172" t="s">
        <v>240</v>
      </c>
      <c r="AB9172" t="s">
        <v>441</v>
      </c>
      <c r="AC9172" s="21">
        <v>3454711.34</v>
      </c>
      <c r="AD9172" s="21" t="s">
        <v>368</v>
      </c>
      <c r="AE9172" t="str">
        <f>VLOOKUP(Table_Query_from_Actuarial___Production3[[#This Row],[Kor1]],$AI$3:$AK$105,3,FALSE)</f>
        <v>Losses Paid</v>
      </c>
      <c r="AF9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3" spans="18:32" x14ac:dyDescent="0.2">
      <c r="R9173" t="s">
        <v>12</v>
      </c>
      <c r="S9173" t="s">
        <v>233</v>
      </c>
      <c r="T9173" t="s">
        <v>356</v>
      </c>
      <c r="U9173" s="21">
        <v>9570.66</v>
      </c>
      <c r="V9173" s="21" t="s">
        <v>368</v>
      </c>
      <c r="W9173" t="str">
        <f>VLOOKUP(Table_Query_from_Actuarial___Production[[#This Row],[Kor1]],$AI$3:$AK$105,3,FALSE)</f>
        <v>Premium Tax</v>
      </c>
      <c r="X9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3"/>
      <c r="Z9173" t="s">
        <v>15</v>
      </c>
      <c r="AA9173" t="s">
        <v>267</v>
      </c>
      <c r="AB9173" t="s">
        <v>443</v>
      </c>
      <c r="AC9173" s="21">
        <v>1488107.6</v>
      </c>
      <c r="AD9173" s="21" t="s">
        <v>368</v>
      </c>
      <c r="AE9173" t="str">
        <f>VLOOKUP(Table_Query_from_Actuarial___Production3[[#This Row],[Kor1]],$AI$3:$AK$105,3,FALSE)</f>
        <v>Unearned Premiums</v>
      </c>
      <c r="AF9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4" spans="18:32" x14ac:dyDescent="0.2">
      <c r="R9174" t="s">
        <v>14</v>
      </c>
      <c r="S9174" t="s">
        <v>242</v>
      </c>
      <c r="T9174" t="s">
        <v>445</v>
      </c>
      <c r="U9174" s="21">
        <v>7531.88</v>
      </c>
      <c r="V9174" s="21" t="s">
        <v>368</v>
      </c>
      <c r="W9174" t="str">
        <f>VLOOKUP(Table_Query_from_Actuarial___Production[[#This Row],[Kor1]],$AI$3:$AK$105,3,FALSE)</f>
        <v>Claims Expense</v>
      </c>
      <c r="X9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4"/>
      <c r="Z9174" t="s">
        <v>11</v>
      </c>
      <c r="AA9174" t="s">
        <v>354</v>
      </c>
      <c r="AB9174" t="s">
        <v>442</v>
      </c>
      <c r="AC9174" s="21">
        <v>646521494.17999995</v>
      </c>
      <c r="AD9174" s="21" t="s">
        <v>369</v>
      </c>
      <c r="AE9174" t="str">
        <f>VLOOKUP(Table_Query_from_Actuarial___Production3[[#This Row],[Kor1]],$AI$3:$AK$105,3,FALSE)</f>
        <v>Losses Paid</v>
      </c>
      <c r="AF9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175" spans="18:32" x14ac:dyDescent="0.2">
      <c r="R9175" t="s">
        <v>41</v>
      </c>
      <c r="S9175" t="s">
        <v>265</v>
      </c>
      <c r="T9175" t="s">
        <v>351</v>
      </c>
      <c r="U9175" s="21">
        <v>100</v>
      </c>
      <c r="V9175" s="21" t="s">
        <v>368</v>
      </c>
      <c r="W9175" t="str">
        <f>VLOOKUP(Table_Query_from_Actuarial___Production[[#This Row],[Kor1]],$AI$3:$AK$105,3,FALSE)</f>
        <v>Misc. Income</v>
      </c>
      <c r="X9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5"/>
      <c r="Z9175" t="s">
        <v>24</v>
      </c>
      <c r="AA9175" t="s">
        <v>259</v>
      </c>
      <c r="AB9175" t="s">
        <v>433</v>
      </c>
      <c r="AC9175" s="21">
        <v>200.3</v>
      </c>
      <c r="AD9175" s="21" t="s">
        <v>368</v>
      </c>
      <c r="AE9175" t="str">
        <f>VLOOKUP(Table_Query_from_Actuarial___Production3[[#This Row],[Kor1]],$AI$3:$AK$105,3,FALSE)</f>
        <v>Misc. Expense</v>
      </c>
      <c r="AF9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6" spans="18:32" x14ac:dyDescent="0.2">
      <c r="R9176" t="s">
        <v>39</v>
      </c>
      <c r="S9176" t="s">
        <v>257</v>
      </c>
      <c r="T9176" t="s">
        <v>8</v>
      </c>
      <c r="U9176" s="21">
        <v>845</v>
      </c>
      <c r="V9176" s="21" t="s">
        <v>368</v>
      </c>
      <c r="W9176" t="str">
        <f>VLOOKUP(Table_Query_from_Actuarial___Production[[#This Row],[Kor1]],$AI$3:$AK$105,3,FALSE)</f>
        <v>Misc. Income for Insolvent Companies</v>
      </c>
      <c r="X9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6"/>
      <c r="Z9176" t="s">
        <v>47</v>
      </c>
      <c r="AA9176" t="s">
        <v>254</v>
      </c>
      <c r="AB9176" t="s">
        <v>351</v>
      </c>
      <c r="AC9176" s="21">
        <v>1588.54</v>
      </c>
      <c r="AD9176" s="21" t="s">
        <v>368</v>
      </c>
      <c r="AE9176" t="str">
        <f>VLOOKUP(Table_Query_from_Actuarial___Production3[[#This Row],[Kor1]],$AI$3:$AK$105,3,FALSE)</f>
        <v>Investment Income</v>
      </c>
      <c r="AF9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7" spans="18:32" x14ac:dyDescent="0.2">
      <c r="R9177" t="s">
        <v>31</v>
      </c>
      <c r="S9177" t="s">
        <v>245</v>
      </c>
      <c r="T9177" t="s">
        <v>351</v>
      </c>
      <c r="U9177" s="21">
        <v>578.09</v>
      </c>
      <c r="V9177" s="21" t="s">
        <v>368</v>
      </c>
      <c r="W9177" t="str">
        <f>VLOOKUP(Table_Query_from_Actuarial___Production[[#This Row],[Kor1]],$AI$3:$AK$105,3,FALSE)</f>
        <v>Misc. Expense</v>
      </c>
      <c r="X9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7"/>
      <c r="Z9177" t="s">
        <v>47</v>
      </c>
      <c r="AA9177" t="s">
        <v>261</v>
      </c>
      <c r="AB9177" t="s">
        <v>441</v>
      </c>
      <c r="AC9177" s="21">
        <v>20.71</v>
      </c>
      <c r="AD9177" s="21" t="s">
        <v>368</v>
      </c>
      <c r="AE9177" t="str">
        <f>VLOOKUP(Table_Query_from_Actuarial___Production3[[#This Row],[Kor1]],$AI$3:$AK$105,3,FALSE)</f>
        <v>Investment Income</v>
      </c>
      <c r="AF9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78" spans="18:32" x14ac:dyDescent="0.2">
      <c r="R9178" t="s">
        <v>40</v>
      </c>
      <c r="S9178" t="s">
        <v>254</v>
      </c>
      <c r="T9178" t="s">
        <v>8</v>
      </c>
      <c r="U9178" s="21">
        <v>18</v>
      </c>
      <c r="V9178" s="21" t="s">
        <v>368</v>
      </c>
      <c r="W9178" t="str">
        <f>VLOOKUP(Table_Query_from_Actuarial___Production[[#This Row],[Kor1]],$AI$3:$AK$105,3,FALSE)</f>
        <v>Misc. Income</v>
      </c>
      <c r="X9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8"/>
      <c r="Z9178" t="s">
        <v>167</v>
      </c>
      <c r="AA9178" t="s">
        <v>354</v>
      </c>
      <c r="AB9178" t="s">
        <v>442</v>
      </c>
      <c r="AC9178" s="21">
        <v>22715436</v>
      </c>
      <c r="AD9178" s="21" t="s">
        <v>368</v>
      </c>
      <c r="AE9178" t="str">
        <f>VLOOKUP(Table_Query_from_Actuarial___Production3[[#This Row],[Kor1]],$AI$3:$AK$105,3,FALSE)</f>
        <v>Recoupment</v>
      </c>
      <c r="AF9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179" spans="18:32" x14ac:dyDescent="0.2">
      <c r="R9179" t="s">
        <v>33</v>
      </c>
      <c r="S9179" t="s">
        <v>233</v>
      </c>
      <c r="T9179" t="s">
        <v>356</v>
      </c>
      <c r="U9179" s="21">
        <v>14908.65</v>
      </c>
      <c r="V9179" s="21" t="s">
        <v>368</v>
      </c>
      <c r="W9179" t="str">
        <f>VLOOKUP(Table_Query_from_Actuarial___Production[[#This Row],[Kor1]],$AI$3:$AK$105,3,FALSE)</f>
        <v>Misc. Expense</v>
      </c>
      <c r="X9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79"/>
      <c r="Z9179" t="s">
        <v>3</v>
      </c>
      <c r="AA9179" t="s">
        <v>243</v>
      </c>
      <c r="AB9179" t="s">
        <v>443</v>
      </c>
      <c r="AC9179" s="21">
        <v>104535</v>
      </c>
      <c r="AD9179" s="21" t="s">
        <v>368</v>
      </c>
      <c r="AE9179" t="str">
        <f>VLOOKUP(Table_Query_from_Actuarial___Production3[[#This Row],[Kor1]],$AI$3:$AK$105,3,FALSE)</f>
        <v>Premiums Written</v>
      </c>
      <c r="AF9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0" spans="18:32" x14ac:dyDescent="0.2">
      <c r="R9180" t="s">
        <v>40</v>
      </c>
      <c r="S9180" t="s">
        <v>262</v>
      </c>
      <c r="T9180" t="s">
        <v>6</v>
      </c>
      <c r="U9180" s="21">
        <v>14</v>
      </c>
      <c r="V9180" s="21" t="s">
        <v>368</v>
      </c>
      <c r="W9180" t="str">
        <f>VLOOKUP(Table_Query_from_Actuarial___Production[[#This Row],[Kor1]],$AI$3:$AK$105,3,FALSE)</f>
        <v>Misc. Income</v>
      </c>
      <c r="X9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0"/>
      <c r="Z9180" t="s">
        <v>12</v>
      </c>
      <c r="AA9180" t="s">
        <v>233</v>
      </c>
      <c r="AB9180" t="s">
        <v>356</v>
      </c>
      <c r="AC9180" s="21">
        <v>9570.66</v>
      </c>
      <c r="AD9180" s="21" t="s">
        <v>368</v>
      </c>
      <c r="AE9180" t="str">
        <f>VLOOKUP(Table_Query_from_Actuarial___Production3[[#This Row],[Kor1]],$AI$3:$AK$105,3,FALSE)</f>
        <v>Premium Tax</v>
      </c>
      <c r="AF9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1" spans="18:32" x14ac:dyDescent="0.2">
      <c r="R9181" t="s">
        <v>21</v>
      </c>
      <c r="S9181" t="s">
        <v>237</v>
      </c>
      <c r="T9181" t="s">
        <v>7</v>
      </c>
      <c r="U9181" s="21">
        <v>3852.69</v>
      </c>
      <c r="V9181" s="21" t="s">
        <v>368</v>
      </c>
      <c r="W9181" t="str">
        <f>VLOOKUP(Table_Query_from_Actuarial___Production[[#This Row],[Kor1]],$AI$3:$AK$105,3,FALSE)</f>
        <v>Misc. Expense</v>
      </c>
      <c r="X9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1"/>
      <c r="Z9181" t="s">
        <v>41</v>
      </c>
      <c r="AA9181" t="s">
        <v>265</v>
      </c>
      <c r="AB9181" t="s">
        <v>351</v>
      </c>
      <c r="AC9181" s="21">
        <v>100</v>
      </c>
      <c r="AD9181" s="21" t="s">
        <v>368</v>
      </c>
      <c r="AE9181" t="str">
        <f>VLOOKUP(Table_Query_from_Actuarial___Production3[[#This Row],[Kor1]],$AI$3:$AK$105,3,FALSE)</f>
        <v>Misc. Income</v>
      </c>
      <c r="AF9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2" spans="18:32" x14ac:dyDescent="0.2">
      <c r="R9182" t="s">
        <v>36</v>
      </c>
      <c r="S9182" t="s">
        <v>264</v>
      </c>
      <c r="T9182" t="s">
        <v>445</v>
      </c>
      <c r="U9182" s="21">
        <v>1460</v>
      </c>
      <c r="V9182" s="21" t="s">
        <v>368</v>
      </c>
      <c r="W9182" t="str">
        <f>VLOOKUP(Table_Query_from_Actuarial___Production[[#This Row],[Kor1]],$AI$3:$AK$105,3,FALSE)</f>
        <v>Misc. Expense</v>
      </c>
      <c r="X9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2"/>
      <c r="Z9182" t="s">
        <v>39</v>
      </c>
      <c r="AA9182" t="s">
        <v>257</v>
      </c>
      <c r="AB9182" t="s">
        <v>8</v>
      </c>
      <c r="AC9182" s="21">
        <v>845</v>
      </c>
      <c r="AD9182" s="21" t="s">
        <v>368</v>
      </c>
      <c r="AE9182" t="str">
        <f>VLOOKUP(Table_Query_from_Actuarial___Production3[[#This Row],[Kor1]],$AI$3:$AK$105,3,FALSE)</f>
        <v>Misc. Income for Insolvent Companies</v>
      </c>
      <c r="AF9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3" spans="18:32" x14ac:dyDescent="0.2">
      <c r="R9183" t="s">
        <v>38</v>
      </c>
      <c r="S9183" t="s">
        <v>224</v>
      </c>
      <c r="T9183" t="s">
        <v>441</v>
      </c>
      <c r="U9183" s="21">
        <v>214531</v>
      </c>
      <c r="V9183" s="21" t="s">
        <v>368</v>
      </c>
      <c r="W9183" t="str">
        <f>VLOOKUP(Table_Query_from_Actuarial___Production[[#This Row],[Kor1]],$AI$3:$AK$105,3,FALSE)</f>
        <v>Misc. Income</v>
      </c>
      <c r="X9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183"/>
      <c r="Z9183" t="s">
        <v>38</v>
      </c>
      <c r="AA9183" t="s">
        <v>352</v>
      </c>
      <c r="AB9183" t="s">
        <v>5</v>
      </c>
      <c r="AC9183" s="21">
        <v>207.13</v>
      </c>
      <c r="AD9183" s="21" t="s">
        <v>368</v>
      </c>
      <c r="AE9183" t="str">
        <f>VLOOKUP(Table_Query_from_Actuarial___Production3[[#This Row],[Kor1]],$AI$3:$AK$105,3,FALSE)</f>
        <v>Misc. Income</v>
      </c>
      <c r="AF9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9184" spans="18:32" x14ac:dyDescent="0.2">
      <c r="R9184" t="s">
        <v>40</v>
      </c>
      <c r="S9184" t="s">
        <v>255</v>
      </c>
      <c r="T9184" t="s">
        <v>356</v>
      </c>
      <c r="U9184" s="21">
        <v>127</v>
      </c>
      <c r="V9184" s="21" t="s">
        <v>368</v>
      </c>
      <c r="W9184" t="str">
        <f>VLOOKUP(Table_Query_from_Actuarial___Production[[#This Row],[Kor1]],$AI$3:$AK$105,3,FALSE)</f>
        <v>Misc. Income</v>
      </c>
      <c r="X9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4"/>
      <c r="Z9184" t="s">
        <v>31</v>
      </c>
      <c r="AA9184" t="s">
        <v>245</v>
      </c>
      <c r="AB9184" t="s">
        <v>351</v>
      </c>
      <c r="AC9184" s="21">
        <v>578.09</v>
      </c>
      <c r="AD9184" s="21" t="s">
        <v>368</v>
      </c>
      <c r="AE9184" t="str">
        <f>VLOOKUP(Table_Query_from_Actuarial___Production3[[#This Row],[Kor1]],$AI$3:$AK$105,3,FALSE)</f>
        <v>Misc. Expense</v>
      </c>
      <c r="AF9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5" spans="18:32" x14ac:dyDescent="0.2">
      <c r="R9185" t="s">
        <v>13</v>
      </c>
      <c r="S9185" t="s">
        <v>260</v>
      </c>
      <c r="T9185" t="s">
        <v>8</v>
      </c>
      <c r="U9185" s="21">
        <v>1121.8699999999999</v>
      </c>
      <c r="V9185" s="21" t="s">
        <v>368</v>
      </c>
      <c r="W9185" t="str">
        <f>VLOOKUP(Table_Query_from_Actuarial___Production[[#This Row],[Kor1]],$AI$3:$AK$105,3,FALSE)</f>
        <v>Operating Service Fees</v>
      </c>
      <c r="X9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5"/>
      <c r="Z9185" t="s">
        <v>40</v>
      </c>
      <c r="AA9185" t="s">
        <v>254</v>
      </c>
      <c r="AB9185" t="s">
        <v>8</v>
      </c>
      <c r="AC9185" s="21">
        <v>18</v>
      </c>
      <c r="AD9185" s="21" t="s">
        <v>368</v>
      </c>
      <c r="AE9185" t="str">
        <f>VLOOKUP(Table_Query_from_Actuarial___Production3[[#This Row],[Kor1]],$AI$3:$AK$105,3,FALSE)</f>
        <v>Misc. Income</v>
      </c>
      <c r="AF9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6" spans="18:32" x14ac:dyDescent="0.2">
      <c r="R9186" t="s">
        <v>32</v>
      </c>
      <c r="S9186" t="s">
        <v>252</v>
      </c>
      <c r="T9186" t="s">
        <v>7</v>
      </c>
      <c r="U9186" s="21">
        <v>-18714.650000000001</v>
      </c>
      <c r="V9186" s="21" t="s">
        <v>368</v>
      </c>
      <c r="W9186" t="str">
        <f>VLOOKUP(Table_Query_from_Actuarial___Production[[#This Row],[Kor1]],$AI$3:$AK$105,3,FALSE)</f>
        <v>Misc. Expense</v>
      </c>
      <c r="X9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6"/>
      <c r="Z9186" t="s">
        <v>33</v>
      </c>
      <c r="AA9186" t="s">
        <v>233</v>
      </c>
      <c r="AB9186" t="s">
        <v>356</v>
      </c>
      <c r="AC9186" s="21">
        <v>14908.65</v>
      </c>
      <c r="AD9186" s="21" t="s">
        <v>368</v>
      </c>
      <c r="AE9186" t="str">
        <f>VLOOKUP(Table_Query_from_Actuarial___Production3[[#This Row],[Kor1]],$AI$3:$AK$105,3,FALSE)</f>
        <v>Misc. Expense</v>
      </c>
      <c r="AF9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7" spans="18:32" x14ac:dyDescent="0.2">
      <c r="R9187" t="s">
        <v>17</v>
      </c>
      <c r="S9187" t="s">
        <v>250</v>
      </c>
      <c r="T9187" t="s">
        <v>443</v>
      </c>
      <c r="U9187" s="21">
        <v>257806.89</v>
      </c>
      <c r="V9187" s="21" t="s">
        <v>368</v>
      </c>
      <c r="W9187" t="str">
        <f>VLOOKUP(Table_Query_from_Actuarial___Production[[#This Row],[Kor1]],$AI$3:$AK$105,3,FALSE)</f>
        <v>IBNR</v>
      </c>
      <c r="X9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7"/>
      <c r="Z9187" t="s">
        <v>40</v>
      </c>
      <c r="AA9187" t="s">
        <v>262</v>
      </c>
      <c r="AB9187" t="s">
        <v>6</v>
      </c>
      <c r="AC9187" s="21">
        <v>14</v>
      </c>
      <c r="AD9187" s="21" t="s">
        <v>368</v>
      </c>
      <c r="AE9187" t="str">
        <f>VLOOKUP(Table_Query_from_Actuarial___Production3[[#This Row],[Kor1]],$AI$3:$AK$105,3,FALSE)</f>
        <v>Misc. Income</v>
      </c>
      <c r="AF9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8" spans="18:32" x14ac:dyDescent="0.2">
      <c r="R9188" t="s">
        <v>46</v>
      </c>
      <c r="S9188" t="s">
        <v>354</v>
      </c>
      <c r="T9188" t="s">
        <v>427</v>
      </c>
      <c r="U9188" s="21">
        <v>25516745.300000001</v>
      </c>
      <c r="V9188" s="21" t="s">
        <v>369</v>
      </c>
      <c r="W9188" t="str">
        <f>VLOOKUP(Table_Query_from_Actuarial___Production[[#This Row],[Kor1]],$AI$3:$AK$105,3,FALSE)</f>
        <v>Investment Income</v>
      </c>
      <c r="X9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188"/>
      <c r="Z9188" t="s">
        <v>21</v>
      </c>
      <c r="AA9188" t="s">
        <v>237</v>
      </c>
      <c r="AB9188" t="s">
        <v>7</v>
      </c>
      <c r="AC9188" s="21">
        <v>3852.69</v>
      </c>
      <c r="AD9188" s="21" t="s">
        <v>368</v>
      </c>
      <c r="AE9188" t="str">
        <f>VLOOKUP(Table_Query_from_Actuarial___Production3[[#This Row],[Kor1]],$AI$3:$AK$105,3,FALSE)</f>
        <v>Misc. Expense</v>
      </c>
      <c r="AF9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89" spans="18:32" x14ac:dyDescent="0.2">
      <c r="R9189" t="s">
        <v>14</v>
      </c>
      <c r="S9189" t="s">
        <v>244</v>
      </c>
      <c r="T9189" t="s">
        <v>7</v>
      </c>
      <c r="U9189" s="21">
        <v>101491.1</v>
      </c>
      <c r="V9189" s="21" t="s">
        <v>368</v>
      </c>
      <c r="W9189" t="str">
        <f>VLOOKUP(Table_Query_from_Actuarial___Production[[#This Row],[Kor1]],$AI$3:$AK$105,3,FALSE)</f>
        <v>Claims Expense</v>
      </c>
      <c r="X9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89"/>
      <c r="Z9189" t="s">
        <v>38</v>
      </c>
      <c r="AA9189" t="s">
        <v>224</v>
      </c>
      <c r="AB9189" t="s">
        <v>441</v>
      </c>
      <c r="AC9189" s="21">
        <v>214531</v>
      </c>
      <c r="AD9189" s="21" t="s">
        <v>368</v>
      </c>
      <c r="AE9189" t="str">
        <f>VLOOKUP(Table_Query_from_Actuarial___Production3[[#This Row],[Kor1]],$AI$3:$AK$105,3,FALSE)</f>
        <v>Misc. Income</v>
      </c>
      <c r="AF9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190" spans="18:32" x14ac:dyDescent="0.2">
      <c r="R9190" t="s">
        <v>41</v>
      </c>
      <c r="S9190" t="s">
        <v>244</v>
      </c>
      <c r="T9190" t="s">
        <v>8</v>
      </c>
      <c r="U9190" s="21">
        <v>799.8</v>
      </c>
      <c r="V9190" s="21" t="s">
        <v>368</v>
      </c>
      <c r="W9190" t="str">
        <f>VLOOKUP(Table_Query_from_Actuarial___Production[[#This Row],[Kor1]],$AI$3:$AK$105,3,FALSE)</f>
        <v>Misc. Income</v>
      </c>
      <c r="X9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0"/>
      <c r="Z9190" t="s">
        <v>40</v>
      </c>
      <c r="AA9190" t="s">
        <v>255</v>
      </c>
      <c r="AB9190" t="s">
        <v>356</v>
      </c>
      <c r="AC9190" s="21">
        <v>127</v>
      </c>
      <c r="AD9190" s="21" t="s">
        <v>368</v>
      </c>
      <c r="AE9190" t="str">
        <f>VLOOKUP(Table_Query_from_Actuarial___Production3[[#This Row],[Kor1]],$AI$3:$AK$105,3,FALSE)</f>
        <v>Misc. Income</v>
      </c>
      <c r="AF9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1" spans="18:32" x14ac:dyDescent="0.2">
      <c r="R9191" t="s">
        <v>13</v>
      </c>
      <c r="S9191" t="s">
        <v>236</v>
      </c>
      <c r="T9191" t="s">
        <v>6</v>
      </c>
      <c r="U9191" s="21">
        <v>8867.8799999999992</v>
      </c>
      <c r="V9191" s="21" t="s">
        <v>368</v>
      </c>
      <c r="W9191" t="str">
        <f>VLOOKUP(Table_Query_from_Actuarial___Production[[#This Row],[Kor1]],$AI$3:$AK$105,3,FALSE)</f>
        <v>Operating Service Fees</v>
      </c>
      <c r="X9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1"/>
      <c r="Z9191" t="s">
        <v>13</v>
      </c>
      <c r="AA9191" t="s">
        <v>260</v>
      </c>
      <c r="AB9191" t="s">
        <v>8</v>
      </c>
      <c r="AC9191" s="21">
        <v>1121.8699999999999</v>
      </c>
      <c r="AD9191" s="21" t="s">
        <v>368</v>
      </c>
      <c r="AE9191" t="str">
        <f>VLOOKUP(Table_Query_from_Actuarial___Production3[[#This Row],[Kor1]],$AI$3:$AK$105,3,FALSE)</f>
        <v>Operating Service Fees</v>
      </c>
      <c r="AF9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2" spans="18:32" x14ac:dyDescent="0.2">
      <c r="R9192" t="s">
        <v>17</v>
      </c>
      <c r="S9192" t="s">
        <v>248</v>
      </c>
      <c r="T9192" t="s">
        <v>443</v>
      </c>
      <c r="U9192" s="21">
        <v>110950.27</v>
      </c>
      <c r="V9192" s="21" t="s">
        <v>368</v>
      </c>
      <c r="W9192" t="str">
        <f>VLOOKUP(Table_Query_from_Actuarial___Production[[#This Row],[Kor1]],$AI$3:$AK$105,3,FALSE)</f>
        <v>IBNR</v>
      </c>
      <c r="X9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2"/>
      <c r="Z9192" t="s">
        <v>32</v>
      </c>
      <c r="AA9192" t="s">
        <v>252</v>
      </c>
      <c r="AB9192" t="s">
        <v>7</v>
      </c>
      <c r="AC9192" s="21">
        <v>-18714.650000000001</v>
      </c>
      <c r="AD9192" s="21" t="s">
        <v>368</v>
      </c>
      <c r="AE9192" t="str">
        <f>VLOOKUP(Table_Query_from_Actuarial___Production3[[#This Row],[Kor1]],$AI$3:$AK$105,3,FALSE)</f>
        <v>Misc. Expense</v>
      </c>
      <c r="AF9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3" spans="18:32" x14ac:dyDescent="0.2">
      <c r="R9193" t="s">
        <v>16</v>
      </c>
      <c r="S9193" t="s">
        <v>246</v>
      </c>
      <c r="T9193" t="s">
        <v>443</v>
      </c>
      <c r="U9193" s="21">
        <v>764916.75</v>
      </c>
      <c r="V9193" s="21" t="s">
        <v>368</v>
      </c>
      <c r="W9193" t="str">
        <f>VLOOKUP(Table_Query_from_Actuarial___Production[[#This Row],[Kor1]],$AI$3:$AK$105,3,FALSE)</f>
        <v>Losses Outstanding</v>
      </c>
      <c r="X9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3"/>
      <c r="Z9193" t="s">
        <v>17</v>
      </c>
      <c r="AA9193" t="s">
        <v>250</v>
      </c>
      <c r="AB9193" t="s">
        <v>443</v>
      </c>
      <c r="AC9193" s="21">
        <v>60496.44</v>
      </c>
      <c r="AD9193" s="21" t="s">
        <v>368</v>
      </c>
      <c r="AE9193" t="str">
        <f>VLOOKUP(Table_Query_from_Actuarial___Production3[[#This Row],[Kor1]],$AI$3:$AK$105,3,FALSE)</f>
        <v>IBNR</v>
      </c>
      <c r="AF9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4" spans="18:32" x14ac:dyDescent="0.2">
      <c r="R9194" t="s">
        <v>50</v>
      </c>
      <c r="S9194" t="s">
        <v>249</v>
      </c>
      <c r="T9194" t="s">
        <v>442</v>
      </c>
      <c r="U9194" s="21">
        <v>1984.64</v>
      </c>
      <c r="V9194" s="21" t="s">
        <v>368</v>
      </c>
      <c r="W9194" t="str">
        <f>VLOOKUP(Table_Query_from_Actuarial___Production[[#This Row],[Kor1]],$AI$3:$AK$105,3,FALSE)</f>
        <v>ALAE Reserve</v>
      </c>
      <c r="X9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4"/>
      <c r="Z9194" t="s">
        <v>46</v>
      </c>
      <c r="AA9194" t="s">
        <v>354</v>
      </c>
      <c r="AB9194" t="s">
        <v>427</v>
      </c>
      <c r="AC9194" s="21">
        <v>25516745.300000001</v>
      </c>
      <c r="AD9194" s="21" t="s">
        <v>369</v>
      </c>
      <c r="AE9194" t="str">
        <f>VLOOKUP(Table_Query_from_Actuarial___Production3[[#This Row],[Kor1]],$AI$3:$AK$105,3,FALSE)</f>
        <v>Investment Income</v>
      </c>
      <c r="AF9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195" spans="18:32" x14ac:dyDescent="0.2">
      <c r="R9195" t="s">
        <v>16</v>
      </c>
      <c r="S9195" t="s">
        <v>226</v>
      </c>
      <c r="T9195" t="s">
        <v>443</v>
      </c>
      <c r="U9195" s="21">
        <v>1614119.51</v>
      </c>
      <c r="V9195" s="21" t="s">
        <v>368</v>
      </c>
      <c r="W9195" t="str">
        <f>VLOOKUP(Table_Query_from_Actuarial___Production[[#This Row],[Kor1]],$AI$3:$AK$105,3,FALSE)</f>
        <v>Losses Outstanding</v>
      </c>
      <c r="X9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195"/>
      <c r="Z9195" t="s">
        <v>14</v>
      </c>
      <c r="AA9195" t="s">
        <v>244</v>
      </c>
      <c r="AB9195" t="s">
        <v>7</v>
      </c>
      <c r="AC9195" s="21">
        <v>101491.1</v>
      </c>
      <c r="AD9195" s="21" t="s">
        <v>368</v>
      </c>
      <c r="AE9195" t="str">
        <f>VLOOKUP(Table_Query_from_Actuarial___Production3[[#This Row],[Kor1]],$AI$3:$AK$105,3,FALSE)</f>
        <v>Claims Expense</v>
      </c>
      <c r="AF9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6" spans="18:32" x14ac:dyDescent="0.2">
      <c r="R9196" t="s">
        <v>34</v>
      </c>
      <c r="S9196" t="s">
        <v>231</v>
      </c>
      <c r="T9196" t="s">
        <v>443</v>
      </c>
      <c r="U9196" s="21">
        <v>31917.69</v>
      </c>
      <c r="V9196" s="21" t="s">
        <v>368</v>
      </c>
      <c r="W9196" t="str">
        <f>VLOOKUP(Table_Query_from_Actuarial___Production[[#This Row],[Kor1]],$AI$3:$AK$105,3,FALSE)</f>
        <v>Misc. Expense</v>
      </c>
      <c r="X9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6"/>
      <c r="Z9196" t="s">
        <v>41</v>
      </c>
      <c r="AA9196" t="s">
        <v>244</v>
      </c>
      <c r="AB9196" t="s">
        <v>8</v>
      </c>
      <c r="AC9196" s="21">
        <v>799.8</v>
      </c>
      <c r="AD9196" s="21" t="s">
        <v>368</v>
      </c>
      <c r="AE9196" t="str">
        <f>VLOOKUP(Table_Query_from_Actuarial___Production3[[#This Row],[Kor1]],$AI$3:$AK$105,3,FALSE)</f>
        <v>Misc. Income</v>
      </c>
      <c r="AF9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7" spans="18:32" x14ac:dyDescent="0.2">
      <c r="R9197" t="s">
        <v>14</v>
      </c>
      <c r="S9197" t="s">
        <v>264</v>
      </c>
      <c r="T9197" t="s">
        <v>8</v>
      </c>
      <c r="U9197" s="21">
        <v>163321.70000000001</v>
      </c>
      <c r="V9197" s="21" t="s">
        <v>368</v>
      </c>
      <c r="W9197" t="str">
        <f>VLOOKUP(Table_Query_from_Actuarial___Production[[#This Row],[Kor1]],$AI$3:$AK$105,3,FALSE)</f>
        <v>Claims Expense</v>
      </c>
      <c r="X9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7"/>
      <c r="Z9197" t="s">
        <v>13</v>
      </c>
      <c r="AA9197" t="s">
        <v>236</v>
      </c>
      <c r="AB9197" t="s">
        <v>6</v>
      </c>
      <c r="AC9197" s="21">
        <v>8867.8799999999992</v>
      </c>
      <c r="AD9197" s="21" t="s">
        <v>368</v>
      </c>
      <c r="AE9197" t="str">
        <f>VLOOKUP(Table_Query_from_Actuarial___Production3[[#This Row],[Kor1]],$AI$3:$AK$105,3,FALSE)</f>
        <v>Operating Service Fees</v>
      </c>
      <c r="AF9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8" spans="18:32" x14ac:dyDescent="0.2">
      <c r="R9198" t="s">
        <v>11</v>
      </c>
      <c r="S9198" t="s">
        <v>259</v>
      </c>
      <c r="T9198" t="s">
        <v>6</v>
      </c>
      <c r="U9198" s="21">
        <v>63217.95</v>
      </c>
      <c r="V9198" s="21" t="s">
        <v>368</v>
      </c>
      <c r="W9198" t="str">
        <f>VLOOKUP(Table_Query_from_Actuarial___Production[[#This Row],[Kor1]],$AI$3:$AK$105,3,FALSE)</f>
        <v>Losses Paid</v>
      </c>
      <c r="X9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8"/>
      <c r="Z9198" t="s">
        <v>17</v>
      </c>
      <c r="AA9198" t="s">
        <v>248</v>
      </c>
      <c r="AB9198" t="s">
        <v>443</v>
      </c>
      <c r="AC9198" s="21">
        <v>13165.05</v>
      </c>
      <c r="AD9198" s="21" t="s">
        <v>368</v>
      </c>
      <c r="AE9198" t="str">
        <f>VLOOKUP(Table_Query_from_Actuarial___Production3[[#This Row],[Kor1]],$AI$3:$AK$105,3,FALSE)</f>
        <v>IBNR</v>
      </c>
      <c r="AF9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199" spans="18:32" x14ac:dyDescent="0.2">
      <c r="R9199" t="s">
        <v>34</v>
      </c>
      <c r="S9199" t="s">
        <v>257</v>
      </c>
      <c r="T9199" t="s">
        <v>351</v>
      </c>
      <c r="U9199" s="21">
        <v>550.63</v>
      </c>
      <c r="V9199" s="21" t="s">
        <v>368</v>
      </c>
      <c r="W9199" t="str">
        <f>VLOOKUP(Table_Query_from_Actuarial___Production[[#This Row],[Kor1]],$AI$3:$AK$105,3,FALSE)</f>
        <v>Misc. Expense</v>
      </c>
      <c r="X9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199"/>
      <c r="Z9199" t="s">
        <v>16</v>
      </c>
      <c r="AA9199" t="s">
        <v>246</v>
      </c>
      <c r="AB9199" t="s">
        <v>443</v>
      </c>
      <c r="AC9199" s="21">
        <v>19878.189999999999</v>
      </c>
      <c r="AD9199" s="21" t="s">
        <v>368</v>
      </c>
      <c r="AE9199" t="str">
        <f>VLOOKUP(Table_Query_from_Actuarial___Production3[[#This Row],[Kor1]],$AI$3:$AK$105,3,FALSE)</f>
        <v>Losses Outstanding</v>
      </c>
      <c r="AF9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0" spans="18:32" x14ac:dyDescent="0.2">
      <c r="R9200" t="s">
        <v>44</v>
      </c>
      <c r="S9200" t="s">
        <v>224</v>
      </c>
      <c r="T9200" t="s">
        <v>8</v>
      </c>
      <c r="U9200" s="21">
        <v>1087.21</v>
      </c>
      <c r="V9200" s="21" t="s">
        <v>425</v>
      </c>
      <c r="W9200" t="str">
        <f>VLOOKUP(Table_Query_from_Actuarial___Production[[#This Row],[Kor1]],$AI$3:$AK$105,3,FALSE)</f>
        <v>Charge-offs</v>
      </c>
      <c r="X9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200"/>
      <c r="Z9200" t="s">
        <v>50</v>
      </c>
      <c r="AA9200" t="s">
        <v>249</v>
      </c>
      <c r="AB9200" t="s">
        <v>442</v>
      </c>
      <c r="AC9200" s="21">
        <v>23572.42</v>
      </c>
      <c r="AD9200" s="21" t="s">
        <v>368</v>
      </c>
      <c r="AE9200" t="str">
        <f>VLOOKUP(Table_Query_from_Actuarial___Production3[[#This Row],[Kor1]],$AI$3:$AK$105,3,FALSE)</f>
        <v>ALAE Reserve</v>
      </c>
      <c r="AF9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1" spans="18:32" x14ac:dyDescent="0.2">
      <c r="R9201" t="s">
        <v>49</v>
      </c>
      <c r="S9201" t="s">
        <v>232</v>
      </c>
      <c r="T9201" t="s">
        <v>427</v>
      </c>
      <c r="U9201" s="21">
        <v>16120.15</v>
      </c>
      <c r="V9201" s="21" t="s">
        <v>368</v>
      </c>
      <c r="W9201" t="str">
        <f>VLOOKUP(Table_Query_from_Actuarial___Production[[#This Row],[Kor1]],$AI$3:$AK$105,3,FALSE)</f>
        <v>ALAE Paid</v>
      </c>
      <c r="X9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1"/>
      <c r="Z9201" t="s">
        <v>16</v>
      </c>
      <c r="AA9201" t="s">
        <v>226</v>
      </c>
      <c r="AB9201" t="s">
        <v>443</v>
      </c>
      <c r="AC9201" s="21">
        <v>406391.25</v>
      </c>
      <c r="AD9201" s="21" t="s">
        <v>368</v>
      </c>
      <c r="AE9201" t="str">
        <f>VLOOKUP(Table_Query_from_Actuarial___Production3[[#This Row],[Kor1]],$AI$3:$AK$105,3,FALSE)</f>
        <v>Losses Outstanding</v>
      </c>
      <c r="AF9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02" spans="18:32" x14ac:dyDescent="0.2">
      <c r="R9202" t="s">
        <v>38</v>
      </c>
      <c r="S9202" t="s">
        <v>224</v>
      </c>
      <c r="T9202" t="s">
        <v>443</v>
      </c>
      <c r="U9202" s="21">
        <v>83163.22</v>
      </c>
      <c r="V9202" s="21" t="s">
        <v>370</v>
      </c>
      <c r="W9202" t="str">
        <f>VLOOKUP(Table_Query_from_Actuarial___Production[[#This Row],[Kor1]],$AI$3:$AK$105,3,FALSE)</f>
        <v>Misc. Income</v>
      </c>
      <c r="X9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202"/>
      <c r="Z9202" t="s">
        <v>34</v>
      </c>
      <c r="AA9202" t="s">
        <v>231</v>
      </c>
      <c r="AB9202" t="s">
        <v>443</v>
      </c>
      <c r="AC9202" s="21">
        <v>3601.95</v>
      </c>
      <c r="AD9202" s="21" t="s">
        <v>368</v>
      </c>
      <c r="AE9202" t="str">
        <f>VLOOKUP(Table_Query_from_Actuarial___Production3[[#This Row],[Kor1]],$AI$3:$AK$105,3,FALSE)</f>
        <v>Misc. Expense</v>
      </c>
      <c r="AF9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3" spans="18:32" x14ac:dyDescent="0.2">
      <c r="R9203" t="s">
        <v>12</v>
      </c>
      <c r="S9203" t="s">
        <v>267</v>
      </c>
      <c r="T9203" t="s">
        <v>356</v>
      </c>
      <c r="U9203" s="21">
        <v>10218.76</v>
      </c>
      <c r="V9203" s="21" t="s">
        <v>368</v>
      </c>
      <c r="W9203" t="str">
        <f>VLOOKUP(Table_Query_from_Actuarial___Production[[#This Row],[Kor1]],$AI$3:$AK$105,3,FALSE)</f>
        <v>Premium Tax</v>
      </c>
      <c r="X9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3"/>
      <c r="Z9203" t="s">
        <v>14</v>
      </c>
      <c r="AA9203" t="s">
        <v>264</v>
      </c>
      <c r="AB9203" t="s">
        <v>8</v>
      </c>
      <c r="AC9203" s="21">
        <v>163321.70000000001</v>
      </c>
      <c r="AD9203" s="21" t="s">
        <v>368</v>
      </c>
      <c r="AE9203" t="str">
        <f>VLOOKUP(Table_Query_from_Actuarial___Production3[[#This Row],[Kor1]],$AI$3:$AK$105,3,FALSE)</f>
        <v>Claims Expense</v>
      </c>
      <c r="AF9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4" spans="18:32" x14ac:dyDescent="0.2">
      <c r="R9204" t="s">
        <v>41</v>
      </c>
      <c r="S9204" t="s">
        <v>263</v>
      </c>
      <c r="T9204" t="s">
        <v>7</v>
      </c>
      <c r="U9204" s="21">
        <v>222.51</v>
      </c>
      <c r="V9204" s="21" t="s">
        <v>368</v>
      </c>
      <c r="W9204" t="str">
        <f>VLOOKUP(Table_Query_from_Actuarial___Production[[#This Row],[Kor1]],$AI$3:$AK$105,3,FALSE)</f>
        <v>Misc. Income</v>
      </c>
      <c r="X9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4"/>
      <c r="Z9204" t="s">
        <v>11</v>
      </c>
      <c r="AA9204" t="s">
        <v>259</v>
      </c>
      <c r="AB9204" t="s">
        <v>6</v>
      </c>
      <c r="AC9204" s="21">
        <v>63217.95</v>
      </c>
      <c r="AD9204" s="21" t="s">
        <v>368</v>
      </c>
      <c r="AE9204" t="str">
        <f>VLOOKUP(Table_Query_from_Actuarial___Production3[[#This Row],[Kor1]],$AI$3:$AK$105,3,FALSE)</f>
        <v>Losses Paid</v>
      </c>
      <c r="AF9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5" spans="18:32" x14ac:dyDescent="0.2">
      <c r="R9205" t="s">
        <v>12</v>
      </c>
      <c r="S9205" t="s">
        <v>229</v>
      </c>
      <c r="T9205" t="s">
        <v>356</v>
      </c>
      <c r="U9205" s="21">
        <v>6320.12</v>
      </c>
      <c r="V9205" s="21" t="s">
        <v>368</v>
      </c>
      <c r="W9205" t="str">
        <f>VLOOKUP(Table_Query_from_Actuarial___Production[[#This Row],[Kor1]],$AI$3:$AK$105,3,FALSE)</f>
        <v>Premium Tax</v>
      </c>
      <c r="X9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5"/>
      <c r="Z9205" t="s">
        <v>34</v>
      </c>
      <c r="AA9205" t="s">
        <v>257</v>
      </c>
      <c r="AB9205" t="s">
        <v>351</v>
      </c>
      <c r="AC9205" s="21">
        <v>550.63</v>
      </c>
      <c r="AD9205" s="21" t="s">
        <v>368</v>
      </c>
      <c r="AE9205" t="str">
        <f>VLOOKUP(Table_Query_from_Actuarial___Production3[[#This Row],[Kor1]],$AI$3:$AK$105,3,FALSE)</f>
        <v>Misc. Expense</v>
      </c>
      <c r="AF9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6" spans="18:32" x14ac:dyDescent="0.2">
      <c r="R9206" t="s">
        <v>13</v>
      </c>
      <c r="S9206" t="s">
        <v>243</v>
      </c>
      <c r="T9206" t="s">
        <v>441</v>
      </c>
      <c r="U9206" s="21">
        <v>100925.08</v>
      </c>
      <c r="V9206" s="21" t="s">
        <v>368</v>
      </c>
      <c r="W9206" t="str">
        <f>VLOOKUP(Table_Query_from_Actuarial___Production[[#This Row],[Kor1]],$AI$3:$AK$105,3,FALSE)</f>
        <v>Operating Service Fees</v>
      </c>
      <c r="X9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6"/>
      <c r="Z9206" t="s">
        <v>44</v>
      </c>
      <c r="AA9206" t="s">
        <v>224</v>
      </c>
      <c r="AB9206" t="s">
        <v>8</v>
      </c>
      <c r="AC9206" s="21">
        <v>1087.21</v>
      </c>
      <c r="AD9206" s="21" t="s">
        <v>425</v>
      </c>
      <c r="AE9206" t="str">
        <f>VLOOKUP(Table_Query_from_Actuarial___Production3[[#This Row],[Kor1]],$AI$3:$AK$105,3,FALSE)</f>
        <v>Charge-offs</v>
      </c>
      <c r="AF9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207" spans="18:32" x14ac:dyDescent="0.2">
      <c r="R9207" t="s">
        <v>48</v>
      </c>
      <c r="S9207" t="s">
        <v>238</v>
      </c>
      <c r="T9207" t="s">
        <v>445</v>
      </c>
      <c r="U9207" s="21">
        <v>2645.15</v>
      </c>
      <c r="V9207" s="21" t="s">
        <v>368</v>
      </c>
      <c r="W9207" t="str">
        <f>VLOOKUP(Table_Query_from_Actuarial___Production[[#This Row],[Kor1]],$AI$3:$AK$105,3,FALSE)</f>
        <v>Anticipated Salvage</v>
      </c>
      <c r="X9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7"/>
      <c r="Z9207" t="s">
        <v>49</v>
      </c>
      <c r="AA9207" t="s">
        <v>232</v>
      </c>
      <c r="AB9207" t="s">
        <v>427</v>
      </c>
      <c r="AC9207" s="21">
        <v>12807.5</v>
      </c>
      <c r="AD9207" s="21" t="s">
        <v>368</v>
      </c>
      <c r="AE9207" t="str">
        <f>VLOOKUP(Table_Query_from_Actuarial___Production3[[#This Row],[Kor1]],$AI$3:$AK$105,3,FALSE)</f>
        <v>ALAE Paid</v>
      </c>
      <c r="AF9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08" spans="18:32" x14ac:dyDescent="0.2">
      <c r="R9208" t="s">
        <v>44</v>
      </c>
      <c r="S9208" t="s">
        <v>226</v>
      </c>
      <c r="T9208" t="s">
        <v>9</v>
      </c>
      <c r="U9208" s="21">
        <v>279094.43</v>
      </c>
      <c r="V9208" s="21" t="s">
        <v>368</v>
      </c>
      <c r="W9208" t="str">
        <f>VLOOKUP(Table_Query_from_Actuarial___Production[[#This Row],[Kor1]],$AI$3:$AK$105,3,FALSE)</f>
        <v>Charge-offs</v>
      </c>
      <c r="X9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208"/>
      <c r="Z9208" t="s">
        <v>10</v>
      </c>
      <c r="AA9208" t="s">
        <v>225</v>
      </c>
      <c r="AB9208" t="s">
        <v>5</v>
      </c>
      <c r="AC9208" s="21">
        <v>83179.64</v>
      </c>
      <c r="AD9208" s="21" t="s">
        <v>368</v>
      </c>
      <c r="AE9208" t="str">
        <f>VLOOKUP(Table_Query_from_Actuarial___Production3[[#This Row],[Kor1]],$AI$3:$AK$105,3,FALSE)</f>
        <v>Commissions</v>
      </c>
      <c r="AF9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209" spans="18:32" x14ac:dyDescent="0.2">
      <c r="R9209" t="s">
        <v>37</v>
      </c>
      <c r="S9209" t="s">
        <v>265</v>
      </c>
      <c r="T9209" t="s">
        <v>9</v>
      </c>
      <c r="U9209" s="21">
        <v>227.4</v>
      </c>
      <c r="V9209" s="21" t="s">
        <v>368</v>
      </c>
      <c r="W9209" t="str">
        <f>VLOOKUP(Table_Query_from_Actuarial___Production[[#This Row],[Kor1]],$AI$3:$AK$105,3,FALSE)</f>
        <v>Misc. Expense</v>
      </c>
      <c r="X9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09"/>
      <c r="Z9209" t="s">
        <v>38</v>
      </c>
      <c r="AA9209" t="s">
        <v>224</v>
      </c>
      <c r="AB9209" t="s">
        <v>443</v>
      </c>
      <c r="AC9209" s="21">
        <v>83163.22</v>
      </c>
      <c r="AD9209" s="21" t="s">
        <v>370</v>
      </c>
      <c r="AE9209" t="str">
        <f>VLOOKUP(Table_Query_from_Actuarial___Production3[[#This Row],[Kor1]],$AI$3:$AK$105,3,FALSE)</f>
        <v>Misc. Income</v>
      </c>
      <c r="AF9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210" spans="18:32" x14ac:dyDescent="0.2">
      <c r="R9210" t="s">
        <v>49</v>
      </c>
      <c r="S9210" t="s">
        <v>237</v>
      </c>
      <c r="T9210" t="s">
        <v>8</v>
      </c>
      <c r="U9210" s="21">
        <v>528257.53</v>
      </c>
      <c r="V9210" s="21" t="s">
        <v>368</v>
      </c>
      <c r="W9210" t="str">
        <f>VLOOKUP(Table_Query_from_Actuarial___Production[[#This Row],[Kor1]],$AI$3:$AK$105,3,FALSE)</f>
        <v>ALAE Paid</v>
      </c>
      <c r="X9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0"/>
      <c r="Z9210" t="s">
        <v>12</v>
      </c>
      <c r="AA9210" t="s">
        <v>267</v>
      </c>
      <c r="AB9210" t="s">
        <v>356</v>
      </c>
      <c r="AC9210" s="21">
        <v>10218.76</v>
      </c>
      <c r="AD9210" s="21" t="s">
        <v>368</v>
      </c>
      <c r="AE9210" t="str">
        <f>VLOOKUP(Table_Query_from_Actuarial___Production3[[#This Row],[Kor1]],$AI$3:$AK$105,3,FALSE)</f>
        <v>Premium Tax</v>
      </c>
      <c r="AF9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1" spans="18:32" x14ac:dyDescent="0.2">
      <c r="R9211" t="s">
        <v>18</v>
      </c>
      <c r="S9211" t="s">
        <v>225</v>
      </c>
      <c r="T9211" t="s">
        <v>443</v>
      </c>
      <c r="U9211" s="21">
        <v>884102.06</v>
      </c>
      <c r="V9211" s="21" t="s">
        <v>369</v>
      </c>
      <c r="W9211" t="str">
        <f>VLOOKUP(Table_Query_from_Actuarial___Production[[#This Row],[Kor1]],$AI$3:$AK$105,3,FALSE)</f>
        <v>Misc. Expense</v>
      </c>
      <c r="X9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211"/>
      <c r="Z9211" t="s">
        <v>41</v>
      </c>
      <c r="AA9211" t="s">
        <v>263</v>
      </c>
      <c r="AB9211" t="s">
        <v>7</v>
      </c>
      <c r="AC9211" s="21">
        <v>222.51</v>
      </c>
      <c r="AD9211" s="21" t="s">
        <v>368</v>
      </c>
      <c r="AE9211" t="str">
        <f>VLOOKUP(Table_Query_from_Actuarial___Production3[[#This Row],[Kor1]],$AI$3:$AK$105,3,FALSE)</f>
        <v>Misc. Income</v>
      </c>
      <c r="AF9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2" spans="18:32" x14ac:dyDescent="0.2">
      <c r="R9212" t="s">
        <v>10</v>
      </c>
      <c r="S9212" t="s">
        <v>237</v>
      </c>
      <c r="T9212" t="s">
        <v>7</v>
      </c>
      <c r="U9212" s="21">
        <v>191464.23</v>
      </c>
      <c r="V9212" s="21" t="s">
        <v>368</v>
      </c>
      <c r="W9212" t="str">
        <f>VLOOKUP(Table_Query_from_Actuarial___Production[[#This Row],[Kor1]],$AI$3:$AK$105,3,FALSE)</f>
        <v>Commissions</v>
      </c>
      <c r="X9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2"/>
      <c r="Z9212" t="s">
        <v>12</v>
      </c>
      <c r="AA9212" t="s">
        <v>229</v>
      </c>
      <c r="AB9212" t="s">
        <v>356</v>
      </c>
      <c r="AC9212" s="21">
        <v>6320.12</v>
      </c>
      <c r="AD9212" s="21" t="s">
        <v>368</v>
      </c>
      <c r="AE9212" t="str">
        <f>VLOOKUP(Table_Query_from_Actuarial___Production3[[#This Row],[Kor1]],$AI$3:$AK$105,3,FALSE)</f>
        <v>Premium Tax</v>
      </c>
      <c r="AF9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3" spans="18:32" x14ac:dyDescent="0.2">
      <c r="R9213" t="s">
        <v>12</v>
      </c>
      <c r="S9213" t="s">
        <v>257</v>
      </c>
      <c r="T9213" t="s">
        <v>356</v>
      </c>
      <c r="U9213" s="21">
        <v>15926.76</v>
      </c>
      <c r="V9213" s="21" t="s">
        <v>368</v>
      </c>
      <c r="W9213" t="str">
        <f>VLOOKUP(Table_Query_from_Actuarial___Production[[#This Row],[Kor1]],$AI$3:$AK$105,3,FALSE)</f>
        <v>Premium Tax</v>
      </c>
      <c r="X9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3"/>
      <c r="Z9213" t="s">
        <v>13</v>
      </c>
      <c r="AA9213" t="s">
        <v>243</v>
      </c>
      <c r="AB9213" t="s">
        <v>441</v>
      </c>
      <c r="AC9213" s="21">
        <v>100925.08</v>
      </c>
      <c r="AD9213" s="21" t="s">
        <v>368</v>
      </c>
      <c r="AE9213" t="str">
        <f>VLOOKUP(Table_Query_from_Actuarial___Production3[[#This Row],[Kor1]],$AI$3:$AK$105,3,FALSE)</f>
        <v>Operating Service Fees</v>
      </c>
      <c r="AF9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4" spans="18:32" x14ac:dyDescent="0.2">
      <c r="R9214" t="s">
        <v>3</v>
      </c>
      <c r="S9214" t="s">
        <v>258</v>
      </c>
      <c r="T9214" t="s">
        <v>351</v>
      </c>
      <c r="U9214" s="21">
        <v>2763864</v>
      </c>
      <c r="V9214" s="21" t="s">
        <v>368</v>
      </c>
      <c r="W9214" t="str">
        <f>VLOOKUP(Table_Query_from_Actuarial___Production[[#This Row],[Kor1]],$AI$3:$AK$105,3,FALSE)</f>
        <v>Premiums Written</v>
      </c>
      <c r="X9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4"/>
      <c r="Z9214" t="s">
        <v>44</v>
      </c>
      <c r="AA9214" t="s">
        <v>226</v>
      </c>
      <c r="AB9214" t="s">
        <v>9</v>
      </c>
      <c r="AC9214" s="21">
        <v>279094.43</v>
      </c>
      <c r="AD9214" s="21" t="s">
        <v>368</v>
      </c>
      <c r="AE9214" t="str">
        <f>VLOOKUP(Table_Query_from_Actuarial___Production3[[#This Row],[Kor1]],$AI$3:$AK$105,3,FALSE)</f>
        <v>Charge-offs</v>
      </c>
      <c r="AF9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15" spans="18:32" x14ac:dyDescent="0.2">
      <c r="R9215" t="s">
        <v>33</v>
      </c>
      <c r="S9215" t="s">
        <v>255</v>
      </c>
      <c r="T9215" t="s">
        <v>9</v>
      </c>
      <c r="U9215" s="21">
        <v>15455.13</v>
      </c>
      <c r="V9215" s="21" t="s">
        <v>368</v>
      </c>
      <c r="W9215" t="str">
        <f>VLOOKUP(Table_Query_from_Actuarial___Production[[#This Row],[Kor1]],$AI$3:$AK$105,3,FALSE)</f>
        <v>Misc. Expense</v>
      </c>
      <c r="X9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5"/>
      <c r="Z9215" t="s">
        <v>37</v>
      </c>
      <c r="AA9215" t="s">
        <v>265</v>
      </c>
      <c r="AB9215" t="s">
        <v>9</v>
      </c>
      <c r="AC9215" s="21">
        <v>227.4</v>
      </c>
      <c r="AD9215" s="21" t="s">
        <v>368</v>
      </c>
      <c r="AE9215" t="str">
        <f>VLOOKUP(Table_Query_from_Actuarial___Production3[[#This Row],[Kor1]],$AI$3:$AK$105,3,FALSE)</f>
        <v>Misc. Expense</v>
      </c>
      <c r="AF9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6" spans="18:32" x14ac:dyDescent="0.2">
      <c r="R9216" t="s">
        <v>34</v>
      </c>
      <c r="S9216" t="s">
        <v>258</v>
      </c>
      <c r="T9216" t="s">
        <v>443</v>
      </c>
      <c r="U9216" s="21">
        <v>29124</v>
      </c>
      <c r="V9216" s="21" t="s">
        <v>368</v>
      </c>
      <c r="W9216" t="str">
        <f>VLOOKUP(Table_Query_from_Actuarial___Production[[#This Row],[Kor1]],$AI$3:$AK$105,3,FALSE)</f>
        <v>Misc. Expense</v>
      </c>
      <c r="X9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6"/>
      <c r="Z9216" t="s">
        <v>49</v>
      </c>
      <c r="AA9216" t="s">
        <v>237</v>
      </c>
      <c r="AB9216" t="s">
        <v>8</v>
      </c>
      <c r="AC9216" s="21">
        <v>478541.64</v>
      </c>
      <c r="AD9216" s="21" t="s">
        <v>368</v>
      </c>
      <c r="AE9216" t="str">
        <f>VLOOKUP(Table_Query_from_Actuarial___Production3[[#This Row],[Kor1]],$AI$3:$AK$105,3,FALSE)</f>
        <v>ALAE Paid</v>
      </c>
      <c r="AF9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7" spans="18:32" x14ac:dyDescent="0.2">
      <c r="R9217" t="s">
        <v>444</v>
      </c>
      <c r="S9217" t="s">
        <v>240</v>
      </c>
      <c r="T9217" t="s">
        <v>443</v>
      </c>
      <c r="U9217" s="21">
        <v>23464.2</v>
      </c>
      <c r="V9217" s="21" t="s">
        <v>368</v>
      </c>
      <c r="W9217" t="str">
        <f>VLOOKUP(Table_Query_from_Actuarial___Production[[#This Row],[Kor1]],$AI$3:$AK$105,3,FALSE)</f>
        <v>Misc. Expense</v>
      </c>
      <c r="X9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7"/>
      <c r="Z9217" t="s">
        <v>18</v>
      </c>
      <c r="AA9217" t="s">
        <v>225</v>
      </c>
      <c r="AB9217" t="s">
        <v>443</v>
      </c>
      <c r="AC9217" s="21">
        <v>401030.59</v>
      </c>
      <c r="AD9217" s="21" t="s">
        <v>369</v>
      </c>
      <c r="AE9217" t="str">
        <f>VLOOKUP(Table_Query_from_Actuarial___Production3[[#This Row],[Kor1]],$AI$3:$AK$105,3,FALSE)</f>
        <v>Misc. Expense</v>
      </c>
      <c r="AF9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218" spans="18:32" x14ac:dyDescent="0.2">
      <c r="R9218" t="s">
        <v>3</v>
      </c>
      <c r="S9218" t="s">
        <v>258</v>
      </c>
      <c r="T9218" t="s">
        <v>441</v>
      </c>
      <c r="U9218" s="21">
        <v>3375575</v>
      </c>
      <c r="V9218" s="21" t="s">
        <v>368</v>
      </c>
      <c r="W9218" t="str">
        <f>VLOOKUP(Table_Query_from_Actuarial___Production[[#This Row],[Kor1]],$AI$3:$AK$105,3,FALSE)</f>
        <v>Premiums Written</v>
      </c>
      <c r="X9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8"/>
      <c r="Z9218" t="s">
        <v>10</v>
      </c>
      <c r="AA9218" t="s">
        <v>237</v>
      </c>
      <c r="AB9218" t="s">
        <v>7</v>
      </c>
      <c r="AC9218" s="21">
        <v>191464.23</v>
      </c>
      <c r="AD9218" s="21" t="s">
        <v>368</v>
      </c>
      <c r="AE9218" t="str">
        <f>VLOOKUP(Table_Query_from_Actuarial___Production3[[#This Row],[Kor1]],$AI$3:$AK$105,3,FALSE)</f>
        <v>Commissions</v>
      </c>
      <c r="AF9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19" spans="18:32" x14ac:dyDescent="0.2">
      <c r="R9219" t="s">
        <v>11</v>
      </c>
      <c r="S9219" t="s">
        <v>234</v>
      </c>
      <c r="T9219" t="s">
        <v>356</v>
      </c>
      <c r="U9219" s="21">
        <v>119442.67</v>
      </c>
      <c r="V9219" s="21" t="s">
        <v>368</v>
      </c>
      <c r="W9219" t="str">
        <f>VLOOKUP(Table_Query_from_Actuarial___Production[[#This Row],[Kor1]],$AI$3:$AK$105,3,FALSE)</f>
        <v>Losses Paid</v>
      </c>
      <c r="X9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19"/>
      <c r="Z9219" t="s">
        <v>12</v>
      </c>
      <c r="AA9219" t="s">
        <v>257</v>
      </c>
      <c r="AB9219" t="s">
        <v>356</v>
      </c>
      <c r="AC9219" s="21">
        <v>15926.76</v>
      </c>
      <c r="AD9219" s="21" t="s">
        <v>368</v>
      </c>
      <c r="AE9219" t="str">
        <f>VLOOKUP(Table_Query_from_Actuarial___Production3[[#This Row],[Kor1]],$AI$3:$AK$105,3,FALSE)</f>
        <v>Premium Tax</v>
      </c>
      <c r="AF9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0" spans="18:32" x14ac:dyDescent="0.2">
      <c r="R9220" t="s">
        <v>37</v>
      </c>
      <c r="S9220" t="s">
        <v>246</v>
      </c>
      <c r="T9220" t="s">
        <v>433</v>
      </c>
      <c r="U9220" s="21">
        <v>345.92</v>
      </c>
      <c r="V9220" s="21" t="s">
        <v>368</v>
      </c>
      <c r="W9220" t="str">
        <f>VLOOKUP(Table_Query_from_Actuarial___Production[[#This Row],[Kor1]],$AI$3:$AK$105,3,FALSE)</f>
        <v>Misc. Expense</v>
      </c>
      <c r="X9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0"/>
      <c r="Z9220" t="s">
        <v>17</v>
      </c>
      <c r="AA9220" t="s">
        <v>250</v>
      </c>
      <c r="AB9220" t="s">
        <v>427</v>
      </c>
      <c r="AC9220" s="21">
        <v>89331.94</v>
      </c>
      <c r="AD9220" s="21" t="s">
        <v>368</v>
      </c>
      <c r="AE9220" t="str">
        <f>VLOOKUP(Table_Query_from_Actuarial___Production3[[#This Row],[Kor1]],$AI$3:$AK$105,3,FALSE)</f>
        <v>IBNR</v>
      </c>
      <c r="AF9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1" spans="18:32" x14ac:dyDescent="0.2">
      <c r="R9221" t="s">
        <v>40</v>
      </c>
      <c r="S9221" t="s">
        <v>264</v>
      </c>
      <c r="T9221" t="s">
        <v>442</v>
      </c>
      <c r="U9221" s="21">
        <v>358.02</v>
      </c>
      <c r="V9221" s="21" t="s">
        <v>368</v>
      </c>
      <c r="W9221" t="str">
        <f>VLOOKUP(Table_Query_from_Actuarial___Production[[#This Row],[Kor1]],$AI$3:$AK$105,3,FALSE)</f>
        <v>Misc. Income</v>
      </c>
      <c r="X9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1"/>
      <c r="Z9221" t="s">
        <v>47</v>
      </c>
      <c r="AA9221" t="s">
        <v>263</v>
      </c>
      <c r="AB9221" t="s">
        <v>5</v>
      </c>
      <c r="AC9221" s="21">
        <v>1.45</v>
      </c>
      <c r="AD9221" s="21" t="s">
        <v>368</v>
      </c>
      <c r="AE9221" t="str">
        <f>VLOOKUP(Table_Query_from_Actuarial___Production3[[#This Row],[Kor1]],$AI$3:$AK$105,3,FALSE)</f>
        <v>Investment Income</v>
      </c>
      <c r="AF9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2" spans="18:32" x14ac:dyDescent="0.2">
      <c r="R9222" t="s">
        <v>42</v>
      </c>
      <c r="S9222" t="s">
        <v>4</v>
      </c>
      <c r="T9222" t="s">
        <v>356</v>
      </c>
      <c r="U9222" s="21">
        <v>462.8</v>
      </c>
      <c r="V9222" s="21" t="s">
        <v>368</v>
      </c>
      <c r="W9222" t="str">
        <f>VLOOKUP(Table_Query_from_Actuarial___Production[[#This Row],[Kor1]],$AI$3:$AK$105,3,FALSE)</f>
        <v>Misc. Income</v>
      </c>
      <c r="X9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2"/>
      <c r="Z9222" t="s">
        <v>3</v>
      </c>
      <c r="AA9222" t="s">
        <v>258</v>
      </c>
      <c r="AB9222" t="s">
        <v>351</v>
      </c>
      <c r="AC9222" s="21">
        <v>2763864</v>
      </c>
      <c r="AD9222" s="21" t="s">
        <v>368</v>
      </c>
      <c r="AE9222" t="str">
        <f>VLOOKUP(Table_Query_from_Actuarial___Production3[[#This Row],[Kor1]],$AI$3:$AK$105,3,FALSE)</f>
        <v>Premiums Written</v>
      </c>
      <c r="AF9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3" spans="18:32" x14ac:dyDescent="0.2">
      <c r="R9223" t="s">
        <v>21</v>
      </c>
      <c r="S9223" t="s">
        <v>246</v>
      </c>
      <c r="T9223" t="s">
        <v>8</v>
      </c>
      <c r="U9223" s="21">
        <v>346</v>
      </c>
      <c r="V9223" s="21" t="s">
        <v>368</v>
      </c>
      <c r="W9223" t="str">
        <f>VLOOKUP(Table_Query_from_Actuarial___Production[[#This Row],[Kor1]],$AI$3:$AK$105,3,FALSE)</f>
        <v>Misc. Expense</v>
      </c>
      <c r="X9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3"/>
      <c r="Z9223" t="s">
        <v>33</v>
      </c>
      <c r="AA9223" t="s">
        <v>255</v>
      </c>
      <c r="AB9223" t="s">
        <v>9</v>
      </c>
      <c r="AC9223" s="21">
        <v>15455.13</v>
      </c>
      <c r="AD9223" s="21" t="s">
        <v>368</v>
      </c>
      <c r="AE9223" t="str">
        <f>VLOOKUP(Table_Query_from_Actuarial___Production3[[#This Row],[Kor1]],$AI$3:$AK$105,3,FALSE)</f>
        <v>Misc. Expense</v>
      </c>
      <c r="AF9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4" spans="18:32" x14ac:dyDescent="0.2">
      <c r="R9224" t="s">
        <v>37</v>
      </c>
      <c r="S9224" t="s">
        <v>234</v>
      </c>
      <c r="T9224" t="s">
        <v>443</v>
      </c>
      <c r="U9224" s="21">
        <v>349.64</v>
      </c>
      <c r="V9224" s="21" t="s">
        <v>368</v>
      </c>
      <c r="W9224" t="str">
        <f>VLOOKUP(Table_Query_from_Actuarial___Production[[#This Row],[Kor1]],$AI$3:$AK$105,3,FALSE)</f>
        <v>Misc. Expense</v>
      </c>
      <c r="X9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4"/>
      <c r="Z9224" t="s">
        <v>48</v>
      </c>
      <c r="AA9224" t="s">
        <v>235</v>
      </c>
      <c r="AB9224" t="s">
        <v>427</v>
      </c>
      <c r="AC9224" s="21">
        <v>222.9</v>
      </c>
      <c r="AD9224" s="21" t="s">
        <v>368</v>
      </c>
      <c r="AE9224" t="str">
        <f>VLOOKUP(Table_Query_from_Actuarial___Production3[[#This Row],[Kor1]],$AI$3:$AK$105,3,FALSE)</f>
        <v>Anticipated Salvage</v>
      </c>
      <c r="AF9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5" spans="18:32" x14ac:dyDescent="0.2">
      <c r="R9225" t="s">
        <v>11</v>
      </c>
      <c r="S9225" t="s">
        <v>243</v>
      </c>
      <c r="T9225" t="s">
        <v>433</v>
      </c>
      <c r="U9225" s="21">
        <v>137119.59</v>
      </c>
      <c r="V9225" s="21" t="s">
        <v>368</v>
      </c>
      <c r="W9225" t="str">
        <f>VLOOKUP(Table_Query_from_Actuarial___Production[[#This Row],[Kor1]],$AI$3:$AK$105,3,FALSE)</f>
        <v>Losses Paid</v>
      </c>
      <c r="X9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5"/>
      <c r="Z9225" t="s">
        <v>34</v>
      </c>
      <c r="AA9225" t="s">
        <v>258</v>
      </c>
      <c r="AB9225" t="s">
        <v>443</v>
      </c>
      <c r="AC9225" s="21">
        <v>10810.38</v>
      </c>
      <c r="AD9225" s="21" t="s">
        <v>368</v>
      </c>
      <c r="AE9225" t="str">
        <f>VLOOKUP(Table_Query_from_Actuarial___Production3[[#This Row],[Kor1]],$AI$3:$AK$105,3,FALSE)</f>
        <v>Misc. Expense</v>
      </c>
      <c r="AF9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6" spans="18:32" x14ac:dyDescent="0.2">
      <c r="R9226" t="s">
        <v>13</v>
      </c>
      <c r="S9226" t="s">
        <v>246</v>
      </c>
      <c r="T9226" t="s">
        <v>445</v>
      </c>
      <c r="U9226" s="21">
        <v>40597.440000000002</v>
      </c>
      <c r="V9226" s="21" t="s">
        <v>368</v>
      </c>
      <c r="W9226" t="str">
        <f>VLOOKUP(Table_Query_from_Actuarial___Production[[#This Row],[Kor1]],$AI$3:$AK$105,3,FALSE)</f>
        <v>Operating Service Fees</v>
      </c>
      <c r="X9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6"/>
      <c r="Z9226" t="s">
        <v>3</v>
      </c>
      <c r="AA9226" t="s">
        <v>258</v>
      </c>
      <c r="AB9226" t="s">
        <v>441</v>
      </c>
      <c r="AC9226" s="21">
        <v>3375575</v>
      </c>
      <c r="AD9226" s="21" t="s">
        <v>368</v>
      </c>
      <c r="AE9226" t="str">
        <f>VLOOKUP(Table_Query_from_Actuarial___Production3[[#This Row],[Kor1]],$AI$3:$AK$105,3,FALSE)</f>
        <v>Premiums Written</v>
      </c>
      <c r="AF9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7" spans="18:32" x14ac:dyDescent="0.2">
      <c r="R9227" t="s">
        <v>13</v>
      </c>
      <c r="S9227" t="s">
        <v>250</v>
      </c>
      <c r="T9227" t="s">
        <v>442</v>
      </c>
      <c r="U9227" s="21">
        <v>180866.43</v>
      </c>
      <c r="V9227" s="21" t="s">
        <v>368</v>
      </c>
      <c r="W9227" t="str">
        <f>VLOOKUP(Table_Query_from_Actuarial___Production[[#This Row],[Kor1]],$AI$3:$AK$105,3,FALSE)</f>
        <v>Operating Service Fees</v>
      </c>
      <c r="X9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7"/>
      <c r="Z9227" t="s">
        <v>11</v>
      </c>
      <c r="AA9227" t="s">
        <v>234</v>
      </c>
      <c r="AB9227" t="s">
        <v>356</v>
      </c>
      <c r="AC9227" s="21">
        <v>119442.67</v>
      </c>
      <c r="AD9227" s="21" t="s">
        <v>368</v>
      </c>
      <c r="AE9227" t="str">
        <f>VLOOKUP(Table_Query_from_Actuarial___Production3[[#This Row],[Kor1]],$AI$3:$AK$105,3,FALSE)</f>
        <v>Losses Paid</v>
      </c>
      <c r="AF9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8" spans="18:32" x14ac:dyDescent="0.2">
      <c r="R9228" t="s">
        <v>40</v>
      </c>
      <c r="S9228" t="s">
        <v>260</v>
      </c>
      <c r="T9228" t="s">
        <v>441</v>
      </c>
      <c r="U9228" s="21">
        <v>115</v>
      </c>
      <c r="V9228" s="21" t="s">
        <v>368</v>
      </c>
      <c r="W9228" t="str">
        <f>VLOOKUP(Table_Query_from_Actuarial___Production[[#This Row],[Kor1]],$AI$3:$AK$105,3,FALSE)</f>
        <v>Misc. Income</v>
      </c>
      <c r="X9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28"/>
      <c r="Z9228" t="s">
        <v>37</v>
      </c>
      <c r="AA9228" t="s">
        <v>246</v>
      </c>
      <c r="AB9228" t="s">
        <v>433</v>
      </c>
      <c r="AC9228" s="21">
        <v>345.92</v>
      </c>
      <c r="AD9228" s="21" t="s">
        <v>368</v>
      </c>
      <c r="AE9228" t="str">
        <f>VLOOKUP(Table_Query_from_Actuarial___Production3[[#This Row],[Kor1]],$AI$3:$AK$105,3,FALSE)</f>
        <v>Misc. Expense</v>
      </c>
      <c r="AF9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29" spans="18:32" x14ac:dyDescent="0.2">
      <c r="R9229" t="s">
        <v>3</v>
      </c>
      <c r="S9229" t="s">
        <v>226</v>
      </c>
      <c r="T9229" t="s">
        <v>9</v>
      </c>
      <c r="U9229" s="21">
        <v>6491419</v>
      </c>
      <c r="V9229" s="21" t="s">
        <v>368</v>
      </c>
      <c r="W9229" t="str">
        <f>VLOOKUP(Table_Query_from_Actuarial___Production[[#This Row],[Kor1]],$AI$3:$AK$105,3,FALSE)</f>
        <v>Premiums Written</v>
      </c>
      <c r="X9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229"/>
      <c r="Z9229" t="s">
        <v>40</v>
      </c>
      <c r="AA9229" t="s">
        <v>264</v>
      </c>
      <c r="AB9229" t="s">
        <v>442</v>
      </c>
      <c r="AC9229" s="21">
        <v>358.02</v>
      </c>
      <c r="AD9229" s="21" t="s">
        <v>368</v>
      </c>
      <c r="AE9229" t="str">
        <f>VLOOKUP(Table_Query_from_Actuarial___Production3[[#This Row],[Kor1]],$AI$3:$AK$105,3,FALSE)</f>
        <v>Misc. Income</v>
      </c>
      <c r="AF9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0" spans="18:32" x14ac:dyDescent="0.2">
      <c r="R9230" t="s">
        <v>15</v>
      </c>
      <c r="S9230" t="s">
        <v>239</v>
      </c>
      <c r="T9230" t="s">
        <v>445</v>
      </c>
      <c r="U9230" s="21">
        <v>3508338.17</v>
      </c>
      <c r="V9230" s="21" t="s">
        <v>368</v>
      </c>
      <c r="W9230" t="str">
        <f>VLOOKUP(Table_Query_from_Actuarial___Production[[#This Row],[Kor1]],$AI$3:$AK$105,3,FALSE)</f>
        <v>Unearned Premiums</v>
      </c>
      <c r="X9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0"/>
      <c r="Z9230" t="s">
        <v>42</v>
      </c>
      <c r="AA9230" t="s">
        <v>4</v>
      </c>
      <c r="AB9230" t="s">
        <v>356</v>
      </c>
      <c r="AC9230" s="21">
        <v>462.8</v>
      </c>
      <c r="AD9230" s="21" t="s">
        <v>368</v>
      </c>
      <c r="AE9230" t="str">
        <f>VLOOKUP(Table_Query_from_Actuarial___Production3[[#This Row],[Kor1]],$AI$3:$AK$105,3,FALSE)</f>
        <v>Misc. Income</v>
      </c>
      <c r="AF9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1" spans="18:32" x14ac:dyDescent="0.2">
      <c r="R9231" t="s">
        <v>33</v>
      </c>
      <c r="S9231" t="s">
        <v>257</v>
      </c>
      <c r="T9231" t="s">
        <v>9</v>
      </c>
      <c r="U9231" s="21">
        <v>18293.560000000001</v>
      </c>
      <c r="V9231" s="21" t="s">
        <v>368</v>
      </c>
      <c r="W9231" t="str">
        <f>VLOOKUP(Table_Query_from_Actuarial___Production[[#This Row],[Kor1]],$AI$3:$AK$105,3,FALSE)</f>
        <v>Misc. Expense</v>
      </c>
      <c r="X9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1"/>
      <c r="Z9231" t="s">
        <v>21</v>
      </c>
      <c r="AA9231" t="s">
        <v>246</v>
      </c>
      <c r="AB9231" t="s">
        <v>8</v>
      </c>
      <c r="AC9231" s="21">
        <v>346</v>
      </c>
      <c r="AD9231" s="21" t="s">
        <v>368</v>
      </c>
      <c r="AE9231" t="str">
        <f>VLOOKUP(Table_Query_from_Actuarial___Production3[[#This Row],[Kor1]],$AI$3:$AK$105,3,FALSE)</f>
        <v>Misc. Expense</v>
      </c>
      <c r="AF9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2" spans="18:32" x14ac:dyDescent="0.2">
      <c r="R9232" t="s">
        <v>16</v>
      </c>
      <c r="S9232" t="s">
        <v>226</v>
      </c>
      <c r="T9232" t="s">
        <v>427</v>
      </c>
      <c r="U9232" s="21">
        <v>916600</v>
      </c>
      <c r="V9232" s="21" t="s">
        <v>368</v>
      </c>
      <c r="W9232" t="str">
        <f>VLOOKUP(Table_Query_from_Actuarial___Production[[#This Row],[Kor1]],$AI$3:$AK$105,3,FALSE)</f>
        <v>Losses Outstanding</v>
      </c>
      <c r="X9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232"/>
      <c r="Z9232" t="s">
        <v>37</v>
      </c>
      <c r="AA9232" t="s">
        <v>234</v>
      </c>
      <c r="AB9232" t="s">
        <v>443</v>
      </c>
      <c r="AC9232" s="21">
        <v>172.73</v>
      </c>
      <c r="AD9232" s="21" t="s">
        <v>368</v>
      </c>
      <c r="AE9232" t="str">
        <f>VLOOKUP(Table_Query_from_Actuarial___Production3[[#This Row],[Kor1]],$AI$3:$AK$105,3,FALSE)</f>
        <v>Misc. Expense</v>
      </c>
      <c r="AF9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3" spans="18:32" x14ac:dyDescent="0.2">
      <c r="R9233" t="s">
        <v>47</v>
      </c>
      <c r="S9233" t="s">
        <v>239</v>
      </c>
      <c r="T9233" t="s">
        <v>442</v>
      </c>
      <c r="U9233" s="21">
        <v>11523.88</v>
      </c>
      <c r="V9233" s="21" t="s">
        <v>368</v>
      </c>
      <c r="W9233" t="str">
        <f>VLOOKUP(Table_Query_from_Actuarial___Production[[#This Row],[Kor1]],$AI$3:$AK$105,3,FALSE)</f>
        <v>Investment Income</v>
      </c>
      <c r="X9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3"/>
      <c r="Z9233" t="s">
        <v>11</v>
      </c>
      <c r="AA9233" t="s">
        <v>243</v>
      </c>
      <c r="AB9233" t="s">
        <v>433</v>
      </c>
      <c r="AC9233" s="21">
        <v>107119.59</v>
      </c>
      <c r="AD9233" s="21" t="s">
        <v>368</v>
      </c>
      <c r="AE9233" t="str">
        <f>VLOOKUP(Table_Query_from_Actuarial___Production3[[#This Row],[Kor1]],$AI$3:$AK$105,3,FALSE)</f>
        <v>Losses Paid</v>
      </c>
      <c r="AF9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4" spans="18:32" x14ac:dyDescent="0.2">
      <c r="R9234" t="s">
        <v>18</v>
      </c>
      <c r="S9234" t="s">
        <v>225</v>
      </c>
      <c r="T9234" t="s">
        <v>7</v>
      </c>
      <c r="U9234" s="21">
        <v>1131888.3799999999</v>
      </c>
      <c r="V9234" s="21" t="s">
        <v>369</v>
      </c>
      <c r="W9234" t="str">
        <f>VLOOKUP(Table_Query_from_Actuarial___Production[[#This Row],[Kor1]],$AI$3:$AK$105,3,FALSE)</f>
        <v>Misc. Expense</v>
      </c>
      <c r="X9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234"/>
      <c r="Z9234" t="s">
        <v>13</v>
      </c>
      <c r="AA9234" t="s">
        <v>250</v>
      </c>
      <c r="AB9234" t="s">
        <v>442</v>
      </c>
      <c r="AC9234" s="21">
        <v>180861.04</v>
      </c>
      <c r="AD9234" s="21" t="s">
        <v>368</v>
      </c>
      <c r="AE9234" t="str">
        <f>VLOOKUP(Table_Query_from_Actuarial___Production3[[#This Row],[Kor1]],$AI$3:$AK$105,3,FALSE)</f>
        <v>Operating Service Fees</v>
      </c>
      <c r="AF9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5" spans="18:32" x14ac:dyDescent="0.2">
      <c r="R9235" t="s">
        <v>43</v>
      </c>
      <c r="S9235" t="s">
        <v>266</v>
      </c>
      <c r="T9235" t="s">
        <v>9</v>
      </c>
      <c r="U9235" s="21">
        <v>-6618.09</v>
      </c>
      <c r="V9235" s="21" t="s">
        <v>368</v>
      </c>
      <c r="W9235" t="str">
        <f>VLOOKUP(Table_Query_from_Actuarial___Production[[#This Row],[Kor1]],$AI$3:$AK$105,3,FALSE)</f>
        <v>Charge-offs</v>
      </c>
      <c r="X9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5"/>
      <c r="Z9235" t="s">
        <v>40</v>
      </c>
      <c r="AA9235" t="s">
        <v>260</v>
      </c>
      <c r="AB9235" t="s">
        <v>441</v>
      </c>
      <c r="AC9235" s="21">
        <v>115</v>
      </c>
      <c r="AD9235" s="21" t="s">
        <v>368</v>
      </c>
      <c r="AE9235" t="str">
        <f>VLOOKUP(Table_Query_from_Actuarial___Production3[[#This Row],[Kor1]],$AI$3:$AK$105,3,FALSE)</f>
        <v>Misc. Income</v>
      </c>
      <c r="AF9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6" spans="18:32" x14ac:dyDescent="0.2">
      <c r="R9236" t="s">
        <v>19</v>
      </c>
      <c r="S9236" t="s">
        <v>242</v>
      </c>
      <c r="T9236" t="s">
        <v>427</v>
      </c>
      <c r="U9236" s="21">
        <v>6701</v>
      </c>
      <c r="V9236" s="21" t="s">
        <v>368</v>
      </c>
      <c r="W9236" t="str">
        <f>VLOOKUP(Table_Query_from_Actuarial___Production[[#This Row],[Kor1]],$AI$3:$AK$105,3,FALSE)</f>
        <v>Misc. Expense for Insolvent Companies</v>
      </c>
      <c r="X9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6"/>
      <c r="Z9236" t="s">
        <v>3</v>
      </c>
      <c r="AA9236" t="s">
        <v>226</v>
      </c>
      <c r="AB9236" t="s">
        <v>9</v>
      </c>
      <c r="AC9236" s="21">
        <v>6491419</v>
      </c>
      <c r="AD9236" s="21" t="s">
        <v>368</v>
      </c>
      <c r="AE9236" t="str">
        <f>VLOOKUP(Table_Query_from_Actuarial___Production3[[#This Row],[Kor1]],$AI$3:$AK$105,3,FALSE)</f>
        <v>Premiums Written</v>
      </c>
      <c r="AF9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37" spans="18:32" x14ac:dyDescent="0.2">
      <c r="R9237" t="s">
        <v>14</v>
      </c>
      <c r="S9237" t="s">
        <v>257</v>
      </c>
      <c r="T9237" t="s">
        <v>445</v>
      </c>
      <c r="U9237" s="21">
        <v>18894.89</v>
      </c>
      <c r="V9237" s="21" t="s">
        <v>368</v>
      </c>
      <c r="W9237" t="str">
        <f>VLOOKUP(Table_Query_from_Actuarial___Production[[#This Row],[Kor1]],$AI$3:$AK$105,3,FALSE)</f>
        <v>Claims Expense</v>
      </c>
      <c r="X9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7"/>
      <c r="Z9237" t="s">
        <v>33</v>
      </c>
      <c r="AA9237" t="s">
        <v>257</v>
      </c>
      <c r="AB9237" t="s">
        <v>9</v>
      </c>
      <c r="AC9237" s="21">
        <v>18293.560000000001</v>
      </c>
      <c r="AD9237" s="21" t="s">
        <v>368</v>
      </c>
      <c r="AE9237" t="str">
        <f>VLOOKUP(Table_Query_from_Actuarial___Production3[[#This Row],[Kor1]],$AI$3:$AK$105,3,FALSE)</f>
        <v>Misc. Expense</v>
      </c>
      <c r="AF9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8" spans="18:32" x14ac:dyDescent="0.2">
      <c r="R9238" t="s">
        <v>44</v>
      </c>
      <c r="S9238" t="s">
        <v>254</v>
      </c>
      <c r="T9238" t="s">
        <v>441</v>
      </c>
      <c r="U9238" s="21">
        <v>780956.5</v>
      </c>
      <c r="V9238" s="21" t="s">
        <v>368</v>
      </c>
      <c r="W9238" t="str">
        <f>VLOOKUP(Table_Query_from_Actuarial___Production[[#This Row],[Kor1]],$AI$3:$AK$105,3,FALSE)</f>
        <v>Charge-offs</v>
      </c>
      <c r="X9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38"/>
      <c r="Z9238" t="s">
        <v>37</v>
      </c>
      <c r="AA9238" t="s">
        <v>241</v>
      </c>
      <c r="AB9238" t="s">
        <v>5</v>
      </c>
      <c r="AC9238" s="21">
        <v>8936.01</v>
      </c>
      <c r="AD9238" s="21" t="s">
        <v>368</v>
      </c>
      <c r="AE9238" t="str">
        <f>VLOOKUP(Table_Query_from_Actuarial___Production3[[#This Row],[Kor1]],$AI$3:$AK$105,3,FALSE)</f>
        <v>Misc. Expense</v>
      </c>
      <c r="AF9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39" spans="18:32" x14ac:dyDescent="0.2">
      <c r="R9239" t="s">
        <v>46</v>
      </c>
      <c r="S9239" t="s">
        <v>354</v>
      </c>
      <c r="T9239" t="s">
        <v>6</v>
      </c>
      <c r="U9239" s="21">
        <v>1209096.74</v>
      </c>
      <c r="V9239" s="21" t="s">
        <v>368</v>
      </c>
      <c r="W9239" t="str">
        <f>VLOOKUP(Table_Query_from_Actuarial___Production[[#This Row],[Kor1]],$AI$3:$AK$105,3,FALSE)</f>
        <v>Investment Income</v>
      </c>
      <c r="X9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239"/>
      <c r="Z9239" t="s">
        <v>16</v>
      </c>
      <c r="AA9239" t="s">
        <v>226</v>
      </c>
      <c r="AB9239" t="s">
        <v>427</v>
      </c>
      <c r="AC9239" s="21">
        <v>259498.55</v>
      </c>
      <c r="AD9239" s="21" t="s">
        <v>368</v>
      </c>
      <c r="AE9239" t="str">
        <f>VLOOKUP(Table_Query_from_Actuarial___Production3[[#This Row],[Kor1]],$AI$3:$AK$105,3,FALSE)</f>
        <v>Losses Outstanding</v>
      </c>
      <c r="AF9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40" spans="18:32" x14ac:dyDescent="0.2">
      <c r="R9240" t="s">
        <v>3</v>
      </c>
      <c r="S9240" t="s">
        <v>225</v>
      </c>
      <c r="T9240" t="s">
        <v>8</v>
      </c>
      <c r="U9240" s="21">
        <v>565650.9</v>
      </c>
      <c r="V9240" s="21" t="s">
        <v>368</v>
      </c>
      <c r="W9240" t="str">
        <f>VLOOKUP(Table_Query_from_Actuarial___Production[[#This Row],[Kor1]],$AI$3:$AK$105,3,FALSE)</f>
        <v>Premiums Written</v>
      </c>
      <c r="X9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240"/>
      <c r="Z9240" t="s">
        <v>47</v>
      </c>
      <c r="AA9240" t="s">
        <v>239</v>
      </c>
      <c r="AB9240" t="s">
        <v>442</v>
      </c>
      <c r="AC9240" s="21">
        <v>11523.88</v>
      </c>
      <c r="AD9240" s="21" t="s">
        <v>368</v>
      </c>
      <c r="AE9240" t="str">
        <f>VLOOKUP(Table_Query_from_Actuarial___Production3[[#This Row],[Kor1]],$AI$3:$AK$105,3,FALSE)</f>
        <v>Investment Income</v>
      </c>
      <c r="AF9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1" spans="18:32" x14ac:dyDescent="0.2">
      <c r="R9241" t="s">
        <v>3</v>
      </c>
      <c r="S9241" t="s">
        <v>224</v>
      </c>
      <c r="T9241" t="s">
        <v>356</v>
      </c>
      <c r="U9241" s="21">
        <v>1994793.19</v>
      </c>
      <c r="V9241" s="21" t="s">
        <v>370</v>
      </c>
      <c r="W9241" t="str">
        <f>VLOOKUP(Table_Query_from_Actuarial___Production[[#This Row],[Kor1]],$AI$3:$AK$105,3,FALSE)</f>
        <v>Premiums Written</v>
      </c>
      <c r="X9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241"/>
      <c r="Z9241" t="s">
        <v>18</v>
      </c>
      <c r="AA9241" t="s">
        <v>225</v>
      </c>
      <c r="AB9241" t="s">
        <v>7</v>
      </c>
      <c r="AC9241" s="21">
        <v>1131888.3799999999</v>
      </c>
      <c r="AD9241" s="21" t="s">
        <v>369</v>
      </c>
      <c r="AE9241" t="str">
        <f>VLOOKUP(Table_Query_from_Actuarial___Production3[[#This Row],[Kor1]],$AI$3:$AK$105,3,FALSE)</f>
        <v>Misc. Expense</v>
      </c>
      <c r="AF9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242" spans="18:32" x14ac:dyDescent="0.2">
      <c r="R9242" t="s">
        <v>32</v>
      </c>
      <c r="S9242" t="s">
        <v>254</v>
      </c>
      <c r="T9242" t="s">
        <v>441</v>
      </c>
      <c r="U9242" s="21">
        <v>-120054.98</v>
      </c>
      <c r="V9242" s="21" t="s">
        <v>368</v>
      </c>
      <c r="W9242" t="str">
        <f>VLOOKUP(Table_Query_from_Actuarial___Production[[#This Row],[Kor1]],$AI$3:$AK$105,3,FALSE)</f>
        <v>Misc. Expense</v>
      </c>
      <c r="X9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2"/>
      <c r="Z9242" t="s">
        <v>43</v>
      </c>
      <c r="AA9242" t="s">
        <v>266</v>
      </c>
      <c r="AB9242" t="s">
        <v>9</v>
      </c>
      <c r="AC9242" s="21">
        <v>-6618.09</v>
      </c>
      <c r="AD9242" s="21" t="s">
        <v>368</v>
      </c>
      <c r="AE9242" t="str">
        <f>VLOOKUP(Table_Query_from_Actuarial___Production3[[#This Row],[Kor1]],$AI$3:$AK$105,3,FALSE)</f>
        <v>Charge-offs</v>
      </c>
      <c r="AF9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3" spans="18:32" x14ac:dyDescent="0.2">
      <c r="R9243" t="s">
        <v>48</v>
      </c>
      <c r="S9243" t="s">
        <v>230</v>
      </c>
      <c r="T9243" t="s">
        <v>433</v>
      </c>
      <c r="U9243" s="21">
        <v>44560.21</v>
      </c>
      <c r="V9243" s="21" t="s">
        <v>368</v>
      </c>
      <c r="W9243" t="str">
        <f>VLOOKUP(Table_Query_from_Actuarial___Production[[#This Row],[Kor1]],$AI$3:$AK$105,3,FALSE)</f>
        <v>Anticipated Salvage</v>
      </c>
      <c r="X9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3"/>
      <c r="Z9243" t="s">
        <v>19</v>
      </c>
      <c r="AA9243" t="s">
        <v>242</v>
      </c>
      <c r="AB9243" t="s">
        <v>427</v>
      </c>
      <c r="AC9243" s="21">
        <v>6701</v>
      </c>
      <c r="AD9243" s="21" t="s">
        <v>368</v>
      </c>
      <c r="AE9243" t="str">
        <f>VLOOKUP(Table_Query_from_Actuarial___Production3[[#This Row],[Kor1]],$AI$3:$AK$105,3,FALSE)</f>
        <v>Misc. Expense for Insolvent Companies</v>
      </c>
      <c r="AF9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4" spans="18:32" x14ac:dyDescent="0.2">
      <c r="R9244" t="s">
        <v>20</v>
      </c>
      <c r="S9244" t="s">
        <v>256</v>
      </c>
      <c r="T9244" t="s">
        <v>441</v>
      </c>
      <c r="U9244" s="21">
        <v>142.6</v>
      </c>
      <c r="V9244" s="21" t="s">
        <v>368</v>
      </c>
      <c r="W9244" t="str">
        <f>VLOOKUP(Table_Query_from_Actuarial___Production[[#This Row],[Kor1]],$AI$3:$AK$105,3,FALSE)</f>
        <v>Misc. Expense</v>
      </c>
      <c r="X9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4"/>
      <c r="Z9244" t="s">
        <v>44</v>
      </c>
      <c r="AA9244" t="s">
        <v>254</v>
      </c>
      <c r="AB9244" t="s">
        <v>441</v>
      </c>
      <c r="AC9244" s="21">
        <v>704847.5</v>
      </c>
      <c r="AD9244" s="21" t="s">
        <v>368</v>
      </c>
      <c r="AE9244" t="str">
        <f>VLOOKUP(Table_Query_from_Actuarial___Production3[[#This Row],[Kor1]],$AI$3:$AK$105,3,FALSE)</f>
        <v>Charge-offs</v>
      </c>
      <c r="AF9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5" spans="18:32" x14ac:dyDescent="0.2">
      <c r="R9245" t="s">
        <v>47</v>
      </c>
      <c r="S9245" t="s">
        <v>238</v>
      </c>
      <c r="T9245" t="s">
        <v>8</v>
      </c>
      <c r="U9245" s="21">
        <v>0.06</v>
      </c>
      <c r="V9245" s="21" t="s">
        <v>368</v>
      </c>
      <c r="W9245" t="str">
        <f>VLOOKUP(Table_Query_from_Actuarial___Production[[#This Row],[Kor1]],$AI$3:$AK$105,3,FALSE)</f>
        <v>Investment Income</v>
      </c>
      <c r="X9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5"/>
      <c r="Z9245" t="s">
        <v>46</v>
      </c>
      <c r="AA9245" t="s">
        <v>354</v>
      </c>
      <c r="AB9245" t="s">
        <v>6</v>
      </c>
      <c r="AC9245" s="21">
        <v>1209096.74</v>
      </c>
      <c r="AD9245" s="21" t="s">
        <v>368</v>
      </c>
      <c r="AE9245" t="str">
        <f>VLOOKUP(Table_Query_from_Actuarial___Production3[[#This Row],[Kor1]],$AI$3:$AK$105,3,FALSE)</f>
        <v>Investment Income</v>
      </c>
      <c r="AF9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246" spans="18:32" x14ac:dyDescent="0.2">
      <c r="R9246" t="s">
        <v>43</v>
      </c>
      <c r="S9246" t="s">
        <v>265</v>
      </c>
      <c r="T9246" t="s">
        <v>7</v>
      </c>
      <c r="U9246" s="21">
        <v>18.41</v>
      </c>
      <c r="V9246" s="21" t="s">
        <v>368</v>
      </c>
      <c r="W9246" t="str">
        <f>VLOOKUP(Table_Query_from_Actuarial___Production[[#This Row],[Kor1]],$AI$3:$AK$105,3,FALSE)</f>
        <v>Charge-offs</v>
      </c>
      <c r="X9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6"/>
      <c r="Z9246" t="s">
        <v>3</v>
      </c>
      <c r="AA9246" t="s">
        <v>225</v>
      </c>
      <c r="AB9246" t="s">
        <v>8</v>
      </c>
      <c r="AC9246" s="21">
        <v>565650.9</v>
      </c>
      <c r="AD9246" s="21" t="s">
        <v>368</v>
      </c>
      <c r="AE9246" t="str">
        <f>VLOOKUP(Table_Query_from_Actuarial___Production3[[#This Row],[Kor1]],$AI$3:$AK$105,3,FALSE)</f>
        <v>Premiums Written</v>
      </c>
      <c r="AF9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247" spans="18:32" x14ac:dyDescent="0.2">
      <c r="R9247" t="s">
        <v>3</v>
      </c>
      <c r="S9247" t="s">
        <v>224</v>
      </c>
      <c r="T9247" t="s">
        <v>9</v>
      </c>
      <c r="U9247" s="21">
        <v>3252936.91</v>
      </c>
      <c r="V9247" s="21" t="s">
        <v>368</v>
      </c>
      <c r="W9247" t="str">
        <f>VLOOKUP(Table_Query_from_Actuarial___Production[[#This Row],[Kor1]],$AI$3:$AK$105,3,FALSE)</f>
        <v>Premiums Written</v>
      </c>
      <c r="X9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247"/>
      <c r="Z9247" t="s">
        <v>3</v>
      </c>
      <c r="AA9247" t="s">
        <v>224</v>
      </c>
      <c r="AB9247" t="s">
        <v>356</v>
      </c>
      <c r="AC9247" s="21">
        <v>1994793.19</v>
      </c>
      <c r="AD9247" s="21" t="s">
        <v>370</v>
      </c>
      <c r="AE9247" t="str">
        <f>VLOOKUP(Table_Query_from_Actuarial___Production3[[#This Row],[Kor1]],$AI$3:$AK$105,3,FALSE)</f>
        <v>Premiums Written</v>
      </c>
      <c r="AF9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248" spans="18:32" x14ac:dyDescent="0.2">
      <c r="R9248" t="s">
        <v>39</v>
      </c>
      <c r="S9248" t="s">
        <v>236</v>
      </c>
      <c r="T9248" t="s">
        <v>6</v>
      </c>
      <c r="U9248" s="21">
        <v>128.6</v>
      </c>
      <c r="V9248" s="21" t="s">
        <v>368</v>
      </c>
      <c r="W9248" t="str">
        <f>VLOOKUP(Table_Query_from_Actuarial___Production[[#This Row],[Kor1]],$AI$3:$AK$105,3,FALSE)</f>
        <v>Misc. Income for Insolvent Companies</v>
      </c>
      <c r="X9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8"/>
      <c r="Z9248" t="s">
        <v>32</v>
      </c>
      <c r="AA9248" t="s">
        <v>254</v>
      </c>
      <c r="AB9248" t="s">
        <v>441</v>
      </c>
      <c r="AC9248" s="21">
        <v>-120054.98</v>
      </c>
      <c r="AD9248" s="21" t="s">
        <v>368</v>
      </c>
      <c r="AE9248" t="str">
        <f>VLOOKUP(Table_Query_from_Actuarial___Production3[[#This Row],[Kor1]],$AI$3:$AK$105,3,FALSE)</f>
        <v>Misc. Expense</v>
      </c>
      <c r="AF9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49" spans="18:32" x14ac:dyDescent="0.2">
      <c r="R9249" t="s">
        <v>44</v>
      </c>
      <c r="S9249" t="s">
        <v>4</v>
      </c>
      <c r="T9249" t="s">
        <v>443</v>
      </c>
      <c r="U9249" s="21">
        <v>2041389.37</v>
      </c>
      <c r="V9249" s="21" t="s">
        <v>368</v>
      </c>
      <c r="W9249" t="str">
        <f>VLOOKUP(Table_Query_from_Actuarial___Production[[#This Row],[Kor1]],$AI$3:$AK$105,3,FALSE)</f>
        <v>Charge-offs</v>
      </c>
      <c r="X9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49"/>
      <c r="Z9249" t="s">
        <v>48</v>
      </c>
      <c r="AA9249" t="s">
        <v>230</v>
      </c>
      <c r="AB9249" t="s">
        <v>433</v>
      </c>
      <c r="AC9249" s="21">
        <v>73805.95</v>
      </c>
      <c r="AD9249" s="21" t="s">
        <v>368</v>
      </c>
      <c r="AE9249" t="str">
        <f>VLOOKUP(Table_Query_from_Actuarial___Production3[[#This Row],[Kor1]],$AI$3:$AK$105,3,FALSE)</f>
        <v>Anticipated Salvage</v>
      </c>
      <c r="AF9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0" spans="18:32" x14ac:dyDescent="0.2">
      <c r="R9250" t="s">
        <v>21</v>
      </c>
      <c r="S9250" t="s">
        <v>261</v>
      </c>
      <c r="T9250" t="s">
        <v>9</v>
      </c>
      <c r="U9250" s="21">
        <v>3200</v>
      </c>
      <c r="V9250" s="21" t="s">
        <v>368</v>
      </c>
      <c r="W9250" t="str">
        <f>VLOOKUP(Table_Query_from_Actuarial___Production[[#This Row],[Kor1]],$AI$3:$AK$105,3,FALSE)</f>
        <v>Misc. Expense</v>
      </c>
      <c r="X9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0"/>
      <c r="Z9250" t="s">
        <v>20</v>
      </c>
      <c r="AA9250" t="s">
        <v>256</v>
      </c>
      <c r="AB9250" t="s">
        <v>441</v>
      </c>
      <c r="AC9250" s="21">
        <v>142.6</v>
      </c>
      <c r="AD9250" s="21" t="s">
        <v>368</v>
      </c>
      <c r="AE9250" t="str">
        <f>VLOOKUP(Table_Query_from_Actuarial___Production3[[#This Row],[Kor1]],$AI$3:$AK$105,3,FALSE)</f>
        <v>Misc. Expense</v>
      </c>
      <c r="AF9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1" spans="18:32" x14ac:dyDescent="0.2">
      <c r="R9251" t="s">
        <v>14</v>
      </c>
      <c r="S9251" t="s">
        <v>230</v>
      </c>
      <c r="T9251" t="s">
        <v>6</v>
      </c>
      <c r="U9251" s="21">
        <v>1196119.92</v>
      </c>
      <c r="V9251" s="21" t="s">
        <v>368</v>
      </c>
      <c r="W9251" t="str">
        <f>VLOOKUP(Table_Query_from_Actuarial___Production[[#This Row],[Kor1]],$AI$3:$AK$105,3,FALSE)</f>
        <v>Claims Expense</v>
      </c>
      <c r="X9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1"/>
      <c r="Z9251" t="s">
        <v>47</v>
      </c>
      <c r="AA9251" t="s">
        <v>238</v>
      </c>
      <c r="AB9251" t="s">
        <v>8</v>
      </c>
      <c r="AC9251" s="21">
        <v>0.06</v>
      </c>
      <c r="AD9251" s="21" t="s">
        <v>368</v>
      </c>
      <c r="AE9251" t="str">
        <f>VLOOKUP(Table_Query_from_Actuarial___Production3[[#This Row],[Kor1]],$AI$3:$AK$105,3,FALSE)</f>
        <v>Investment Income</v>
      </c>
      <c r="AF9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2" spans="18:32" x14ac:dyDescent="0.2">
      <c r="R9252" t="s">
        <v>43</v>
      </c>
      <c r="S9252" t="s">
        <v>248</v>
      </c>
      <c r="T9252" t="s">
        <v>443</v>
      </c>
      <c r="U9252" s="21">
        <v>2.91</v>
      </c>
      <c r="V9252" s="21" t="s">
        <v>368</v>
      </c>
      <c r="W9252" t="str">
        <f>VLOOKUP(Table_Query_from_Actuarial___Production[[#This Row],[Kor1]],$AI$3:$AK$105,3,FALSE)</f>
        <v>Charge-offs</v>
      </c>
      <c r="X9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2"/>
      <c r="Z9252" t="s">
        <v>43</v>
      </c>
      <c r="AA9252" t="s">
        <v>265</v>
      </c>
      <c r="AB9252" t="s">
        <v>7</v>
      </c>
      <c r="AC9252" s="21">
        <v>18.41</v>
      </c>
      <c r="AD9252" s="21" t="s">
        <v>368</v>
      </c>
      <c r="AE9252" t="str">
        <f>VLOOKUP(Table_Query_from_Actuarial___Production3[[#This Row],[Kor1]],$AI$3:$AK$105,3,FALSE)</f>
        <v>Charge-offs</v>
      </c>
      <c r="AF9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3" spans="18:32" x14ac:dyDescent="0.2">
      <c r="R9253" t="s">
        <v>31</v>
      </c>
      <c r="S9253" t="s">
        <v>263</v>
      </c>
      <c r="T9253" t="s">
        <v>9</v>
      </c>
      <c r="U9253" s="21">
        <v>478.08</v>
      </c>
      <c r="V9253" s="21" t="s">
        <v>368</v>
      </c>
      <c r="W9253" t="str">
        <f>VLOOKUP(Table_Query_from_Actuarial___Production[[#This Row],[Kor1]],$AI$3:$AK$105,3,FALSE)</f>
        <v>Misc. Expense</v>
      </c>
      <c r="X9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3"/>
      <c r="Z9253" t="s">
        <v>3</v>
      </c>
      <c r="AA9253" t="s">
        <v>224</v>
      </c>
      <c r="AB9253" t="s">
        <v>9</v>
      </c>
      <c r="AC9253" s="21">
        <v>3252936.91</v>
      </c>
      <c r="AD9253" s="21" t="s">
        <v>368</v>
      </c>
      <c r="AE9253" t="str">
        <f>VLOOKUP(Table_Query_from_Actuarial___Production3[[#This Row],[Kor1]],$AI$3:$AK$105,3,FALSE)</f>
        <v>Premiums Written</v>
      </c>
      <c r="AF9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254" spans="18:32" x14ac:dyDescent="0.2">
      <c r="R9254" t="s">
        <v>38</v>
      </c>
      <c r="S9254" t="s">
        <v>224</v>
      </c>
      <c r="T9254" t="s">
        <v>427</v>
      </c>
      <c r="U9254" s="21">
        <v>136337.68</v>
      </c>
      <c r="V9254" s="21" t="s">
        <v>370</v>
      </c>
      <c r="W9254" t="str">
        <f>VLOOKUP(Table_Query_from_Actuarial___Production[[#This Row],[Kor1]],$AI$3:$AK$105,3,FALSE)</f>
        <v>Misc. Income</v>
      </c>
      <c r="X9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254"/>
      <c r="Z9254" t="s">
        <v>39</v>
      </c>
      <c r="AA9254" t="s">
        <v>236</v>
      </c>
      <c r="AB9254" t="s">
        <v>6</v>
      </c>
      <c r="AC9254" s="21">
        <v>128.6</v>
      </c>
      <c r="AD9254" s="21" t="s">
        <v>368</v>
      </c>
      <c r="AE9254" t="str">
        <f>VLOOKUP(Table_Query_from_Actuarial___Production3[[#This Row],[Kor1]],$AI$3:$AK$105,3,FALSE)</f>
        <v>Misc. Income for Insolvent Companies</v>
      </c>
      <c r="AF9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5" spans="18:32" x14ac:dyDescent="0.2">
      <c r="R9255" t="s">
        <v>39</v>
      </c>
      <c r="S9255" t="s">
        <v>245</v>
      </c>
      <c r="T9255" t="s">
        <v>9</v>
      </c>
      <c r="U9255" s="21">
        <v>22</v>
      </c>
      <c r="V9255" s="21" t="s">
        <v>368</v>
      </c>
      <c r="W9255" t="str">
        <f>VLOOKUP(Table_Query_from_Actuarial___Production[[#This Row],[Kor1]],$AI$3:$AK$105,3,FALSE)</f>
        <v>Misc. Income for Insolvent Companies</v>
      </c>
      <c r="X9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5"/>
      <c r="Z9255" t="s">
        <v>21</v>
      </c>
      <c r="AA9255" t="s">
        <v>261</v>
      </c>
      <c r="AB9255" t="s">
        <v>9</v>
      </c>
      <c r="AC9255" s="21">
        <v>3200</v>
      </c>
      <c r="AD9255" s="21" t="s">
        <v>368</v>
      </c>
      <c r="AE9255" t="str">
        <f>VLOOKUP(Table_Query_from_Actuarial___Production3[[#This Row],[Kor1]],$AI$3:$AK$105,3,FALSE)</f>
        <v>Misc. Expense</v>
      </c>
      <c r="AF9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6" spans="18:32" x14ac:dyDescent="0.2">
      <c r="R9256" t="s">
        <v>10</v>
      </c>
      <c r="S9256" t="s">
        <v>251</v>
      </c>
      <c r="T9256" t="s">
        <v>9</v>
      </c>
      <c r="U9256" s="21">
        <v>3702</v>
      </c>
      <c r="V9256" s="21" t="s">
        <v>368</v>
      </c>
      <c r="W9256" t="str">
        <f>VLOOKUP(Table_Query_from_Actuarial___Production[[#This Row],[Kor1]],$AI$3:$AK$105,3,FALSE)</f>
        <v>Commissions</v>
      </c>
      <c r="X9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6"/>
      <c r="Z9256" t="s">
        <v>14</v>
      </c>
      <c r="AA9256" t="s">
        <v>230</v>
      </c>
      <c r="AB9256" t="s">
        <v>6</v>
      </c>
      <c r="AC9256" s="21">
        <v>1196119.92</v>
      </c>
      <c r="AD9256" s="21" t="s">
        <v>368</v>
      </c>
      <c r="AE9256" t="str">
        <f>VLOOKUP(Table_Query_from_Actuarial___Production3[[#This Row],[Kor1]],$AI$3:$AK$105,3,FALSE)</f>
        <v>Claims Expense</v>
      </c>
      <c r="AF9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7" spans="18:32" x14ac:dyDescent="0.2">
      <c r="R9257" t="s">
        <v>37</v>
      </c>
      <c r="S9257" t="s">
        <v>237</v>
      </c>
      <c r="T9257" t="s">
        <v>7</v>
      </c>
      <c r="U9257" s="21">
        <v>1056.1400000000001</v>
      </c>
      <c r="V9257" s="21" t="s">
        <v>368</v>
      </c>
      <c r="W9257" t="str">
        <f>VLOOKUP(Table_Query_from_Actuarial___Production[[#This Row],[Kor1]],$AI$3:$AK$105,3,FALSE)</f>
        <v>Misc. Expense</v>
      </c>
      <c r="X9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7"/>
      <c r="Z9257" t="s">
        <v>31</v>
      </c>
      <c r="AA9257" t="s">
        <v>263</v>
      </c>
      <c r="AB9257" t="s">
        <v>9</v>
      </c>
      <c r="AC9257" s="21">
        <v>478.08</v>
      </c>
      <c r="AD9257" s="21" t="s">
        <v>368</v>
      </c>
      <c r="AE9257" t="str">
        <f>VLOOKUP(Table_Query_from_Actuarial___Production3[[#This Row],[Kor1]],$AI$3:$AK$105,3,FALSE)</f>
        <v>Misc. Expense</v>
      </c>
      <c r="AF9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58" spans="18:32" x14ac:dyDescent="0.2">
      <c r="R9258" t="s">
        <v>41</v>
      </c>
      <c r="S9258" t="s">
        <v>238</v>
      </c>
      <c r="T9258" t="s">
        <v>7</v>
      </c>
      <c r="U9258" s="21">
        <v>150</v>
      </c>
      <c r="V9258" s="21" t="s">
        <v>368</v>
      </c>
      <c r="W9258" t="str">
        <f>VLOOKUP(Table_Query_from_Actuarial___Production[[#This Row],[Kor1]],$AI$3:$AK$105,3,FALSE)</f>
        <v>Misc. Income</v>
      </c>
      <c r="X9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8"/>
      <c r="Z9258" t="s">
        <v>38</v>
      </c>
      <c r="AA9258" t="s">
        <v>224</v>
      </c>
      <c r="AB9258" t="s">
        <v>427</v>
      </c>
      <c r="AC9258" s="21">
        <v>136337.68</v>
      </c>
      <c r="AD9258" s="21" t="s">
        <v>370</v>
      </c>
      <c r="AE9258" t="str">
        <f>VLOOKUP(Table_Query_from_Actuarial___Production3[[#This Row],[Kor1]],$AI$3:$AK$105,3,FALSE)</f>
        <v>Misc. Income</v>
      </c>
      <c r="AF9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259" spans="18:32" x14ac:dyDescent="0.2">
      <c r="R9259" t="s">
        <v>31</v>
      </c>
      <c r="S9259" t="s">
        <v>237</v>
      </c>
      <c r="T9259" t="s">
        <v>351</v>
      </c>
      <c r="U9259" s="21">
        <v>-1930</v>
      </c>
      <c r="V9259" s="21" t="s">
        <v>368</v>
      </c>
      <c r="W9259" t="str">
        <f>VLOOKUP(Table_Query_from_Actuarial___Production[[#This Row],[Kor1]],$AI$3:$AK$105,3,FALSE)</f>
        <v>Misc. Expense</v>
      </c>
      <c r="X9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59"/>
      <c r="Z9259" t="s">
        <v>39</v>
      </c>
      <c r="AA9259" t="s">
        <v>245</v>
      </c>
      <c r="AB9259" t="s">
        <v>9</v>
      </c>
      <c r="AC9259" s="21">
        <v>22</v>
      </c>
      <c r="AD9259" s="21" t="s">
        <v>368</v>
      </c>
      <c r="AE9259" t="str">
        <f>VLOOKUP(Table_Query_from_Actuarial___Production3[[#This Row],[Kor1]],$AI$3:$AK$105,3,FALSE)</f>
        <v>Misc. Income for Insolvent Companies</v>
      </c>
      <c r="AF9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0" spans="18:32" x14ac:dyDescent="0.2">
      <c r="R9260" t="s">
        <v>41</v>
      </c>
      <c r="S9260" t="s">
        <v>242</v>
      </c>
      <c r="T9260" t="s">
        <v>7</v>
      </c>
      <c r="U9260" s="21">
        <v>1005.85</v>
      </c>
      <c r="V9260" s="21" t="s">
        <v>368</v>
      </c>
      <c r="W9260" t="str">
        <f>VLOOKUP(Table_Query_from_Actuarial___Production[[#This Row],[Kor1]],$AI$3:$AK$105,3,FALSE)</f>
        <v>Misc. Income</v>
      </c>
      <c r="X9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0"/>
      <c r="Z9260" t="s">
        <v>10</v>
      </c>
      <c r="AA9260" t="s">
        <v>251</v>
      </c>
      <c r="AB9260" t="s">
        <v>9</v>
      </c>
      <c r="AC9260" s="21">
        <v>3702</v>
      </c>
      <c r="AD9260" s="21" t="s">
        <v>368</v>
      </c>
      <c r="AE9260" t="str">
        <f>VLOOKUP(Table_Query_from_Actuarial___Production3[[#This Row],[Kor1]],$AI$3:$AK$105,3,FALSE)</f>
        <v>Commissions</v>
      </c>
      <c r="AF9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1" spans="18:32" x14ac:dyDescent="0.2">
      <c r="R9261" t="s">
        <v>10</v>
      </c>
      <c r="S9261" t="s">
        <v>250</v>
      </c>
      <c r="T9261" t="s">
        <v>427</v>
      </c>
      <c r="U9261" s="21">
        <v>88306.05</v>
      </c>
      <c r="V9261" s="21" t="s">
        <v>368</v>
      </c>
      <c r="W9261" t="str">
        <f>VLOOKUP(Table_Query_from_Actuarial___Production[[#This Row],[Kor1]],$AI$3:$AK$105,3,FALSE)</f>
        <v>Commissions</v>
      </c>
      <c r="X9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1"/>
      <c r="Z9261" t="s">
        <v>37</v>
      </c>
      <c r="AA9261" t="s">
        <v>237</v>
      </c>
      <c r="AB9261" t="s">
        <v>7</v>
      </c>
      <c r="AC9261" s="21">
        <v>1056.1400000000001</v>
      </c>
      <c r="AD9261" s="21" t="s">
        <v>368</v>
      </c>
      <c r="AE9261" t="str">
        <f>VLOOKUP(Table_Query_from_Actuarial___Production3[[#This Row],[Kor1]],$AI$3:$AK$105,3,FALSE)</f>
        <v>Misc. Expense</v>
      </c>
      <c r="AF9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2" spans="18:32" x14ac:dyDescent="0.2">
      <c r="R9262" t="s">
        <v>33</v>
      </c>
      <c r="S9262" t="s">
        <v>240</v>
      </c>
      <c r="T9262" t="s">
        <v>8</v>
      </c>
      <c r="U9262" s="21">
        <v>15549.29</v>
      </c>
      <c r="V9262" s="21" t="s">
        <v>368</v>
      </c>
      <c r="W9262" t="str">
        <f>VLOOKUP(Table_Query_from_Actuarial___Production[[#This Row],[Kor1]],$AI$3:$AK$105,3,FALSE)</f>
        <v>Misc. Expense</v>
      </c>
      <c r="X9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2"/>
      <c r="Z9262" t="s">
        <v>41</v>
      </c>
      <c r="AA9262" t="s">
        <v>238</v>
      </c>
      <c r="AB9262" t="s">
        <v>7</v>
      </c>
      <c r="AC9262" s="21">
        <v>150</v>
      </c>
      <c r="AD9262" s="21" t="s">
        <v>368</v>
      </c>
      <c r="AE9262" t="str">
        <f>VLOOKUP(Table_Query_from_Actuarial___Production3[[#This Row],[Kor1]],$AI$3:$AK$105,3,FALSE)</f>
        <v>Misc. Income</v>
      </c>
      <c r="AF9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3" spans="18:32" x14ac:dyDescent="0.2">
      <c r="R9263" t="s">
        <v>50</v>
      </c>
      <c r="S9263" t="s">
        <v>235</v>
      </c>
      <c r="T9263" t="s">
        <v>427</v>
      </c>
      <c r="U9263" s="21">
        <v>9862.6</v>
      </c>
      <c r="V9263" s="21" t="s">
        <v>368</v>
      </c>
      <c r="W9263" t="str">
        <f>VLOOKUP(Table_Query_from_Actuarial___Production[[#This Row],[Kor1]],$AI$3:$AK$105,3,FALSE)</f>
        <v>ALAE Reserve</v>
      </c>
      <c r="X9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3"/>
      <c r="Z9263" t="s">
        <v>31</v>
      </c>
      <c r="AA9263" t="s">
        <v>237</v>
      </c>
      <c r="AB9263" t="s">
        <v>351</v>
      </c>
      <c r="AC9263" s="21">
        <v>-1930</v>
      </c>
      <c r="AD9263" s="21" t="s">
        <v>368</v>
      </c>
      <c r="AE9263" t="str">
        <f>VLOOKUP(Table_Query_from_Actuarial___Production3[[#This Row],[Kor1]],$AI$3:$AK$105,3,FALSE)</f>
        <v>Misc. Expense</v>
      </c>
      <c r="AF9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4" spans="18:32" x14ac:dyDescent="0.2">
      <c r="R9264" t="s">
        <v>14</v>
      </c>
      <c r="S9264" t="s">
        <v>224</v>
      </c>
      <c r="T9264" t="s">
        <v>7</v>
      </c>
      <c r="U9264" s="21">
        <v>219850.02</v>
      </c>
      <c r="V9264" s="21" t="s">
        <v>368</v>
      </c>
      <c r="W9264" t="str">
        <f>VLOOKUP(Table_Query_from_Actuarial___Production[[#This Row],[Kor1]],$AI$3:$AK$105,3,FALSE)</f>
        <v>Claims Expense</v>
      </c>
      <c r="X9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264"/>
      <c r="Z9264" t="s">
        <v>41</v>
      </c>
      <c r="AA9264" t="s">
        <v>242</v>
      </c>
      <c r="AB9264" t="s">
        <v>7</v>
      </c>
      <c r="AC9264" s="21">
        <v>1005.85</v>
      </c>
      <c r="AD9264" s="21" t="s">
        <v>368</v>
      </c>
      <c r="AE9264" t="str">
        <f>VLOOKUP(Table_Query_from_Actuarial___Production3[[#This Row],[Kor1]],$AI$3:$AK$105,3,FALSE)</f>
        <v>Misc. Income</v>
      </c>
      <c r="AF9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5" spans="18:32" x14ac:dyDescent="0.2">
      <c r="R9265" t="s">
        <v>46</v>
      </c>
      <c r="S9265" t="s">
        <v>226</v>
      </c>
      <c r="T9265" t="s">
        <v>356</v>
      </c>
      <c r="U9265" s="21">
        <v>42583.49</v>
      </c>
      <c r="V9265" s="21" t="s">
        <v>368</v>
      </c>
      <c r="W9265" t="str">
        <f>VLOOKUP(Table_Query_from_Actuarial___Production[[#This Row],[Kor1]],$AI$3:$AK$105,3,FALSE)</f>
        <v>Investment Income</v>
      </c>
      <c r="X9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265"/>
      <c r="Z9265" t="s">
        <v>10</v>
      </c>
      <c r="AA9265" t="s">
        <v>250</v>
      </c>
      <c r="AB9265" t="s">
        <v>427</v>
      </c>
      <c r="AC9265" s="21">
        <v>88306.05</v>
      </c>
      <c r="AD9265" s="21" t="s">
        <v>368</v>
      </c>
      <c r="AE9265" t="str">
        <f>VLOOKUP(Table_Query_from_Actuarial___Production3[[#This Row],[Kor1]],$AI$3:$AK$105,3,FALSE)</f>
        <v>Commissions</v>
      </c>
      <c r="AF9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6" spans="18:32" x14ac:dyDescent="0.2">
      <c r="R9266" t="s">
        <v>13</v>
      </c>
      <c r="S9266" t="s">
        <v>242</v>
      </c>
      <c r="T9266" t="s">
        <v>8</v>
      </c>
      <c r="U9266" s="21">
        <v>55692.55</v>
      </c>
      <c r="V9266" s="21" t="s">
        <v>368</v>
      </c>
      <c r="W9266" t="str">
        <f>VLOOKUP(Table_Query_from_Actuarial___Production[[#This Row],[Kor1]],$AI$3:$AK$105,3,FALSE)</f>
        <v>Operating Service Fees</v>
      </c>
      <c r="X9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6"/>
      <c r="Z9266" t="s">
        <v>33</v>
      </c>
      <c r="AA9266" t="s">
        <v>240</v>
      </c>
      <c r="AB9266" t="s">
        <v>8</v>
      </c>
      <c r="AC9266" s="21">
        <v>15549.29</v>
      </c>
      <c r="AD9266" s="21" t="s">
        <v>368</v>
      </c>
      <c r="AE9266" t="str">
        <f>VLOOKUP(Table_Query_from_Actuarial___Production3[[#This Row],[Kor1]],$AI$3:$AK$105,3,FALSE)</f>
        <v>Misc. Expense</v>
      </c>
      <c r="AF9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7" spans="18:32" x14ac:dyDescent="0.2">
      <c r="R9267" t="s">
        <v>44</v>
      </c>
      <c r="S9267" t="s">
        <v>254</v>
      </c>
      <c r="T9267" t="s">
        <v>351</v>
      </c>
      <c r="U9267" s="21">
        <v>68914.3</v>
      </c>
      <c r="V9267" s="21" t="s">
        <v>368</v>
      </c>
      <c r="W9267" t="str">
        <f>VLOOKUP(Table_Query_from_Actuarial___Production[[#This Row],[Kor1]],$AI$3:$AK$105,3,FALSE)</f>
        <v>Charge-offs</v>
      </c>
      <c r="X9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7"/>
      <c r="Z9267" t="s">
        <v>40</v>
      </c>
      <c r="AA9267" t="s">
        <v>230</v>
      </c>
      <c r="AB9267" t="s">
        <v>5</v>
      </c>
      <c r="AC9267" s="21">
        <v>1498.23</v>
      </c>
      <c r="AD9267" s="21" t="s">
        <v>368</v>
      </c>
      <c r="AE9267" t="str">
        <f>VLOOKUP(Table_Query_from_Actuarial___Production3[[#This Row],[Kor1]],$AI$3:$AK$105,3,FALSE)</f>
        <v>Misc. Income</v>
      </c>
      <c r="AF9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8" spans="18:32" x14ac:dyDescent="0.2">
      <c r="R9268" t="s">
        <v>444</v>
      </c>
      <c r="S9268" t="s">
        <v>265</v>
      </c>
      <c r="T9268" t="s">
        <v>443</v>
      </c>
      <c r="U9268" s="21">
        <v>10167.81</v>
      </c>
      <c r="V9268" s="21" t="s">
        <v>368</v>
      </c>
      <c r="W9268" t="str">
        <f>VLOOKUP(Table_Query_from_Actuarial___Production[[#This Row],[Kor1]],$AI$3:$AK$105,3,FALSE)</f>
        <v>Misc. Expense</v>
      </c>
      <c r="X9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8"/>
      <c r="Z9268" t="s">
        <v>50</v>
      </c>
      <c r="AA9268" t="s">
        <v>235</v>
      </c>
      <c r="AB9268" t="s">
        <v>427</v>
      </c>
      <c r="AC9268" s="21">
        <v>11284.01</v>
      </c>
      <c r="AD9268" s="21" t="s">
        <v>368</v>
      </c>
      <c r="AE9268" t="str">
        <f>VLOOKUP(Table_Query_from_Actuarial___Production3[[#This Row],[Kor1]],$AI$3:$AK$105,3,FALSE)</f>
        <v>ALAE Reserve</v>
      </c>
      <c r="AF9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69" spans="18:32" x14ac:dyDescent="0.2">
      <c r="R9269" t="s">
        <v>37</v>
      </c>
      <c r="S9269" t="s">
        <v>248</v>
      </c>
      <c r="T9269" t="s">
        <v>441</v>
      </c>
      <c r="U9269" s="21">
        <v>0.72</v>
      </c>
      <c r="V9269" s="21" t="s">
        <v>368</v>
      </c>
      <c r="W9269" t="str">
        <f>VLOOKUP(Table_Query_from_Actuarial___Production[[#This Row],[Kor1]],$AI$3:$AK$105,3,FALSE)</f>
        <v>Misc. Expense</v>
      </c>
      <c r="X9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69"/>
      <c r="Z9269" t="s">
        <v>50</v>
      </c>
      <c r="AA9269" t="s">
        <v>226</v>
      </c>
      <c r="AB9269" t="s">
        <v>6</v>
      </c>
      <c r="AC9269" s="21">
        <v>59790</v>
      </c>
      <c r="AD9269" s="21" t="s">
        <v>368</v>
      </c>
      <c r="AE9269" t="str">
        <f>VLOOKUP(Table_Query_from_Actuarial___Production3[[#This Row],[Kor1]],$AI$3:$AK$105,3,FALSE)</f>
        <v>ALAE Reserve</v>
      </c>
      <c r="AF9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70" spans="18:32" x14ac:dyDescent="0.2">
      <c r="R9270" t="s">
        <v>41</v>
      </c>
      <c r="S9270" t="s">
        <v>248</v>
      </c>
      <c r="T9270" t="s">
        <v>445</v>
      </c>
      <c r="U9270" s="21">
        <v>549.99</v>
      </c>
      <c r="V9270" s="21" t="s">
        <v>368</v>
      </c>
      <c r="W9270" t="str">
        <f>VLOOKUP(Table_Query_from_Actuarial___Production[[#This Row],[Kor1]],$AI$3:$AK$105,3,FALSE)</f>
        <v>Misc. Income</v>
      </c>
      <c r="X9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0"/>
      <c r="Z9270" t="s">
        <v>14</v>
      </c>
      <c r="AA9270" t="s">
        <v>224</v>
      </c>
      <c r="AB9270" t="s">
        <v>7</v>
      </c>
      <c r="AC9270" s="21">
        <v>219850.02</v>
      </c>
      <c r="AD9270" s="21" t="s">
        <v>368</v>
      </c>
      <c r="AE9270" t="str">
        <f>VLOOKUP(Table_Query_from_Actuarial___Production3[[#This Row],[Kor1]],$AI$3:$AK$105,3,FALSE)</f>
        <v>Claims Expense</v>
      </c>
      <c r="AF9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271" spans="18:32" x14ac:dyDescent="0.2">
      <c r="R9271" t="s">
        <v>43</v>
      </c>
      <c r="S9271" t="s">
        <v>250</v>
      </c>
      <c r="T9271" t="s">
        <v>8</v>
      </c>
      <c r="U9271" s="21">
        <v>64.44</v>
      </c>
      <c r="V9271" s="21" t="s">
        <v>368</v>
      </c>
      <c r="W9271" t="str">
        <f>VLOOKUP(Table_Query_from_Actuarial___Production[[#This Row],[Kor1]],$AI$3:$AK$105,3,FALSE)</f>
        <v>Charge-offs</v>
      </c>
      <c r="X9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1"/>
      <c r="Z9271" t="s">
        <v>46</v>
      </c>
      <c r="AA9271" t="s">
        <v>226</v>
      </c>
      <c r="AB9271" t="s">
        <v>356</v>
      </c>
      <c r="AC9271" s="21">
        <v>42583.49</v>
      </c>
      <c r="AD9271" s="21" t="s">
        <v>368</v>
      </c>
      <c r="AE9271" t="str">
        <f>VLOOKUP(Table_Query_from_Actuarial___Production3[[#This Row],[Kor1]],$AI$3:$AK$105,3,FALSE)</f>
        <v>Investment Income</v>
      </c>
      <c r="AF9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272" spans="18:32" x14ac:dyDescent="0.2">
      <c r="R9272" t="s">
        <v>17</v>
      </c>
      <c r="S9272" t="s">
        <v>267</v>
      </c>
      <c r="T9272" t="s">
        <v>433</v>
      </c>
      <c r="U9272" s="21">
        <v>19471.990000000002</v>
      </c>
      <c r="V9272" s="21" t="s">
        <v>368</v>
      </c>
      <c r="W9272" t="str">
        <f>VLOOKUP(Table_Query_from_Actuarial___Production[[#This Row],[Kor1]],$AI$3:$AK$105,3,FALSE)</f>
        <v>IBNR</v>
      </c>
      <c r="X9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2"/>
      <c r="Z9272" t="s">
        <v>13</v>
      </c>
      <c r="AA9272" t="s">
        <v>242</v>
      </c>
      <c r="AB9272" t="s">
        <v>8</v>
      </c>
      <c r="AC9272" s="21">
        <v>55692.55</v>
      </c>
      <c r="AD9272" s="21" t="s">
        <v>368</v>
      </c>
      <c r="AE9272" t="str">
        <f>VLOOKUP(Table_Query_from_Actuarial___Production3[[#This Row],[Kor1]],$AI$3:$AK$105,3,FALSE)</f>
        <v>Operating Service Fees</v>
      </c>
      <c r="AF9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3" spans="18:32" x14ac:dyDescent="0.2">
      <c r="R9273" t="s">
        <v>48</v>
      </c>
      <c r="S9273" t="s">
        <v>4</v>
      </c>
      <c r="T9273" t="s">
        <v>443</v>
      </c>
      <c r="U9273" s="21">
        <v>118397.8</v>
      </c>
      <c r="V9273" s="21" t="s">
        <v>368</v>
      </c>
      <c r="W9273" t="str">
        <f>VLOOKUP(Table_Query_from_Actuarial___Production[[#This Row],[Kor1]],$AI$3:$AK$105,3,FALSE)</f>
        <v>Anticipated Salvage</v>
      </c>
      <c r="X9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3"/>
      <c r="Z9273" t="s">
        <v>44</v>
      </c>
      <c r="AA9273" t="s">
        <v>254</v>
      </c>
      <c r="AB9273" t="s">
        <v>351</v>
      </c>
      <c r="AC9273" s="21">
        <v>68914.3</v>
      </c>
      <c r="AD9273" s="21" t="s">
        <v>368</v>
      </c>
      <c r="AE9273" t="str">
        <f>VLOOKUP(Table_Query_from_Actuarial___Production3[[#This Row],[Kor1]],$AI$3:$AK$105,3,FALSE)</f>
        <v>Charge-offs</v>
      </c>
      <c r="AF9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4" spans="18:32" x14ac:dyDescent="0.2">
      <c r="R9274" t="s">
        <v>12</v>
      </c>
      <c r="S9274" t="s">
        <v>259</v>
      </c>
      <c r="T9274" t="s">
        <v>8</v>
      </c>
      <c r="U9274" s="21">
        <v>5296.55</v>
      </c>
      <c r="V9274" s="21" t="s">
        <v>368</v>
      </c>
      <c r="W9274" t="str">
        <f>VLOOKUP(Table_Query_from_Actuarial___Production[[#This Row],[Kor1]],$AI$3:$AK$105,3,FALSE)</f>
        <v>Premium Tax</v>
      </c>
      <c r="X9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4"/>
      <c r="Z9274" t="s">
        <v>37</v>
      </c>
      <c r="AA9274" t="s">
        <v>248</v>
      </c>
      <c r="AB9274" t="s">
        <v>441</v>
      </c>
      <c r="AC9274" s="21">
        <v>0.72</v>
      </c>
      <c r="AD9274" s="21" t="s">
        <v>368</v>
      </c>
      <c r="AE9274" t="str">
        <f>VLOOKUP(Table_Query_from_Actuarial___Production3[[#This Row],[Kor1]],$AI$3:$AK$105,3,FALSE)</f>
        <v>Misc. Expense</v>
      </c>
      <c r="AF9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5" spans="18:32" x14ac:dyDescent="0.2">
      <c r="R9275" t="s">
        <v>12</v>
      </c>
      <c r="S9275" t="s">
        <v>261</v>
      </c>
      <c r="T9275" t="s">
        <v>351</v>
      </c>
      <c r="U9275" s="21">
        <v>17025.990000000002</v>
      </c>
      <c r="V9275" s="21" t="s">
        <v>368</v>
      </c>
      <c r="W9275" t="str">
        <f>VLOOKUP(Table_Query_from_Actuarial___Production[[#This Row],[Kor1]],$AI$3:$AK$105,3,FALSE)</f>
        <v>Premium Tax</v>
      </c>
      <c r="X9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5"/>
      <c r="Z9275" t="s">
        <v>43</v>
      </c>
      <c r="AA9275" t="s">
        <v>250</v>
      </c>
      <c r="AB9275" t="s">
        <v>8</v>
      </c>
      <c r="AC9275" s="21">
        <v>64.44</v>
      </c>
      <c r="AD9275" s="21" t="s">
        <v>368</v>
      </c>
      <c r="AE9275" t="str">
        <f>VLOOKUP(Table_Query_from_Actuarial___Production3[[#This Row],[Kor1]],$AI$3:$AK$105,3,FALSE)</f>
        <v>Charge-offs</v>
      </c>
      <c r="AF9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6" spans="18:32" x14ac:dyDescent="0.2">
      <c r="R9276" t="s">
        <v>19</v>
      </c>
      <c r="S9276" t="s">
        <v>242</v>
      </c>
      <c r="T9276" t="s">
        <v>7</v>
      </c>
      <c r="U9276" s="21">
        <v>2</v>
      </c>
      <c r="V9276" s="21" t="s">
        <v>368</v>
      </c>
      <c r="W9276" t="str">
        <f>VLOOKUP(Table_Query_from_Actuarial___Production[[#This Row],[Kor1]],$AI$3:$AK$105,3,FALSE)</f>
        <v>Misc. Expense for Insolvent Companies</v>
      </c>
      <c r="X9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6"/>
      <c r="Z9276" t="s">
        <v>17</v>
      </c>
      <c r="AA9276" t="s">
        <v>267</v>
      </c>
      <c r="AB9276" t="s">
        <v>433</v>
      </c>
      <c r="AC9276" s="21">
        <v>24066.59</v>
      </c>
      <c r="AD9276" s="21" t="s">
        <v>368</v>
      </c>
      <c r="AE9276" t="str">
        <f>VLOOKUP(Table_Query_from_Actuarial___Production3[[#This Row],[Kor1]],$AI$3:$AK$105,3,FALSE)</f>
        <v>IBNR</v>
      </c>
      <c r="AF9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7" spans="18:32" x14ac:dyDescent="0.2">
      <c r="R9277" t="s">
        <v>17</v>
      </c>
      <c r="S9277" t="s">
        <v>236</v>
      </c>
      <c r="T9277" t="s">
        <v>445</v>
      </c>
      <c r="U9277" s="21">
        <v>2538.63</v>
      </c>
      <c r="V9277" s="21" t="s">
        <v>368</v>
      </c>
      <c r="W9277" t="str">
        <f>VLOOKUP(Table_Query_from_Actuarial___Production[[#This Row],[Kor1]],$AI$3:$AK$105,3,FALSE)</f>
        <v>IBNR</v>
      </c>
      <c r="X9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7"/>
      <c r="Z9277" t="s">
        <v>48</v>
      </c>
      <c r="AA9277" t="s">
        <v>4</v>
      </c>
      <c r="AB9277" t="s">
        <v>443</v>
      </c>
      <c r="AC9277" s="21">
        <v>19828.86</v>
      </c>
      <c r="AD9277" s="21" t="s">
        <v>368</v>
      </c>
      <c r="AE9277" t="str">
        <f>VLOOKUP(Table_Query_from_Actuarial___Production3[[#This Row],[Kor1]],$AI$3:$AK$105,3,FALSE)</f>
        <v>Anticipated Salvage</v>
      </c>
      <c r="AF9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8" spans="18:32" x14ac:dyDescent="0.2">
      <c r="R9278" t="s">
        <v>50</v>
      </c>
      <c r="S9278" t="s">
        <v>233</v>
      </c>
      <c r="T9278" t="s">
        <v>441</v>
      </c>
      <c r="U9278" s="21">
        <v>61490.44</v>
      </c>
      <c r="V9278" s="21" t="s">
        <v>368</v>
      </c>
      <c r="W9278" t="str">
        <f>VLOOKUP(Table_Query_from_Actuarial___Production[[#This Row],[Kor1]],$AI$3:$AK$105,3,FALSE)</f>
        <v>ALAE Reserve</v>
      </c>
      <c r="X9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8"/>
      <c r="Z9278" t="s">
        <v>12</v>
      </c>
      <c r="AA9278" t="s">
        <v>259</v>
      </c>
      <c r="AB9278" t="s">
        <v>8</v>
      </c>
      <c r="AC9278" s="21">
        <v>5296.55</v>
      </c>
      <c r="AD9278" s="21" t="s">
        <v>368</v>
      </c>
      <c r="AE9278" t="str">
        <f>VLOOKUP(Table_Query_from_Actuarial___Production3[[#This Row],[Kor1]],$AI$3:$AK$105,3,FALSE)</f>
        <v>Premium Tax</v>
      </c>
      <c r="AF9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79" spans="18:32" x14ac:dyDescent="0.2">
      <c r="R9279" t="s">
        <v>10</v>
      </c>
      <c r="S9279" t="s">
        <v>241</v>
      </c>
      <c r="T9279" t="s">
        <v>433</v>
      </c>
      <c r="U9279" s="21">
        <v>18448.580000000002</v>
      </c>
      <c r="V9279" s="21" t="s">
        <v>368</v>
      </c>
      <c r="W9279" t="str">
        <f>VLOOKUP(Table_Query_from_Actuarial___Production[[#This Row],[Kor1]],$AI$3:$AK$105,3,FALSE)</f>
        <v>Commissions</v>
      </c>
      <c r="X9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79"/>
      <c r="Z9279" t="s">
        <v>12</v>
      </c>
      <c r="AA9279" t="s">
        <v>261</v>
      </c>
      <c r="AB9279" t="s">
        <v>351</v>
      </c>
      <c r="AC9279" s="21">
        <v>17025.990000000002</v>
      </c>
      <c r="AD9279" s="21" t="s">
        <v>368</v>
      </c>
      <c r="AE9279" t="str">
        <f>VLOOKUP(Table_Query_from_Actuarial___Production3[[#This Row],[Kor1]],$AI$3:$AK$105,3,FALSE)</f>
        <v>Premium Tax</v>
      </c>
      <c r="AF9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0" spans="18:32" x14ac:dyDescent="0.2">
      <c r="R9280" t="s">
        <v>12</v>
      </c>
      <c r="S9280" t="s">
        <v>243</v>
      </c>
      <c r="T9280" t="s">
        <v>356</v>
      </c>
      <c r="U9280" s="21">
        <v>7360.52</v>
      </c>
      <c r="V9280" s="21" t="s">
        <v>368</v>
      </c>
      <c r="W9280" t="str">
        <f>VLOOKUP(Table_Query_from_Actuarial___Production[[#This Row],[Kor1]],$AI$3:$AK$105,3,FALSE)</f>
        <v>Premium Tax</v>
      </c>
      <c r="X9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0"/>
      <c r="Z9280" t="s">
        <v>19</v>
      </c>
      <c r="AA9280" t="s">
        <v>242</v>
      </c>
      <c r="AB9280" t="s">
        <v>7</v>
      </c>
      <c r="AC9280" s="21">
        <v>2</v>
      </c>
      <c r="AD9280" s="21" t="s">
        <v>368</v>
      </c>
      <c r="AE9280" t="str">
        <f>VLOOKUP(Table_Query_from_Actuarial___Production3[[#This Row],[Kor1]],$AI$3:$AK$105,3,FALSE)</f>
        <v>Misc. Expense for Insolvent Companies</v>
      </c>
      <c r="AF9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1" spans="18:32" x14ac:dyDescent="0.2">
      <c r="R9281" t="s">
        <v>439</v>
      </c>
      <c r="S9281" t="s">
        <v>261</v>
      </c>
      <c r="T9281" t="s">
        <v>443</v>
      </c>
      <c r="U9281" s="21">
        <v>-4513.9399999999996</v>
      </c>
      <c r="V9281" s="21" t="s">
        <v>368</v>
      </c>
      <c r="W9281" t="str">
        <f>VLOOKUP(Table_Query_from_Actuarial___Production[[#This Row],[Kor1]],$AI$3:$AK$105,3,FALSE)</f>
        <v>Operating Service Fees</v>
      </c>
      <c r="X9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1"/>
      <c r="Z9281" t="s">
        <v>50</v>
      </c>
      <c r="AA9281" t="s">
        <v>233</v>
      </c>
      <c r="AB9281" t="s">
        <v>441</v>
      </c>
      <c r="AC9281" s="21">
        <v>66594.92</v>
      </c>
      <c r="AD9281" s="21" t="s">
        <v>368</v>
      </c>
      <c r="AE9281" t="str">
        <f>VLOOKUP(Table_Query_from_Actuarial___Production3[[#This Row],[Kor1]],$AI$3:$AK$105,3,FALSE)</f>
        <v>ALAE Reserve</v>
      </c>
      <c r="AF9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2" spans="18:32" x14ac:dyDescent="0.2">
      <c r="R9282" t="s">
        <v>13</v>
      </c>
      <c r="S9282" t="s">
        <v>247</v>
      </c>
      <c r="T9282" t="s">
        <v>6</v>
      </c>
      <c r="U9282" s="21">
        <v>1332.26</v>
      </c>
      <c r="V9282" s="21" t="s">
        <v>368</v>
      </c>
      <c r="W9282" t="str">
        <f>VLOOKUP(Table_Query_from_Actuarial___Production[[#This Row],[Kor1]],$AI$3:$AK$105,3,FALSE)</f>
        <v>Operating Service Fees</v>
      </c>
      <c r="X9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2"/>
      <c r="Z9282" t="s">
        <v>10</v>
      </c>
      <c r="AA9282" t="s">
        <v>241</v>
      </c>
      <c r="AB9282" t="s">
        <v>433</v>
      </c>
      <c r="AC9282" s="21">
        <v>18448.580000000002</v>
      </c>
      <c r="AD9282" s="21" t="s">
        <v>368</v>
      </c>
      <c r="AE9282" t="str">
        <f>VLOOKUP(Table_Query_from_Actuarial___Production3[[#This Row],[Kor1]],$AI$3:$AK$105,3,FALSE)</f>
        <v>Commissions</v>
      </c>
      <c r="AF9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3" spans="18:32" x14ac:dyDescent="0.2">
      <c r="R9283" t="s">
        <v>12</v>
      </c>
      <c r="S9283" t="s">
        <v>236</v>
      </c>
      <c r="T9283" t="s">
        <v>443</v>
      </c>
      <c r="U9283" s="21">
        <v>1871.19</v>
      </c>
      <c r="V9283" s="21" t="s">
        <v>368</v>
      </c>
      <c r="W9283" t="str">
        <f>VLOOKUP(Table_Query_from_Actuarial___Production[[#This Row],[Kor1]],$AI$3:$AK$105,3,FALSE)</f>
        <v>Premium Tax</v>
      </c>
      <c r="X9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3"/>
      <c r="Z9283" t="s">
        <v>12</v>
      </c>
      <c r="AA9283" t="s">
        <v>243</v>
      </c>
      <c r="AB9283" t="s">
        <v>356</v>
      </c>
      <c r="AC9283" s="21">
        <v>7360.52</v>
      </c>
      <c r="AD9283" s="21" t="s">
        <v>368</v>
      </c>
      <c r="AE9283" t="str">
        <f>VLOOKUP(Table_Query_from_Actuarial___Production3[[#This Row],[Kor1]],$AI$3:$AK$105,3,FALSE)</f>
        <v>Premium Tax</v>
      </c>
      <c r="AF9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4" spans="18:32" x14ac:dyDescent="0.2">
      <c r="R9284" t="s">
        <v>33</v>
      </c>
      <c r="S9284" t="s">
        <v>227</v>
      </c>
      <c r="T9284" t="s">
        <v>356</v>
      </c>
      <c r="U9284" s="21">
        <v>14541.13</v>
      </c>
      <c r="V9284" s="21" t="s">
        <v>368</v>
      </c>
      <c r="W9284" t="str">
        <f>VLOOKUP(Table_Query_from_Actuarial___Production[[#This Row],[Kor1]],$AI$3:$AK$105,3,FALSE)</f>
        <v>Misc. Expense</v>
      </c>
      <c r="X9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4"/>
      <c r="Z9284" t="s">
        <v>17</v>
      </c>
      <c r="AA9284" t="s">
        <v>229</v>
      </c>
      <c r="AB9284" t="s">
        <v>427</v>
      </c>
      <c r="AC9284" s="21">
        <v>13282.96</v>
      </c>
      <c r="AD9284" s="21" t="s">
        <v>368</v>
      </c>
      <c r="AE9284" t="str">
        <f>VLOOKUP(Table_Query_from_Actuarial___Production3[[#This Row],[Kor1]],$AI$3:$AK$105,3,FALSE)</f>
        <v>IBNR</v>
      </c>
      <c r="AF9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5" spans="18:32" x14ac:dyDescent="0.2">
      <c r="R9285" t="s">
        <v>43</v>
      </c>
      <c r="S9285" t="s">
        <v>240</v>
      </c>
      <c r="T9285" t="s">
        <v>351</v>
      </c>
      <c r="U9285" s="21">
        <v>369.3</v>
      </c>
      <c r="V9285" s="21" t="s">
        <v>368</v>
      </c>
      <c r="W9285" t="str">
        <f>VLOOKUP(Table_Query_from_Actuarial___Production[[#This Row],[Kor1]],$AI$3:$AK$105,3,FALSE)</f>
        <v>Charge-offs</v>
      </c>
      <c r="X9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5"/>
      <c r="Z9285" t="s">
        <v>439</v>
      </c>
      <c r="AA9285" t="s">
        <v>261</v>
      </c>
      <c r="AB9285" t="s">
        <v>443</v>
      </c>
      <c r="AC9285" s="21">
        <v>-4513.9399999999996</v>
      </c>
      <c r="AD9285" s="21" t="s">
        <v>368</v>
      </c>
      <c r="AE9285" t="str">
        <f>VLOOKUP(Table_Query_from_Actuarial___Production3[[#This Row],[Kor1]],$AI$3:$AK$105,3,FALSE)</f>
        <v>Operating Service Fees</v>
      </c>
      <c r="AF9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6" spans="18:32" x14ac:dyDescent="0.2">
      <c r="R9286" t="s">
        <v>44</v>
      </c>
      <c r="S9286" t="s">
        <v>244</v>
      </c>
      <c r="T9286" t="s">
        <v>6</v>
      </c>
      <c r="U9286" s="21">
        <v>58107.26</v>
      </c>
      <c r="V9286" s="21" t="s">
        <v>368</v>
      </c>
      <c r="W9286" t="str">
        <f>VLOOKUP(Table_Query_from_Actuarial___Production[[#This Row],[Kor1]],$AI$3:$AK$105,3,FALSE)</f>
        <v>Charge-offs</v>
      </c>
      <c r="X9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6"/>
      <c r="Z9286" t="s">
        <v>13</v>
      </c>
      <c r="AA9286" t="s">
        <v>247</v>
      </c>
      <c r="AB9286" t="s">
        <v>6</v>
      </c>
      <c r="AC9286" s="21">
        <v>1332.26</v>
      </c>
      <c r="AD9286" s="21" t="s">
        <v>368</v>
      </c>
      <c r="AE9286" t="str">
        <f>VLOOKUP(Table_Query_from_Actuarial___Production3[[#This Row],[Kor1]],$AI$3:$AK$105,3,FALSE)</f>
        <v>Operating Service Fees</v>
      </c>
      <c r="AF9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7" spans="18:32" x14ac:dyDescent="0.2">
      <c r="R9287" t="s">
        <v>49</v>
      </c>
      <c r="S9287" t="s">
        <v>267</v>
      </c>
      <c r="T9287" t="s">
        <v>9</v>
      </c>
      <c r="U9287" s="21">
        <v>325</v>
      </c>
      <c r="V9287" s="21" t="s">
        <v>368</v>
      </c>
      <c r="W9287" t="str">
        <f>VLOOKUP(Table_Query_from_Actuarial___Production[[#This Row],[Kor1]],$AI$3:$AK$105,3,FALSE)</f>
        <v>ALAE Paid</v>
      </c>
      <c r="X9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7"/>
      <c r="Z9287" t="s">
        <v>12</v>
      </c>
      <c r="AA9287" t="s">
        <v>236</v>
      </c>
      <c r="AB9287" t="s">
        <v>443</v>
      </c>
      <c r="AC9287" s="21">
        <v>148.54</v>
      </c>
      <c r="AD9287" s="21" t="s">
        <v>368</v>
      </c>
      <c r="AE9287" t="str">
        <f>VLOOKUP(Table_Query_from_Actuarial___Production3[[#This Row],[Kor1]],$AI$3:$AK$105,3,FALSE)</f>
        <v>Premium Tax</v>
      </c>
      <c r="AF9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8" spans="18:32" x14ac:dyDescent="0.2">
      <c r="R9288" t="s">
        <v>10</v>
      </c>
      <c r="S9288" t="s">
        <v>237</v>
      </c>
      <c r="T9288" t="s">
        <v>443</v>
      </c>
      <c r="U9288" s="21">
        <v>2977110.82</v>
      </c>
      <c r="V9288" s="21" t="s">
        <v>368</v>
      </c>
      <c r="W9288" t="str">
        <f>VLOOKUP(Table_Query_from_Actuarial___Production[[#This Row],[Kor1]],$AI$3:$AK$105,3,FALSE)</f>
        <v>Commissions</v>
      </c>
      <c r="X9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8"/>
      <c r="Z9288" t="s">
        <v>16</v>
      </c>
      <c r="AA9288" t="s">
        <v>258</v>
      </c>
      <c r="AB9288" t="s">
        <v>351</v>
      </c>
      <c r="AC9288" s="21">
        <v>10076.870000000001</v>
      </c>
      <c r="AD9288" s="21" t="s">
        <v>368</v>
      </c>
      <c r="AE9288" t="str">
        <f>VLOOKUP(Table_Query_from_Actuarial___Production3[[#This Row],[Kor1]],$AI$3:$AK$105,3,FALSE)</f>
        <v>Losses Outstanding</v>
      </c>
      <c r="AF9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89" spans="18:32" x14ac:dyDescent="0.2">
      <c r="R9289" t="s">
        <v>11</v>
      </c>
      <c r="S9289" t="s">
        <v>267</v>
      </c>
      <c r="T9289" t="s">
        <v>9</v>
      </c>
      <c r="U9289" s="21">
        <v>470258.98</v>
      </c>
      <c r="V9289" s="21" t="s">
        <v>368</v>
      </c>
      <c r="W9289" t="str">
        <f>VLOOKUP(Table_Query_from_Actuarial___Production[[#This Row],[Kor1]],$AI$3:$AK$105,3,FALSE)</f>
        <v>Losses Paid</v>
      </c>
      <c r="X9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89"/>
      <c r="Z9289" t="s">
        <v>33</v>
      </c>
      <c r="AA9289" t="s">
        <v>227</v>
      </c>
      <c r="AB9289" t="s">
        <v>356</v>
      </c>
      <c r="AC9289" s="21">
        <v>14541.13</v>
      </c>
      <c r="AD9289" s="21" t="s">
        <v>368</v>
      </c>
      <c r="AE9289" t="str">
        <f>VLOOKUP(Table_Query_from_Actuarial___Production3[[#This Row],[Kor1]],$AI$3:$AK$105,3,FALSE)</f>
        <v>Misc. Expense</v>
      </c>
      <c r="AF9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0" spans="18:32" x14ac:dyDescent="0.2">
      <c r="R9290" t="s">
        <v>44</v>
      </c>
      <c r="S9290" t="s">
        <v>235</v>
      </c>
      <c r="T9290" t="s">
        <v>8</v>
      </c>
      <c r="U9290" s="21">
        <v>-0.01</v>
      </c>
      <c r="V9290" s="21" t="s">
        <v>368</v>
      </c>
      <c r="W9290" t="str">
        <f>VLOOKUP(Table_Query_from_Actuarial___Production[[#This Row],[Kor1]],$AI$3:$AK$105,3,FALSE)</f>
        <v>Charge-offs</v>
      </c>
      <c r="X9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0"/>
      <c r="Z9290" t="s">
        <v>43</v>
      </c>
      <c r="AA9290" t="s">
        <v>240</v>
      </c>
      <c r="AB9290" t="s">
        <v>351</v>
      </c>
      <c r="AC9290" s="21">
        <v>369.3</v>
      </c>
      <c r="AD9290" s="21" t="s">
        <v>368</v>
      </c>
      <c r="AE9290" t="str">
        <f>VLOOKUP(Table_Query_from_Actuarial___Production3[[#This Row],[Kor1]],$AI$3:$AK$105,3,FALSE)</f>
        <v>Charge-offs</v>
      </c>
      <c r="AF9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1" spans="18:32" x14ac:dyDescent="0.2">
      <c r="R9291" t="s">
        <v>17</v>
      </c>
      <c r="S9291" t="s">
        <v>254</v>
      </c>
      <c r="T9291" t="s">
        <v>445</v>
      </c>
      <c r="U9291" s="21">
        <v>1525133.84</v>
      </c>
      <c r="V9291" s="21" t="s">
        <v>368</v>
      </c>
      <c r="W9291" t="str">
        <f>VLOOKUP(Table_Query_from_Actuarial___Production[[#This Row],[Kor1]],$AI$3:$AK$105,3,FALSE)</f>
        <v>IBNR</v>
      </c>
      <c r="X9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1"/>
      <c r="Z9291" t="s">
        <v>44</v>
      </c>
      <c r="AA9291" t="s">
        <v>244</v>
      </c>
      <c r="AB9291" t="s">
        <v>6</v>
      </c>
      <c r="AC9291" s="21">
        <v>58107.26</v>
      </c>
      <c r="AD9291" s="21" t="s">
        <v>368</v>
      </c>
      <c r="AE9291" t="str">
        <f>VLOOKUP(Table_Query_from_Actuarial___Production3[[#This Row],[Kor1]],$AI$3:$AK$105,3,FALSE)</f>
        <v>Charge-offs</v>
      </c>
      <c r="AF9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2" spans="18:32" x14ac:dyDescent="0.2">
      <c r="R9292" t="s">
        <v>10</v>
      </c>
      <c r="S9292" t="s">
        <v>249</v>
      </c>
      <c r="T9292" t="s">
        <v>442</v>
      </c>
      <c r="U9292" s="21">
        <v>41924.5</v>
      </c>
      <c r="V9292" s="21" t="s">
        <v>368</v>
      </c>
      <c r="W9292" t="str">
        <f>VLOOKUP(Table_Query_from_Actuarial___Production[[#This Row],[Kor1]],$AI$3:$AK$105,3,FALSE)</f>
        <v>Commissions</v>
      </c>
      <c r="X9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2"/>
      <c r="Z9292" t="s">
        <v>49</v>
      </c>
      <c r="AA9292" t="s">
        <v>267</v>
      </c>
      <c r="AB9292" t="s">
        <v>9</v>
      </c>
      <c r="AC9292" s="21">
        <v>325</v>
      </c>
      <c r="AD9292" s="21" t="s">
        <v>368</v>
      </c>
      <c r="AE9292" t="str">
        <f>VLOOKUP(Table_Query_from_Actuarial___Production3[[#This Row],[Kor1]],$AI$3:$AK$105,3,FALSE)</f>
        <v>ALAE Paid</v>
      </c>
      <c r="AF9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3" spans="18:32" x14ac:dyDescent="0.2">
      <c r="R9293" t="s">
        <v>10</v>
      </c>
      <c r="S9293" t="s">
        <v>250</v>
      </c>
      <c r="T9293" t="s">
        <v>7</v>
      </c>
      <c r="U9293" s="21">
        <v>73414.600000000006</v>
      </c>
      <c r="V9293" s="21" t="s">
        <v>368</v>
      </c>
      <c r="W9293" t="str">
        <f>VLOOKUP(Table_Query_from_Actuarial___Production[[#This Row],[Kor1]],$AI$3:$AK$105,3,FALSE)</f>
        <v>Commissions</v>
      </c>
      <c r="X9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3"/>
      <c r="Z9293" t="s">
        <v>41</v>
      </c>
      <c r="AA9293" t="s">
        <v>235</v>
      </c>
      <c r="AB9293" t="s">
        <v>5</v>
      </c>
      <c r="AC9293" s="21">
        <v>150</v>
      </c>
      <c r="AD9293" s="21" t="s">
        <v>368</v>
      </c>
      <c r="AE9293" t="str">
        <f>VLOOKUP(Table_Query_from_Actuarial___Production3[[#This Row],[Kor1]],$AI$3:$AK$105,3,FALSE)</f>
        <v>Misc. Income</v>
      </c>
      <c r="AF9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4" spans="18:32" x14ac:dyDescent="0.2">
      <c r="R9294" t="s">
        <v>33</v>
      </c>
      <c r="S9294" t="s">
        <v>245</v>
      </c>
      <c r="T9294" t="s">
        <v>445</v>
      </c>
      <c r="U9294" s="21">
        <v>8631.2800000000007</v>
      </c>
      <c r="V9294" s="21" t="s">
        <v>368</v>
      </c>
      <c r="W9294" t="str">
        <f>VLOOKUP(Table_Query_from_Actuarial___Production[[#This Row],[Kor1]],$AI$3:$AK$105,3,FALSE)</f>
        <v>Misc. Expense</v>
      </c>
      <c r="X9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4"/>
      <c r="Z9294" t="s">
        <v>10</v>
      </c>
      <c r="AA9294" t="s">
        <v>237</v>
      </c>
      <c r="AB9294" t="s">
        <v>443</v>
      </c>
      <c r="AC9294" s="21">
        <v>1600613.8</v>
      </c>
      <c r="AD9294" s="21" t="s">
        <v>368</v>
      </c>
      <c r="AE9294" t="str">
        <f>VLOOKUP(Table_Query_from_Actuarial___Production3[[#This Row],[Kor1]],$AI$3:$AK$105,3,FALSE)</f>
        <v>Commissions</v>
      </c>
      <c r="AF9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5" spans="18:32" x14ac:dyDescent="0.2">
      <c r="R9295" t="s">
        <v>38</v>
      </c>
      <c r="S9295" t="s">
        <v>226</v>
      </c>
      <c r="T9295" t="s">
        <v>442</v>
      </c>
      <c r="U9295" s="21">
        <v>549.99</v>
      </c>
      <c r="V9295" s="21" t="s">
        <v>368</v>
      </c>
      <c r="W9295" t="str">
        <f>VLOOKUP(Table_Query_from_Actuarial___Production[[#This Row],[Kor1]],$AI$3:$AK$105,3,FALSE)</f>
        <v>Misc. Income</v>
      </c>
      <c r="X9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295"/>
      <c r="Z9295" t="s">
        <v>11</v>
      </c>
      <c r="AA9295" t="s">
        <v>267</v>
      </c>
      <c r="AB9295" t="s">
        <v>9</v>
      </c>
      <c r="AC9295" s="21">
        <v>470258.98</v>
      </c>
      <c r="AD9295" s="21" t="s">
        <v>368</v>
      </c>
      <c r="AE9295" t="str">
        <f>VLOOKUP(Table_Query_from_Actuarial___Production3[[#This Row],[Kor1]],$AI$3:$AK$105,3,FALSE)</f>
        <v>Losses Paid</v>
      </c>
      <c r="AF9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6" spans="18:32" x14ac:dyDescent="0.2">
      <c r="R9296" t="s">
        <v>47</v>
      </c>
      <c r="S9296" t="s">
        <v>263</v>
      </c>
      <c r="T9296" t="s">
        <v>441</v>
      </c>
      <c r="U9296" s="21">
        <v>9.94</v>
      </c>
      <c r="V9296" s="21" t="s">
        <v>368</v>
      </c>
      <c r="W9296" t="str">
        <f>VLOOKUP(Table_Query_from_Actuarial___Production[[#This Row],[Kor1]],$AI$3:$AK$105,3,FALSE)</f>
        <v>Investment Income</v>
      </c>
      <c r="X9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6"/>
      <c r="Z9296" t="s">
        <v>44</v>
      </c>
      <c r="AA9296" t="s">
        <v>235</v>
      </c>
      <c r="AB9296" t="s">
        <v>8</v>
      </c>
      <c r="AC9296" s="21">
        <v>-0.01</v>
      </c>
      <c r="AD9296" s="21" t="s">
        <v>368</v>
      </c>
      <c r="AE9296" t="str">
        <f>VLOOKUP(Table_Query_from_Actuarial___Production3[[#This Row],[Kor1]],$AI$3:$AK$105,3,FALSE)</f>
        <v>Charge-offs</v>
      </c>
      <c r="AF9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7" spans="18:32" x14ac:dyDescent="0.2">
      <c r="R9297" t="s">
        <v>47</v>
      </c>
      <c r="S9297" t="s">
        <v>254</v>
      </c>
      <c r="T9297" t="s">
        <v>433</v>
      </c>
      <c r="U9297" s="21">
        <v>3735.32</v>
      </c>
      <c r="V9297" s="21" t="s">
        <v>368</v>
      </c>
      <c r="W9297" t="str">
        <f>VLOOKUP(Table_Query_from_Actuarial___Production[[#This Row],[Kor1]],$AI$3:$AK$105,3,FALSE)</f>
        <v>Investment Income</v>
      </c>
      <c r="X9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7"/>
      <c r="Z9297" t="s">
        <v>10</v>
      </c>
      <c r="AA9297" t="s">
        <v>249</v>
      </c>
      <c r="AB9297" t="s">
        <v>442</v>
      </c>
      <c r="AC9297" s="21">
        <v>41507.4</v>
      </c>
      <c r="AD9297" s="21" t="s">
        <v>368</v>
      </c>
      <c r="AE9297" t="str">
        <f>VLOOKUP(Table_Query_from_Actuarial___Production3[[#This Row],[Kor1]],$AI$3:$AK$105,3,FALSE)</f>
        <v>Commissions</v>
      </c>
      <c r="AF9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8" spans="18:32" x14ac:dyDescent="0.2">
      <c r="R9298" t="s">
        <v>37</v>
      </c>
      <c r="S9298" t="s">
        <v>241</v>
      </c>
      <c r="T9298" t="s">
        <v>441</v>
      </c>
      <c r="U9298" s="21">
        <v>152.33000000000001</v>
      </c>
      <c r="V9298" s="21" t="s">
        <v>368</v>
      </c>
      <c r="W9298" t="str">
        <f>VLOOKUP(Table_Query_from_Actuarial___Production[[#This Row],[Kor1]],$AI$3:$AK$105,3,FALSE)</f>
        <v>Misc. Expense</v>
      </c>
      <c r="X9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8"/>
      <c r="Z9298" t="s">
        <v>10</v>
      </c>
      <c r="AA9298" t="s">
        <v>250</v>
      </c>
      <c r="AB9298" t="s">
        <v>7</v>
      </c>
      <c r="AC9298" s="21">
        <v>73414.600000000006</v>
      </c>
      <c r="AD9298" s="21" t="s">
        <v>368</v>
      </c>
      <c r="AE9298" t="str">
        <f>VLOOKUP(Table_Query_from_Actuarial___Production3[[#This Row],[Kor1]],$AI$3:$AK$105,3,FALSE)</f>
        <v>Commissions</v>
      </c>
      <c r="AF9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299" spans="18:32" x14ac:dyDescent="0.2">
      <c r="R9299" t="s">
        <v>44</v>
      </c>
      <c r="S9299" t="s">
        <v>4</v>
      </c>
      <c r="T9299" t="s">
        <v>427</v>
      </c>
      <c r="U9299" s="21">
        <v>1285836.8899999999</v>
      </c>
      <c r="V9299" s="21" t="s">
        <v>368</v>
      </c>
      <c r="W9299" t="str">
        <f>VLOOKUP(Table_Query_from_Actuarial___Production[[#This Row],[Kor1]],$AI$3:$AK$105,3,FALSE)</f>
        <v>Charge-offs</v>
      </c>
      <c r="X9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299"/>
      <c r="Z9299" t="s">
        <v>38</v>
      </c>
      <c r="AA9299" t="s">
        <v>226</v>
      </c>
      <c r="AB9299" t="s">
        <v>442</v>
      </c>
      <c r="AC9299" s="21">
        <v>549.99</v>
      </c>
      <c r="AD9299" s="21" t="s">
        <v>368</v>
      </c>
      <c r="AE9299" t="str">
        <f>VLOOKUP(Table_Query_from_Actuarial___Production3[[#This Row],[Kor1]],$AI$3:$AK$105,3,FALSE)</f>
        <v>Misc. Income</v>
      </c>
      <c r="AF9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300" spans="18:32" x14ac:dyDescent="0.2">
      <c r="R9300" t="s">
        <v>34</v>
      </c>
      <c r="S9300" t="s">
        <v>246</v>
      </c>
      <c r="T9300" t="s">
        <v>351</v>
      </c>
      <c r="U9300" s="21">
        <v>22.05</v>
      </c>
      <c r="V9300" s="21" t="s">
        <v>368</v>
      </c>
      <c r="W9300" t="str">
        <f>VLOOKUP(Table_Query_from_Actuarial___Production[[#This Row],[Kor1]],$AI$3:$AK$105,3,FALSE)</f>
        <v>Misc. Expense</v>
      </c>
      <c r="X9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0"/>
      <c r="Z9300" t="s">
        <v>47</v>
      </c>
      <c r="AA9300" t="s">
        <v>263</v>
      </c>
      <c r="AB9300" t="s">
        <v>441</v>
      </c>
      <c r="AC9300" s="21">
        <v>9.94</v>
      </c>
      <c r="AD9300" s="21" t="s">
        <v>368</v>
      </c>
      <c r="AE9300" t="str">
        <f>VLOOKUP(Table_Query_from_Actuarial___Production3[[#This Row],[Kor1]],$AI$3:$AK$105,3,FALSE)</f>
        <v>Investment Income</v>
      </c>
      <c r="AF9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1" spans="18:32" x14ac:dyDescent="0.2">
      <c r="R9301" t="s">
        <v>10</v>
      </c>
      <c r="S9301" t="s">
        <v>250</v>
      </c>
      <c r="T9301" t="s">
        <v>443</v>
      </c>
      <c r="U9301" s="21">
        <v>71782.13</v>
      </c>
      <c r="V9301" s="21" t="s">
        <v>368</v>
      </c>
      <c r="W9301" t="str">
        <f>VLOOKUP(Table_Query_from_Actuarial___Production[[#This Row],[Kor1]],$AI$3:$AK$105,3,FALSE)</f>
        <v>Commissions</v>
      </c>
      <c r="X9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1"/>
      <c r="Z9301" t="s">
        <v>3</v>
      </c>
      <c r="AA9301" t="s">
        <v>232</v>
      </c>
      <c r="AB9301" t="s">
        <v>5</v>
      </c>
      <c r="AC9301" s="21">
        <v>903181</v>
      </c>
      <c r="AD9301" s="21" t="s">
        <v>368</v>
      </c>
      <c r="AE9301" t="str">
        <f>VLOOKUP(Table_Query_from_Actuarial___Production3[[#This Row],[Kor1]],$AI$3:$AK$105,3,FALSE)</f>
        <v>Premiums Written</v>
      </c>
      <c r="AF9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2" spans="18:32" x14ac:dyDescent="0.2">
      <c r="R9302" t="s">
        <v>33</v>
      </c>
      <c r="S9302" t="s">
        <v>245</v>
      </c>
      <c r="T9302" t="s">
        <v>6</v>
      </c>
      <c r="U9302" s="21">
        <v>15781.1</v>
      </c>
      <c r="V9302" s="21" t="s">
        <v>368</v>
      </c>
      <c r="W9302" t="str">
        <f>VLOOKUP(Table_Query_from_Actuarial___Production[[#This Row],[Kor1]],$AI$3:$AK$105,3,FALSE)</f>
        <v>Misc. Expense</v>
      </c>
      <c r="X9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2"/>
      <c r="Z9302" t="s">
        <v>47</v>
      </c>
      <c r="AA9302" t="s">
        <v>254</v>
      </c>
      <c r="AB9302" t="s">
        <v>433</v>
      </c>
      <c r="AC9302" s="21">
        <v>3735.32</v>
      </c>
      <c r="AD9302" s="21" t="s">
        <v>368</v>
      </c>
      <c r="AE9302" t="str">
        <f>VLOOKUP(Table_Query_from_Actuarial___Production3[[#This Row],[Kor1]],$AI$3:$AK$105,3,FALSE)</f>
        <v>Investment Income</v>
      </c>
      <c r="AF9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3" spans="18:32" x14ac:dyDescent="0.2">
      <c r="R9303" t="s">
        <v>44</v>
      </c>
      <c r="S9303" t="s">
        <v>233</v>
      </c>
      <c r="T9303" t="s">
        <v>442</v>
      </c>
      <c r="U9303" s="21">
        <v>7641.16</v>
      </c>
      <c r="V9303" s="21" t="s">
        <v>368</v>
      </c>
      <c r="W9303" t="str">
        <f>VLOOKUP(Table_Query_from_Actuarial___Production[[#This Row],[Kor1]],$AI$3:$AK$105,3,FALSE)</f>
        <v>Charge-offs</v>
      </c>
      <c r="X9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3"/>
      <c r="Z9303" t="s">
        <v>37</v>
      </c>
      <c r="AA9303" t="s">
        <v>241</v>
      </c>
      <c r="AB9303" t="s">
        <v>441</v>
      </c>
      <c r="AC9303" s="21">
        <v>152.33000000000001</v>
      </c>
      <c r="AD9303" s="21" t="s">
        <v>368</v>
      </c>
      <c r="AE9303" t="str">
        <f>VLOOKUP(Table_Query_from_Actuarial___Production3[[#This Row],[Kor1]],$AI$3:$AK$105,3,FALSE)</f>
        <v>Misc. Expense</v>
      </c>
      <c r="AF9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4" spans="18:32" x14ac:dyDescent="0.2">
      <c r="R9304" t="s">
        <v>23</v>
      </c>
      <c r="S9304" t="s">
        <v>250</v>
      </c>
      <c r="T9304" t="s">
        <v>7</v>
      </c>
      <c r="U9304" s="21">
        <v>24.84</v>
      </c>
      <c r="V9304" s="21" t="s">
        <v>368</v>
      </c>
      <c r="W9304" t="str">
        <f>VLOOKUP(Table_Query_from_Actuarial___Production[[#This Row],[Kor1]],$AI$3:$AK$105,3,FALSE)</f>
        <v>Misc. Expense</v>
      </c>
      <c r="X9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4"/>
      <c r="Z9304" t="s">
        <v>44</v>
      </c>
      <c r="AA9304" t="s">
        <v>4</v>
      </c>
      <c r="AB9304" t="s">
        <v>427</v>
      </c>
      <c r="AC9304" s="21">
        <v>1285836.8899999999</v>
      </c>
      <c r="AD9304" s="21" t="s">
        <v>368</v>
      </c>
      <c r="AE9304" t="str">
        <f>VLOOKUP(Table_Query_from_Actuarial___Production3[[#This Row],[Kor1]],$AI$3:$AK$105,3,FALSE)</f>
        <v>Charge-offs</v>
      </c>
      <c r="AF9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5" spans="18:32" x14ac:dyDescent="0.2">
      <c r="R9305" t="s">
        <v>10</v>
      </c>
      <c r="S9305" t="s">
        <v>225</v>
      </c>
      <c r="T9305" t="s">
        <v>8</v>
      </c>
      <c r="U9305" s="21">
        <v>33934.39</v>
      </c>
      <c r="V9305" s="21" t="s">
        <v>368</v>
      </c>
      <c r="W9305" t="str">
        <f>VLOOKUP(Table_Query_from_Actuarial___Production[[#This Row],[Kor1]],$AI$3:$AK$105,3,FALSE)</f>
        <v>Commissions</v>
      </c>
      <c r="X9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305"/>
      <c r="Z9305" t="s">
        <v>34</v>
      </c>
      <c r="AA9305" t="s">
        <v>246</v>
      </c>
      <c r="AB9305" t="s">
        <v>351</v>
      </c>
      <c r="AC9305" s="21">
        <v>22.05</v>
      </c>
      <c r="AD9305" s="21" t="s">
        <v>368</v>
      </c>
      <c r="AE9305" t="str">
        <f>VLOOKUP(Table_Query_from_Actuarial___Production3[[#This Row],[Kor1]],$AI$3:$AK$105,3,FALSE)</f>
        <v>Misc. Expense</v>
      </c>
      <c r="AF9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6" spans="18:32" x14ac:dyDescent="0.2">
      <c r="R9306" t="s">
        <v>13</v>
      </c>
      <c r="S9306" t="s">
        <v>246</v>
      </c>
      <c r="T9306" t="s">
        <v>6</v>
      </c>
      <c r="U9306" s="21">
        <v>14102.35</v>
      </c>
      <c r="V9306" s="21" t="s">
        <v>368</v>
      </c>
      <c r="W9306" t="str">
        <f>VLOOKUP(Table_Query_from_Actuarial___Production[[#This Row],[Kor1]],$AI$3:$AK$105,3,FALSE)</f>
        <v>Operating Service Fees</v>
      </c>
      <c r="X9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6"/>
      <c r="Z9306" t="s">
        <v>10</v>
      </c>
      <c r="AA9306" t="s">
        <v>250</v>
      </c>
      <c r="AB9306" t="s">
        <v>443</v>
      </c>
      <c r="AC9306" s="21">
        <v>26241.3</v>
      </c>
      <c r="AD9306" s="21" t="s">
        <v>368</v>
      </c>
      <c r="AE9306" t="str">
        <f>VLOOKUP(Table_Query_from_Actuarial___Production3[[#This Row],[Kor1]],$AI$3:$AK$105,3,FALSE)</f>
        <v>Commissions</v>
      </c>
      <c r="AF9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7" spans="18:32" x14ac:dyDescent="0.2">
      <c r="R9307" t="s">
        <v>16</v>
      </c>
      <c r="S9307" t="s">
        <v>258</v>
      </c>
      <c r="T9307" t="s">
        <v>441</v>
      </c>
      <c r="U9307" s="21">
        <v>514154.95</v>
      </c>
      <c r="V9307" s="21" t="s">
        <v>368</v>
      </c>
      <c r="W9307" t="str">
        <f>VLOOKUP(Table_Query_from_Actuarial___Production[[#This Row],[Kor1]],$AI$3:$AK$105,3,FALSE)</f>
        <v>Losses Outstanding</v>
      </c>
      <c r="X9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7"/>
      <c r="Z9307" t="s">
        <v>33</v>
      </c>
      <c r="AA9307" t="s">
        <v>245</v>
      </c>
      <c r="AB9307" t="s">
        <v>6</v>
      </c>
      <c r="AC9307" s="21">
        <v>15781.1</v>
      </c>
      <c r="AD9307" s="21" t="s">
        <v>368</v>
      </c>
      <c r="AE9307" t="str">
        <f>VLOOKUP(Table_Query_from_Actuarial___Production3[[#This Row],[Kor1]],$AI$3:$AK$105,3,FALSE)</f>
        <v>Misc. Expense</v>
      </c>
      <c r="AF9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8" spans="18:32" x14ac:dyDescent="0.2">
      <c r="R9308" t="s">
        <v>33</v>
      </c>
      <c r="S9308" t="s">
        <v>246</v>
      </c>
      <c r="T9308" t="s">
        <v>9</v>
      </c>
      <c r="U9308" s="21">
        <v>15691.89</v>
      </c>
      <c r="V9308" s="21" t="s">
        <v>368</v>
      </c>
      <c r="W9308" t="str">
        <f>VLOOKUP(Table_Query_from_Actuarial___Production[[#This Row],[Kor1]],$AI$3:$AK$105,3,FALSE)</f>
        <v>Misc. Expense</v>
      </c>
      <c r="X9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8"/>
      <c r="Z9308" t="s">
        <v>44</v>
      </c>
      <c r="AA9308" t="s">
        <v>233</v>
      </c>
      <c r="AB9308" t="s">
        <v>442</v>
      </c>
      <c r="AC9308" s="21">
        <v>7525.16</v>
      </c>
      <c r="AD9308" s="21" t="s">
        <v>368</v>
      </c>
      <c r="AE9308" t="str">
        <f>VLOOKUP(Table_Query_from_Actuarial___Production3[[#This Row],[Kor1]],$AI$3:$AK$105,3,FALSE)</f>
        <v>Charge-offs</v>
      </c>
      <c r="AF9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09" spans="18:32" x14ac:dyDescent="0.2">
      <c r="R9309" t="s">
        <v>47</v>
      </c>
      <c r="S9309" t="s">
        <v>227</v>
      </c>
      <c r="T9309" t="s">
        <v>351</v>
      </c>
      <c r="U9309" s="21">
        <v>2209.17</v>
      </c>
      <c r="V9309" s="21" t="s">
        <v>368</v>
      </c>
      <c r="W9309" t="str">
        <f>VLOOKUP(Table_Query_from_Actuarial___Production[[#This Row],[Kor1]],$AI$3:$AK$105,3,FALSE)</f>
        <v>Investment Income</v>
      </c>
      <c r="X9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09"/>
      <c r="Z9309" t="s">
        <v>23</v>
      </c>
      <c r="AA9309" t="s">
        <v>250</v>
      </c>
      <c r="AB9309" t="s">
        <v>7</v>
      </c>
      <c r="AC9309" s="21">
        <v>24.84</v>
      </c>
      <c r="AD9309" s="21" t="s">
        <v>368</v>
      </c>
      <c r="AE9309" t="str">
        <f>VLOOKUP(Table_Query_from_Actuarial___Production3[[#This Row],[Kor1]],$AI$3:$AK$105,3,FALSE)</f>
        <v>Misc. Expense</v>
      </c>
      <c r="AF9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0" spans="18:32" x14ac:dyDescent="0.2">
      <c r="R9310" t="s">
        <v>40</v>
      </c>
      <c r="S9310" t="s">
        <v>234</v>
      </c>
      <c r="T9310" t="s">
        <v>356</v>
      </c>
      <c r="U9310" s="21">
        <v>158.01</v>
      </c>
      <c r="V9310" s="21" t="s">
        <v>368</v>
      </c>
      <c r="W9310" t="str">
        <f>VLOOKUP(Table_Query_from_Actuarial___Production[[#This Row],[Kor1]],$AI$3:$AK$105,3,FALSE)</f>
        <v>Misc. Income</v>
      </c>
      <c r="X9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0"/>
      <c r="Z9310" t="s">
        <v>10</v>
      </c>
      <c r="AA9310" t="s">
        <v>225</v>
      </c>
      <c r="AB9310" t="s">
        <v>8</v>
      </c>
      <c r="AC9310" s="21">
        <v>33934.39</v>
      </c>
      <c r="AD9310" s="21" t="s">
        <v>368</v>
      </c>
      <c r="AE9310" t="str">
        <f>VLOOKUP(Table_Query_from_Actuarial___Production3[[#This Row],[Kor1]],$AI$3:$AK$105,3,FALSE)</f>
        <v>Commissions</v>
      </c>
      <c r="AF9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311" spans="18:32" x14ac:dyDescent="0.2">
      <c r="R9311" t="s">
        <v>14</v>
      </c>
      <c r="S9311" t="s">
        <v>260</v>
      </c>
      <c r="T9311" t="s">
        <v>8</v>
      </c>
      <c r="U9311" s="21">
        <v>329.09</v>
      </c>
      <c r="V9311" s="21" t="s">
        <v>368</v>
      </c>
      <c r="W9311" t="str">
        <f>VLOOKUP(Table_Query_from_Actuarial___Production[[#This Row],[Kor1]],$AI$3:$AK$105,3,FALSE)</f>
        <v>Claims Expense</v>
      </c>
      <c r="X9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1"/>
      <c r="Z9311" t="s">
        <v>13</v>
      </c>
      <c r="AA9311" t="s">
        <v>246</v>
      </c>
      <c r="AB9311" t="s">
        <v>6</v>
      </c>
      <c r="AC9311" s="21">
        <v>14102.35</v>
      </c>
      <c r="AD9311" s="21" t="s">
        <v>368</v>
      </c>
      <c r="AE9311" t="str">
        <f>VLOOKUP(Table_Query_from_Actuarial___Production3[[#This Row],[Kor1]],$AI$3:$AK$105,3,FALSE)</f>
        <v>Operating Service Fees</v>
      </c>
      <c r="AF9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2" spans="18:32" x14ac:dyDescent="0.2">
      <c r="R9312" t="s">
        <v>10</v>
      </c>
      <c r="S9312" t="s">
        <v>244</v>
      </c>
      <c r="T9312" t="s">
        <v>443</v>
      </c>
      <c r="U9312" s="21">
        <v>243679.58</v>
      </c>
      <c r="V9312" s="21" t="s">
        <v>368</v>
      </c>
      <c r="W9312" t="str">
        <f>VLOOKUP(Table_Query_from_Actuarial___Production[[#This Row],[Kor1]],$AI$3:$AK$105,3,FALSE)</f>
        <v>Commissions</v>
      </c>
      <c r="X9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2"/>
      <c r="Z9312" t="s">
        <v>16</v>
      </c>
      <c r="AA9312" t="s">
        <v>258</v>
      </c>
      <c r="AB9312" t="s">
        <v>441</v>
      </c>
      <c r="AC9312" s="21">
        <v>1455777.66</v>
      </c>
      <c r="AD9312" s="21" t="s">
        <v>368</v>
      </c>
      <c r="AE9312" t="str">
        <f>VLOOKUP(Table_Query_from_Actuarial___Production3[[#This Row],[Kor1]],$AI$3:$AK$105,3,FALSE)</f>
        <v>Losses Outstanding</v>
      </c>
      <c r="AF9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3" spans="18:32" x14ac:dyDescent="0.2">
      <c r="R9313" t="s">
        <v>14</v>
      </c>
      <c r="S9313" t="s">
        <v>250</v>
      </c>
      <c r="T9313" t="s">
        <v>351</v>
      </c>
      <c r="U9313" s="21">
        <v>149411.79999999999</v>
      </c>
      <c r="V9313" s="21" t="s">
        <v>368</v>
      </c>
      <c r="W9313" t="str">
        <f>VLOOKUP(Table_Query_from_Actuarial___Production[[#This Row],[Kor1]],$AI$3:$AK$105,3,FALSE)</f>
        <v>Claims Expense</v>
      </c>
      <c r="X9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3"/>
      <c r="Z9313" t="s">
        <v>33</v>
      </c>
      <c r="AA9313" t="s">
        <v>246</v>
      </c>
      <c r="AB9313" t="s">
        <v>9</v>
      </c>
      <c r="AC9313" s="21">
        <v>15691.89</v>
      </c>
      <c r="AD9313" s="21" t="s">
        <v>368</v>
      </c>
      <c r="AE9313" t="str">
        <f>VLOOKUP(Table_Query_from_Actuarial___Production3[[#This Row],[Kor1]],$AI$3:$AK$105,3,FALSE)</f>
        <v>Misc. Expense</v>
      </c>
      <c r="AF9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4" spans="18:32" x14ac:dyDescent="0.2">
      <c r="R9314" t="s">
        <v>44</v>
      </c>
      <c r="S9314" t="s">
        <v>241</v>
      </c>
      <c r="T9314" t="s">
        <v>442</v>
      </c>
      <c r="U9314" s="21">
        <v>1371.21</v>
      </c>
      <c r="V9314" s="21" t="s">
        <v>368</v>
      </c>
      <c r="W9314" t="str">
        <f>VLOOKUP(Table_Query_from_Actuarial___Production[[#This Row],[Kor1]],$AI$3:$AK$105,3,FALSE)</f>
        <v>Charge-offs</v>
      </c>
      <c r="X9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4"/>
      <c r="Z9314" t="s">
        <v>47</v>
      </c>
      <c r="AA9314" t="s">
        <v>227</v>
      </c>
      <c r="AB9314" t="s">
        <v>351</v>
      </c>
      <c r="AC9314" s="21">
        <v>2209.17</v>
      </c>
      <c r="AD9314" s="21" t="s">
        <v>368</v>
      </c>
      <c r="AE9314" t="str">
        <f>VLOOKUP(Table_Query_from_Actuarial___Production3[[#This Row],[Kor1]],$AI$3:$AK$105,3,FALSE)</f>
        <v>Investment Income</v>
      </c>
      <c r="AF9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5" spans="18:32" x14ac:dyDescent="0.2">
      <c r="R9315" t="s">
        <v>3</v>
      </c>
      <c r="S9315" t="s">
        <v>227</v>
      </c>
      <c r="T9315" t="s">
        <v>351</v>
      </c>
      <c r="U9315" s="21">
        <v>38491</v>
      </c>
      <c r="V9315" s="21" t="s">
        <v>368</v>
      </c>
      <c r="W9315" t="str">
        <f>VLOOKUP(Table_Query_from_Actuarial___Production[[#This Row],[Kor1]],$AI$3:$AK$105,3,FALSE)</f>
        <v>Premiums Written</v>
      </c>
      <c r="X9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5"/>
      <c r="Z9315" t="s">
        <v>40</v>
      </c>
      <c r="AA9315" t="s">
        <v>234</v>
      </c>
      <c r="AB9315" t="s">
        <v>356</v>
      </c>
      <c r="AC9315" s="21">
        <v>158.01</v>
      </c>
      <c r="AD9315" s="21" t="s">
        <v>368</v>
      </c>
      <c r="AE9315" t="str">
        <f>VLOOKUP(Table_Query_from_Actuarial___Production3[[#This Row],[Kor1]],$AI$3:$AK$105,3,FALSE)</f>
        <v>Misc. Income</v>
      </c>
      <c r="AF9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6" spans="18:32" x14ac:dyDescent="0.2">
      <c r="R9316" t="s">
        <v>41</v>
      </c>
      <c r="S9316" t="s">
        <v>242</v>
      </c>
      <c r="T9316" t="s">
        <v>351</v>
      </c>
      <c r="U9316" s="21">
        <v>1100</v>
      </c>
      <c r="V9316" s="21" t="s">
        <v>368</v>
      </c>
      <c r="W9316" t="str">
        <f>VLOOKUP(Table_Query_from_Actuarial___Production[[#This Row],[Kor1]],$AI$3:$AK$105,3,FALSE)</f>
        <v>Misc. Income</v>
      </c>
      <c r="X9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6"/>
      <c r="Z9316" t="s">
        <v>14</v>
      </c>
      <c r="AA9316" t="s">
        <v>260</v>
      </c>
      <c r="AB9316" t="s">
        <v>8</v>
      </c>
      <c r="AC9316" s="21">
        <v>329.09</v>
      </c>
      <c r="AD9316" s="21" t="s">
        <v>368</v>
      </c>
      <c r="AE9316" t="str">
        <f>VLOOKUP(Table_Query_from_Actuarial___Production3[[#This Row],[Kor1]],$AI$3:$AK$105,3,FALSE)</f>
        <v>Claims Expense</v>
      </c>
      <c r="AF9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7" spans="18:32" x14ac:dyDescent="0.2">
      <c r="R9317" t="s">
        <v>20</v>
      </c>
      <c r="S9317" t="s">
        <v>229</v>
      </c>
      <c r="T9317" t="s">
        <v>9</v>
      </c>
      <c r="U9317" s="21">
        <v>14.44</v>
      </c>
      <c r="V9317" s="21" t="s">
        <v>368</v>
      </c>
      <c r="W9317" t="str">
        <f>VLOOKUP(Table_Query_from_Actuarial___Production[[#This Row],[Kor1]],$AI$3:$AK$105,3,FALSE)</f>
        <v>Misc. Expense</v>
      </c>
      <c r="X9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7"/>
      <c r="Z9317" t="s">
        <v>10</v>
      </c>
      <c r="AA9317" t="s">
        <v>244</v>
      </c>
      <c r="AB9317" t="s">
        <v>443</v>
      </c>
      <c r="AC9317" s="21">
        <v>59659.95</v>
      </c>
      <c r="AD9317" s="21" t="s">
        <v>368</v>
      </c>
      <c r="AE9317" t="str">
        <f>VLOOKUP(Table_Query_from_Actuarial___Production3[[#This Row],[Kor1]],$AI$3:$AK$105,3,FALSE)</f>
        <v>Commissions</v>
      </c>
      <c r="AF9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8" spans="18:32" x14ac:dyDescent="0.2">
      <c r="R9318" t="s">
        <v>13</v>
      </c>
      <c r="S9318" t="s">
        <v>264</v>
      </c>
      <c r="T9318" t="s">
        <v>356</v>
      </c>
      <c r="U9318" s="21">
        <v>233170.46</v>
      </c>
      <c r="V9318" s="21" t="s">
        <v>368</v>
      </c>
      <c r="W9318" t="str">
        <f>VLOOKUP(Table_Query_from_Actuarial___Production[[#This Row],[Kor1]],$AI$3:$AK$105,3,FALSE)</f>
        <v>Operating Service Fees</v>
      </c>
      <c r="X9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8"/>
      <c r="Z9318" t="s">
        <v>14</v>
      </c>
      <c r="AA9318" t="s">
        <v>250</v>
      </c>
      <c r="AB9318" t="s">
        <v>351</v>
      </c>
      <c r="AC9318" s="21">
        <v>149411.79999999999</v>
      </c>
      <c r="AD9318" s="21" t="s">
        <v>368</v>
      </c>
      <c r="AE9318" t="str">
        <f>VLOOKUP(Table_Query_from_Actuarial___Production3[[#This Row],[Kor1]],$AI$3:$AK$105,3,FALSE)</f>
        <v>Claims Expense</v>
      </c>
      <c r="AF9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19" spans="18:32" x14ac:dyDescent="0.2">
      <c r="R9319" t="s">
        <v>11</v>
      </c>
      <c r="S9319" t="s">
        <v>264</v>
      </c>
      <c r="T9319" t="s">
        <v>6</v>
      </c>
      <c r="U9319" s="21">
        <v>1150121.6499999999</v>
      </c>
      <c r="V9319" s="21" t="s">
        <v>368</v>
      </c>
      <c r="W9319" t="str">
        <f>VLOOKUP(Table_Query_from_Actuarial___Production[[#This Row],[Kor1]],$AI$3:$AK$105,3,FALSE)</f>
        <v>Losses Paid</v>
      </c>
      <c r="X9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19"/>
      <c r="Z9319" t="s">
        <v>44</v>
      </c>
      <c r="AA9319" t="s">
        <v>241</v>
      </c>
      <c r="AB9319" t="s">
        <v>442</v>
      </c>
      <c r="AC9319" s="21">
        <v>4614.21</v>
      </c>
      <c r="AD9319" s="21" t="s">
        <v>368</v>
      </c>
      <c r="AE9319" t="str">
        <f>VLOOKUP(Table_Query_from_Actuarial___Production3[[#This Row],[Kor1]],$AI$3:$AK$105,3,FALSE)</f>
        <v>Charge-offs</v>
      </c>
      <c r="AF9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0" spans="18:32" x14ac:dyDescent="0.2">
      <c r="R9320" t="s">
        <v>37</v>
      </c>
      <c r="S9320" t="s">
        <v>233</v>
      </c>
      <c r="T9320" t="s">
        <v>441</v>
      </c>
      <c r="U9320" s="21">
        <v>1132.47</v>
      </c>
      <c r="V9320" s="21" t="s">
        <v>368</v>
      </c>
      <c r="W9320" t="str">
        <f>VLOOKUP(Table_Query_from_Actuarial___Production[[#This Row],[Kor1]],$AI$3:$AK$105,3,FALSE)</f>
        <v>Misc. Expense</v>
      </c>
      <c r="X9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0"/>
      <c r="Z9320" t="s">
        <v>3</v>
      </c>
      <c r="AA9320" t="s">
        <v>227</v>
      </c>
      <c r="AB9320" t="s">
        <v>351</v>
      </c>
      <c r="AC9320" s="21">
        <v>38491</v>
      </c>
      <c r="AD9320" s="21" t="s">
        <v>368</v>
      </c>
      <c r="AE9320" t="str">
        <f>VLOOKUP(Table_Query_from_Actuarial___Production3[[#This Row],[Kor1]],$AI$3:$AK$105,3,FALSE)</f>
        <v>Premiums Written</v>
      </c>
      <c r="AF9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1" spans="18:32" x14ac:dyDescent="0.2">
      <c r="R9321" t="s">
        <v>12</v>
      </c>
      <c r="S9321" t="s">
        <v>262</v>
      </c>
      <c r="T9321" t="s">
        <v>442</v>
      </c>
      <c r="U9321" s="21">
        <v>2595.52</v>
      </c>
      <c r="V9321" s="21" t="s">
        <v>368</v>
      </c>
      <c r="W9321" t="str">
        <f>VLOOKUP(Table_Query_from_Actuarial___Production[[#This Row],[Kor1]],$AI$3:$AK$105,3,FALSE)</f>
        <v>Premium Tax</v>
      </c>
      <c r="X9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1"/>
      <c r="Z9321" t="s">
        <v>40</v>
      </c>
      <c r="AA9321" t="s">
        <v>265</v>
      </c>
      <c r="AB9321" t="s">
        <v>5</v>
      </c>
      <c r="AC9321" s="21">
        <v>67</v>
      </c>
      <c r="AD9321" s="21" t="s">
        <v>368</v>
      </c>
      <c r="AE9321" t="str">
        <f>VLOOKUP(Table_Query_from_Actuarial___Production3[[#This Row],[Kor1]],$AI$3:$AK$105,3,FALSE)</f>
        <v>Misc. Income</v>
      </c>
      <c r="AF9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2" spans="18:32" x14ac:dyDescent="0.2">
      <c r="R9322" t="s">
        <v>17</v>
      </c>
      <c r="S9322" t="s">
        <v>229</v>
      </c>
      <c r="T9322" t="s">
        <v>443</v>
      </c>
      <c r="U9322" s="21">
        <v>43221.75</v>
      </c>
      <c r="V9322" s="21" t="s">
        <v>368</v>
      </c>
      <c r="W9322" t="str">
        <f>VLOOKUP(Table_Query_from_Actuarial___Production[[#This Row],[Kor1]],$AI$3:$AK$105,3,FALSE)</f>
        <v>IBNR</v>
      </c>
      <c r="X9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2"/>
      <c r="Z9322" t="s">
        <v>41</v>
      </c>
      <c r="AA9322" t="s">
        <v>242</v>
      </c>
      <c r="AB9322" t="s">
        <v>351</v>
      </c>
      <c r="AC9322" s="21">
        <v>1100</v>
      </c>
      <c r="AD9322" s="21" t="s">
        <v>368</v>
      </c>
      <c r="AE9322" t="str">
        <f>VLOOKUP(Table_Query_from_Actuarial___Production3[[#This Row],[Kor1]],$AI$3:$AK$105,3,FALSE)</f>
        <v>Misc. Income</v>
      </c>
      <c r="AF9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3" spans="18:32" x14ac:dyDescent="0.2">
      <c r="R9323" t="s">
        <v>444</v>
      </c>
      <c r="S9323" t="s">
        <v>232</v>
      </c>
      <c r="T9323" t="s">
        <v>443</v>
      </c>
      <c r="U9323" s="21">
        <v>23464.18</v>
      </c>
      <c r="V9323" s="21" t="s">
        <v>368</v>
      </c>
      <c r="W9323" t="str">
        <f>VLOOKUP(Table_Query_from_Actuarial___Production[[#This Row],[Kor1]],$AI$3:$AK$105,3,FALSE)</f>
        <v>Misc. Expense</v>
      </c>
      <c r="X9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3"/>
      <c r="Z9323" t="s">
        <v>20</v>
      </c>
      <c r="AA9323" t="s">
        <v>229</v>
      </c>
      <c r="AB9323" t="s">
        <v>9</v>
      </c>
      <c r="AC9323" s="21">
        <v>14.44</v>
      </c>
      <c r="AD9323" s="21" t="s">
        <v>368</v>
      </c>
      <c r="AE9323" t="str">
        <f>VLOOKUP(Table_Query_from_Actuarial___Production3[[#This Row],[Kor1]],$AI$3:$AK$105,3,FALSE)</f>
        <v>Misc. Expense</v>
      </c>
      <c r="AF9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4" spans="18:32" x14ac:dyDescent="0.2">
      <c r="R9324" t="s">
        <v>49</v>
      </c>
      <c r="S9324" t="s">
        <v>257</v>
      </c>
      <c r="T9324" t="s">
        <v>7</v>
      </c>
      <c r="U9324" s="21">
        <v>9951.1200000000008</v>
      </c>
      <c r="V9324" s="21" t="s">
        <v>368</v>
      </c>
      <c r="W9324" t="str">
        <f>VLOOKUP(Table_Query_from_Actuarial___Production[[#This Row],[Kor1]],$AI$3:$AK$105,3,FALSE)</f>
        <v>ALAE Paid</v>
      </c>
      <c r="X9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4"/>
      <c r="Z9324" t="s">
        <v>48</v>
      </c>
      <c r="AA9324" t="s">
        <v>265</v>
      </c>
      <c r="AB9324" t="s">
        <v>427</v>
      </c>
      <c r="AC9324" s="21">
        <v>345.4</v>
      </c>
      <c r="AD9324" s="21" t="s">
        <v>368</v>
      </c>
      <c r="AE9324" t="str">
        <f>VLOOKUP(Table_Query_from_Actuarial___Production3[[#This Row],[Kor1]],$AI$3:$AK$105,3,FALSE)</f>
        <v>Anticipated Salvage</v>
      </c>
      <c r="AF9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5" spans="18:32" x14ac:dyDescent="0.2">
      <c r="R9325" t="s">
        <v>17</v>
      </c>
      <c r="S9325" t="s">
        <v>224</v>
      </c>
      <c r="T9325" t="s">
        <v>433</v>
      </c>
      <c r="U9325" s="21">
        <v>-189.87</v>
      </c>
      <c r="V9325" s="21" t="s">
        <v>370</v>
      </c>
      <c r="W9325" t="str">
        <f>VLOOKUP(Table_Query_from_Actuarial___Production[[#This Row],[Kor1]],$AI$3:$AK$105,3,FALSE)</f>
        <v>IBNR</v>
      </c>
      <c r="X9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325"/>
      <c r="Z9325" t="s">
        <v>13</v>
      </c>
      <c r="AA9325" t="s">
        <v>264</v>
      </c>
      <c r="AB9325" t="s">
        <v>356</v>
      </c>
      <c r="AC9325" s="21">
        <v>233170.46</v>
      </c>
      <c r="AD9325" s="21" t="s">
        <v>368</v>
      </c>
      <c r="AE9325" t="str">
        <f>VLOOKUP(Table_Query_from_Actuarial___Production3[[#This Row],[Kor1]],$AI$3:$AK$105,3,FALSE)</f>
        <v>Operating Service Fees</v>
      </c>
      <c r="AF9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6" spans="18:32" x14ac:dyDescent="0.2">
      <c r="R9326" t="s">
        <v>11</v>
      </c>
      <c r="S9326" t="s">
        <v>240</v>
      </c>
      <c r="T9326" t="s">
        <v>433</v>
      </c>
      <c r="U9326" s="21">
        <v>3403506.36</v>
      </c>
      <c r="V9326" s="21" t="s">
        <v>368</v>
      </c>
      <c r="W9326" t="str">
        <f>VLOOKUP(Table_Query_from_Actuarial___Production[[#This Row],[Kor1]],$AI$3:$AK$105,3,FALSE)</f>
        <v>Losses Paid</v>
      </c>
      <c r="X9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6"/>
      <c r="Z9326" t="s">
        <v>11</v>
      </c>
      <c r="AA9326" t="s">
        <v>264</v>
      </c>
      <c r="AB9326" t="s">
        <v>6</v>
      </c>
      <c r="AC9326" s="21">
        <v>1150121.6499999999</v>
      </c>
      <c r="AD9326" s="21" t="s">
        <v>368</v>
      </c>
      <c r="AE9326" t="str">
        <f>VLOOKUP(Table_Query_from_Actuarial___Production3[[#This Row],[Kor1]],$AI$3:$AK$105,3,FALSE)</f>
        <v>Losses Paid</v>
      </c>
      <c r="AF9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7" spans="18:32" x14ac:dyDescent="0.2">
      <c r="R9327" t="s">
        <v>43</v>
      </c>
      <c r="S9327" t="s">
        <v>268</v>
      </c>
      <c r="T9327" t="s">
        <v>443</v>
      </c>
      <c r="U9327" s="21">
        <v>0.4</v>
      </c>
      <c r="V9327" s="21" t="s">
        <v>368</v>
      </c>
      <c r="W9327" t="str">
        <f>VLOOKUP(Table_Query_from_Actuarial___Production[[#This Row],[Kor1]],$AI$3:$AK$105,3,FALSE)</f>
        <v>Charge-offs</v>
      </c>
      <c r="X9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7"/>
      <c r="Z9327" t="s">
        <v>37</v>
      </c>
      <c r="AA9327" t="s">
        <v>233</v>
      </c>
      <c r="AB9327" t="s">
        <v>441</v>
      </c>
      <c r="AC9327" s="21">
        <v>1132.47</v>
      </c>
      <c r="AD9327" s="21" t="s">
        <v>368</v>
      </c>
      <c r="AE9327" t="str">
        <f>VLOOKUP(Table_Query_from_Actuarial___Production3[[#This Row],[Kor1]],$AI$3:$AK$105,3,FALSE)</f>
        <v>Misc. Expense</v>
      </c>
      <c r="AF9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8" spans="18:32" x14ac:dyDescent="0.2">
      <c r="R9328" t="s">
        <v>13</v>
      </c>
      <c r="S9328" t="s">
        <v>236</v>
      </c>
      <c r="T9328" t="s">
        <v>442</v>
      </c>
      <c r="U9328" s="21">
        <v>20782</v>
      </c>
      <c r="V9328" s="21" t="s">
        <v>368</v>
      </c>
      <c r="W9328" t="str">
        <f>VLOOKUP(Table_Query_from_Actuarial___Production[[#This Row],[Kor1]],$AI$3:$AK$105,3,FALSE)</f>
        <v>Operating Service Fees</v>
      </c>
      <c r="X9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8"/>
      <c r="Z9328" t="s">
        <v>12</v>
      </c>
      <c r="AA9328" t="s">
        <v>262</v>
      </c>
      <c r="AB9328" t="s">
        <v>442</v>
      </c>
      <c r="AC9328" s="21">
        <v>2595.52</v>
      </c>
      <c r="AD9328" s="21" t="s">
        <v>368</v>
      </c>
      <c r="AE9328" t="str">
        <f>VLOOKUP(Table_Query_from_Actuarial___Production3[[#This Row],[Kor1]],$AI$3:$AK$105,3,FALSE)</f>
        <v>Premium Tax</v>
      </c>
      <c r="AF9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29" spans="18:32" x14ac:dyDescent="0.2">
      <c r="R9329" t="s">
        <v>19</v>
      </c>
      <c r="S9329" t="s">
        <v>246</v>
      </c>
      <c r="T9329" t="s">
        <v>442</v>
      </c>
      <c r="U9329" s="21">
        <v>4220.03</v>
      </c>
      <c r="V9329" s="21" t="s">
        <v>368</v>
      </c>
      <c r="W9329" t="str">
        <f>VLOOKUP(Table_Query_from_Actuarial___Production[[#This Row],[Kor1]],$AI$3:$AK$105,3,FALSE)</f>
        <v>Misc. Expense for Insolvent Companies</v>
      </c>
      <c r="X9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29"/>
      <c r="Z9329" t="s">
        <v>17</v>
      </c>
      <c r="AA9329" t="s">
        <v>229</v>
      </c>
      <c r="AB9329" t="s">
        <v>443</v>
      </c>
      <c r="AC9329" s="21">
        <v>3424.25</v>
      </c>
      <c r="AD9329" s="21" t="s">
        <v>368</v>
      </c>
      <c r="AE9329" t="str">
        <f>VLOOKUP(Table_Query_from_Actuarial___Production3[[#This Row],[Kor1]],$AI$3:$AK$105,3,FALSE)</f>
        <v>IBNR</v>
      </c>
      <c r="AF9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0" spans="18:32" x14ac:dyDescent="0.2">
      <c r="R9330" t="s">
        <v>44</v>
      </c>
      <c r="S9330" t="s">
        <v>261</v>
      </c>
      <c r="T9330" t="s">
        <v>6</v>
      </c>
      <c r="U9330" s="21">
        <v>14550</v>
      </c>
      <c r="V9330" s="21" t="s">
        <v>368</v>
      </c>
      <c r="W9330" t="str">
        <f>VLOOKUP(Table_Query_from_Actuarial___Production[[#This Row],[Kor1]],$AI$3:$AK$105,3,FALSE)</f>
        <v>Charge-offs</v>
      </c>
      <c r="X9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0"/>
      <c r="Z9330" t="s">
        <v>17</v>
      </c>
      <c r="AA9330" t="s">
        <v>248</v>
      </c>
      <c r="AB9330" t="s">
        <v>427</v>
      </c>
      <c r="AC9330" s="21">
        <v>31304.61</v>
      </c>
      <c r="AD9330" s="21" t="s">
        <v>368</v>
      </c>
      <c r="AE9330" t="str">
        <f>VLOOKUP(Table_Query_from_Actuarial___Production3[[#This Row],[Kor1]],$AI$3:$AK$105,3,FALSE)</f>
        <v>IBNR</v>
      </c>
      <c r="AF9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1" spans="18:32" x14ac:dyDescent="0.2">
      <c r="R9331" t="s">
        <v>38</v>
      </c>
      <c r="S9331" t="s">
        <v>224</v>
      </c>
      <c r="T9331" t="s">
        <v>433</v>
      </c>
      <c r="U9331" s="21">
        <v>112738.98</v>
      </c>
      <c r="V9331" s="21" t="s">
        <v>368</v>
      </c>
      <c r="W9331" t="str">
        <f>VLOOKUP(Table_Query_from_Actuarial___Production[[#This Row],[Kor1]],$AI$3:$AK$105,3,FALSE)</f>
        <v>Misc. Income</v>
      </c>
      <c r="X9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331"/>
      <c r="Z9331" t="s">
        <v>49</v>
      </c>
      <c r="AA9331" t="s">
        <v>257</v>
      </c>
      <c r="AB9331" t="s">
        <v>7</v>
      </c>
      <c r="AC9331" s="21">
        <v>9951.1200000000008</v>
      </c>
      <c r="AD9331" s="21" t="s">
        <v>368</v>
      </c>
      <c r="AE9331" t="str">
        <f>VLOOKUP(Table_Query_from_Actuarial___Production3[[#This Row],[Kor1]],$AI$3:$AK$105,3,FALSE)</f>
        <v>ALAE Paid</v>
      </c>
      <c r="AF9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2" spans="18:32" x14ac:dyDescent="0.2">
      <c r="R9332" t="s">
        <v>44</v>
      </c>
      <c r="S9332" t="s">
        <v>239</v>
      </c>
      <c r="T9332" t="s">
        <v>442</v>
      </c>
      <c r="U9332" s="21">
        <v>91229.51</v>
      </c>
      <c r="V9332" s="21" t="s">
        <v>368</v>
      </c>
      <c r="W9332" t="str">
        <f>VLOOKUP(Table_Query_from_Actuarial___Production[[#This Row],[Kor1]],$AI$3:$AK$105,3,FALSE)</f>
        <v>Charge-offs</v>
      </c>
      <c r="X9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2"/>
      <c r="Z9332" t="s">
        <v>17</v>
      </c>
      <c r="AA9332" t="s">
        <v>224</v>
      </c>
      <c r="AB9332" t="s">
        <v>433</v>
      </c>
      <c r="AC9332" s="21">
        <v>221.67</v>
      </c>
      <c r="AD9332" s="21" t="s">
        <v>370</v>
      </c>
      <c r="AE9332" t="str">
        <f>VLOOKUP(Table_Query_from_Actuarial___Production3[[#This Row],[Kor1]],$AI$3:$AK$105,3,FALSE)</f>
        <v>IBNR</v>
      </c>
      <c r="AF9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333" spans="18:32" x14ac:dyDescent="0.2">
      <c r="R9333" t="s">
        <v>50</v>
      </c>
      <c r="S9333" t="s">
        <v>248</v>
      </c>
      <c r="T9333" t="s">
        <v>441</v>
      </c>
      <c r="U9333" s="21">
        <v>48088.08</v>
      </c>
      <c r="V9333" s="21" t="s">
        <v>368</v>
      </c>
      <c r="W9333" t="str">
        <f>VLOOKUP(Table_Query_from_Actuarial___Production[[#This Row],[Kor1]],$AI$3:$AK$105,3,FALSE)</f>
        <v>ALAE Reserve</v>
      </c>
      <c r="X9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3"/>
      <c r="Z9333" t="s">
        <v>11</v>
      </c>
      <c r="AA9333" t="s">
        <v>240</v>
      </c>
      <c r="AB9333" t="s">
        <v>433</v>
      </c>
      <c r="AC9333" s="21">
        <v>1387121.36</v>
      </c>
      <c r="AD9333" s="21" t="s">
        <v>368</v>
      </c>
      <c r="AE9333" t="str">
        <f>VLOOKUP(Table_Query_from_Actuarial___Production3[[#This Row],[Kor1]],$AI$3:$AK$105,3,FALSE)</f>
        <v>Losses Paid</v>
      </c>
      <c r="AF9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4" spans="18:32" x14ac:dyDescent="0.2">
      <c r="R9334" t="s">
        <v>39</v>
      </c>
      <c r="S9334" t="s">
        <v>261</v>
      </c>
      <c r="T9334" t="s">
        <v>7</v>
      </c>
      <c r="U9334" s="21">
        <v>72</v>
      </c>
      <c r="V9334" s="21" t="s">
        <v>368</v>
      </c>
      <c r="W9334" t="str">
        <f>VLOOKUP(Table_Query_from_Actuarial___Production[[#This Row],[Kor1]],$AI$3:$AK$105,3,FALSE)</f>
        <v>Misc. Income for Insolvent Companies</v>
      </c>
      <c r="X9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4"/>
      <c r="Z9334" t="s">
        <v>13</v>
      </c>
      <c r="AA9334" t="s">
        <v>236</v>
      </c>
      <c r="AB9334" t="s">
        <v>442</v>
      </c>
      <c r="AC9334" s="21">
        <v>24458.32</v>
      </c>
      <c r="AD9334" s="21" t="s">
        <v>368</v>
      </c>
      <c r="AE9334" t="str">
        <f>VLOOKUP(Table_Query_from_Actuarial___Production3[[#This Row],[Kor1]],$AI$3:$AK$105,3,FALSE)</f>
        <v>Operating Service Fees</v>
      </c>
      <c r="AF9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5" spans="18:32" x14ac:dyDescent="0.2">
      <c r="R9335" t="s">
        <v>47</v>
      </c>
      <c r="S9335" t="s">
        <v>235</v>
      </c>
      <c r="T9335" t="s">
        <v>8</v>
      </c>
      <c r="U9335" s="21">
        <v>7.0000000000000007E-2</v>
      </c>
      <c r="V9335" s="21" t="s">
        <v>368</v>
      </c>
      <c r="W9335" t="str">
        <f>VLOOKUP(Table_Query_from_Actuarial___Production[[#This Row],[Kor1]],$AI$3:$AK$105,3,FALSE)</f>
        <v>Investment Income</v>
      </c>
      <c r="X9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5"/>
      <c r="Z9335" t="s">
        <v>19</v>
      </c>
      <c r="AA9335" t="s">
        <v>246</v>
      </c>
      <c r="AB9335" t="s">
        <v>442</v>
      </c>
      <c r="AC9335" s="21">
        <v>6.03</v>
      </c>
      <c r="AD9335" s="21" t="s">
        <v>368</v>
      </c>
      <c r="AE9335" t="str">
        <f>VLOOKUP(Table_Query_from_Actuarial___Production3[[#This Row],[Kor1]],$AI$3:$AK$105,3,FALSE)</f>
        <v>Misc. Expense for Insolvent Companies</v>
      </c>
      <c r="AF9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6" spans="18:32" x14ac:dyDescent="0.2">
      <c r="R9336" t="s">
        <v>47</v>
      </c>
      <c r="S9336" t="s">
        <v>261</v>
      </c>
      <c r="T9336" t="s">
        <v>433</v>
      </c>
      <c r="U9336" s="21">
        <v>1136.1600000000001</v>
      </c>
      <c r="V9336" s="21" t="s">
        <v>368</v>
      </c>
      <c r="W9336" t="str">
        <f>VLOOKUP(Table_Query_from_Actuarial___Production[[#This Row],[Kor1]],$AI$3:$AK$105,3,FALSE)</f>
        <v>Investment Income</v>
      </c>
      <c r="X9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6"/>
      <c r="Z9336" t="s">
        <v>44</v>
      </c>
      <c r="AA9336" t="s">
        <v>261</v>
      </c>
      <c r="AB9336" t="s">
        <v>6</v>
      </c>
      <c r="AC9336" s="21">
        <v>14550</v>
      </c>
      <c r="AD9336" s="21" t="s">
        <v>368</v>
      </c>
      <c r="AE9336" t="str">
        <f>VLOOKUP(Table_Query_from_Actuarial___Production3[[#This Row],[Kor1]],$AI$3:$AK$105,3,FALSE)</f>
        <v>Charge-offs</v>
      </c>
      <c r="AF9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7" spans="18:32" x14ac:dyDescent="0.2">
      <c r="R9337" t="s">
        <v>21</v>
      </c>
      <c r="S9337" t="s">
        <v>235</v>
      </c>
      <c r="T9337" t="s">
        <v>427</v>
      </c>
      <c r="U9337" s="21">
        <v>899.98</v>
      </c>
      <c r="V9337" s="21" t="s">
        <v>368</v>
      </c>
      <c r="W9337" t="str">
        <f>VLOOKUP(Table_Query_from_Actuarial___Production[[#This Row],[Kor1]],$AI$3:$AK$105,3,FALSE)</f>
        <v>Misc. Expense</v>
      </c>
      <c r="X9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7"/>
      <c r="Z9337" t="s">
        <v>38</v>
      </c>
      <c r="AA9337" t="s">
        <v>224</v>
      </c>
      <c r="AB9337" t="s">
        <v>433</v>
      </c>
      <c r="AC9337" s="21">
        <v>112738.98</v>
      </c>
      <c r="AD9337" s="21" t="s">
        <v>368</v>
      </c>
      <c r="AE9337" t="str">
        <f>VLOOKUP(Table_Query_from_Actuarial___Production3[[#This Row],[Kor1]],$AI$3:$AK$105,3,FALSE)</f>
        <v>Misc. Income</v>
      </c>
      <c r="AF9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338" spans="18:32" x14ac:dyDescent="0.2">
      <c r="R9338" t="s">
        <v>41</v>
      </c>
      <c r="S9338" t="s">
        <v>259</v>
      </c>
      <c r="T9338" t="s">
        <v>7</v>
      </c>
      <c r="U9338" s="21">
        <v>750</v>
      </c>
      <c r="V9338" s="21" t="s">
        <v>368</v>
      </c>
      <c r="W9338" t="str">
        <f>VLOOKUP(Table_Query_from_Actuarial___Production[[#This Row],[Kor1]],$AI$3:$AK$105,3,FALSE)</f>
        <v>Misc. Income</v>
      </c>
      <c r="X9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8"/>
      <c r="Z9338" t="s">
        <v>44</v>
      </c>
      <c r="AA9338" t="s">
        <v>239</v>
      </c>
      <c r="AB9338" t="s">
        <v>442</v>
      </c>
      <c r="AC9338" s="21">
        <v>18587.509999999998</v>
      </c>
      <c r="AD9338" s="21" t="s">
        <v>368</v>
      </c>
      <c r="AE9338" t="str">
        <f>VLOOKUP(Table_Query_from_Actuarial___Production3[[#This Row],[Kor1]],$AI$3:$AK$105,3,FALSE)</f>
        <v>Charge-offs</v>
      </c>
      <c r="AF9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39" spans="18:32" x14ac:dyDescent="0.2">
      <c r="R9339" t="s">
        <v>43</v>
      </c>
      <c r="S9339" t="s">
        <v>237</v>
      </c>
      <c r="T9339" t="s">
        <v>8</v>
      </c>
      <c r="U9339" s="21">
        <v>4877.3100000000004</v>
      </c>
      <c r="V9339" s="21" t="s">
        <v>368</v>
      </c>
      <c r="W9339" t="str">
        <f>VLOOKUP(Table_Query_from_Actuarial___Production[[#This Row],[Kor1]],$AI$3:$AK$105,3,FALSE)</f>
        <v>Charge-offs</v>
      </c>
      <c r="X9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39"/>
      <c r="Z9339" t="s">
        <v>50</v>
      </c>
      <c r="AA9339" t="s">
        <v>248</v>
      </c>
      <c r="AB9339" t="s">
        <v>441</v>
      </c>
      <c r="AC9339" s="21">
        <v>83159.520000000004</v>
      </c>
      <c r="AD9339" s="21" t="s">
        <v>368</v>
      </c>
      <c r="AE9339" t="str">
        <f>VLOOKUP(Table_Query_from_Actuarial___Production3[[#This Row],[Kor1]],$AI$3:$AK$105,3,FALSE)</f>
        <v>ALAE Reserve</v>
      </c>
      <c r="AF9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0" spans="18:32" x14ac:dyDescent="0.2">
      <c r="R9340" t="s">
        <v>43</v>
      </c>
      <c r="S9340" t="s">
        <v>224</v>
      </c>
      <c r="T9340" t="s">
        <v>7</v>
      </c>
      <c r="U9340" s="21">
        <v>8.85</v>
      </c>
      <c r="V9340" s="21" t="s">
        <v>369</v>
      </c>
      <c r="W9340" t="str">
        <f>VLOOKUP(Table_Query_from_Actuarial___Production[[#This Row],[Kor1]],$AI$3:$AK$105,3,FALSE)</f>
        <v>Charge-offs</v>
      </c>
      <c r="X9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340"/>
      <c r="Z9340" t="s">
        <v>39</v>
      </c>
      <c r="AA9340" t="s">
        <v>261</v>
      </c>
      <c r="AB9340" t="s">
        <v>7</v>
      </c>
      <c r="AC9340" s="21">
        <v>72</v>
      </c>
      <c r="AD9340" s="21" t="s">
        <v>368</v>
      </c>
      <c r="AE9340" t="str">
        <f>VLOOKUP(Table_Query_from_Actuarial___Production3[[#This Row],[Kor1]],$AI$3:$AK$105,3,FALSE)</f>
        <v>Misc. Income for Insolvent Companies</v>
      </c>
      <c r="AF9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1" spans="18:32" x14ac:dyDescent="0.2">
      <c r="R9341" t="s">
        <v>20</v>
      </c>
      <c r="S9341" t="s">
        <v>267</v>
      </c>
      <c r="T9341" t="s">
        <v>442</v>
      </c>
      <c r="U9341" s="21">
        <v>178.73</v>
      </c>
      <c r="V9341" s="21" t="s">
        <v>368</v>
      </c>
      <c r="W9341" t="str">
        <f>VLOOKUP(Table_Query_from_Actuarial___Production[[#This Row],[Kor1]],$AI$3:$AK$105,3,FALSE)</f>
        <v>Misc. Expense</v>
      </c>
      <c r="X9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1"/>
      <c r="Z9341" t="s">
        <v>47</v>
      </c>
      <c r="AA9341" t="s">
        <v>235</v>
      </c>
      <c r="AB9341" t="s">
        <v>8</v>
      </c>
      <c r="AC9341" s="21">
        <v>7.0000000000000007E-2</v>
      </c>
      <c r="AD9341" s="21" t="s">
        <v>368</v>
      </c>
      <c r="AE9341" t="str">
        <f>VLOOKUP(Table_Query_from_Actuarial___Production3[[#This Row],[Kor1]],$AI$3:$AK$105,3,FALSE)</f>
        <v>Investment Income</v>
      </c>
      <c r="AF9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2" spans="18:32" x14ac:dyDescent="0.2">
      <c r="R9342" t="s">
        <v>40</v>
      </c>
      <c r="S9342" t="s">
        <v>238</v>
      </c>
      <c r="T9342" t="s">
        <v>7</v>
      </c>
      <c r="U9342" s="21">
        <v>122</v>
      </c>
      <c r="V9342" s="21" t="s">
        <v>368</v>
      </c>
      <c r="W9342" t="str">
        <f>VLOOKUP(Table_Query_from_Actuarial___Production[[#This Row],[Kor1]],$AI$3:$AK$105,3,FALSE)</f>
        <v>Misc. Income</v>
      </c>
      <c r="X9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2"/>
      <c r="Z9342" t="s">
        <v>47</v>
      </c>
      <c r="AA9342" t="s">
        <v>261</v>
      </c>
      <c r="AB9342" t="s">
        <v>433</v>
      </c>
      <c r="AC9342" s="21">
        <v>1136.1600000000001</v>
      </c>
      <c r="AD9342" s="21" t="s">
        <v>368</v>
      </c>
      <c r="AE9342" t="str">
        <f>VLOOKUP(Table_Query_from_Actuarial___Production3[[#This Row],[Kor1]],$AI$3:$AK$105,3,FALSE)</f>
        <v>Investment Income</v>
      </c>
      <c r="AF9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3" spans="18:32" x14ac:dyDescent="0.2">
      <c r="R9343" t="s">
        <v>3</v>
      </c>
      <c r="S9343" t="s">
        <v>352</v>
      </c>
      <c r="T9343" t="s">
        <v>356</v>
      </c>
      <c r="U9343" s="21">
        <v>135679</v>
      </c>
      <c r="V9343" s="21" t="s">
        <v>369</v>
      </c>
      <c r="W9343" t="str">
        <f>VLOOKUP(Table_Query_from_Actuarial___Production[[#This Row],[Kor1]],$AI$3:$AK$105,3,FALSE)</f>
        <v>Premiums Written</v>
      </c>
      <c r="X9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343"/>
      <c r="Z9343" t="s">
        <v>21</v>
      </c>
      <c r="AA9343" t="s">
        <v>235</v>
      </c>
      <c r="AB9343" t="s">
        <v>427</v>
      </c>
      <c r="AC9343" s="21">
        <v>899.98</v>
      </c>
      <c r="AD9343" s="21" t="s">
        <v>368</v>
      </c>
      <c r="AE9343" t="str">
        <f>VLOOKUP(Table_Query_from_Actuarial___Production3[[#This Row],[Kor1]],$AI$3:$AK$105,3,FALSE)</f>
        <v>Misc. Expense</v>
      </c>
      <c r="AF9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4" spans="18:32" x14ac:dyDescent="0.2">
      <c r="R9344" t="s">
        <v>41</v>
      </c>
      <c r="S9344" t="s">
        <v>264</v>
      </c>
      <c r="T9344" t="s">
        <v>442</v>
      </c>
      <c r="U9344" s="21">
        <v>200</v>
      </c>
      <c r="V9344" s="21" t="s">
        <v>368</v>
      </c>
      <c r="W9344" t="str">
        <f>VLOOKUP(Table_Query_from_Actuarial___Production[[#This Row],[Kor1]],$AI$3:$AK$105,3,FALSE)</f>
        <v>Misc. Income</v>
      </c>
      <c r="X9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4"/>
      <c r="Z9344" t="s">
        <v>41</v>
      </c>
      <c r="AA9344" t="s">
        <v>259</v>
      </c>
      <c r="AB9344" t="s">
        <v>7</v>
      </c>
      <c r="AC9344" s="21">
        <v>750</v>
      </c>
      <c r="AD9344" s="21" t="s">
        <v>368</v>
      </c>
      <c r="AE9344" t="str">
        <f>VLOOKUP(Table_Query_from_Actuarial___Production3[[#This Row],[Kor1]],$AI$3:$AK$105,3,FALSE)</f>
        <v>Misc. Income</v>
      </c>
      <c r="AF9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5" spans="18:32" x14ac:dyDescent="0.2">
      <c r="R9345" t="s">
        <v>47</v>
      </c>
      <c r="S9345" t="s">
        <v>263</v>
      </c>
      <c r="T9345" t="s">
        <v>351</v>
      </c>
      <c r="U9345" s="21">
        <v>866.05</v>
      </c>
      <c r="V9345" s="21" t="s">
        <v>368</v>
      </c>
      <c r="W9345" t="str">
        <f>VLOOKUP(Table_Query_from_Actuarial___Production[[#This Row],[Kor1]],$AI$3:$AK$105,3,FALSE)</f>
        <v>Investment Income</v>
      </c>
      <c r="X9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5"/>
      <c r="Z9345" t="s">
        <v>43</v>
      </c>
      <c r="AA9345" t="s">
        <v>237</v>
      </c>
      <c r="AB9345" t="s">
        <v>8</v>
      </c>
      <c r="AC9345" s="21">
        <v>4877.3100000000004</v>
      </c>
      <c r="AD9345" s="21" t="s">
        <v>368</v>
      </c>
      <c r="AE9345" t="str">
        <f>VLOOKUP(Table_Query_from_Actuarial___Production3[[#This Row],[Kor1]],$AI$3:$AK$105,3,FALSE)</f>
        <v>Charge-offs</v>
      </c>
      <c r="AF9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6" spans="18:32" x14ac:dyDescent="0.2">
      <c r="R9346" t="s">
        <v>41</v>
      </c>
      <c r="S9346" t="s">
        <v>256</v>
      </c>
      <c r="T9346" t="s">
        <v>442</v>
      </c>
      <c r="U9346" s="21">
        <v>50</v>
      </c>
      <c r="V9346" s="21" t="s">
        <v>368</v>
      </c>
      <c r="W9346" t="str">
        <f>VLOOKUP(Table_Query_from_Actuarial___Production[[#This Row],[Kor1]],$AI$3:$AK$105,3,FALSE)</f>
        <v>Misc. Income</v>
      </c>
      <c r="X9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6"/>
      <c r="Z9346" t="s">
        <v>43</v>
      </c>
      <c r="AA9346" t="s">
        <v>224</v>
      </c>
      <c r="AB9346" t="s">
        <v>7</v>
      </c>
      <c r="AC9346" s="21">
        <v>8.85</v>
      </c>
      <c r="AD9346" s="21" t="s">
        <v>369</v>
      </c>
      <c r="AE9346" t="str">
        <f>VLOOKUP(Table_Query_from_Actuarial___Production3[[#This Row],[Kor1]],$AI$3:$AK$105,3,FALSE)</f>
        <v>Charge-offs</v>
      </c>
      <c r="AF9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347" spans="18:32" x14ac:dyDescent="0.2">
      <c r="R9347" t="s">
        <v>3</v>
      </c>
      <c r="S9347" t="s">
        <v>231</v>
      </c>
      <c r="T9347" t="s">
        <v>9</v>
      </c>
      <c r="U9347" s="21">
        <v>325875</v>
      </c>
      <c r="V9347" s="21" t="s">
        <v>368</v>
      </c>
      <c r="W9347" t="str">
        <f>VLOOKUP(Table_Query_from_Actuarial___Production[[#This Row],[Kor1]],$AI$3:$AK$105,3,FALSE)</f>
        <v>Premiums Written</v>
      </c>
      <c r="X9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7"/>
      <c r="Z9347" t="s">
        <v>20</v>
      </c>
      <c r="AA9347" t="s">
        <v>267</v>
      </c>
      <c r="AB9347" t="s">
        <v>442</v>
      </c>
      <c r="AC9347" s="21">
        <v>178.73</v>
      </c>
      <c r="AD9347" s="21" t="s">
        <v>368</v>
      </c>
      <c r="AE9347" t="str">
        <f>VLOOKUP(Table_Query_from_Actuarial___Production3[[#This Row],[Kor1]],$AI$3:$AK$105,3,FALSE)</f>
        <v>Misc. Expense</v>
      </c>
      <c r="AF9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8" spans="18:32" x14ac:dyDescent="0.2">
      <c r="R9348" t="s">
        <v>12</v>
      </c>
      <c r="S9348" t="s">
        <v>247</v>
      </c>
      <c r="T9348" t="s">
        <v>6</v>
      </c>
      <c r="U9348" s="21">
        <v>177</v>
      </c>
      <c r="V9348" s="21" t="s">
        <v>368</v>
      </c>
      <c r="W9348" t="str">
        <f>VLOOKUP(Table_Query_from_Actuarial___Production[[#This Row],[Kor1]],$AI$3:$AK$105,3,FALSE)</f>
        <v>Premium Tax</v>
      </c>
      <c r="X9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8"/>
      <c r="Z9348" t="s">
        <v>40</v>
      </c>
      <c r="AA9348" t="s">
        <v>238</v>
      </c>
      <c r="AB9348" t="s">
        <v>7</v>
      </c>
      <c r="AC9348" s="21">
        <v>122</v>
      </c>
      <c r="AD9348" s="21" t="s">
        <v>368</v>
      </c>
      <c r="AE9348" t="str">
        <f>VLOOKUP(Table_Query_from_Actuarial___Production3[[#This Row],[Kor1]],$AI$3:$AK$105,3,FALSE)</f>
        <v>Misc. Income</v>
      </c>
      <c r="AF9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49" spans="18:32" x14ac:dyDescent="0.2">
      <c r="R9349" t="s">
        <v>41</v>
      </c>
      <c r="S9349" t="s">
        <v>4</v>
      </c>
      <c r="T9349" t="s">
        <v>443</v>
      </c>
      <c r="U9349" s="21">
        <v>1309.2</v>
      </c>
      <c r="V9349" s="21" t="s">
        <v>368</v>
      </c>
      <c r="W9349" t="str">
        <f>VLOOKUP(Table_Query_from_Actuarial___Production[[#This Row],[Kor1]],$AI$3:$AK$105,3,FALSE)</f>
        <v>Misc. Income</v>
      </c>
      <c r="X9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49"/>
      <c r="Z9349" t="s">
        <v>3</v>
      </c>
      <c r="AA9349" t="s">
        <v>352</v>
      </c>
      <c r="AB9349" t="s">
        <v>356</v>
      </c>
      <c r="AC9349" s="21">
        <v>135679</v>
      </c>
      <c r="AD9349" s="21" t="s">
        <v>369</v>
      </c>
      <c r="AE9349" t="str">
        <f>VLOOKUP(Table_Query_from_Actuarial___Production3[[#This Row],[Kor1]],$AI$3:$AK$105,3,FALSE)</f>
        <v>Premiums Written</v>
      </c>
      <c r="AF9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350" spans="18:32" x14ac:dyDescent="0.2">
      <c r="R9350" t="s">
        <v>40</v>
      </c>
      <c r="S9350" t="s">
        <v>228</v>
      </c>
      <c r="T9350" t="s">
        <v>441</v>
      </c>
      <c r="U9350" s="21">
        <v>352.98</v>
      </c>
      <c r="V9350" s="21" t="s">
        <v>368</v>
      </c>
      <c r="W9350" t="str">
        <f>VLOOKUP(Table_Query_from_Actuarial___Production[[#This Row],[Kor1]],$AI$3:$AK$105,3,FALSE)</f>
        <v>Misc. Income</v>
      </c>
      <c r="X9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0"/>
      <c r="Z9350" t="s">
        <v>3</v>
      </c>
      <c r="AA9350" t="s">
        <v>258</v>
      </c>
      <c r="AB9350" t="s">
        <v>5</v>
      </c>
      <c r="AC9350" s="21">
        <v>1497522</v>
      </c>
      <c r="AD9350" s="21" t="s">
        <v>368</v>
      </c>
      <c r="AE9350" t="str">
        <f>VLOOKUP(Table_Query_from_Actuarial___Production3[[#This Row],[Kor1]],$AI$3:$AK$105,3,FALSE)</f>
        <v>Premiums Written</v>
      </c>
      <c r="AF9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1" spans="18:32" x14ac:dyDescent="0.2">
      <c r="R9351" t="s">
        <v>41</v>
      </c>
      <c r="S9351" t="s">
        <v>251</v>
      </c>
      <c r="T9351" t="s">
        <v>443</v>
      </c>
      <c r="U9351" s="21">
        <v>300</v>
      </c>
      <c r="V9351" s="21" t="s">
        <v>368</v>
      </c>
      <c r="W9351" t="str">
        <f>VLOOKUP(Table_Query_from_Actuarial___Production[[#This Row],[Kor1]],$AI$3:$AK$105,3,FALSE)</f>
        <v>Misc. Income</v>
      </c>
      <c r="X9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1"/>
      <c r="Z9351" t="s">
        <v>41</v>
      </c>
      <c r="AA9351" t="s">
        <v>264</v>
      </c>
      <c r="AB9351" t="s">
        <v>442</v>
      </c>
      <c r="AC9351" s="21">
        <v>200</v>
      </c>
      <c r="AD9351" s="21" t="s">
        <v>368</v>
      </c>
      <c r="AE9351" t="str">
        <f>VLOOKUP(Table_Query_from_Actuarial___Production3[[#This Row],[Kor1]],$AI$3:$AK$105,3,FALSE)</f>
        <v>Misc. Income</v>
      </c>
      <c r="AF9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2" spans="18:32" x14ac:dyDescent="0.2">
      <c r="R9352" t="s">
        <v>13</v>
      </c>
      <c r="S9352" t="s">
        <v>245</v>
      </c>
      <c r="T9352" t="s">
        <v>433</v>
      </c>
      <c r="U9352" s="21">
        <v>400.25</v>
      </c>
      <c r="V9352" s="21" t="s">
        <v>368</v>
      </c>
      <c r="W9352" t="str">
        <f>VLOOKUP(Table_Query_from_Actuarial___Production[[#This Row],[Kor1]],$AI$3:$AK$105,3,FALSE)</f>
        <v>Operating Service Fees</v>
      </c>
      <c r="X9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2"/>
      <c r="Z9352" t="s">
        <v>47</v>
      </c>
      <c r="AA9352" t="s">
        <v>263</v>
      </c>
      <c r="AB9352" t="s">
        <v>351</v>
      </c>
      <c r="AC9352" s="21">
        <v>866.05</v>
      </c>
      <c r="AD9352" s="21" t="s">
        <v>368</v>
      </c>
      <c r="AE9352" t="str">
        <f>VLOOKUP(Table_Query_from_Actuarial___Production3[[#This Row],[Kor1]],$AI$3:$AK$105,3,FALSE)</f>
        <v>Investment Income</v>
      </c>
      <c r="AF9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3" spans="18:32" x14ac:dyDescent="0.2">
      <c r="R9353" t="s">
        <v>33</v>
      </c>
      <c r="S9353" t="s">
        <v>263</v>
      </c>
      <c r="T9353" t="s">
        <v>6</v>
      </c>
      <c r="U9353" s="21">
        <v>15531.91</v>
      </c>
      <c r="V9353" s="21" t="s">
        <v>368</v>
      </c>
      <c r="W9353" t="str">
        <f>VLOOKUP(Table_Query_from_Actuarial___Production[[#This Row],[Kor1]],$AI$3:$AK$105,3,FALSE)</f>
        <v>Misc. Expense</v>
      </c>
      <c r="X9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3"/>
      <c r="Z9353" t="s">
        <v>41</v>
      </c>
      <c r="AA9353" t="s">
        <v>256</v>
      </c>
      <c r="AB9353" t="s">
        <v>442</v>
      </c>
      <c r="AC9353" s="21">
        <v>50</v>
      </c>
      <c r="AD9353" s="21" t="s">
        <v>368</v>
      </c>
      <c r="AE9353" t="str">
        <f>VLOOKUP(Table_Query_from_Actuarial___Production3[[#This Row],[Kor1]],$AI$3:$AK$105,3,FALSE)</f>
        <v>Misc. Income</v>
      </c>
      <c r="AF9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4" spans="18:32" x14ac:dyDescent="0.2">
      <c r="R9354" t="s">
        <v>13</v>
      </c>
      <c r="S9354" t="s">
        <v>265</v>
      </c>
      <c r="T9354" t="s">
        <v>356</v>
      </c>
      <c r="U9354" s="21">
        <v>264005.03000000003</v>
      </c>
      <c r="V9354" s="21" t="s">
        <v>368</v>
      </c>
      <c r="W9354" t="str">
        <f>VLOOKUP(Table_Query_from_Actuarial___Production[[#This Row],[Kor1]],$AI$3:$AK$105,3,FALSE)</f>
        <v>Operating Service Fees</v>
      </c>
      <c r="X9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4"/>
      <c r="Z9354" t="s">
        <v>3</v>
      </c>
      <c r="AA9354" t="s">
        <v>231</v>
      </c>
      <c r="AB9354" t="s">
        <v>9</v>
      </c>
      <c r="AC9354" s="21">
        <v>325875</v>
      </c>
      <c r="AD9354" s="21" t="s">
        <v>368</v>
      </c>
      <c r="AE9354" t="str">
        <f>VLOOKUP(Table_Query_from_Actuarial___Production3[[#This Row],[Kor1]],$AI$3:$AK$105,3,FALSE)</f>
        <v>Premiums Written</v>
      </c>
      <c r="AF9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5" spans="18:32" x14ac:dyDescent="0.2">
      <c r="R9355" t="s">
        <v>20</v>
      </c>
      <c r="S9355" t="s">
        <v>235</v>
      </c>
      <c r="T9355" t="s">
        <v>443</v>
      </c>
      <c r="U9355" s="21">
        <v>296.13</v>
      </c>
      <c r="V9355" s="21" t="s">
        <v>368</v>
      </c>
      <c r="W9355" t="str">
        <f>VLOOKUP(Table_Query_from_Actuarial___Production[[#This Row],[Kor1]],$AI$3:$AK$105,3,FALSE)</f>
        <v>Misc. Expense</v>
      </c>
      <c r="X9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5"/>
      <c r="Z9355" t="s">
        <v>12</v>
      </c>
      <c r="AA9355" t="s">
        <v>247</v>
      </c>
      <c r="AB9355" t="s">
        <v>6</v>
      </c>
      <c r="AC9355" s="21">
        <v>177</v>
      </c>
      <c r="AD9355" s="21" t="s">
        <v>368</v>
      </c>
      <c r="AE9355" t="str">
        <f>VLOOKUP(Table_Query_from_Actuarial___Production3[[#This Row],[Kor1]],$AI$3:$AK$105,3,FALSE)</f>
        <v>Premium Tax</v>
      </c>
      <c r="AF9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6" spans="18:32" x14ac:dyDescent="0.2">
      <c r="R9356" t="s">
        <v>13</v>
      </c>
      <c r="S9356" t="s">
        <v>241</v>
      </c>
      <c r="T9356" t="s">
        <v>351</v>
      </c>
      <c r="U9356" s="21">
        <v>247392.24</v>
      </c>
      <c r="V9356" s="21" t="s">
        <v>368</v>
      </c>
      <c r="W9356" t="str">
        <f>VLOOKUP(Table_Query_from_Actuarial___Production[[#This Row],[Kor1]],$AI$3:$AK$105,3,FALSE)</f>
        <v>Operating Service Fees</v>
      </c>
      <c r="X9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6"/>
      <c r="Z9356" t="s">
        <v>40</v>
      </c>
      <c r="AA9356" t="s">
        <v>228</v>
      </c>
      <c r="AB9356" t="s">
        <v>441</v>
      </c>
      <c r="AC9356" s="21">
        <v>352.98</v>
      </c>
      <c r="AD9356" s="21" t="s">
        <v>368</v>
      </c>
      <c r="AE9356" t="str">
        <f>VLOOKUP(Table_Query_from_Actuarial___Production3[[#This Row],[Kor1]],$AI$3:$AK$105,3,FALSE)</f>
        <v>Misc. Income</v>
      </c>
      <c r="AF9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7" spans="18:32" x14ac:dyDescent="0.2">
      <c r="R9357" t="s">
        <v>41</v>
      </c>
      <c r="S9357" t="s">
        <v>242</v>
      </c>
      <c r="T9357" t="s">
        <v>441</v>
      </c>
      <c r="U9357" s="21">
        <v>650</v>
      </c>
      <c r="V9357" s="21" t="s">
        <v>368</v>
      </c>
      <c r="W9357" t="str">
        <f>VLOOKUP(Table_Query_from_Actuarial___Production[[#This Row],[Kor1]],$AI$3:$AK$105,3,FALSE)</f>
        <v>Misc. Income</v>
      </c>
      <c r="X9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57"/>
      <c r="Z9357" t="s">
        <v>13</v>
      </c>
      <c r="AA9357" t="s">
        <v>245</v>
      </c>
      <c r="AB9357" t="s">
        <v>433</v>
      </c>
      <c r="AC9357" s="21">
        <v>400.25</v>
      </c>
      <c r="AD9357" s="21" t="s">
        <v>368</v>
      </c>
      <c r="AE9357" t="str">
        <f>VLOOKUP(Table_Query_from_Actuarial___Production3[[#This Row],[Kor1]],$AI$3:$AK$105,3,FALSE)</f>
        <v>Operating Service Fees</v>
      </c>
      <c r="AF9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8" spans="18:32" x14ac:dyDescent="0.2">
      <c r="R9358" t="s">
        <v>43</v>
      </c>
      <c r="S9358" t="s">
        <v>224</v>
      </c>
      <c r="T9358" t="s">
        <v>445</v>
      </c>
      <c r="U9358" s="21">
        <v>1.32</v>
      </c>
      <c r="V9358" s="21" t="s">
        <v>368</v>
      </c>
      <c r="W9358" t="str">
        <f>VLOOKUP(Table_Query_from_Actuarial___Production[[#This Row],[Kor1]],$AI$3:$AK$105,3,FALSE)</f>
        <v>Charge-offs</v>
      </c>
      <c r="X9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358"/>
      <c r="Z9358" t="s">
        <v>33</v>
      </c>
      <c r="AA9358" t="s">
        <v>263</v>
      </c>
      <c r="AB9358" t="s">
        <v>6</v>
      </c>
      <c r="AC9358" s="21">
        <v>15531.91</v>
      </c>
      <c r="AD9358" s="21" t="s">
        <v>368</v>
      </c>
      <c r="AE9358" t="str">
        <f>VLOOKUP(Table_Query_from_Actuarial___Production3[[#This Row],[Kor1]],$AI$3:$AK$105,3,FALSE)</f>
        <v>Misc. Expense</v>
      </c>
      <c r="AF9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59" spans="18:32" x14ac:dyDescent="0.2">
      <c r="R9359" t="s">
        <v>10</v>
      </c>
      <c r="S9359" t="s">
        <v>352</v>
      </c>
      <c r="T9359" t="s">
        <v>441</v>
      </c>
      <c r="U9359" s="21">
        <v>4641.0200000000004</v>
      </c>
      <c r="V9359" s="21" t="s">
        <v>369</v>
      </c>
      <c r="W9359" t="str">
        <f>VLOOKUP(Table_Query_from_Actuarial___Production[[#This Row],[Kor1]],$AI$3:$AK$105,3,FALSE)</f>
        <v>Commissions</v>
      </c>
      <c r="X9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359"/>
      <c r="Z9359" t="s">
        <v>13</v>
      </c>
      <c r="AA9359" t="s">
        <v>265</v>
      </c>
      <c r="AB9359" t="s">
        <v>356</v>
      </c>
      <c r="AC9359" s="21">
        <v>264005.03000000003</v>
      </c>
      <c r="AD9359" s="21" t="s">
        <v>368</v>
      </c>
      <c r="AE9359" t="str">
        <f>VLOOKUP(Table_Query_from_Actuarial___Production3[[#This Row],[Kor1]],$AI$3:$AK$105,3,FALSE)</f>
        <v>Operating Service Fees</v>
      </c>
      <c r="AF9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0" spans="18:32" x14ac:dyDescent="0.2">
      <c r="R9360" t="s">
        <v>12</v>
      </c>
      <c r="S9360" t="s">
        <v>232</v>
      </c>
      <c r="T9360" t="s">
        <v>442</v>
      </c>
      <c r="U9360" s="21">
        <v>27994.01</v>
      </c>
      <c r="V9360" s="21" t="s">
        <v>368</v>
      </c>
      <c r="W9360" t="str">
        <f>VLOOKUP(Table_Query_from_Actuarial___Production[[#This Row],[Kor1]],$AI$3:$AK$105,3,FALSE)</f>
        <v>Premium Tax</v>
      </c>
      <c r="X9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0"/>
      <c r="Z9360" t="s">
        <v>13</v>
      </c>
      <c r="AA9360" t="s">
        <v>241</v>
      </c>
      <c r="AB9360" t="s">
        <v>351</v>
      </c>
      <c r="AC9360" s="21">
        <v>247392.24</v>
      </c>
      <c r="AD9360" s="21" t="s">
        <v>368</v>
      </c>
      <c r="AE9360" t="str">
        <f>VLOOKUP(Table_Query_from_Actuarial___Production3[[#This Row],[Kor1]],$AI$3:$AK$105,3,FALSE)</f>
        <v>Operating Service Fees</v>
      </c>
      <c r="AF9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1" spans="18:32" x14ac:dyDescent="0.2">
      <c r="R9361" t="s">
        <v>37</v>
      </c>
      <c r="S9361" t="s">
        <v>252</v>
      </c>
      <c r="T9361" t="s">
        <v>442</v>
      </c>
      <c r="U9361" s="21">
        <v>62106.96</v>
      </c>
      <c r="V9361" s="21" t="s">
        <v>368</v>
      </c>
      <c r="W9361" t="str">
        <f>VLOOKUP(Table_Query_from_Actuarial___Production[[#This Row],[Kor1]],$AI$3:$AK$105,3,FALSE)</f>
        <v>Misc. Expense</v>
      </c>
      <c r="X9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1"/>
      <c r="Z9361" t="s">
        <v>41</v>
      </c>
      <c r="AA9361" t="s">
        <v>242</v>
      </c>
      <c r="AB9361" t="s">
        <v>441</v>
      </c>
      <c r="AC9361" s="21">
        <v>650</v>
      </c>
      <c r="AD9361" s="21" t="s">
        <v>368</v>
      </c>
      <c r="AE9361" t="str">
        <f>VLOOKUP(Table_Query_from_Actuarial___Production3[[#This Row],[Kor1]],$AI$3:$AK$105,3,FALSE)</f>
        <v>Misc. Income</v>
      </c>
      <c r="AF9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2" spans="18:32" x14ac:dyDescent="0.2">
      <c r="R9362" t="s">
        <v>40</v>
      </c>
      <c r="S9362" t="s">
        <v>260</v>
      </c>
      <c r="T9362" t="s">
        <v>7</v>
      </c>
      <c r="U9362" s="21">
        <v>154</v>
      </c>
      <c r="V9362" s="21" t="s">
        <v>368</v>
      </c>
      <c r="W9362" t="str">
        <f>VLOOKUP(Table_Query_from_Actuarial___Production[[#This Row],[Kor1]],$AI$3:$AK$105,3,FALSE)</f>
        <v>Misc. Income</v>
      </c>
      <c r="X9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2"/>
      <c r="Z9362" t="s">
        <v>48</v>
      </c>
      <c r="AA9362" t="s">
        <v>354</v>
      </c>
      <c r="AB9362" t="s">
        <v>7</v>
      </c>
      <c r="AC9362" s="21">
        <v>2460.19</v>
      </c>
      <c r="AD9362" s="21" t="s">
        <v>368</v>
      </c>
      <c r="AE9362" t="str">
        <f>VLOOKUP(Table_Query_from_Actuarial___Production3[[#This Row],[Kor1]],$AI$3:$AK$105,3,FALSE)</f>
        <v>Anticipated Salvage</v>
      </c>
      <c r="AF9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363" spans="18:32" x14ac:dyDescent="0.2">
      <c r="R9363" t="s">
        <v>44</v>
      </c>
      <c r="S9363" t="s">
        <v>238</v>
      </c>
      <c r="T9363" t="s">
        <v>356</v>
      </c>
      <c r="U9363" s="21">
        <v>136378.23999999999</v>
      </c>
      <c r="V9363" s="21" t="s">
        <v>368</v>
      </c>
      <c r="W9363" t="str">
        <f>VLOOKUP(Table_Query_from_Actuarial___Production[[#This Row],[Kor1]],$AI$3:$AK$105,3,FALSE)</f>
        <v>Charge-offs</v>
      </c>
      <c r="X9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3"/>
      <c r="Z9363" t="s">
        <v>10</v>
      </c>
      <c r="AA9363" t="s">
        <v>352</v>
      </c>
      <c r="AB9363" t="s">
        <v>441</v>
      </c>
      <c r="AC9363" s="21">
        <v>4641.0200000000004</v>
      </c>
      <c r="AD9363" s="21" t="s">
        <v>369</v>
      </c>
      <c r="AE9363" t="str">
        <f>VLOOKUP(Table_Query_from_Actuarial___Production3[[#This Row],[Kor1]],$AI$3:$AK$105,3,FALSE)</f>
        <v>Commissions</v>
      </c>
      <c r="AF9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364" spans="18:32" x14ac:dyDescent="0.2">
      <c r="R9364" t="s">
        <v>44</v>
      </c>
      <c r="S9364" t="s">
        <v>4</v>
      </c>
      <c r="T9364" t="s">
        <v>351</v>
      </c>
      <c r="U9364" s="21">
        <v>702871.58</v>
      </c>
      <c r="V9364" s="21" t="s">
        <v>368</v>
      </c>
      <c r="W9364" t="str">
        <f>VLOOKUP(Table_Query_from_Actuarial___Production[[#This Row],[Kor1]],$AI$3:$AK$105,3,FALSE)</f>
        <v>Charge-offs</v>
      </c>
      <c r="X9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4"/>
      <c r="Z9364" t="s">
        <v>12</v>
      </c>
      <c r="AA9364" t="s">
        <v>232</v>
      </c>
      <c r="AB9364" t="s">
        <v>442</v>
      </c>
      <c r="AC9364" s="21">
        <v>28316.720000000001</v>
      </c>
      <c r="AD9364" s="21" t="s">
        <v>368</v>
      </c>
      <c r="AE9364" t="str">
        <f>VLOOKUP(Table_Query_from_Actuarial___Production3[[#This Row],[Kor1]],$AI$3:$AK$105,3,FALSE)</f>
        <v>Premium Tax</v>
      </c>
      <c r="AF9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5" spans="18:32" x14ac:dyDescent="0.2">
      <c r="R9365" t="s">
        <v>47</v>
      </c>
      <c r="S9365" t="s">
        <v>244</v>
      </c>
      <c r="T9365" t="s">
        <v>442</v>
      </c>
      <c r="U9365" s="21">
        <v>3252.57</v>
      </c>
      <c r="V9365" s="21" t="s">
        <v>368</v>
      </c>
      <c r="W9365" t="str">
        <f>VLOOKUP(Table_Query_from_Actuarial___Production[[#This Row],[Kor1]],$AI$3:$AK$105,3,FALSE)</f>
        <v>Investment Income</v>
      </c>
      <c r="X9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5"/>
      <c r="Z9365" t="s">
        <v>32</v>
      </c>
      <c r="AA9365" t="s">
        <v>252</v>
      </c>
      <c r="AB9365" t="s">
        <v>5</v>
      </c>
      <c r="AC9365" s="21">
        <v>26178.65</v>
      </c>
      <c r="AD9365" s="21" t="s">
        <v>368</v>
      </c>
      <c r="AE9365" t="str">
        <f>VLOOKUP(Table_Query_from_Actuarial___Production3[[#This Row],[Kor1]],$AI$3:$AK$105,3,FALSE)</f>
        <v>Misc. Expense</v>
      </c>
      <c r="AF9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6" spans="18:32" x14ac:dyDescent="0.2">
      <c r="R9366" t="s">
        <v>47</v>
      </c>
      <c r="S9366" t="s">
        <v>254</v>
      </c>
      <c r="T9366" t="s">
        <v>443</v>
      </c>
      <c r="U9366" s="21">
        <v>105857.88</v>
      </c>
      <c r="V9366" s="21" t="s">
        <v>368</v>
      </c>
      <c r="W9366" t="str">
        <f>VLOOKUP(Table_Query_from_Actuarial___Production[[#This Row],[Kor1]],$AI$3:$AK$105,3,FALSE)</f>
        <v>Investment Income</v>
      </c>
      <c r="X9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6"/>
      <c r="Z9366" t="s">
        <v>37</v>
      </c>
      <c r="AA9366" t="s">
        <v>252</v>
      </c>
      <c r="AB9366" t="s">
        <v>442</v>
      </c>
      <c r="AC9366" s="21">
        <v>62748.07</v>
      </c>
      <c r="AD9366" s="21" t="s">
        <v>368</v>
      </c>
      <c r="AE9366" t="str">
        <f>VLOOKUP(Table_Query_from_Actuarial___Production3[[#This Row],[Kor1]],$AI$3:$AK$105,3,FALSE)</f>
        <v>Misc. Expense</v>
      </c>
      <c r="AF9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7" spans="18:32" x14ac:dyDescent="0.2">
      <c r="R9367" t="s">
        <v>3</v>
      </c>
      <c r="S9367" t="s">
        <v>248</v>
      </c>
      <c r="T9367" t="s">
        <v>443</v>
      </c>
      <c r="U9367" s="21">
        <v>493268</v>
      </c>
      <c r="V9367" s="21" t="s">
        <v>368</v>
      </c>
      <c r="W9367" t="str">
        <f>VLOOKUP(Table_Query_from_Actuarial___Production[[#This Row],[Kor1]],$AI$3:$AK$105,3,FALSE)</f>
        <v>Premiums Written</v>
      </c>
      <c r="X9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7"/>
      <c r="Z9367" t="s">
        <v>40</v>
      </c>
      <c r="AA9367" t="s">
        <v>260</v>
      </c>
      <c r="AB9367" t="s">
        <v>7</v>
      </c>
      <c r="AC9367" s="21">
        <v>154</v>
      </c>
      <c r="AD9367" s="21" t="s">
        <v>368</v>
      </c>
      <c r="AE9367" t="str">
        <f>VLOOKUP(Table_Query_from_Actuarial___Production3[[#This Row],[Kor1]],$AI$3:$AK$105,3,FALSE)</f>
        <v>Misc. Income</v>
      </c>
      <c r="AF9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8" spans="18:32" x14ac:dyDescent="0.2">
      <c r="R9368" t="s">
        <v>30</v>
      </c>
      <c r="S9368" t="s">
        <v>259</v>
      </c>
      <c r="T9368" t="s">
        <v>7</v>
      </c>
      <c r="U9368" s="21">
        <v>1224.55</v>
      </c>
      <c r="V9368" s="21" t="s">
        <v>368</v>
      </c>
      <c r="W9368" t="str">
        <f>VLOOKUP(Table_Query_from_Actuarial___Production[[#This Row],[Kor1]],$AI$3:$AK$105,3,FALSE)</f>
        <v>Misc. Expense</v>
      </c>
      <c r="X9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8"/>
      <c r="Z9368" t="s">
        <v>44</v>
      </c>
      <c r="AA9368" t="s">
        <v>238</v>
      </c>
      <c r="AB9368" t="s">
        <v>356</v>
      </c>
      <c r="AC9368" s="21">
        <v>136378.23999999999</v>
      </c>
      <c r="AD9368" s="21" t="s">
        <v>368</v>
      </c>
      <c r="AE9368" t="str">
        <f>VLOOKUP(Table_Query_from_Actuarial___Production3[[#This Row],[Kor1]],$AI$3:$AK$105,3,FALSE)</f>
        <v>Charge-offs</v>
      </c>
      <c r="AF9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69" spans="18:32" x14ac:dyDescent="0.2">
      <c r="R9369" t="s">
        <v>41</v>
      </c>
      <c r="S9369" t="s">
        <v>253</v>
      </c>
      <c r="T9369" t="s">
        <v>427</v>
      </c>
      <c r="U9369" s="21">
        <v>100</v>
      </c>
      <c r="V9369" s="21" t="s">
        <v>368</v>
      </c>
      <c r="W9369" t="str">
        <f>VLOOKUP(Table_Query_from_Actuarial___Production[[#This Row],[Kor1]],$AI$3:$AK$105,3,FALSE)</f>
        <v>Misc. Income</v>
      </c>
      <c r="X9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69"/>
      <c r="Z9369" t="s">
        <v>44</v>
      </c>
      <c r="AA9369" t="s">
        <v>4</v>
      </c>
      <c r="AB9369" t="s">
        <v>351</v>
      </c>
      <c r="AC9369" s="21">
        <v>702871.58</v>
      </c>
      <c r="AD9369" s="21" t="s">
        <v>368</v>
      </c>
      <c r="AE9369" t="str">
        <f>VLOOKUP(Table_Query_from_Actuarial___Production3[[#This Row],[Kor1]],$AI$3:$AK$105,3,FALSE)</f>
        <v>Charge-offs</v>
      </c>
      <c r="AF9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0" spans="18:32" x14ac:dyDescent="0.2">
      <c r="R9370" t="s">
        <v>49</v>
      </c>
      <c r="S9370" t="s">
        <v>240</v>
      </c>
      <c r="T9370" t="s">
        <v>9</v>
      </c>
      <c r="U9370" s="21">
        <v>15774.27</v>
      </c>
      <c r="V9370" s="21" t="s">
        <v>368</v>
      </c>
      <c r="W9370" t="str">
        <f>VLOOKUP(Table_Query_from_Actuarial___Production[[#This Row],[Kor1]],$AI$3:$AK$105,3,FALSE)</f>
        <v>ALAE Paid</v>
      </c>
      <c r="X9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0"/>
      <c r="Z9370" t="s">
        <v>47</v>
      </c>
      <c r="AA9370" t="s">
        <v>244</v>
      </c>
      <c r="AB9370" t="s">
        <v>442</v>
      </c>
      <c r="AC9370" s="21">
        <v>3252.57</v>
      </c>
      <c r="AD9370" s="21" t="s">
        <v>368</v>
      </c>
      <c r="AE9370" t="str">
        <f>VLOOKUP(Table_Query_from_Actuarial___Production3[[#This Row],[Kor1]],$AI$3:$AK$105,3,FALSE)</f>
        <v>Investment Income</v>
      </c>
      <c r="AF9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1" spans="18:32" x14ac:dyDescent="0.2">
      <c r="R9371" t="s">
        <v>3</v>
      </c>
      <c r="S9371" t="s">
        <v>239</v>
      </c>
      <c r="T9371" t="s">
        <v>441</v>
      </c>
      <c r="U9371" s="21">
        <v>11380571</v>
      </c>
      <c r="V9371" s="21" t="s">
        <v>368</v>
      </c>
      <c r="W9371" t="str">
        <f>VLOOKUP(Table_Query_from_Actuarial___Production[[#This Row],[Kor1]],$AI$3:$AK$105,3,FALSE)</f>
        <v>Premiums Written</v>
      </c>
      <c r="X9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1"/>
      <c r="Z9371" t="s">
        <v>47</v>
      </c>
      <c r="AA9371" t="s">
        <v>254</v>
      </c>
      <c r="AB9371" t="s">
        <v>443</v>
      </c>
      <c r="AC9371" s="21">
        <v>37409.57</v>
      </c>
      <c r="AD9371" s="21" t="s">
        <v>368</v>
      </c>
      <c r="AE9371" t="str">
        <f>VLOOKUP(Table_Query_from_Actuarial___Production3[[#This Row],[Kor1]],$AI$3:$AK$105,3,FALSE)</f>
        <v>Investment Income</v>
      </c>
      <c r="AF9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2" spans="18:32" x14ac:dyDescent="0.2">
      <c r="R9372" t="s">
        <v>41</v>
      </c>
      <c r="S9372" t="s">
        <v>265</v>
      </c>
      <c r="T9372" t="s">
        <v>443</v>
      </c>
      <c r="U9372" s="21">
        <v>1668.88</v>
      </c>
      <c r="V9372" s="21" t="s">
        <v>368</v>
      </c>
      <c r="W9372" t="str">
        <f>VLOOKUP(Table_Query_from_Actuarial___Production[[#This Row],[Kor1]],$AI$3:$AK$105,3,FALSE)</f>
        <v>Misc. Income</v>
      </c>
      <c r="X9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2"/>
      <c r="Z9372" t="s">
        <v>3</v>
      </c>
      <c r="AA9372" t="s">
        <v>248</v>
      </c>
      <c r="AB9372" t="s">
        <v>443</v>
      </c>
      <c r="AC9372" s="21">
        <v>74829</v>
      </c>
      <c r="AD9372" s="21" t="s">
        <v>368</v>
      </c>
      <c r="AE9372" t="str">
        <f>VLOOKUP(Table_Query_from_Actuarial___Production3[[#This Row],[Kor1]],$AI$3:$AK$105,3,FALSE)</f>
        <v>Premiums Written</v>
      </c>
      <c r="AF9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3" spans="18:32" x14ac:dyDescent="0.2">
      <c r="R9373" t="s">
        <v>10</v>
      </c>
      <c r="S9373" t="s">
        <v>263</v>
      </c>
      <c r="T9373" t="s">
        <v>443</v>
      </c>
      <c r="U9373" s="21">
        <v>40326.35</v>
      </c>
      <c r="V9373" s="21" t="s">
        <v>368</v>
      </c>
      <c r="W9373" t="str">
        <f>VLOOKUP(Table_Query_from_Actuarial___Production[[#This Row],[Kor1]],$AI$3:$AK$105,3,FALSE)</f>
        <v>Commissions</v>
      </c>
      <c r="X9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3"/>
      <c r="Z9373" t="s">
        <v>30</v>
      </c>
      <c r="AA9373" t="s">
        <v>259</v>
      </c>
      <c r="AB9373" t="s">
        <v>7</v>
      </c>
      <c r="AC9373" s="21">
        <v>1224.55</v>
      </c>
      <c r="AD9373" s="21" t="s">
        <v>368</v>
      </c>
      <c r="AE9373" t="str">
        <f>VLOOKUP(Table_Query_from_Actuarial___Production3[[#This Row],[Kor1]],$AI$3:$AK$105,3,FALSE)</f>
        <v>Misc. Expense</v>
      </c>
      <c r="AF9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4" spans="18:32" x14ac:dyDescent="0.2">
      <c r="R9374" t="s">
        <v>16</v>
      </c>
      <c r="S9374" t="s">
        <v>239</v>
      </c>
      <c r="T9374" t="s">
        <v>445</v>
      </c>
      <c r="U9374" s="21">
        <v>103824.83</v>
      </c>
      <c r="V9374" s="21" t="s">
        <v>368</v>
      </c>
      <c r="W9374" t="str">
        <f>VLOOKUP(Table_Query_from_Actuarial___Production[[#This Row],[Kor1]],$AI$3:$AK$105,3,FALSE)</f>
        <v>Losses Outstanding</v>
      </c>
      <c r="X9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4"/>
      <c r="Z9374" t="s">
        <v>41</v>
      </c>
      <c r="AA9374" t="s">
        <v>253</v>
      </c>
      <c r="AB9374" t="s">
        <v>427</v>
      </c>
      <c r="AC9374" s="21">
        <v>100</v>
      </c>
      <c r="AD9374" s="21" t="s">
        <v>368</v>
      </c>
      <c r="AE9374" t="str">
        <f>VLOOKUP(Table_Query_from_Actuarial___Production3[[#This Row],[Kor1]],$AI$3:$AK$105,3,FALSE)</f>
        <v>Misc. Income</v>
      </c>
      <c r="AF9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5" spans="18:32" x14ac:dyDescent="0.2">
      <c r="R9375" t="s">
        <v>11</v>
      </c>
      <c r="S9375" t="s">
        <v>352</v>
      </c>
      <c r="T9375" t="s">
        <v>9</v>
      </c>
      <c r="U9375" s="21">
        <v>285182.55</v>
      </c>
      <c r="V9375" s="21" t="s">
        <v>369</v>
      </c>
      <c r="W9375" t="str">
        <f>VLOOKUP(Table_Query_from_Actuarial___Production[[#This Row],[Kor1]],$AI$3:$AK$105,3,FALSE)</f>
        <v>Losses Paid</v>
      </c>
      <c r="X9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375"/>
      <c r="Z9375" t="s">
        <v>49</v>
      </c>
      <c r="AA9375" t="s">
        <v>240</v>
      </c>
      <c r="AB9375" t="s">
        <v>9</v>
      </c>
      <c r="AC9375" s="21">
        <v>15774.27</v>
      </c>
      <c r="AD9375" s="21" t="s">
        <v>368</v>
      </c>
      <c r="AE9375" t="str">
        <f>VLOOKUP(Table_Query_from_Actuarial___Production3[[#This Row],[Kor1]],$AI$3:$AK$105,3,FALSE)</f>
        <v>ALAE Paid</v>
      </c>
      <c r="AF9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6" spans="18:32" x14ac:dyDescent="0.2">
      <c r="R9376" t="s">
        <v>31</v>
      </c>
      <c r="S9376" t="s">
        <v>238</v>
      </c>
      <c r="T9376" t="s">
        <v>356</v>
      </c>
      <c r="U9376" s="21">
        <v>542.9</v>
      </c>
      <c r="V9376" s="21" t="s">
        <v>368</v>
      </c>
      <c r="W9376" t="str">
        <f>VLOOKUP(Table_Query_from_Actuarial___Production[[#This Row],[Kor1]],$AI$3:$AK$105,3,FALSE)</f>
        <v>Misc. Expense</v>
      </c>
      <c r="X9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6"/>
      <c r="Z9376" t="s">
        <v>3</v>
      </c>
      <c r="AA9376" t="s">
        <v>239</v>
      </c>
      <c r="AB9376" t="s">
        <v>441</v>
      </c>
      <c r="AC9376" s="21">
        <v>11461061</v>
      </c>
      <c r="AD9376" s="21" t="s">
        <v>368</v>
      </c>
      <c r="AE9376" t="str">
        <f>VLOOKUP(Table_Query_from_Actuarial___Production3[[#This Row],[Kor1]],$AI$3:$AK$105,3,FALSE)</f>
        <v>Premiums Written</v>
      </c>
      <c r="AF9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7" spans="18:32" x14ac:dyDescent="0.2">
      <c r="R9377" t="s">
        <v>48</v>
      </c>
      <c r="S9377" t="s">
        <v>228</v>
      </c>
      <c r="T9377" t="s">
        <v>441</v>
      </c>
      <c r="U9377" s="21">
        <v>303.64</v>
      </c>
      <c r="V9377" s="21" t="s">
        <v>368</v>
      </c>
      <c r="W9377" t="str">
        <f>VLOOKUP(Table_Query_from_Actuarial___Production[[#This Row],[Kor1]],$AI$3:$AK$105,3,FALSE)</f>
        <v>Anticipated Salvage</v>
      </c>
      <c r="X9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7"/>
      <c r="Z9377" t="s">
        <v>10</v>
      </c>
      <c r="AA9377" t="s">
        <v>263</v>
      </c>
      <c r="AB9377" t="s">
        <v>443</v>
      </c>
      <c r="AC9377" s="21">
        <v>4844.5</v>
      </c>
      <c r="AD9377" s="21" t="s">
        <v>368</v>
      </c>
      <c r="AE9377" t="str">
        <f>VLOOKUP(Table_Query_from_Actuarial___Production3[[#This Row],[Kor1]],$AI$3:$AK$105,3,FALSE)</f>
        <v>Commissions</v>
      </c>
      <c r="AF9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78" spans="18:32" x14ac:dyDescent="0.2">
      <c r="R9378" t="s">
        <v>18</v>
      </c>
      <c r="S9378" t="s">
        <v>224</v>
      </c>
      <c r="T9378" t="s">
        <v>8</v>
      </c>
      <c r="U9378" s="21">
        <v>11124.33</v>
      </c>
      <c r="V9378" s="21" t="s">
        <v>425</v>
      </c>
      <c r="W9378" t="str">
        <f>VLOOKUP(Table_Query_from_Actuarial___Production[[#This Row],[Kor1]],$AI$3:$AK$105,3,FALSE)</f>
        <v>Misc. Expense</v>
      </c>
      <c r="X9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378"/>
      <c r="Z9378" t="s">
        <v>11</v>
      </c>
      <c r="AA9378" t="s">
        <v>352</v>
      </c>
      <c r="AB9378" t="s">
        <v>9</v>
      </c>
      <c r="AC9378" s="21">
        <v>284699.55</v>
      </c>
      <c r="AD9378" s="21" t="s">
        <v>369</v>
      </c>
      <c r="AE9378" t="str">
        <f>VLOOKUP(Table_Query_from_Actuarial___Production3[[#This Row],[Kor1]],$AI$3:$AK$105,3,FALSE)</f>
        <v>Losses Paid</v>
      </c>
      <c r="AF9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379" spans="18:32" x14ac:dyDescent="0.2">
      <c r="R9379" t="s">
        <v>31</v>
      </c>
      <c r="S9379" t="s">
        <v>242</v>
      </c>
      <c r="T9379" t="s">
        <v>8</v>
      </c>
      <c r="U9379" s="21">
        <v>88682.7</v>
      </c>
      <c r="V9379" s="21" t="s">
        <v>368</v>
      </c>
      <c r="W9379" t="str">
        <f>VLOOKUP(Table_Query_from_Actuarial___Production[[#This Row],[Kor1]],$AI$3:$AK$105,3,FALSE)</f>
        <v>Misc. Expense</v>
      </c>
      <c r="X9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79"/>
      <c r="Z9379" t="s">
        <v>31</v>
      </c>
      <c r="AA9379" t="s">
        <v>238</v>
      </c>
      <c r="AB9379" t="s">
        <v>356</v>
      </c>
      <c r="AC9379" s="21">
        <v>542.9</v>
      </c>
      <c r="AD9379" s="21" t="s">
        <v>368</v>
      </c>
      <c r="AE9379" t="str">
        <f>VLOOKUP(Table_Query_from_Actuarial___Production3[[#This Row],[Kor1]],$AI$3:$AK$105,3,FALSE)</f>
        <v>Misc. Expense</v>
      </c>
      <c r="AF9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0" spans="18:32" x14ac:dyDescent="0.2">
      <c r="R9380" t="s">
        <v>11</v>
      </c>
      <c r="S9380" t="s">
        <v>263</v>
      </c>
      <c r="T9380" t="s">
        <v>356</v>
      </c>
      <c r="U9380" s="21">
        <v>54601.82</v>
      </c>
      <c r="V9380" s="21" t="s">
        <v>368</v>
      </c>
      <c r="W9380" t="str">
        <f>VLOOKUP(Table_Query_from_Actuarial___Production[[#This Row],[Kor1]],$AI$3:$AK$105,3,FALSE)</f>
        <v>Losses Paid</v>
      </c>
      <c r="X9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0"/>
      <c r="Z9380" t="s">
        <v>48</v>
      </c>
      <c r="AA9380" t="s">
        <v>228</v>
      </c>
      <c r="AB9380" t="s">
        <v>441</v>
      </c>
      <c r="AC9380" s="21">
        <v>450.39</v>
      </c>
      <c r="AD9380" s="21" t="s">
        <v>368</v>
      </c>
      <c r="AE9380" t="str">
        <f>VLOOKUP(Table_Query_from_Actuarial___Production3[[#This Row],[Kor1]],$AI$3:$AK$105,3,FALSE)</f>
        <v>Anticipated Salvage</v>
      </c>
      <c r="AF9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1" spans="18:32" x14ac:dyDescent="0.2">
      <c r="R9381" t="s">
        <v>14</v>
      </c>
      <c r="S9381" t="s">
        <v>256</v>
      </c>
      <c r="T9381" t="s">
        <v>351</v>
      </c>
      <c r="U9381" s="21">
        <v>7814.94</v>
      </c>
      <c r="V9381" s="21" t="s">
        <v>368</v>
      </c>
      <c r="W9381" t="str">
        <f>VLOOKUP(Table_Query_from_Actuarial___Production[[#This Row],[Kor1]],$AI$3:$AK$105,3,FALSE)</f>
        <v>Claims Expense</v>
      </c>
      <c r="X9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1"/>
      <c r="Z9381" t="s">
        <v>18</v>
      </c>
      <c r="AA9381" t="s">
        <v>224</v>
      </c>
      <c r="AB9381" t="s">
        <v>8</v>
      </c>
      <c r="AC9381" s="21">
        <v>11124.33</v>
      </c>
      <c r="AD9381" s="21" t="s">
        <v>425</v>
      </c>
      <c r="AE9381" t="str">
        <f>VLOOKUP(Table_Query_from_Actuarial___Production3[[#This Row],[Kor1]],$AI$3:$AK$105,3,FALSE)</f>
        <v>Misc. Expense</v>
      </c>
      <c r="AF9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382" spans="18:32" x14ac:dyDescent="0.2">
      <c r="R9382" t="s">
        <v>31</v>
      </c>
      <c r="S9382" t="s">
        <v>235</v>
      </c>
      <c r="T9382" t="s">
        <v>445</v>
      </c>
      <c r="U9382" s="21">
        <v>279.07</v>
      </c>
      <c r="V9382" s="21" t="s">
        <v>368</v>
      </c>
      <c r="W9382" t="str">
        <f>VLOOKUP(Table_Query_from_Actuarial___Production[[#This Row],[Kor1]],$AI$3:$AK$105,3,FALSE)</f>
        <v>Misc. Expense</v>
      </c>
      <c r="X9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2"/>
      <c r="Z9382" t="s">
        <v>31</v>
      </c>
      <c r="AA9382" t="s">
        <v>242</v>
      </c>
      <c r="AB9382" t="s">
        <v>8</v>
      </c>
      <c r="AC9382" s="21">
        <v>88682.7</v>
      </c>
      <c r="AD9382" s="21" t="s">
        <v>368</v>
      </c>
      <c r="AE9382" t="str">
        <f>VLOOKUP(Table_Query_from_Actuarial___Production3[[#This Row],[Kor1]],$AI$3:$AK$105,3,FALSE)</f>
        <v>Misc. Expense</v>
      </c>
      <c r="AF9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3" spans="18:32" x14ac:dyDescent="0.2">
      <c r="R9383" t="s">
        <v>3</v>
      </c>
      <c r="S9383" t="s">
        <v>225</v>
      </c>
      <c r="T9383" t="s">
        <v>445</v>
      </c>
      <c r="U9383" s="21">
        <v>596491</v>
      </c>
      <c r="V9383" s="21" t="s">
        <v>368</v>
      </c>
      <c r="W9383" t="str">
        <f>VLOOKUP(Table_Query_from_Actuarial___Production[[#This Row],[Kor1]],$AI$3:$AK$105,3,FALSE)</f>
        <v>Premiums Written</v>
      </c>
      <c r="X9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383"/>
      <c r="Z9383" t="s">
        <v>11</v>
      </c>
      <c r="AA9383" t="s">
        <v>263</v>
      </c>
      <c r="AB9383" t="s">
        <v>356</v>
      </c>
      <c r="AC9383" s="21">
        <v>54601.82</v>
      </c>
      <c r="AD9383" s="21" t="s">
        <v>368</v>
      </c>
      <c r="AE9383" t="str">
        <f>VLOOKUP(Table_Query_from_Actuarial___Production3[[#This Row],[Kor1]],$AI$3:$AK$105,3,FALSE)</f>
        <v>Losses Paid</v>
      </c>
      <c r="AF9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4" spans="18:32" x14ac:dyDescent="0.2">
      <c r="R9384" t="s">
        <v>10</v>
      </c>
      <c r="S9384" t="s">
        <v>224</v>
      </c>
      <c r="T9384" t="s">
        <v>427</v>
      </c>
      <c r="U9384" s="21">
        <v>991.56</v>
      </c>
      <c r="V9384" s="21" t="s">
        <v>425</v>
      </c>
      <c r="W9384" t="str">
        <f>VLOOKUP(Table_Query_from_Actuarial___Production[[#This Row],[Kor1]],$AI$3:$AK$105,3,FALSE)</f>
        <v>Commissions</v>
      </c>
      <c r="X9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384"/>
      <c r="Z9384" t="s">
        <v>14</v>
      </c>
      <c r="AA9384" t="s">
        <v>256</v>
      </c>
      <c r="AB9384" t="s">
        <v>351</v>
      </c>
      <c r="AC9384" s="21">
        <v>7814.94</v>
      </c>
      <c r="AD9384" s="21" t="s">
        <v>368</v>
      </c>
      <c r="AE9384" t="str">
        <f>VLOOKUP(Table_Query_from_Actuarial___Production3[[#This Row],[Kor1]],$AI$3:$AK$105,3,FALSE)</f>
        <v>Claims Expense</v>
      </c>
      <c r="AF9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5" spans="18:32" x14ac:dyDescent="0.2">
      <c r="R9385" t="s">
        <v>31</v>
      </c>
      <c r="S9385" t="s">
        <v>228</v>
      </c>
      <c r="T9385" t="s">
        <v>427</v>
      </c>
      <c r="U9385" s="21">
        <v>834.35</v>
      </c>
      <c r="V9385" s="21" t="s">
        <v>368</v>
      </c>
      <c r="W9385" t="str">
        <f>VLOOKUP(Table_Query_from_Actuarial___Production[[#This Row],[Kor1]],$AI$3:$AK$105,3,FALSE)</f>
        <v>Misc. Expense</v>
      </c>
      <c r="X9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5"/>
      <c r="Z9385" t="s">
        <v>14</v>
      </c>
      <c r="AA9385" t="s">
        <v>224</v>
      </c>
      <c r="AB9385" t="s">
        <v>5</v>
      </c>
      <c r="AC9385" s="21">
        <v>188694.64</v>
      </c>
      <c r="AD9385" s="21" t="s">
        <v>368</v>
      </c>
      <c r="AE9385" t="str">
        <f>VLOOKUP(Table_Query_from_Actuarial___Production3[[#This Row],[Kor1]],$AI$3:$AK$105,3,FALSE)</f>
        <v>Claims Expense</v>
      </c>
      <c r="AF9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386" spans="18:32" x14ac:dyDescent="0.2">
      <c r="R9386" t="s">
        <v>12</v>
      </c>
      <c r="S9386" t="s">
        <v>229</v>
      </c>
      <c r="T9386" t="s">
        <v>442</v>
      </c>
      <c r="U9386" s="21">
        <v>2386.9499999999998</v>
      </c>
      <c r="V9386" s="21" t="s">
        <v>368</v>
      </c>
      <c r="W9386" t="str">
        <f>VLOOKUP(Table_Query_from_Actuarial___Production[[#This Row],[Kor1]],$AI$3:$AK$105,3,FALSE)</f>
        <v>Premium Tax</v>
      </c>
      <c r="X9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6"/>
      <c r="Z9386" t="s">
        <v>10</v>
      </c>
      <c r="AA9386" t="s">
        <v>224</v>
      </c>
      <c r="AB9386" t="s">
        <v>427</v>
      </c>
      <c r="AC9386" s="21">
        <v>991.56</v>
      </c>
      <c r="AD9386" s="21" t="s">
        <v>425</v>
      </c>
      <c r="AE9386" t="str">
        <f>VLOOKUP(Table_Query_from_Actuarial___Production3[[#This Row],[Kor1]],$AI$3:$AK$105,3,FALSE)</f>
        <v>Commissions</v>
      </c>
      <c r="AF9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387" spans="18:32" x14ac:dyDescent="0.2">
      <c r="R9387" t="s">
        <v>12</v>
      </c>
      <c r="S9387" t="s">
        <v>267</v>
      </c>
      <c r="T9387" t="s">
        <v>442</v>
      </c>
      <c r="U9387" s="21">
        <v>21908.560000000001</v>
      </c>
      <c r="V9387" s="21" t="s">
        <v>368</v>
      </c>
      <c r="W9387" t="str">
        <f>VLOOKUP(Table_Query_from_Actuarial___Production[[#This Row],[Kor1]],$AI$3:$AK$105,3,FALSE)</f>
        <v>Premium Tax</v>
      </c>
      <c r="X9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7"/>
      <c r="Z9387" t="s">
        <v>31</v>
      </c>
      <c r="AA9387" t="s">
        <v>228</v>
      </c>
      <c r="AB9387" t="s">
        <v>427</v>
      </c>
      <c r="AC9387" s="21">
        <v>834.35</v>
      </c>
      <c r="AD9387" s="21" t="s">
        <v>368</v>
      </c>
      <c r="AE9387" t="str">
        <f>VLOOKUP(Table_Query_from_Actuarial___Production3[[#This Row],[Kor1]],$AI$3:$AK$105,3,FALSE)</f>
        <v>Misc. Expense</v>
      </c>
      <c r="AF9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8" spans="18:32" x14ac:dyDescent="0.2">
      <c r="R9388" t="s">
        <v>14</v>
      </c>
      <c r="S9388" t="s">
        <v>266</v>
      </c>
      <c r="T9388" t="s">
        <v>442</v>
      </c>
      <c r="U9388" s="21">
        <v>53159.86</v>
      </c>
      <c r="V9388" s="21" t="s">
        <v>368</v>
      </c>
      <c r="W9388" t="str">
        <f>VLOOKUP(Table_Query_from_Actuarial___Production[[#This Row],[Kor1]],$AI$3:$AK$105,3,FALSE)</f>
        <v>Claims Expense</v>
      </c>
      <c r="X9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8"/>
      <c r="Z9388" t="s">
        <v>12</v>
      </c>
      <c r="AA9388" t="s">
        <v>229</v>
      </c>
      <c r="AB9388" t="s">
        <v>442</v>
      </c>
      <c r="AC9388" s="21">
        <v>2229.8000000000002</v>
      </c>
      <c r="AD9388" s="21" t="s">
        <v>368</v>
      </c>
      <c r="AE9388" t="str">
        <f>VLOOKUP(Table_Query_from_Actuarial___Production3[[#This Row],[Kor1]],$AI$3:$AK$105,3,FALSE)</f>
        <v>Premium Tax</v>
      </c>
      <c r="AF9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89" spans="18:32" x14ac:dyDescent="0.2">
      <c r="R9389" t="s">
        <v>41</v>
      </c>
      <c r="S9389" t="s">
        <v>234</v>
      </c>
      <c r="T9389" t="s">
        <v>441</v>
      </c>
      <c r="U9389" s="21">
        <v>399.99</v>
      </c>
      <c r="V9389" s="21" t="s">
        <v>368</v>
      </c>
      <c r="W9389" t="str">
        <f>VLOOKUP(Table_Query_from_Actuarial___Production[[#This Row],[Kor1]],$AI$3:$AK$105,3,FALSE)</f>
        <v>Misc. Income</v>
      </c>
      <c r="X9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89"/>
      <c r="Z9389" t="s">
        <v>12</v>
      </c>
      <c r="AA9389" t="s">
        <v>267</v>
      </c>
      <c r="AB9389" t="s">
        <v>442</v>
      </c>
      <c r="AC9389" s="21">
        <v>22688.16</v>
      </c>
      <c r="AD9389" s="21" t="s">
        <v>368</v>
      </c>
      <c r="AE9389" t="str">
        <f>VLOOKUP(Table_Query_from_Actuarial___Production3[[#This Row],[Kor1]],$AI$3:$AK$105,3,FALSE)</f>
        <v>Premium Tax</v>
      </c>
      <c r="AF9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0" spans="18:32" x14ac:dyDescent="0.2">
      <c r="R9390" t="s">
        <v>49</v>
      </c>
      <c r="S9390" t="s">
        <v>267</v>
      </c>
      <c r="T9390" t="s">
        <v>356</v>
      </c>
      <c r="U9390" s="21">
        <v>29472.69</v>
      </c>
      <c r="V9390" s="21" t="s">
        <v>368</v>
      </c>
      <c r="W9390" t="str">
        <f>VLOOKUP(Table_Query_from_Actuarial___Production[[#This Row],[Kor1]],$AI$3:$AK$105,3,FALSE)</f>
        <v>ALAE Paid</v>
      </c>
      <c r="X9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0"/>
      <c r="Z9390" t="s">
        <v>14</v>
      </c>
      <c r="AA9390" t="s">
        <v>266</v>
      </c>
      <c r="AB9390" t="s">
        <v>442</v>
      </c>
      <c r="AC9390" s="21">
        <v>49596.84</v>
      </c>
      <c r="AD9390" s="21" t="s">
        <v>368</v>
      </c>
      <c r="AE9390" t="str">
        <f>VLOOKUP(Table_Query_from_Actuarial___Production3[[#This Row],[Kor1]],$AI$3:$AK$105,3,FALSE)</f>
        <v>Claims Expense</v>
      </c>
      <c r="AF9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1" spans="18:32" x14ac:dyDescent="0.2">
      <c r="R9391" t="s">
        <v>10</v>
      </c>
      <c r="S9391" t="s">
        <v>241</v>
      </c>
      <c r="T9391" t="s">
        <v>351</v>
      </c>
      <c r="U9391" s="21">
        <v>82362.149999999994</v>
      </c>
      <c r="V9391" s="21" t="s">
        <v>368</v>
      </c>
      <c r="W9391" t="str">
        <f>VLOOKUP(Table_Query_from_Actuarial___Production[[#This Row],[Kor1]],$AI$3:$AK$105,3,FALSE)</f>
        <v>Commissions</v>
      </c>
      <c r="X9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1"/>
      <c r="Z9391" t="s">
        <v>41</v>
      </c>
      <c r="AA9391" t="s">
        <v>234</v>
      </c>
      <c r="AB9391" t="s">
        <v>441</v>
      </c>
      <c r="AC9391" s="21">
        <v>399.99</v>
      </c>
      <c r="AD9391" s="21" t="s">
        <v>368</v>
      </c>
      <c r="AE9391" t="str">
        <f>VLOOKUP(Table_Query_from_Actuarial___Production3[[#This Row],[Kor1]],$AI$3:$AK$105,3,FALSE)</f>
        <v>Misc. Income</v>
      </c>
      <c r="AF9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2" spans="18:32" x14ac:dyDescent="0.2">
      <c r="R9392" t="s">
        <v>13</v>
      </c>
      <c r="S9392" t="s">
        <v>238</v>
      </c>
      <c r="T9392" t="s">
        <v>441</v>
      </c>
      <c r="U9392" s="21">
        <v>347027.22</v>
      </c>
      <c r="V9392" s="21" t="s">
        <v>368</v>
      </c>
      <c r="W9392" t="str">
        <f>VLOOKUP(Table_Query_from_Actuarial___Production[[#This Row],[Kor1]],$AI$3:$AK$105,3,FALSE)</f>
        <v>Operating Service Fees</v>
      </c>
      <c r="X9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2"/>
      <c r="Z9392" t="s">
        <v>49</v>
      </c>
      <c r="AA9392" t="s">
        <v>267</v>
      </c>
      <c r="AB9392" t="s">
        <v>356</v>
      </c>
      <c r="AC9392" s="21">
        <v>25357.19</v>
      </c>
      <c r="AD9392" s="21" t="s">
        <v>368</v>
      </c>
      <c r="AE9392" t="str">
        <f>VLOOKUP(Table_Query_from_Actuarial___Production3[[#This Row],[Kor1]],$AI$3:$AK$105,3,FALSE)</f>
        <v>ALAE Paid</v>
      </c>
      <c r="AF9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3" spans="18:32" x14ac:dyDescent="0.2">
      <c r="R9393" t="s">
        <v>20</v>
      </c>
      <c r="S9393" t="s">
        <v>245</v>
      </c>
      <c r="T9393" t="s">
        <v>445</v>
      </c>
      <c r="U9393" s="21">
        <v>28.48</v>
      </c>
      <c r="V9393" s="21" t="s">
        <v>368</v>
      </c>
      <c r="W9393" t="str">
        <f>VLOOKUP(Table_Query_from_Actuarial___Production[[#This Row],[Kor1]],$AI$3:$AK$105,3,FALSE)</f>
        <v>Misc. Expense</v>
      </c>
      <c r="X9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3"/>
      <c r="Z9393" t="s">
        <v>10</v>
      </c>
      <c r="AA9393" t="s">
        <v>241</v>
      </c>
      <c r="AB9393" t="s">
        <v>351</v>
      </c>
      <c r="AC9393" s="21">
        <v>82362.149999999994</v>
      </c>
      <c r="AD9393" s="21" t="s">
        <v>368</v>
      </c>
      <c r="AE9393" t="str">
        <f>VLOOKUP(Table_Query_from_Actuarial___Production3[[#This Row],[Kor1]],$AI$3:$AK$105,3,FALSE)</f>
        <v>Commissions</v>
      </c>
      <c r="AF9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4" spans="18:32" x14ac:dyDescent="0.2">
      <c r="R9394" t="s">
        <v>20</v>
      </c>
      <c r="S9394" t="s">
        <v>249</v>
      </c>
      <c r="T9394" t="s">
        <v>445</v>
      </c>
      <c r="U9394" s="21">
        <v>56.96</v>
      </c>
      <c r="V9394" s="21" t="s">
        <v>368</v>
      </c>
      <c r="W9394" t="str">
        <f>VLOOKUP(Table_Query_from_Actuarial___Production[[#This Row],[Kor1]],$AI$3:$AK$105,3,FALSE)</f>
        <v>Misc. Expense</v>
      </c>
      <c r="X9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4"/>
      <c r="Z9394" t="s">
        <v>13</v>
      </c>
      <c r="AA9394" t="s">
        <v>238</v>
      </c>
      <c r="AB9394" t="s">
        <v>441</v>
      </c>
      <c r="AC9394" s="21">
        <v>347027.22</v>
      </c>
      <c r="AD9394" s="21" t="s">
        <v>368</v>
      </c>
      <c r="AE9394" t="str">
        <f>VLOOKUP(Table_Query_from_Actuarial___Production3[[#This Row],[Kor1]],$AI$3:$AK$105,3,FALSE)</f>
        <v>Operating Service Fees</v>
      </c>
      <c r="AF9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5" spans="18:32" x14ac:dyDescent="0.2">
      <c r="R9395" t="s">
        <v>47</v>
      </c>
      <c r="S9395" t="s">
        <v>247</v>
      </c>
      <c r="T9395" t="s">
        <v>427</v>
      </c>
      <c r="U9395" s="21">
        <v>802.87</v>
      </c>
      <c r="V9395" s="21" t="s">
        <v>368</v>
      </c>
      <c r="W9395" t="str">
        <f>VLOOKUP(Table_Query_from_Actuarial___Production[[#This Row],[Kor1]],$AI$3:$AK$105,3,FALSE)</f>
        <v>Investment Income</v>
      </c>
      <c r="X9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5"/>
      <c r="Z9395" t="s">
        <v>43</v>
      </c>
      <c r="AA9395" t="s">
        <v>265</v>
      </c>
      <c r="AB9395" t="s">
        <v>5</v>
      </c>
      <c r="AC9395" s="21">
        <v>-59.78</v>
      </c>
      <c r="AD9395" s="21" t="s">
        <v>368</v>
      </c>
      <c r="AE9395" t="str">
        <f>VLOOKUP(Table_Query_from_Actuarial___Production3[[#This Row],[Kor1]],$AI$3:$AK$105,3,FALSE)</f>
        <v>Charge-offs</v>
      </c>
      <c r="AF9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6" spans="18:32" x14ac:dyDescent="0.2">
      <c r="R9396" t="s">
        <v>10</v>
      </c>
      <c r="S9396" t="s">
        <v>263</v>
      </c>
      <c r="T9396" t="s">
        <v>427</v>
      </c>
      <c r="U9396" s="21">
        <v>48286.9</v>
      </c>
      <c r="V9396" s="21" t="s">
        <v>368</v>
      </c>
      <c r="W9396" t="str">
        <f>VLOOKUP(Table_Query_from_Actuarial___Production[[#This Row],[Kor1]],$AI$3:$AK$105,3,FALSE)</f>
        <v>Commissions</v>
      </c>
      <c r="X9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6"/>
      <c r="Z9396" t="s">
        <v>32</v>
      </c>
      <c r="AA9396" t="s">
        <v>258</v>
      </c>
      <c r="AB9396" t="s">
        <v>5</v>
      </c>
      <c r="AC9396" s="21">
        <v>-23585.55</v>
      </c>
      <c r="AD9396" s="21" t="s">
        <v>368</v>
      </c>
      <c r="AE9396" t="str">
        <f>VLOOKUP(Table_Query_from_Actuarial___Production3[[#This Row],[Kor1]],$AI$3:$AK$105,3,FALSE)</f>
        <v>Misc. Expense</v>
      </c>
      <c r="AF9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7" spans="18:32" x14ac:dyDescent="0.2">
      <c r="R9397" t="s">
        <v>20</v>
      </c>
      <c r="S9397" t="s">
        <v>235</v>
      </c>
      <c r="T9397" t="s">
        <v>427</v>
      </c>
      <c r="U9397" s="21">
        <v>255.32</v>
      </c>
      <c r="V9397" s="21" t="s">
        <v>368</v>
      </c>
      <c r="W9397" t="str">
        <f>VLOOKUP(Table_Query_from_Actuarial___Production[[#This Row],[Kor1]],$AI$3:$AK$105,3,FALSE)</f>
        <v>Misc. Expense</v>
      </c>
      <c r="X9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7"/>
      <c r="Z9397" t="s">
        <v>47</v>
      </c>
      <c r="AA9397" t="s">
        <v>247</v>
      </c>
      <c r="AB9397" t="s">
        <v>427</v>
      </c>
      <c r="AC9397" s="21">
        <v>802.87</v>
      </c>
      <c r="AD9397" s="21" t="s">
        <v>368</v>
      </c>
      <c r="AE9397" t="str">
        <f>VLOOKUP(Table_Query_from_Actuarial___Production3[[#This Row],[Kor1]],$AI$3:$AK$105,3,FALSE)</f>
        <v>Investment Income</v>
      </c>
      <c r="AF9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8" spans="18:32" x14ac:dyDescent="0.2">
      <c r="R9398" t="s">
        <v>34</v>
      </c>
      <c r="S9398" t="s">
        <v>249</v>
      </c>
      <c r="T9398" t="s">
        <v>356</v>
      </c>
      <c r="U9398" s="21">
        <v>815.97</v>
      </c>
      <c r="V9398" s="21" t="s">
        <v>368</v>
      </c>
      <c r="W9398" t="str">
        <f>VLOOKUP(Table_Query_from_Actuarial___Production[[#This Row],[Kor1]],$AI$3:$AK$105,3,FALSE)</f>
        <v>Misc. Expense</v>
      </c>
      <c r="X9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8"/>
      <c r="Z9398" t="s">
        <v>10</v>
      </c>
      <c r="AA9398" t="s">
        <v>263</v>
      </c>
      <c r="AB9398" t="s">
        <v>427</v>
      </c>
      <c r="AC9398" s="21">
        <v>48286.9</v>
      </c>
      <c r="AD9398" s="21" t="s">
        <v>368</v>
      </c>
      <c r="AE9398" t="str">
        <f>VLOOKUP(Table_Query_from_Actuarial___Production3[[#This Row],[Kor1]],$AI$3:$AK$105,3,FALSE)</f>
        <v>Commissions</v>
      </c>
      <c r="AF9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399" spans="18:32" x14ac:dyDescent="0.2">
      <c r="R9399" t="s">
        <v>44</v>
      </c>
      <c r="S9399" t="s">
        <v>246</v>
      </c>
      <c r="T9399" t="s">
        <v>442</v>
      </c>
      <c r="U9399" s="21">
        <v>165062.28</v>
      </c>
      <c r="V9399" s="21" t="s">
        <v>368</v>
      </c>
      <c r="W9399" t="str">
        <f>VLOOKUP(Table_Query_from_Actuarial___Production[[#This Row],[Kor1]],$AI$3:$AK$105,3,FALSE)</f>
        <v>Charge-offs</v>
      </c>
      <c r="X9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399"/>
      <c r="Z9399" t="s">
        <v>20</v>
      </c>
      <c r="AA9399" t="s">
        <v>235</v>
      </c>
      <c r="AB9399" t="s">
        <v>427</v>
      </c>
      <c r="AC9399" s="21">
        <v>255.32</v>
      </c>
      <c r="AD9399" s="21" t="s">
        <v>368</v>
      </c>
      <c r="AE9399" t="str">
        <f>VLOOKUP(Table_Query_from_Actuarial___Production3[[#This Row],[Kor1]],$AI$3:$AK$105,3,FALSE)</f>
        <v>Misc. Expense</v>
      </c>
      <c r="AF9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0" spans="18:32" x14ac:dyDescent="0.2">
      <c r="R9400" t="s">
        <v>37</v>
      </c>
      <c r="S9400" t="s">
        <v>258</v>
      </c>
      <c r="T9400" t="s">
        <v>443</v>
      </c>
      <c r="U9400" s="21">
        <v>6274.42</v>
      </c>
      <c r="V9400" s="21" t="s">
        <v>368</v>
      </c>
      <c r="W9400" t="str">
        <f>VLOOKUP(Table_Query_from_Actuarial___Production[[#This Row],[Kor1]],$AI$3:$AK$105,3,FALSE)</f>
        <v>Misc. Expense</v>
      </c>
      <c r="X9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0"/>
      <c r="Z9400" t="s">
        <v>34</v>
      </c>
      <c r="AA9400" t="s">
        <v>249</v>
      </c>
      <c r="AB9400" t="s">
        <v>356</v>
      </c>
      <c r="AC9400" s="21">
        <v>815.97</v>
      </c>
      <c r="AD9400" s="21" t="s">
        <v>368</v>
      </c>
      <c r="AE9400" t="str">
        <f>VLOOKUP(Table_Query_from_Actuarial___Production3[[#This Row],[Kor1]],$AI$3:$AK$105,3,FALSE)</f>
        <v>Misc. Expense</v>
      </c>
      <c r="AF9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1" spans="18:32" x14ac:dyDescent="0.2">
      <c r="R9401" t="s">
        <v>40</v>
      </c>
      <c r="S9401" t="s">
        <v>254</v>
      </c>
      <c r="T9401" t="s">
        <v>6</v>
      </c>
      <c r="U9401" s="21">
        <v>15</v>
      </c>
      <c r="V9401" s="21" t="s">
        <v>368</v>
      </c>
      <c r="W9401" t="str">
        <f>VLOOKUP(Table_Query_from_Actuarial___Production[[#This Row],[Kor1]],$AI$3:$AK$105,3,FALSE)</f>
        <v>Misc. Income</v>
      </c>
      <c r="X9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1"/>
      <c r="Z9401" t="s">
        <v>44</v>
      </c>
      <c r="AA9401" t="s">
        <v>246</v>
      </c>
      <c r="AB9401" t="s">
        <v>442</v>
      </c>
      <c r="AC9401" s="21">
        <v>90963.28</v>
      </c>
      <c r="AD9401" s="21" t="s">
        <v>368</v>
      </c>
      <c r="AE9401" t="str">
        <f>VLOOKUP(Table_Query_from_Actuarial___Production3[[#This Row],[Kor1]],$AI$3:$AK$105,3,FALSE)</f>
        <v>Charge-offs</v>
      </c>
      <c r="AF9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2" spans="18:32" x14ac:dyDescent="0.2">
      <c r="R9402" t="s">
        <v>13</v>
      </c>
      <c r="S9402" t="s">
        <v>251</v>
      </c>
      <c r="T9402" t="s">
        <v>441</v>
      </c>
      <c r="U9402" s="21">
        <v>135516.51999999999</v>
      </c>
      <c r="V9402" s="21" t="s">
        <v>368</v>
      </c>
      <c r="W9402" t="str">
        <f>VLOOKUP(Table_Query_from_Actuarial___Production[[#This Row],[Kor1]],$AI$3:$AK$105,3,FALSE)</f>
        <v>Operating Service Fees</v>
      </c>
      <c r="X9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2"/>
      <c r="Z9402" t="s">
        <v>37</v>
      </c>
      <c r="AA9402" t="s">
        <v>258</v>
      </c>
      <c r="AB9402" t="s">
        <v>443</v>
      </c>
      <c r="AC9402" s="21">
        <v>3785.21</v>
      </c>
      <c r="AD9402" s="21" t="s">
        <v>368</v>
      </c>
      <c r="AE9402" t="str">
        <f>VLOOKUP(Table_Query_from_Actuarial___Production3[[#This Row],[Kor1]],$AI$3:$AK$105,3,FALSE)</f>
        <v>Misc. Expense</v>
      </c>
      <c r="AF9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3" spans="18:32" x14ac:dyDescent="0.2">
      <c r="R9403" t="s">
        <v>39</v>
      </c>
      <c r="S9403" t="s">
        <v>261</v>
      </c>
      <c r="T9403" t="s">
        <v>9</v>
      </c>
      <c r="U9403" s="21">
        <v>1160</v>
      </c>
      <c r="V9403" s="21" t="s">
        <v>368</v>
      </c>
      <c r="W9403" t="str">
        <f>VLOOKUP(Table_Query_from_Actuarial___Production[[#This Row],[Kor1]],$AI$3:$AK$105,3,FALSE)</f>
        <v>Misc. Income for Insolvent Companies</v>
      </c>
      <c r="X9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3"/>
      <c r="Z9403" t="s">
        <v>40</v>
      </c>
      <c r="AA9403" t="s">
        <v>254</v>
      </c>
      <c r="AB9403" t="s">
        <v>6</v>
      </c>
      <c r="AC9403" s="21">
        <v>15</v>
      </c>
      <c r="AD9403" s="21" t="s">
        <v>368</v>
      </c>
      <c r="AE9403" t="str">
        <f>VLOOKUP(Table_Query_from_Actuarial___Production3[[#This Row],[Kor1]],$AI$3:$AK$105,3,FALSE)</f>
        <v>Misc. Income</v>
      </c>
      <c r="AF9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4" spans="18:32" x14ac:dyDescent="0.2">
      <c r="R9404" t="s">
        <v>13</v>
      </c>
      <c r="S9404" t="s">
        <v>257</v>
      </c>
      <c r="T9404" t="s">
        <v>427</v>
      </c>
      <c r="U9404" s="21">
        <v>325984.96000000002</v>
      </c>
      <c r="V9404" s="21" t="s">
        <v>368</v>
      </c>
      <c r="W9404" t="str">
        <f>VLOOKUP(Table_Query_from_Actuarial___Production[[#This Row],[Kor1]],$AI$3:$AK$105,3,FALSE)</f>
        <v>Operating Service Fees</v>
      </c>
      <c r="X9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4"/>
      <c r="Z9404" t="s">
        <v>13</v>
      </c>
      <c r="AA9404" t="s">
        <v>251</v>
      </c>
      <c r="AB9404" t="s">
        <v>441</v>
      </c>
      <c r="AC9404" s="21">
        <v>135516.51999999999</v>
      </c>
      <c r="AD9404" s="21" t="s">
        <v>368</v>
      </c>
      <c r="AE9404" t="str">
        <f>VLOOKUP(Table_Query_from_Actuarial___Production3[[#This Row],[Kor1]],$AI$3:$AK$105,3,FALSE)</f>
        <v>Operating Service Fees</v>
      </c>
      <c r="AF9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5" spans="18:32" x14ac:dyDescent="0.2">
      <c r="R9405" t="s">
        <v>14</v>
      </c>
      <c r="S9405" t="s">
        <v>248</v>
      </c>
      <c r="T9405" t="s">
        <v>9</v>
      </c>
      <c r="U9405" s="21">
        <v>8317.9500000000007</v>
      </c>
      <c r="V9405" s="21" t="s">
        <v>368</v>
      </c>
      <c r="W9405" t="str">
        <f>VLOOKUP(Table_Query_from_Actuarial___Production[[#This Row],[Kor1]],$AI$3:$AK$105,3,FALSE)</f>
        <v>Claims Expense</v>
      </c>
      <c r="X9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5"/>
      <c r="Z9405" t="s">
        <v>39</v>
      </c>
      <c r="AA9405" t="s">
        <v>261</v>
      </c>
      <c r="AB9405" t="s">
        <v>9</v>
      </c>
      <c r="AC9405" s="21">
        <v>1160</v>
      </c>
      <c r="AD9405" s="21" t="s">
        <v>368</v>
      </c>
      <c r="AE9405" t="str">
        <f>VLOOKUP(Table_Query_from_Actuarial___Production3[[#This Row],[Kor1]],$AI$3:$AK$105,3,FALSE)</f>
        <v>Misc. Income for Insolvent Companies</v>
      </c>
      <c r="AF9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6" spans="18:32" x14ac:dyDescent="0.2">
      <c r="R9406" t="s">
        <v>11</v>
      </c>
      <c r="S9406" t="s">
        <v>250</v>
      </c>
      <c r="T9406" t="s">
        <v>442</v>
      </c>
      <c r="U9406" s="21">
        <v>176862.46</v>
      </c>
      <c r="V9406" s="21" t="s">
        <v>368</v>
      </c>
      <c r="W9406" t="str">
        <f>VLOOKUP(Table_Query_from_Actuarial___Production[[#This Row],[Kor1]],$AI$3:$AK$105,3,FALSE)</f>
        <v>Losses Paid</v>
      </c>
      <c r="X9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6"/>
      <c r="Z9406" t="s">
        <v>13</v>
      </c>
      <c r="AA9406" t="s">
        <v>257</v>
      </c>
      <c r="AB9406" t="s">
        <v>427</v>
      </c>
      <c r="AC9406" s="21">
        <v>325984.96000000002</v>
      </c>
      <c r="AD9406" s="21" t="s">
        <v>368</v>
      </c>
      <c r="AE9406" t="str">
        <f>VLOOKUP(Table_Query_from_Actuarial___Production3[[#This Row],[Kor1]],$AI$3:$AK$105,3,FALSE)</f>
        <v>Operating Service Fees</v>
      </c>
      <c r="AF9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7" spans="18:32" x14ac:dyDescent="0.2">
      <c r="R9407" t="s">
        <v>39</v>
      </c>
      <c r="S9407" t="s">
        <v>244</v>
      </c>
      <c r="T9407" t="s">
        <v>7</v>
      </c>
      <c r="U9407" s="21">
        <v>2168.9899999999998</v>
      </c>
      <c r="V9407" s="21" t="s">
        <v>368</v>
      </c>
      <c r="W9407" t="str">
        <f>VLOOKUP(Table_Query_from_Actuarial___Production[[#This Row],[Kor1]],$AI$3:$AK$105,3,FALSE)</f>
        <v>Misc. Income for Insolvent Companies</v>
      </c>
      <c r="X9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7"/>
      <c r="Z9407" t="s">
        <v>14</v>
      </c>
      <c r="AA9407" t="s">
        <v>248</v>
      </c>
      <c r="AB9407" t="s">
        <v>9</v>
      </c>
      <c r="AC9407" s="21">
        <v>8317.9500000000007</v>
      </c>
      <c r="AD9407" s="21" t="s">
        <v>368</v>
      </c>
      <c r="AE9407" t="str">
        <f>VLOOKUP(Table_Query_from_Actuarial___Production3[[#This Row],[Kor1]],$AI$3:$AK$105,3,FALSE)</f>
        <v>Claims Expense</v>
      </c>
      <c r="AF9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8" spans="18:32" x14ac:dyDescent="0.2">
      <c r="R9408" t="s">
        <v>10</v>
      </c>
      <c r="S9408" t="s">
        <v>352</v>
      </c>
      <c r="T9408" t="s">
        <v>351</v>
      </c>
      <c r="U9408" s="21">
        <v>13991.31</v>
      </c>
      <c r="V9408" s="21" t="s">
        <v>369</v>
      </c>
      <c r="W9408" t="str">
        <f>VLOOKUP(Table_Query_from_Actuarial___Production[[#This Row],[Kor1]],$AI$3:$AK$105,3,FALSE)</f>
        <v>Commissions</v>
      </c>
      <c r="X9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408"/>
      <c r="Z9408" t="s">
        <v>36</v>
      </c>
      <c r="AA9408" t="s">
        <v>250</v>
      </c>
      <c r="AB9408" t="s">
        <v>5</v>
      </c>
      <c r="AC9408" s="21">
        <v>1263.01</v>
      </c>
      <c r="AD9408" s="21" t="s">
        <v>368</v>
      </c>
      <c r="AE9408" t="str">
        <f>VLOOKUP(Table_Query_from_Actuarial___Production3[[#This Row],[Kor1]],$AI$3:$AK$105,3,FALSE)</f>
        <v>Misc. Expense</v>
      </c>
      <c r="AF9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09" spans="18:32" x14ac:dyDescent="0.2">
      <c r="R9409" t="s">
        <v>12</v>
      </c>
      <c r="S9409" t="s">
        <v>246</v>
      </c>
      <c r="T9409" t="s">
        <v>9</v>
      </c>
      <c r="U9409" s="21">
        <v>5794.72</v>
      </c>
      <c r="V9409" s="21" t="s">
        <v>368</v>
      </c>
      <c r="W9409" t="str">
        <f>VLOOKUP(Table_Query_from_Actuarial___Production[[#This Row],[Kor1]],$AI$3:$AK$105,3,FALSE)</f>
        <v>Premium Tax</v>
      </c>
      <c r="X9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09"/>
      <c r="Z9409" t="s">
        <v>11</v>
      </c>
      <c r="AA9409" t="s">
        <v>250</v>
      </c>
      <c r="AB9409" t="s">
        <v>442</v>
      </c>
      <c r="AC9409" s="21">
        <v>117648.87</v>
      </c>
      <c r="AD9409" s="21" t="s">
        <v>368</v>
      </c>
      <c r="AE9409" t="str">
        <f>VLOOKUP(Table_Query_from_Actuarial___Production3[[#This Row],[Kor1]],$AI$3:$AK$105,3,FALSE)</f>
        <v>Losses Paid</v>
      </c>
      <c r="AF9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0" spans="18:32" x14ac:dyDescent="0.2">
      <c r="R9410" t="s">
        <v>41</v>
      </c>
      <c r="S9410" t="s">
        <v>265</v>
      </c>
      <c r="T9410" t="s">
        <v>427</v>
      </c>
      <c r="U9410" s="21">
        <v>250.01</v>
      </c>
      <c r="V9410" s="21" t="s">
        <v>368</v>
      </c>
      <c r="W9410" t="str">
        <f>VLOOKUP(Table_Query_from_Actuarial___Production[[#This Row],[Kor1]],$AI$3:$AK$105,3,FALSE)</f>
        <v>Misc. Income</v>
      </c>
      <c r="X9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0"/>
      <c r="Z9410" t="s">
        <v>39</v>
      </c>
      <c r="AA9410" t="s">
        <v>244</v>
      </c>
      <c r="AB9410" t="s">
        <v>7</v>
      </c>
      <c r="AC9410" s="21">
        <v>2168.9899999999998</v>
      </c>
      <c r="AD9410" s="21" t="s">
        <v>368</v>
      </c>
      <c r="AE9410" t="str">
        <f>VLOOKUP(Table_Query_from_Actuarial___Production3[[#This Row],[Kor1]],$AI$3:$AK$105,3,FALSE)</f>
        <v>Misc. Income for Insolvent Companies</v>
      </c>
      <c r="AF9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1" spans="18:32" x14ac:dyDescent="0.2">
      <c r="R9411" t="s">
        <v>33</v>
      </c>
      <c r="S9411" t="s">
        <v>257</v>
      </c>
      <c r="T9411" t="s">
        <v>433</v>
      </c>
      <c r="U9411" s="21">
        <v>16472.98</v>
      </c>
      <c r="V9411" s="21" t="s">
        <v>368</v>
      </c>
      <c r="W9411" t="str">
        <f>VLOOKUP(Table_Query_from_Actuarial___Production[[#This Row],[Kor1]],$AI$3:$AK$105,3,FALSE)</f>
        <v>Misc. Expense</v>
      </c>
      <c r="X9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1"/>
      <c r="Z9411" t="s">
        <v>10</v>
      </c>
      <c r="AA9411" t="s">
        <v>352</v>
      </c>
      <c r="AB9411" t="s">
        <v>351</v>
      </c>
      <c r="AC9411" s="21">
        <v>13991.31</v>
      </c>
      <c r="AD9411" s="21" t="s">
        <v>369</v>
      </c>
      <c r="AE9411" t="str">
        <f>VLOOKUP(Table_Query_from_Actuarial___Production3[[#This Row],[Kor1]],$AI$3:$AK$105,3,FALSE)</f>
        <v>Commissions</v>
      </c>
      <c r="AF9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412" spans="18:32" x14ac:dyDescent="0.2">
      <c r="R9412" t="s">
        <v>12</v>
      </c>
      <c r="S9412" t="s">
        <v>236</v>
      </c>
      <c r="T9412" t="s">
        <v>427</v>
      </c>
      <c r="U9412" s="21">
        <v>936.96</v>
      </c>
      <c r="V9412" s="21" t="s">
        <v>368</v>
      </c>
      <c r="W9412" t="str">
        <f>VLOOKUP(Table_Query_from_Actuarial___Production[[#This Row],[Kor1]],$AI$3:$AK$105,3,FALSE)</f>
        <v>Premium Tax</v>
      </c>
      <c r="X9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2"/>
      <c r="Z9412" t="s">
        <v>26</v>
      </c>
      <c r="AA9412" t="s">
        <v>4</v>
      </c>
      <c r="AB9412" t="s">
        <v>5</v>
      </c>
      <c r="AC9412" s="21">
        <v>1939.03</v>
      </c>
      <c r="AD9412" s="21" t="s">
        <v>368</v>
      </c>
      <c r="AE9412" t="str">
        <f>VLOOKUP(Table_Query_from_Actuarial___Production3[[#This Row],[Kor1]],$AI$3:$AK$105,3,FALSE)</f>
        <v>Misc. Expense</v>
      </c>
      <c r="AF9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3" spans="18:32" x14ac:dyDescent="0.2">
      <c r="R9413" t="s">
        <v>44</v>
      </c>
      <c r="S9413" t="s">
        <v>243</v>
      </c>
      <c r="T9413" t="s">
        <v>356</v>
      </c>
      <c r="U9413" s="21">
        <v>7162.5</v>
      </c>
      <c r="V9413" s="21" t="s">
        <v>368</v>
      </c>
      <c r="W9413" t="str">
        <f>VLOOKUP(Table_Query_from_Actuarial___Production[[#This Row],[Kor1]],$AI$3:$AK$105,3,FALSE)</f>
        <v>Charge-offs</v>
      </c>
      <c r="X9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3"/>
      <c r="Z9413" t="s">
        <v>12</v>
      </c>
      <c r="AA9413" t="s">
        <v>246</v>
      </c>
      <c r="AB9413" t="s">
        <v>9</v>
      </c>
      <c r="AC9413" s="21">
        <v>5794.72</v>
      </c>
      <c r="AD9413" s="21" t="s">
        <v>368</v>
      </c>
      <c r="AE9413" t="str">
        <f>VLOOKUP(Table_Query_from_Actuarial___Production3[[#This Row],[Kor1]],$AI$3:$AK$105,3,FALSE)</f>
        <v>Premium Tax</v>
      </c>
      <c r="AF9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4" spans="18:32" x14ac:dyDescent="0.2">
      <c r="R9414" t="s">
        <v>13</v>
      </c>
      <c r="S9414" t="s">
        <v>243</v>
      </c>
      <c r="T9414" t="s">
        <v>8</v>
      </c>
      <c r="U9414" s="21">
        <v>83364.570000000007</v>
      </c>
      <c r="V9414" s="21" t="s">
        <v>368</v>
      </c>
      <c r="W9414" t="str">
        <f>VLOOKUP(Table_Query_from_Actuarial___Production[[#This Row],[Kor1]],$AI$3:$AK$105,3,FALSE)</f>
        <v>Operating Service Fees</v>
      </c>
      <c r="X9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4"/>
      <c r="Z9414" t="s">
        <v>41</v>
      </c>
      <c r="AA9414" t="s">
        <v>265</v>
      </c>
      <c r="AB9414" t="s">
        <v>427</v>
      </c>
      <c r="AC9414" s="21">
        <v>250.01</v>
      </c>
      <c r="AD9414" s="21" t="s">
        <v>368</v>
      </c>
      <c r="AE9414" t="str">
        <f>VLOOKUP(Table_Query_from_Actuarial___Production3[[#This Row],[Kor1]],$AI$3:$AK$105,3,FALSE)</f>
        <v>Misc. Income</v>
      </c>
      <c r="AF9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5" spans="18:32" x14ac:dyDescent="0.2">
      <c r="R9415" t="s">
        <v>75</v>
      </c>
      <c r="S9415" t="s">
        <v>232</v>
      </c>
      <c r="T9415" t="s">
        <v>442</v>
      </c>
      <c r="U9415" s="21">
        <v>215</v>
      </c>
      <c r="V9415" s="21" t="s">
        <v>368</v>
      </c>
      <c r="W9415" t="str">
        <f>VLOOKUP(Table_Query_from_Actuarial___Production[[#This Row],[Kor1]],$AI$3:$AK$105,3,FALSE)</f>
        <v>EBUB</v>
      </c>
      <c r="X9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5"/>
      <c r="Z9415" t="s">
        <v>33</v>
      </c>
      <c r="AA9415" t="s">
        <v>257</v>
      </c>
      <c r="AB9415" t="s">
        <v>433</v>
      </c>
      <c r="AC9415" s="21">
        <v>16472.98</v>
      </c>
      <c r="AD9415" s="21" t="s">
        <v>368</v>
      </c>
      <c r="AE9415" t="str">
        <f>VLOOKUP(Table_Query_from_Actuarial___Production3[[#This Row],[Kor1]],$AI$3:$AK$105,3,FALSE)</f>
        <v>Misc. Expense</v>
      </c>
      <c r="AF9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6" spans="18:32" x14ac:dyDescent="0.2">
      <c r="R9416" t="s">
        <v>20</v>
      </c>
      <c r="S9416" t="s">
        <v>246</v>
      </c>
      <c r="T9416" t="s">
        <v>442</v>
      </c>
      <c r="U9416" s="21">
        <v>178.75</v>
      </c>
      <c r="V9416" s="21" t="s">
        <v>368</v>
      </c>
      <c r="W9416" t="str">
        <f>VLOOKUP(Table_Query_from_Actuarial___Production[[#This Row],[Kor1]],$AI$3:$AK$105,3,FALSE)</f>
        <v>Misc. Expense</v>
      </c>
      <c r="X9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6"/>
      <c r="Z9416" t="s">
        <v>48</v>
      </c>
      <c r="AA9416" t="s">
        <v>256</v>
      </c>
      <c r="AB9416" t="s">
        <v>427</v>
      </c>
      <c r="AC9416" s="21">
        <v>269.33999999999997</v>
      </c>
      <c r="AD9416" s="21" t="s">
        <v>368</v>
      </c>
      <c r="AE9416" t="str">
        <f>VLOOKUP(Table_Query_from_Actuarial___Production3[[#This Row],[Kor1]],$AI$3:$AK$105,3,FALSE)</f>
        <v>Anticipated Salvage</v>
      </c>
      <c r="AF9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7" spans="18:32" x14ac:dyDescent="0.2">
      <c r="R9417" t="s">
        <v>14</v>
      </c>
      <c r="S9417" t="s">
        <v>256</v>
      </c>
      <c r="T9417" t="s">
        <v>441</v>
      </c>
      <c r="U9417" s="21">
        <v>11583.89</v>
      </c>
      <c r="V9417" s="21" t="s">
        <v>368</v>
      </c>
      <c r="W9417" t="str">
        <f>VLOOKUP(Table_Query_from_Actuarial___Production[[#This Row],[Kor1]],$AI$3:$AK$105,3,FALSE)</f>
        <v>Claims Expense</v>
      </c>
      <c r="X9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7"/>
      <c r="Z9417" t="s">
        <v>12</v>
      </c>
      <c r="AA9417" t="s">
        <v>236</v>
      </c>
      <c r="AB9417" t="s">
        <v>427</v>
      </c>
      <c r="AC9417" s="21">
        <v>936.96</v>
      </c>
      <c r="AD9417" s="21" t="s">
        <v>368</v>
      </c>
      <c r="AE9417" t="str">
        <f>VLOOKUP(Table_Query_from_Actuarial___Production3[[#This Row],[Kor1]],$AI$3:$AK$105,3,FALSE)</f>
        <v>Premium Tax</v>
      </c>
      <c r="AF9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8" spans="18:32" x14ac:dyDescent="0.2">
      <c r="R9418" t="s">
        <v>19</v>
      </c>
      <c r="S9418" t="s">
        <v>266</v>
      </c>
      <c r="T9418" t="s">
        <v>427</v>
      </c>
      <c r="U9418" s="21">
        <v>1086</v>
      </c>
      <c r="V9418" s="21" t="s">
        <v>368</v>
      </c>
      <c r="W9418" t="str">
        <f>VLOOKUP(Table_Query_from_Actuarial___Production[[#This Row],[Kor1]],$AI$3:$AK$105,3,FALSE)</f>
        <v>Misc. Expense for Insolvent Companies</v>
      </c>
      <c r="X9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8"/>
      <c r="Z9418" t="s">
        <v>44</v>
      </c>
      <c r="AA9418" t="s">
        <v>243</v>
      </c>
      <c r="AB9418" t="s">
        <v>356</v>
      </c>
      <c r="AC9418" s="21">
        <v>7162.5</v>
      </c>
      <c r="AD9418" s="21" t="s">
        <v>368</v>
      </c>
      <c r="AE9418" t="str">
        <f>VLOOKUP(Table_Query_from_Actuarial___Production3[[#This Row],[Kor1]],$AI$3:$AK$105,3,FALSE)</f>
        <v>Charge-offs</v>
      </c>
      <c r="AF9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19" spans="18:32" x14ac:dyDescent="0.2">
      <c r="R9419" t="s">
        <v>44</v>
      </c>
      <c r="S9419" t="s">
        <v>233</v>
      </c>
      <c r="T9419" t="s">
        <v>445</v>
      </c>
      <c r="U9419" s="21">
        <v>10588</v>
      </c>
      <c r="V9419" s="21" t="s">
        <v>368</v>
      </c>
      <c r="W9419" t="str">
        <f>VLOOKUP(Table_Query_from_Actuarial___Production[[#This Row],[Kor1]],$AI$3:$AK$105,3,FALSE)</f>
        <v>Charge-offs</v>
      </c>
      <c r="X9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19"/>
      <c r="Z9419" t="s">
        <v>13</v>
      </c>
      <c r="AA9419" t="s">
        <v>243</v>
      </c>
      <c r="AB9419" t="s">
        <v>8</v>
      </c>
      <c r="AC9419" s="21">
        <v>83364.570000000007</v>
      </c>
      <c r="AD9419" s="21" t="s">
        <v>368</v>
      </c>
      <c r="AE9419" t="str">
        <f>VLOOKUP(Table_Query_from_Actuarial___Production3[[#This Row],[Kor1]],$AI$3:$AK$105,3,FALSE)</f>
        <v>Operating Service Fees</v>
      </c>
      <c r="AF9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0" spans="18:32" x14ac:dyDescent="0.2">
      <c r="R9420" t="s">
        <v>14</v>
      </c>
      <c r="S9420" t="s">
        <v>225</v>
      </c>
      <c r="T9420" t="s">
        <v>8</v>
      </c>
      <c r="U9420" s="21">
        <v>109025</v>
      </c>
      <c r="V9420" s="21" t="s">
        <v>368</v>
      </c>
      <c r="W9420" t="str">
        <f>VLOOKUP(Table_Query_from_Actuarial___Production[[#This Row],[Kor1]],$AI$3:$AK$105,3,FALSE)</f>
        <v>Claims Expense</v>
      </c>
      <c r="X9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420"/>
      <c r="Z9420" t="s">
        <v>20</v>
      </c>
      <c r="AA9420" t="s">
        <v>246</v>
      </c>
      <c r="AB9420" t="s">
        <v>442</v>
      </c>
      <c r="AC9420" s="21">
        <v>178.75</v>
      </c>
      <c r="AD9420" s="21" t="s">
        <v>368</v>
      </c>
      <c r="AE9420" t="str">
        <f>VLOOKUP(Table_Query_from_Actuarial___Production3[[#This Row],[Kor1]],$AI$3:$AK$105,3,FALSE)</f>
        <v>Misc. Expense</v>
      </c>
      <c r="AF9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1" spans="18:32" x14ac:dyDescent="0.2">
      <c r="R9421" t="s">
        <v>33</v>
      </c>
      <c r="S9421" t="s">
        <v>248</v>
      </c>
      <c r="T9421" t="s">
        <v>7</v>
      </c>
      <c r="U9421" s="21">
        <v>13527.98</v>
      </c>
      <c r="V9421" s="21" t="s">
        <v>368</v>
      </c>
      <c r="W9421" t="str">
        <f>VLOOKUP(Table_Query_from_Actuarial___Production[[#This Row],[Kor1]],$AI$3:$AK$105,3,FALSE)</f>
        <v>Misc. Expense</v>
      </c>
      <c r="X9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1"/>
      <c r="Z9421" t="s">
        <v>14</v>
      </c>
      <c r="AA9421" t="s">
        <v>256</v>
      </c>
      <c r="AB9421" t="s">
        <v>441</v>
      </c>
      <c r="AC9421" s="21">
        <v>11583.89</v>
      </c>
      <c r="AD9421" s="21" t="s">
        <v>368</v>
      </c>
      <c r="AE9421" t="str">
        <f>VLOOKUP(Table_Query_from_Actuarial___Production3[[#This Row],[Kor1]],$AI$3:$AK$105,3,FALSE)</f>
        <v>Claims Expense</v>
      </c>
      <c r="AF9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2" spans="18:32" x14ac:dyDescent="0.2">
      <c r="R9422" t="s">
        <v>41</v>
      </c>
      <c r="S9422" t="s">
        <v>231</v>
      </c>
      <c r="T9422" t="s">
        <v>441</v>
      </c>
      <c r="U9422" s="21">
        <v>200</v>
      </c>
      <c r="V9422" s="21" t="s">
        <v>368</v>
      </c>
      <c r="W9422" t="str">
        <f>VLOOKUP(Table_Query_from_Actuarial___Production[[#This Row],[Kor1]],$AI$3:$AK$105,3,FALSE)</f>
        <v>Misc. Income</v>
      </c>
      <c r="X9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2"/>
      <c r="Z9422" t="s">
        <v>19</v>
      </c>
      <c r="AA9422" t="s">
        <v>266</v>
      </c>
      <c r="AB9422" t="s">
        <v>427</v>
      </c>
      <c r="AC9422" s="21">
        <v>1086</v>
      </c>
      <c r="AD9422" s="21" t="s">
        <v>368</v>
      </c>
      <c r="AE9422" t="str">
        <f>VLOOKUP(Table_Query_from_Actuarial___Production3[[#This Row],[Kor1]],$AI$3:$AK$105,3,FALSE)</f>
        <v>Misc. Expense for Insolvent Companies</v>
      </c>
      <c r="AF9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3" spans="18:32" x14ac:dyDescent="0.2">
      <c r="R9423" t="s">
        <v>3</v>
      </c>
      <c r="S9423" t="s">
        <v>248</v>
      </c>
      <c r="T9423" t="s">
        <v>7</v>
      </c>
      <c r="U9423" s="21">
        <v>46432</v>
      </c>
      <c r="V9423" s="21" t="s">
        <v>368</v>
      </c>
      <c r="W9423" t="str">
        <f>VLOOKUP(Table_Query_from_Actuarial___Production[[#This Row],[Kor1]],$AI$3:$AK$105,3,FALSE)</f>
        <v>Premiums Written</v>
      </c>
      <c r="X9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3"/>
      <c r="Z9423" t="s">
        <v>14</v>
      </c>
      <c r="AA9423" t="s">
        <v>225</v>
      </c>
      <c r="AB9423" t="s">
        <v>8</v>
      </c>
      <c r="AC9423" s="21">
        <v>109049</v>
      </c>
      <c r="AD9423" s="21" t="s">
        <v>368</v>
      </c>
      <c r="AE9423" t="str">
        <f>VLOOKUP(Table_Query_from_Actuarial___Production3[[#This Row],[Kor1]],$AI$3:$AK$105,3,FALSE)</f>
        <v>Claims Expense</v>
      </c>
      <c r="AF9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424" spans="18:32" x14ac:dyDescent="0.2">
      <c r="R9424" t="s">
        <v>11</v>
      </c>
      <c r="S9424" t="s">
        <v>224</v>
      </c>
      <c r="T9424" t="s">
        <v>356</v>
      </c>
      <c r="U9424" s="21">
        <v>18426.509999999998</v>
      </c>
      <c r="V9424" s="21" t="s">
        <v>425</v>
      </c>
      <c r="W9424" t="str">
        <f>VLOOKUP(Table_Query_from_Actuarial___Production[[#This Row],[Kor1]],$AI$3:$AK$105,3,FALSE)</f>
        <v>Losses Paid</v>
      </c>
      <c r="X9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424"/>
      <c r="Z9424" t="s">
        <v>33</v>
      </c>
      <c r="AA9424" t="s">
        <v>248</v>
      </c>
      <c r="AB9424" t="s">
        <v>7</v>
      </c>
      <c r="AC9424" s="21">
        <v>13527.98</v>
      </c>
      <c r="AD9424" s="21" t="s">
        <v>368</v>
      </c>
      <c r="AE9424" t="str">
        <f>VLOOKUP(Table_Query_from_Actuarial___Production3[[#This Row],[Kor1]],$AI$3:$AK$105,3,FALSE)</f>
        <v>Misc. Expense</v>
      </c>
      <c r="AF9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5" spans="18:32" x14ac:dyDescent="0.2">
      <c r="R9425" t="s">
        <v>46</v>
      </c>
      <c r="S9425" t="s">
        <v>225</v>
      </c>
      <c r="T9425" t="s">
        <v>356</v>
      </c>
      <c r="U9425" s="21">
        <v>32002.04</v>
      </c>
      <c r="V9425" s="21" t="s">
        <v>368</v>
      </c>
      <c r="W9425" t="str">
        <f>VLOOKUP(Table_Query_from_Actuarial___Production[[#This Row],[Kor1]],$AI$3:$AK$105,3,FALSE)</f>
        <v>Investment Income</v>
      </c>
      <c r="X9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425"/>
      <c r="Z9425" t="s">
        <v>41</v>
      </c>
      <c r="AA9425" t="s">
        <v>231</v>
      </c>
      <c r="AB9425" t="s">
        <v>441</v>
      </c>
      <c r="AC9425" s="21">
        <v>200</v>
      </c>
      <c r="AD9425" s="21" t="s">
        <v>368</v>
      </c>
      <c r="AE9425" t="str">
        <f>VLOOKUP(Table_Query_from_Actuarial___Production3[[#This Row],[Kor1]],$AI$3:$AK$105,3,FALSE)</f>
        <v>Misc. Income</v>
      </c>
      <c r="AF9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6" spans="18:32" x14ac:dyDescent="0.2">
      <c r="R9426" t="s">
        <v>32</v>
      </c>
      <c r="S9426" t="s">
        <v>237</v>
      </c>
      <c r="T9426" t="s">
        <v>7</v>
      </c>
      <c r="U9426" s="21">
        <v>63337.86</v>
      </c>
      <c r="V9426" s="21" t="s">
        <v>368</v>
      </c>
      <c r="W9426" t="str">
        <f>VLOOKUP(Table_Query_from_Actuarial___Production[[#This Row],[Kor1]],$AI$3:$AK$105,3,FALSE)</f>
        <v>Misc. Expense</v>
      </c>
      <c r="X9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6"/>
      <c r="Z9426" t="s">
        <v>3</v>
      </c>
      <c r="AA9426" t="s">
        <v>248</v>
      </c>
      <c r="AB9426" t="s">
        <v>7</v>
      </c>
      <c r="AC9426" s="21">
        <v>46432</v>
      </c>
      <c r="AD9426" s="21" t="s">
        <v>368</v>
      </c>
      <c r="AE9426" t="str">
        <f>VLOOKUP(Table_Query_from_Actuarial___Production3[[#This Row],[Kor1]],$AI$3:$AK$105,3,FALSE)</f>
        <v>Premiums Written</v>
      </c>
      <c r="AF9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27" spans="18:32" x14ac:dyDescent="0.2">
      <c r="R9427" t="s">
        <v>34</v>
      </c>
      <c r="S9427" t="s">
        <v>4</v>
      </c>
      <c r="T9427" t="s">
        <v>441</v>
      </c>
      <c r="U9427" s="21">
        <v>1.89</v>
      </c>
      <c r="V9427" s="21" t="s">
        <v>368</v>
      </c>
      <c r="W9427" t="str">
        <f>VLOOKUP(Table_Query_from_Actuarial___Production[[#This Row],[Kor1]],$AI$3:$AK$105,3,FALSE)</f>
        <v>Misc. Expense</v>
      </c>
      <c r="X9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7"/>
      <c r="Z9427" t="s">
        <v>11</v>
      </c>
      <c r="AA9427" t="s">
        <v>224</v>
      </c>
      <c r="AB9427" t="s">
        <v>356</v>
      </c>
      <c r="AC9427" s="21">
        <v>18426.509999999998</v>
      </c>
      <c r="AD9427" s="21" t="s">
        <v>425</v>
      </c>
      <c r="AE9427" t="str">
        <f>VLOOKUP(Table_Query_from_Actuarial___Production3[[#This Row],[Kor1]],$AI$3:$AK$105,3,FALSE)</f>
        <v>Losses Paid</v>
      </c>
      <c r="AF9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428" spans="18:32" x14ac:dyDescent="0.2">
      <c r="R9428" t="s">
        <v>34</v>
      </c>
      <c r="S9428" t="s">
        <v>261</v>
      </c>
      <c r="T9428" t="s">
        <v>9</v>
      </c>
      <c r="U9428" s="21">
        <v>401.38</v>
      </c>
      <c r="V9428" s="21" t="s">
        <v>368</v>
      </c>
      <c r="W9428" t="str">
        <f>VLOOKUP(Table_Query_from_Actuarial___Production[[#This Row],[Kor1]],$AI$3:$AK$105,3,FALSE)</f>
        <v>Misc. Expense</v>
      </c>
      <c r="X9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8"/>
      <c r="Z9428" t="s">
        <v>46</v>
      </c>
      <c r="AA9428" t="s">
        <v>225</v>
      </c>
      <c r="AB9428" t="s">
        <v>356</v>
      </c>
      <c r="AC9428" s="21">
        <v>32002.04</v>
      </c>
      <c r="AD9428" s="21" t="s">
        <v>368</v>
      </c>
      <c r="AE9428" t="str">
        <f>VLOOKUP(Table_Query_from_Actuarial___Production3[[#This Row],[Kor1]],$AI$3:$AK$105,3,FALSE)</f>
        <v>Investment Income</v>
      </c>
      <c r="AF9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429" spans="18:32" x14ac:dyDescent="0.2">
      <c r="R9429" t="s">
        <v>47</v>
      </c>
      <c r="S9429" t="s">
        <v>227</v>
      </c>
      <c r="T9429" t="s">
        <v>427</v>
      </c>
      <c r="U9429" s="21">
        <v>3312.13</v>
      </c>
      <c r="V9429" s="21" t="s">
        <v>368</v>
      </c>
      <c r="W9429" t="str">
        <f>VLOOKUP(Table_Query_from_Actuarial___Production[[#This Row],[Kor1]],$AI$3:$AK$105,3,FALSE)</f>
        <v>Investment Income</v>
      </c>
      <c r="X9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29"/>
      <c r="Z9429" t="s">
        <v>32</v>
      </c>
      <c r="AA9429" t="s">
        <v>237</v>
      </c>
      <c r="AB9429" t="s">
        <v>7</v>
      </c>
      <c r="AC9429" s="21">
        <v>63337.86</v>
      </c>
      <c r="AD9429" s="21" t="s">
        <v>368</v>
      </c>
      <c r="AE9429" t="str">
        <f>VLOOKUP(Table_Query_from_Actuarial___Production3[[#This Row],[Kor1]],$AI$3:$AK$105,3,FALSE)</f>
        <v>Misc. Expense</v>
      </c>
      <c r="AF9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0" spans="18:32" x14ac:dyDescent="0.2">
      <c r="R9430" t="s">
        <v>11</v>
      </c>
      <c r="S9430" t="s">
        <v>251</v>
      </c>
      <c r="T9430" t="s">
        <v>6</v>
      </c>
      <c r="U9430" s="21">
        <v>5659.51</v>
      </c>
      <c r="V9430" s="21" t="s">
        <v>368</v>
      </c>
      <c r="W9430" t="str">
        <f>VLOOKUP(Table_Query_from_Actuarial___Production[[#This Row],[Kor1]],$AI$3:$AK$105,3,FALSE)</f>
        <v>Losses Paid</v>
      </c>
      <c r="X9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0"/>
      <c r="Z9430" t="s">
        <v>34</v>
      </c>
      <c r="AA9430" t="s">
        <v>4</v>
      </c>
      <c r="AB9430" t="s">
        <v>441</v>
      </c>
      <c r="AC9430" s="21">
        <v>1.68</v>
      </c>
      <c r="AD9430" s="21" t="s">
        <v>368</v>
      </c>
      <c r="AE9430" t="str">
        <f>VLOOKUP(Table_Query_from_Actuarial___Production3[[#This Row],[Kor1]],$AI$3:$AK$105,3,FALSE)</f>
        <v>Misc. Expense</v>
      </c>
      <c r="AF9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1" spans="18:32" x14ac:dyDescent="0.2">
      <c r="R9431" t="s">
        <v>47</v>
      </c>
      <c r="S9431" t="s">
        <v>259</v>
      </c>
      <c r="T9431" t="s">
        <v>6</v>
      </c>
      <c r="U9431" s="21">
        <v>0.08</v>
      </c>
      <c r="V9431" s="21" t="s">
        <v>368</v>
      </c>
      <c r="W9431" t="str">
        <f>VLOOKUP(Table_Query_from_Actuarial___Production[[#This Row],[Kor1]],$AI$3:$AK$105,3,FALSE)</f>
        <v>Investment Income</v>
      </c>
      <c r="X9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1"/>
      <c r="Z9431" t="s">
        <v>34</v>
      </c>
      <c r="AA9431" t="s">
        <v>261</v>
      </c>
      <c r="AB9431" t="s">
        <v>9</v>
      </c>
      <c r="AC9431" s="21">
        <v>401.38</v>
      </c>
      <c r="AD9431" s="21" t="s">
        <v>368</v>
      </c>
      <c r="AE9431" t="str">
        <f>VLOOKUP(Table_Query_from_Actuarial___Production3[[#This Row],[Kor1]],$AI$3:$AK$105,3,FALSE)</f>
        <v>Misc. Expense</v>
      </c>
      <c r="AF9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2" spans="18:32" x14ac:dyDescent="0.2">
      <c r="R9432" t="s">
        <v>49</v>
      </c>
      <c r="S9432" t="s">
        <v>237</v>
      </c>
      <c r="T9432" t="s">
        <v>6</v>
      </c>
      <c r="U9432" s="21">
        <v>164913.62</v>
      </c>
      <c r="V9432" s="21" t="s">
        <v>368</v>
      </c>
      <c r="W9432" t="str">
        <f>VLOOKUP(Table_Query_from_Actuarial___Production[[#This Row],[Kor1]],$AI$3:$AK$105,3,FALSE)</f>
        <v>ALAE Paid</v>
      </c>
      <c r="X9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2"/>
      <c r="Z9432" t="s">
        <v>47</v>
      </c>
      <c r="AA9432" t="s">
        <v>227</v>
      </c>
      <c r="AB9432" t="s">
        <v>427</v>
      </c>
      <c r="AC9432" s="21">
        <v>3312.13</v>
      </c>
      <c r="AD9432" s="21" t="s">
        <v>368</v>
      </c>
      <c r="AE9432" t="str">
        <f>VLOOKUP(Table_Query_from_Actuarial___Production3[[#This Row],[Kor1]],$AI$3:$AK$105,3,FALSE)</f>
        <v>Investment Income</v>
      </c>
      <c r="AF9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3" spans="18:32" x14ac:dyDescent="0.2">
      <c r="R9433" t="s">
        <v>18</v>
      </c>
      <c r="S9433" t="s">
        <v>225</v>
      </c>
      <c r="T9433" t="s">
        <v>6</v>
      </c>
      <c r="U9433" s="21">
        <v>384769.08</v>
      </c>
      <c r="V9433" s="21" t="s">
        <v>368</v>
      </c>
      <c r="W9433" t="str">
        <f>VLOOKUP(Table_Query_from_Actuarial___Production[[#This Row],[Kor1]],$AI$3:$AK$105,3,FALSE)</f>
        <v>Misc. Expense</v>
      </c>
      <c r="X9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433"/>
      <c r="Z9433" t="s">
        <v>11</v>
      </c>
      <c r="AA9433" t="s">
        <v>251</v>
      </c>
      <c r="AB9433" t="s">
        <v>6</v>
      </c>
      <c r="AC9433" s="21">
        <v>5659.51</v>
      </c>
      <c r="AD9433" s="21" t="s">
        <v>368</v>
      </c>
      <c r="AE9433" t="str">
        <f>VLOOKUP(Table_Query_from_Actuarial___Production3[[#This Row],[Kor1]],$AI$3:$AK$105,3,FALSE)</f>
        <v>Losses Paid</v>
      </c>
      <c r="AF9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4" spans="18:32" x14ac:dyDescent="0.2">
      <c r="R9434" t="s">
        <v>47</v>
      </c>
      <c r="S9434" t="s">
        <v>240</v>
      </c>
      <c r="T9434" t="s">
        <v>8</v>
      </c>
      <c r="U9434" s="21">
        <v>0.16</v>
      </c>
      <c r="V9434" s="21" t="s">
        <v>368</v>
      </c>
      <c r="W9434" t="str">
        <f>VLOOKUP(Table_Query_from_Actuarial___Production[[#This Row],[Kor1]],$AI$3:$AK$105,3,FALSE)</f>
        <v>Investment Income</v>
      </c>
      <c r="X9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4"/>
      <c r="Z9434" t="s">
        <v>47</v>
      </c>
      <c r="AA9434" t="s">
        <v>259</v>
      </c>
      <c r="AB9434" t="s">
        <v>6</v>
      </c>
      <c r="AC9434" s="21">
        <v>0.08</v>
      </c>
      <c r="AD9434" s="21" t="s">
        <v>368</v>
      </c>
      <c r="AE9434" t="str">
        <f>VLOOKUP(Table_Query_from_Actuarial___Production3[[#This Row],[Kor1]],$AI$3:$AK$105,3,FALSE)</f>
        <v>Investment Income</v>
      </c>
      <c r="AF9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5" spans="18:32" x14ac:dyDescent="0.2">
      <c r="R9435" t="s">
        <v>132</v>
      </c>
      <c r="S9435" t="s">
        <v>354</v>
      </c>
      <c r="T9435" t="s">
        <v>442</v>
      </c>
      <c r="U9435" s="21">
        <v>312565389</v>
      </c>
      <c r="V9435" s="21" t="s">
        <v>369</v>
      </c>
      <c r="W9435" t="str">
        <f>VLOOKUP(Table_Query_from_Actuarial___Production[[#This Row],[Kor1]],$AI$3:$AK$105,3,FALSE)</f>
        <v>Clean Risk Subsidy</v>
      </c>
      <c r="X9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435"/>
      <c r="Z9435" t="s">
        <v>49</v>
      </c>
      <c r="AA9435" t="s">
        <v>237</v>
      </c>
      <c r="AB9435" t="s">
        <v>6</v>
      </c>
      <c r="AC9435" s="21">
        <v>164913.62</v>
      </c>
      <c r="AD9435" s="21" t="s">
        <v>368</v>
      </c>
      <c r="AE9435" t="str">
        <f>VLOOKUP(Table_Query_from_Actuarial___Production3[[#This Row],[Kor1]],$AI$3:$AK$105,3,FALSE)</f>
        <v>ALAE Paid</v>
      </c>
      <c r="AF9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6" spans="18:32" x14ac:dyDescent="0.2">
      <c r="R9436" t="s">
        <v>10</v>
      </c>
      <c r="S9436" t="s">
        <v>224</v>
      </c>
      <c r="T9436" t="s">
        <v>443</v>
      </c>
      <c r="U9436" s="21">
        <v>1950.19</v>
      </c>
      <c r="V9436" s="21" t="s">
        <v>425</v>
      </c>
      <c r="W9436" t="str">
        <f>VLOOKUP(Table_Query_from_Actuarial___Production[[#This Row],[Kor1]],$AI$3:$AK$105,3,FALSE)</f>
        <v>Commissions</v>
      </c>
      <c r="X9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436"/>
      <c r="Z9436" t="s">
        <v>18</v>
      </c>
      <c r="AA9436" t="s">
        <v>225</v>
      </c>
      <c r="AB9436" t="s">
        <v>6</v>
      </c>
      <c r="AC9436" s="21">
        <v>384769.08</v>
      </c>
      <c r="AD9436" s="21" t="s">
        <v>368</v>
      </c>
      <c r="AE9436" t="str">
        <f>VLOOKUP(Table_Query_from_Actuarial___Production3[[#This Row],[Kor1]],$AI$3:$AK$105,3,FALSE)</f>
        <v>Misc. Expense</v>
      </c>
      <c r="AF9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437" spans="18:32" x14ac:dyDescent="0.2">
      <c r="R9437" t="s">
        <v>28</v>
      </c>
      <c r="S9437" t="s">
        <v>259</v>
      </c>
      <c r="T9437" t="s">
        <v>427</v>
      </c>
      <c r="U9437" s="21">
        <v>276.42</v>
      </c>
      <c r="V9437" s="21" t="s">
        <v>368</v>
      </c>
      <c r="W9437" t="str">
        <f>VLOOKUP(Table_Query_from_Actuarial___Production[[#This Row],[Kor1]],$AI$3:$AK$105,3,FALSE)</f>
        <v>Misc. Expense</v>
      </c>
      <c r="X9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7"/>
      <c r="Z9437" t="s">
        <v>47</v>
      </c>
      <c r="AA9437" t="s">
        <v>240</v>
      </c>
      <c r="AB9437" t="s">
        <v>8</v>
      </c>
      <c r="AC9437" s="21">
        <v>0.16</v>
      </c>
      <c r="AD9437" s="21" t="s">
        <v>368</v>
      </c>
      <c r="AE9437" t="str">
        <f>VLOOKUP(Table_Query_from_Actuarial___Production3[[#This Row],[Kor1]],$AI$3:$AK$105,3,FALSE)</f>
        <v>Investment Income</v>
      </c>
      <c r="AF9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38" spans="18:32" x14ac:dyDescent="0.2">
      <c r="R9438" t="s">
        <v>33</v>
      </c>
      <c r="S9438" t="s">
        <v>256</v>
      </c>
      <c r="T9438" t="s">
        <v>9</v>
      </c>
      <c r="U9438" s="21">
        <v>15473.94</v>
      </c>
      <c r="V9438" s="21" t="s">
        <v>368</v>
      </c>
      <c r="W9438" t="str">
        <f>VLOOKUP(Table_Query_from_Actuarial___Production[[#This Row],[Kor1]],$AI$3:$AK$105,3,FALSE)</f>
        <v>Misc. Expense</v>
      </c>
      <c r="X9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8"/>
      <c r="Z9438" t="s">
        <v>132</v>
      </c>
      <c r="AA9438" t="s">
        <v>354</v>
      </c>
      <c r="AB9438" t="s">
        <v>442</v>
      </c>
      <c r="AC9438" s="21">
        <v>312613790.01999998</v>
      </c>
      <c r="AD9438" s="21" t="s">
        <v>369</v>
      </c>
      <c r="AE9438" t="str">
        <f>VLOOKUP(Table_Query_from_Actuarial___Production3[[#This Row],[Kor1]],$AI$3:$AK$105,3,FALSE)</f>
        <v>Clean Risk Subsidy</v>
      </c>
      <c r="AF9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439" spans="18:32" x14ac:dyDescent="0.2">
      <c r="R9439" t="s">
        <v>49</v>
      </c>
      <c r="S9439" t="s">
        <v>244</v>
      </c>
      <c r="T9439" t="s">
        <v>442</v>
      </c>
      <c r="U9439" s="21">
        <v>585.45000000000005</v>
      </c>
      <c r="V9439" s="21" t="s">
        <v>368</v>
      </c>
      <c r="W9439" t="str">
        <f>VLOOKUP(Table_Query_from_Actuarial___Production[[#This Row],[Kor1]],$AI$3:$AK$105,3,FALSE)</f>
        <v>ALAE Paid</v>
      </c>
      <c r="X9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39"/>
      <c r="Z9439" t="s">
        <v>10</v>
      </c>
      <c r="AA9439" t="s">
        <v>224</v>
      </c>
      <c r="AB9439" t="s">
        <v>443</v>
      </c>
      <c r="AC9439" s="21">
        <v>542.29999999999995</v>
      </c>
      <c r="AD9439" s="21" t="s">
        <v>425</v>
      </c>
      <c r="AE9439" t="str">
        <f>VLOOKUP(Table_Query_from_Actuarial___Production3[[#This Row],[Kor1]],$AI$3:$AK$105,3,FALSE)</f>
        <v>Commissions</v>
      </c>
      <c r="AF9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440" spans="18:32" x14ac:dyDescent="0.2">
      <c r="R9440" t="s">
        <v>3</v>
      </c>
      <c r="S9440" t="s">
        <v>264</v>
      </c>
      <c r="T9440" t="s">
        <v>433</v>
      </c>
      <c r="U9440" s="21">
        <v>4507794</v>
      </c>
      <c r="V9440" s="21" t="s">
        <v>368</v>
      </c>
      <c r="W9440" t="str">
        <f>VLOOKUP(Table_Query_from_Actuarial___Production[[#This Row],[Kor1]],$AI$3:$AK$105,3,FALSE)</f>
        <v>Premiums Written</v>
      </c>
      <c r="X9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0"/>
      <c r="Z9440" t="s">
        <v>28</v>
      </c>
      <c r="AA9440" t="s">
        <v>259</v>
      </c>
      <c r="AB9440" t="s">
        <v>427</v>
      </c>
      <c r="AC9440" s="21">
        <v>276.42</v>
      </c>
      <c r="AD9440" s="21" t="s">
        <v>368</v>
      </c>
      <c r="AE9440" t="str">
        <f>VLOOKUP(Table_Query_from_Actuarial___Production3[[#This Row],[Kor1]],$AI$3:$AK$105,3,FALSE)</f>
        <v>Misc. Expense</v>
      </c>
      <c r="AF9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1" spans="18:32" x14ac:dyDescent="0.2">
      <c r="R9441" t="s">
        <v>10</v>
      </c>
      <c r="S9441" t="s">
        <v>242</v>
      </c>
      <c r="T9441" t="s">
        <v>9</v>
      </c>
      <c r="U9441" s="21">
        <v>26867.85</v>
      </c>
      <c r="V9441" s="21" t="s">
        <v>368</v>
      </c>
      <c r="W9441" t="str">
        <f>VLOOKUP(Table_Query_from_Actuarial___Production[[#This Row],[Kor1]],$AI$3:$AK$105,3,FALSE)</f>
        <v>Commissions</v>
      </c>
      <c r="X9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1"/>
      <c r="Z9441" t="s">
        <v>33</v>
      </c>
      <c r="AA9441" t="s">
        <v>256</v>
      </c>
      <c r="AB9441" t="s">
        <v>9</v>
      </c>
      <c r="AC9441" s="21">
        <v>15473.94</v>
      </c>
      <c r="AD9441" s="21" t="s">
        <v>368</v>
      </c>
      <c r="AE9441" t="str">
        <f>VLOOKUP(Table_Query_from_Actuarial___Production3[[#This Row],[Kor1]],$AI$3:$AK$105,3,FALSE)</f>
        <v>Misc. Expense</v>
      </c>
      <c r="AF9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2" spans="18:32" x14ac:dyDescent="0.2">
      <c r="R9442" t="s">
        <v>48</v>
      </c>
      <c r="S9442" t="s">
        <v>354</v>
      </c>
      <c r="T9442" t="s">
        <v>443</v>
      </c>
      <c r="U9442" s="21">
        <v>612570.62</v>
      </c>
      <c r="V9442" s="21" t="s">
        <v>368</v>
      </c>
      <c r="W9442" t="str">
        <f>VLOOKUP(Table_Query_from_Actuarial___Production[[#This Row],[Kor1]],$AI$3:$AK$105,3,FALSE)</f>
        <v>Anticipated Salvage</v>
      </c>
      <c r="X9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442"/>
      <c r="Z9442" t="s">
        <v>49</v>
      </c>
      <c r="AA9442" t="s">
        <v>244</v>
      </c>
      <c r="AB9442" t="s">
        <v>442</v>
      </c>
      <c r="AC9442" s="21">
        <v>41.45</v>
      </c>
      <c r="AD9442" s="21" t="s">
        <v>368</v>
      </c>
      <c r="AE9442" t="str">
        <f>VLOOKUP(Table_Query_from_Actuarial___Production3[[#This Row],[Kor1]],$AI$3:$AK$105,3,FALSE)</f>
        <v>ALAE Paid</v>
      </c>
      <c r="AF9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3" spans="18:32" x14ac:dyDescent="0.2">
      <c r="R9443" t="s">
        <v>14</v>
      </c>
      <c r="S9443" t="s">
        <v>250</v>
      </c>
      <c r="T9443" t="s">
        <v>433</v>
      </c>
      <c r="U9443" s="21">
        <v>135372.34</v>
      </c>
      <c r="V9443" s="21" t="s">
        <v>368</v>
      </c>
      <c r="W9443" t="str">
        <f>VLOOKUP(Table_Query_from_Actuarial___Production[[#This Row],[Kor1]],$AI$3:$AK$105,3,FALSE)</f>
        <v>Claims Expense</v>
      </c>
      <c r="X9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3"/>
      <c r="Z9443" t="s">
        <v>3</v>
      </c>
      <c r="AA9443" t="s">
        <v>264</v>
      </c>
      <c r="AB9443" t="s">
        <v>433</v>
      </c>
      <c r="AC9443" s="21">
        <v>4507794</v>
      </c>
      <c r="AD9443" s="21" t="s">
        <v>368</v>
      </c>
      <c r="AE9443" t="str">
        <f>VLOOKUP(Table_Query_from_Actuarial___Production3[[#This Row],[Kor1]],$AI$3:$AK$105,3,FALSE)</f>
        <v>Premiums Written</v>
      </c>
      <c r="AF9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4" spans="18:32" x14ac:dyDescent="0.2">
      <c r="R9444" t="s">
        <v>41</v>
      </c>
      <c r="S9444" t="s">
        <v>234</v>
      </c>
      <c r="T9444" t="s">
        <v>351</v>
      </c>
      <c r="U9444" s="21">
        <v>450</v>
      </c>
      <c r="V9444" s="21" t="s">
        <v>368</v>
      </c>
      <c r="W9444" t="str">
        <f>VLOOKUP(Table_Query_from_Actuarial___Production[[#This Row],[Kor1]],$AI$3:$AK$105,3,FALSE)</f>
        <v>Misc. Income</v>
      </c>
      <c r="X9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4"/>
      <c r="Z9444" t="s">
        <v>10</v>
      </c>
      <c r="AA9444" t="s">
        <v>242</v>
      </c>
      <c r="AB9444" t="s">
        <v>9</v>
      </c>
      <c r="AC9444" s="21">
        <v>26867.85</v>
      </c>
      <c r="AD9444" s="21" t="s">
        <v>368</v>
      </c>
      <c r="AE9444" t="str">
        <f>VLOOKUP(Table_Query_from_Actuarial___Production3[[#This Row],[Kor1]],$AI$3:$AK$105,3,FALSE)</f>
        <v>Commissions</v>
      </c>
      <c r="AF9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5" spans="18:32" x14ac:dyDescent="0.2">
      <c r="R9445" t="s">
        <v>43</v>
      </c>
      <c r="S9445" t="s">
        <v>240</v>
      </c>
      <c r="T9445" t="s">
        <v>7</v>
      </c>
      <c r="U9445" s="21">
        <v>0.11</v>
      </c>
      <c r="V9445" s="21" t="s">
        <v>368</v>
      </c>
      <c r="W9445" t="str">
        <f>VLOOKUP(Table_Query_from_Actuarial___Production[[#This Row],[Kor1]],$AI$3:$AK$105,3,FALSE)</f>
        <v>Charge-offs</v>
      </c>
      <c r="X9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5"/>
      <c r="Z9445" t="s">
        <v>47</v>
      </c>
      <c r="AA9445" t="s">
        <v>245</v>
      </c>
      <c r="AB9445" t="s">
        <v>5</v>
      </c>
      <c r="AC9445" s="21">
        <v>0.66</v>
      </c>
      <c r="AD9445" s="21" t="s">
        <v>368</v>
      </c>
      <c r="AE9445" t="str">
        <f>VLOOKUP(Table_Query_from_Actuarial___Production3[[#This Row],[Kor1]],$AI$3:$AK$105,3,FALSE)</f>
        <v>Investment Income</v>
      </c>
      <c r="AF9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6" spans="18:32" x14ac:dyDescent="0.2">
      <c r="R9446" t="s">
        <v>3</v>
      </c>
      <c r="S9446" t="s">
        <v>266</v>
      </c>
      <c r="T9446" t="s">
        <v>442</v>
      </c>
      <c r="U9446" s="21">
        <v>1236803</v>
      </c>
      <c r="V9446" s="21" t="s">
        <v>368</v>
      </c>
      <c r="W9446" t="str">
        <f>VLOOKUP(Table_Query_from_Actuarial___Production[[#This Row],[Kor1]],$AI$3:$AK$105,3,FALSE)</f>
        <v>Premiums Written</v>
      </c>
      <c r="X9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6"/>
      <c r="Z9446" t="s">
        <v>48</v>
      </c>
      <c r="AA9446" t="s">
        <v>354</v>
      </c>
      <c r="AB9446" t="s">
        <v>443</v>
      </c>
      <c r="AC9446" s="21">
        <v>134373.03</v>
      </c>
      <c r="AD9446" s="21" t="s">
        <v>368</v>
      </c>
      <c r="AE9446" t="str">
        <f>VLOOKUP(Table_Query_from_Actuarial___Production3[[#This Row],[Kor1]],$AI$3:$AK$105,3,FALSE)</f>
        <v>Anticipated Salvage</v>
      </c>
      <c r="AF9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447" spans="18:32" x14ac:dyDescent="0.2">
      <c r="R9447" t="s">
        <v>13</v>
      </c>
      <c r="S9447" t="s">
        <v>251</v>
      </c>
      <c r="T9447" t="s">
        <v>351</v>
      </c>
      <c r="U9447" s="21">
        <v>31699</v>
      </c>
      <c r="V9447" s="21" t="s">
        <v>368</v>
      </c>
      <c r="W9447" t="str">
        <f>VLOOKUP(Table_Query_from_Actuarial___Production[[#This Row],[Kor1]],$AI$3:$AK$105,3,FALSE)</f>
        <v>Operating Service Fees</v>
      </c>
      <c r="X9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7"/>
      <c r="Z9447" t="s">
        <v>14</v>
      </c>
      <c r="AA9447" t="s">
        <v>250</v>
      </c>
      <c r="AB9447" t="s">
        <v>433</v>
      </c>
      <c r="AC9447" s="21">
        <v>135372.34</v>
      </c>
      <c r="AD9447" s="21" t="s">
        <v>368</v>
      </c>
      <c r="AE9447" t="str">
        <f>VLOOKUP(Table_Query_from_Actuarial___Production3[[#This Row],[Kor1]],$AI$3:$AK$105,3,FALSE)</f>
        <v>Claims Expense</v>
      </c>
      <c r="AF9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8" spans="18:32" x14ac:dyDescent="0.2">
      <c r="R9448" t="s">
        <v>13</v>
      </c>
      <c r="S9448" t="s">
        <v>238</v>
      </c>
      <c r="T9448" t="s">
        <v>351</v>
      </c>
      <c r="U9448" s="21">
        <v>142956.70000000001</v>
      </c>
      <c r="V9448" s="21" t="s">
        <v>368</v>
      </c>
      <c r="W9448" t="str">
        <f>VLOOKUP(Table_Query_from_Actuarial___Production[[#This Row],[Kor1]],$AI$3:$AK$105,3,FALSE)</f>
        <v>Operating Service Fees</v>
      </c>
      <c r="X9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8"/>
      <c r="Z9448" t="s">
        <v>41</v>
      </c>
      <c r="AA9448" t="s">
        <v>234</v>
      </c>
      <c r="AB9448" t="s">
        <v>351</v>
      </c>
      <c r="AC9448" s="21">
        <v>450</v>
      </c>
      <c r="AD9448" s="21" t="s">
        <v>368</v>
      </c>
      <c r="AE9448" t="str">
        <f>VLOOKUP(Table_Query_from_Actuarial___Production3[[#This Row],[Kor1]],$AI$3:$AK$105,3,FALSE)</f>
        <v>Misc. Income</v>
      </c>
      <c r="AF9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49" spans="18:32" x14ac:dyDescent="0.2">
      <c r="R9449" t="s">
        <v>28</v>
      </c>
      <c r="S9449" t="s">
        <v>259</v>
      </c>
      <c r="T9449" t="s">
        <v>443</v>
      </c>
      <c r="U9449" s="21">
        <v>58.48</v>
      </c>
      <c r="V9449" s="21" t="s">
        <v>368</v>
      </c>
      <c r="W9449" t="str">
        <f>VLOOKUP(Table_Query_from_Actuarial___Production[[#This Row],[Kor1]],$AI$3:$AK$105,3,FALSE)</f>
        <v>Misc. Expense</v>
      </c>
      <c r="X9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49"/>
      <c r="Z9449" t="s">
        <v>43</v>
      </c>
      <c r="AA9449" t="s">
        <v>240</v>
      </c>
      <c r="AB9449" t="s">
        <v>7</v>
      </c>
      <c r="AC9449" s="21">
        <v>0.11</v>
      </c>
      <c r="AD9449" s="21" t="s">
        <v>368</v>
      </c>
      <c r="AE9449" t="str">
        <f>VLOOKUP(Table_Query_from_Actuarial___Production3[[#This Row],[Kor1]],$AI$3:$AK$105,3,FALSE)</f>
        <v>Charge-offs</v>
      </c>
      <c r="AF9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0" spans="18:32" x14ac:dyDescent="0.2">
      <c r="R9450" t="s">
        <v>43</v>
      </c>
      <c r="S9450" t="s">
        <v>265</v>
      </c>
      <c r="T9450" t="s">
        <v>441</v>
      </c>
      <c r="U9450" s="21">
        <v>-327.20999999999998</v>
      </c>
      <c r="V9450" s="21" t="s">
        <v>368</v>
      </c>
      <c r="W9450" t="str">
        <f>VLOOKUP(Table_Query_from_Actuarial___Production[[#This Row],[Kor1]],$AI$3:$AK$105,3,FALSE)</f>
        <v>Charge-offs</v>
      </c>
      <c r="X9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0"/>
      <c r="Z9450" t="s">
        <v>3</v>
      </c>
      <c r="AA9450" t="s">
        <v>266</v>
      </c>
      <c r="AB9450" t="s">
        <v>442</v>
      </c>
      <c r="AC9450" s="21">
        <v>1236132</v>
      </c>
      <c r="AD9450" s="21" t="s">
        <v>368</v>
      </c>
      <c r="AE9450" t="str">
        <f>VLOOKUP(Table_Query_from_Actuarial___Production3[[#This Row],[Kor1]],$AI$3:$AK$105,3,FALSE)</f>
        <v>Premiums Written</v>
      </c>
      <c r="AF9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1" spans="18:32" x14ac:dyDescent="0.2">
      <c r="R9451" t="s">
        <v>39</v>
      </c>
      <c r="S9451" t="s">
        <v>244</v>
      </c>
      <c r="T9451" t="s">
        <v>427</v>
      </c>
      <c r="U9451" s="21">
        <v>2206.35</v>
      </c>
      <c r="V9451" s="21" t="s">
        <v>368</v>
      </c>
      <c r="W9451" t="str">
        <f>VLOOKUP(Table_Query_from_Actuarial___Production[[#This Row],[Kor1]],$AI$3:$AK$105,3,FALSE)</f>
        <v>Misc. Income for Insolvent Companies</v>
      </c>
      <c r="X9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1"/>
      <c r="Z9451" t="s">
        <v>13</v>
      </c>
      <c r="AA9451" t="s">
        <v>251</v>
      </c>
      <c r="AB9451" t="s">
        <v>351</v>
      </c>
      <c r="AC9451" s="21">
        <v>31699</v>
      </c>
      <c r="AD9451" s="21" t="s">
        <v>368</v>
      </c>
      <c r="AE9451" t="str">
        <f>VLOOKUP(Table_Query_from_Actuarial___Production3[[#This Row],[Kor1]],$AI$3:$AK$105,3,FALSE)</f>
        <v>Operating Service Fees</v>
      </c>
      <c r="AF9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2" spans="18:32" x14ac:dyDescent="0.2">
      <c r="R9452" t="s">
        <v>43</v>
      </c>
      <c r="S9452" t="s">
        <v>263</v>
      </c>
      <c r="T9452" t="s">
        <v>6</v>
      </c>
      <c r="U9452" s="21">
        <v>245.8</v>
      </c>
      <c r="V9452" s="21" t="s">
        <v>368</v>
      </c>
      <c r="W9452" t="str">
        <f>VLOOKUP(Table_Query_from_Actuarial___Production[[#This Row],[Kor1]],$AI$3:$AK$105,3,FALSE)</f>
        <v>Charge-offs</v>
      </c>
      <c r="X9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2"/>
      <c r="Z9452" t="s">
        <v>13</v>
      </c>
      <c r="AA9452" t="s">
        <v>238</v>
      </c>
      <c r="AB9452" t="s">
        <v>351</v>
      </c>
      <c r="AC9452" s="21">
        <v>142956.70000000001</v>
      </c>
      <c r="AD9452" s="21" t="s">
        <v>368</v>
      </c>
      <c r="AE9452" t="str">
        <f>VLOOKUP(Table_Query_from_Actuarial___Production3[[#This Row],[Kor1]],$AI$3:$AK$105,3,FALSE)</f>
        <v>Operating Service Fees</v>
      </c>
      <c r="AF9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3" spans="18:32" x14ac:dyDescent="0.2">
      <c r="R9453" t="s">
        <v>31</v>
      </c>
      <c r="S9453" t="s">
        <v>228</v>
      </c>
      <c r="T9453" t="s">
        <v>9</v>
      </c>
      <c r="U9453" s="21">
        <v>-12242.51</v>
      </c>
      <c r="V9453" s="21" t="s">
        <v>368</v>
      </c>
      <c r="W9453" t="str">
        <f>VLOOKUP(Table_Query_from_Actuarial___Production[[#This Row],[Kor1]],$AI$3:$AK$105,3,FALSE)</f>
        <v>Misc. Expense</v>
      </c>
      <c r="X9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3"/>
      <c r="Z9453" t="s">
        <v>28</v>
      </c>
      <c r="AA9453" t="s">
        <v>259</v>
      </c>
      <c r="AB9453" t="s">
        <v>443</v>
      </c>
      <c r="AC9453" s="21">
        <v>9.15</v>
      </c>
      <c r="AD9453" s="21" t="s">
        <v>368</v>
      </c>
      <c r="AE9453" t="str">
        <f>VLOOKUP(Table_Query_from_Actuarial___Production3[[#This Row],[Kor1]],$AI$3:$AK$105,3,FALSE)</f>
        <v>Misc. Expense</v>
      </c>
      <c r="AF9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4" spans="18:32" x14ac:dyDescent="0.2">
      <c r="R9454" t="s">
        <v>41</v>
      </c>
      <c r="S9454" t="s">
        <v>264</v>
      </c>
      <c r="T9454" t="s">
        <v>6</v>
      </c>
      <c r="U9454" s="21">
        <v>400</v>
      </c>
      <c r="V9454" s="21" t="s">
        <v>368</v>
      </c>
      <c r="W9454" t="str">
        <f>VLOOKUP(Table_Query_from_Actuarial___Production[[#This Row],[Kor1]],$AI$3:$AK$105,3,FALSE)</f>
        <v>Misc. Income</v>
      </c>
      <c r="X9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4"/>
      <c r="Z9454" t="s">
        <v>43</v>
      </c>
      <c r="AA9454" t="s">
        <v>265</v>
      </c>
      <c r="AB9454" t="s">
        <v>441</v>
      </c>
      <c r="AC9454" s="21">
        <v>-327.20999999999998</v>
      </c>
      <c r="AD9454" s="21" t="s">
        <v>368</v>
      </c>
      <c r="AE9454" t="str">
        <f>VLOOKUP(Table_Query_from_Actuarial___Production3[[#This Row],[Kor1]],$AI$3:$AK$105,3,FALSE)</f>
        <v>Charge-offs</v>
      </c>
      <c r="AF9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5" spans="18:32" x14ac:dyDescent="0.2">
      <c r="R9455" t="s">
        <v>10</v>
      </c>
      <c r="S9455" t="s">
        <v>249</v>
      </c>
      <c r="T9455" t="s">
        <v>356</v>
      </c>
      <c r="U9455" s="21">
        <v>25409.84</v>
      </c>
      <c r="V9455" s="21" t="s">
        <v>368</v>
      </c>
      <c r="W9455" t="str">
        <f>VLOOKUP(Table_Query_from_Actuarial___Production[[#This Row],[Kor1]],$AI$3:$AK$105,3,FALSE)</f>
        <v>Commissions</v>
      </c>
      <c r="X9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5"/>
      <c r="Z9455" t="s">
        <v>39</v>
      </c>
      <c r="AA9455" t="s">
        <v>244</v>
      </c>
      <c r="AB9455" t="s">
        <v>427</v>
      </c>
      <c r="AC9455" s="21">
        <v>2206.35</v>
      </c>
      <c r="AD9455" s="21" t="s">
        <v>368</v>
      </c>
      <c r="AE9455" t="str">
        <f>VLOOKUP(Table_Query_from_Actuarial___Production3[[#This Row],[Kor1]],$AI$3:$AK$105,3,FALSE)</f>
        <v>Misc. Income for Insolvent Companies</v>
      </c>
      <c r="AF9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6" spans="18:32" x14ac:dyDescent="0.2">
      <c r="R9456" t="s">
        <v>39</v>
      </c>
      <c r="S9456" t="s">
        <v>259</v>
      </c>
      <c r="T9456" t="s">
        <v>7</v>
      </c>
      <c r="U9456" s="21">
        <v>132</v>
      </c>
      <c r="V9456" s="21" t="s">
        <v>368</v>
      </c>
      <c r="W9456" t="str">
        <f>VLOOKUP(Table_Query_from_Actuarial___Production[[#This Row],[Kor1]],$AI$3:$AK$105,3,FALSE)</f>
        <v>Misc. Income for Insolvent Companies</v>
      </c>
      <c r="X9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6"/>
      <c r="Z9456" t="s">
        <v>43</v>
      </c>
      <c r="AA9456" t="s">
        <v>263</v>
      </c>
      <c r="AB9456" t="s">
        <v>6</v>
      </c>
      <c r="AC9456" s="21">
        <v>245.8</v>
      </c>
      <c r="AD9456" s="21" t="s">
        <v>368</v>
      </c>
      <c r="AE9456" t="str">
        <f>VLOOKUP(Table_Query_from_Actuarial___Production3[[#This Row],[Kor1]],$AI$3:$AK$105,3,FALSE)</f>
        <v>Charge-offs</v>
      </c>
      <c r="AF9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7" spans="18:32" x14ac:dyDescent="0.2">
      <c r="R9457" t="s">
        <v>3</v>
      </c>
      <c r="S9457" t="s">
        <v>354</v>
      </c>
      <c r="T9457" t="s">
        <v>8</v>
      </c>
      <c r="U9457" s="21">
        <v>86356066.019999996</v>
      </c>
      <c r="V9457" s="21" t="s">
        <v>368</v>
      </c>
      <c r="W9457" t="str">
        <f>VLOOKUP(Table_Query_from_Actuarial___Production[[#This Row],[Kor1]],$AI$3:$AK$105,3,FALSE)</f>
        <v>Premiums Written</v>
      </c>
      <c r="X9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457"/>
      <c r="Z9457" t="s">
        <v>15</v>
      </c>
      <c r="AA9457" t="s">
        <v>266</v>
      </c>
      <c r="AB9457" t="s">
        <v>442</v>
      </c>
      <c r="AC9457" s="21">
        <v>80306.7</v>
      </c>
      <c r="AD9457" s="21" t="s">
        <v>368</v>
      </c>
      <c r="AE9457" t="str">
        <f>VLOOKUP(Table_Query_from_Actuarial___Production3[[#This Row],[Kor1]],$AI$3:$AK$105,3,FALSE)</f>
        <v>Unearned Premiums</v>
      </c>
      <c r="AF9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8" spans="18:32" x14ac:dyDescent="0.2">
      <c r="R9458" t="s">
        <v>16</v>
      </c>
      <c r="S9458" t="s">
        <v>224</v>
      </c>
      <c r="T9458" t="s">
        <v>433</v>
      </c>
      <c r="U9458" s="21">
        <v>-591.66</v>
      </c>
      <c r="V9458" s="21" t="s">
        <v>425</v>
      </c>
      <c r="W9458" t="str">
        <f>VLOOKUP(Table_Query_from_Actuarial___Production[[#This Row],[Kor1]],$AI$3:$AK$105,3,FALSE)</f>
        <v>Losses Outstanding</v>
      </c>
      <c r="X9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458"/>
      <c r="Z9458" t="s">
        <v>40</v>
      </c>
      <c r="AA9458" t="s">
        <v>228</v>
      </c>
      <c r="AB9458" t="s">
        <v>5</v>
      </c>
      <c r="AC9458" s="21">
        <v>240</v>
      </c>
      <c r="AD9458" s="21" t="s">
        <v>368</v>
      </c>
      <c r="AE9458" t="str">
        <f>VLOOKUP(Table_Query_from_Actuarial___Production3[[#This Row],[Kor1]],$AI$3:$AK$105,3,FALSE)</f>
        <v>Misc. Income</v>
      </c>
      <c r="AF9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59" spans="18:32" x14ac:dyDescent="0.2">
      <c r="R9459" t="s">
        <v>47</v>
      </c>
      <c r="S9459" t="s">
        <v>260</v>
      </c>
      <c r="T9459" t="s">
        <v>356</v>
      </c>
      <c r="U9459" s="21">
        <v>488.2</v>
      </c>
      <c r="V9459" s="21" t="s">
        <v>368</v>
      </c>
      <c r="W9459" t="str">
        <f>VLOOKUP(Table_Query_from_Actuarial___Production[[#This Row],[Kor1]],$AI$3:$AK$105,3,FALSE)</f>
        <v>Investment Income</v>
      </c>
      <c r="X9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59"/>
      <c r="Z9459" t="s">
        <v>31</v>
      </c>
      <c r="AA9459" t="s">
        <v>228</v>
      </c>
      <c r="AB9459" t="s">
        <v>9</v>
      </c>
      <c r="AC9459" s="21">
        <v>-12242.51</v>
      </c>
      <c r="AD9459" s="21" t="s">
        <v>368</v>
      </c>
      <c r="AE9459" t="str">
        <f>VLOOKUP(Table_Query_from_Actuarial___Production3[[#This Row],[Kor1]],$AI$3:$AK$105,3,FALSE)</f>
        <v>Misc. Expense</v>
      </c>
      <c r="AF9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0" spans="18:32" x14ac:dyDescent="0.2">
      <c r="R9460" t="s">
        <v>13</v>
      </c>
      <c r="S9460" t="s">
        <v>233</v>
      </c>
      <c r="T9460" t="s">
        <v>9</v>
      </c>
      <c r="U9460" s="21">
        <v>142040.78</v>
      </c>
      <c r="V9460" s="21" t="s">
        <v>368</v>
      </c>
      <c r="W9460" t="str">
        <f>VLOOKUP(Table_Query_from_Actuarial___Production[[#This Row],[Kor1]],$AI$3:$AK$105,3,FALSE)</f>
        <v>Operating Service Fees</v>
      </c>
      <c r="X9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0"/>
      <c r="Z9460" t="s">
        <v>41</v>
      </c>
      <c r="AA9460" t="s">
        <v>264</v>
      </c>
      <c r="AB9460" t="s">
        <v>6</v>
      </c>
      <c r="AC9460" s="21">
        <v>400</v>
      </c>
      <c r="AD9460" s="21" t="s">
        <v>368</v>
      </c>
      <c r="AE9460" t="str">
        <f>VLOOKUP(Table_Query_from_Actuarial___Production3[[#This Row],[Kor1]],$AI$3:$AK$105,3,FALSE)</f>
        <v>Misc. Income</v>
      </c>
      <c r="AF9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1" spans="18:32" x14ac:dyDescent="0.2">
      <c r="R9461" t="s">
        <v>31</v>
      </c>
      <c r="S9461" t="s">
        <v>255</v>
      </c>
      <c r="T9461" t="s">
        <v>8</v>
      </c>
      <c r="U9461" s="21">
        <v>657.78</v>
      </c>
      <c r="V9461" s="21" t="s">
        <v>368</v>
      </c>
      <c r="W9461" t="str">
        <f>VLOOKUP(Table_Query_from_Actuarial___Production[[#This Row],[Kor1]],$AI$3:$AK$105,3,FALSE)</f>
        <v>Misc. Expense</v>
      </c>
      <c r="X9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1"/>
      <c r="Z9461" t="s">
        <v>10</v>
      </c>
      <c r="AA9461" t="s">
        <v>249</v>
      </c>
      <c r="AB9461" t="s">
        <v>356</v>
      </c>
      <c r="AC9461" s="21">
        <v>25409.84</v>
      </c>
      <c r="AD9461" s="21" t="s">
        <v>368</v>
      </c>
      <c r="AE9461" t="str">
        <f>VLOOKUP(Table_Query_from_Actuarial___Production3[[#This Row],[Kor1]],$AI$3:$AK$105,3,FALSE)</f>
        <v>Commissions</v>
      </c>
      <c r="AF9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2" spans="18:32" x14ac:dyDescent="0.2">
      <c r="R9462" t="s">
        <v>48</v>
      </c>
      <c r="S9462" t="s">
        <v>256</v>
      </c>
      <c r="T9462" t="s">
        <v>443</v>
      </c>
      <c r="U9462" s="21">
        <v>68.33</v>
      </c>
      <c r="V9462" s="21" t="s">
        <v>368</v>
      </c>
      <c r="W9462" t="str">
        <f>VLOOKUP(Table_Query_from_Actuarial___Production[[#This Row],[Kor1]],$AI$3:$AK$105,3,FALSE)</f>
        <v>Anticipated Salvage</v>
      </c>
      <c r="X9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2"/>
      <c r="Z9462" t="s">
        <v>39</v>
      </c>
      <c r="AA9462" t="s">
        <v>259</v>
      </c>
      <c r="AB9462" t="s">
        <v>7</v>
      </c>
      <c r="AC9462" s="21">
        <v>132</v>
      </c>
      <c r="AD9462" s="21" t="s">
        <v>368</v>
      </c>
      <c r="AE9462" t="str">
        <f>VLOOKUP(Table_Query_from_Actuarial___Production3[[#This Row],[Kor1]],$AI$3:$AK$105,3,FALSE)</f>
        <v>Misc. Income for Insolvent Companies</v>
      </c>
      <c r="AF9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3" spans="18:32" x14ac:dyDescent="0.2">
      <c r="R9463" t="s">
        <v>31</v>
      </c>
      <c r="S9463" t="s">
        <v>266</v>
      </c>
      <c r="T9463" t="s">
        <v>356</v>
      </c>
      <c r="U9463" s="21">
        <v>811.58</v>
      </c>
      <c r="V9463" s="21" t="s">
        <v>368</v>
      </c>
      <c r="W9463" t="str">
        <f>VLOOKUP(Table_Query_from_Actuarial___Production[[#This Row],[Kor1]],$AI$3:$AK$105,3,FALSE)</f>
        <v>Misc. Expense</v>
      </c>
      <c r="X9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3"/>
      <c r="Z9463" t="s">
        <v>3</v>
      </c>
      <c r="AA9463" t="s">
        <v>354</v>
      </c>
      <c r="AB9463" t="s">
        <v>8</v>
      </c>
      <c r="AC9463" s="21">
        <v>86356074.180000007</v>
      </c>
      <c r="AD9463" s="21" t="s">
        <v>368</v>
      </c>
      <c r="AE9463" t="str">
        <f>VLOOKUP(Table_Query_from_Actuarial___Production3[[#This Row],[Kor1]],$AI$3:$AK$105,3,FALSE)</f>
        <v>Premiums Written</v>
      </c>
      <c r="AF9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464" spans="18:32" x14ac:dyDescent="0.2">
      <c r="R9464" t="s">
        <v>41</v>
      </c>
      <c r="S9464" t="s">
        <v>253</v>
      </c>
      <c r="T9464" t="s">
        <v>443</v>
      </c>
      <c r="U9464" s="21">
        <v>200</v>
      </c>
      <c r="V9464" s="21" t="s">
        <v>368</v>
      </c>
      <c r="W9464" t="str">
        <f>VLOOKUP(Table_Query_from_Actuarial___Production[[#This Row],[Kor1]],$AI$3:$AK$105,3,FALSE)</f>
        <v>Misc. Income</v>
      </c>
      <c r="X9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4"/>
      <c r="Z9464" t="s">
        <v>47</v>
      </c>
      <c r="AA9464" t="s">
        <v>260</v>
      </c>
      <c r="AB9464" t="s">
        <v>356</v>
      </c>
      <c r="AC9464" s="21">
        <v>488.2</v>
      </c>
      <c r="AD9464" s="21" t="s">
        <v>368</v>
      </c>
      <c r="AE9464" t="str">
        <f>VLOOKUP(Table_Query_from_Actuarial___Production3[[#This Row],[Kor1]],$AI$3:$AK$105,3,FALSE)</f>
        <v>Investment Income</v>
      </c>
      <c r="AF9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5" spans="18:32" x14ac:dyDescent="0.2">
      <c r="R9465" t="s">
        <v>18</v>
      </c>
      <c r="S9465" t="s">
        <v>352</v>
      </c>
      <c r="T9465" t="s">
        <v>443</v>
      </c>
      <c r="U9465" s="21">
        <v>122469.14</v>
      </c>
      <c r="V9465" s="21" t="s">
        <v>369</v>
      </c>
      <c r="W9465" t="str">
        <f>VLOOKUP(Table_Query_from_Actuarial___Production[[#This Row],[Kor1]],$AI$3:$AK$105,3,FALSE)</f>
        <v>Misc. Expense</v>
      </c>
      <c r="X9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465"/>
      <c r="Z9465" t="s">
        <v>13</v>
      </c>
      <c r="AA9465" t="s">
        <v>233</v>
      </c>
      <c r="AB9465" t="s">
        <v>9</v>
      </c>
      <c r="AC9465" s="21">
        <v>142040.78</v>
      </c>
      <c r="AD9465" s="21" t="s">
        <v>368</v>
      </c>
      <c r="AE9465" t="str">
        <f>VLOOKUP(Table_Query_from_Actuarial___Production3[[#This Row],[Kor1]],$AI$3:$AK$105,3,FALSE)</f>
        <v>Operating Service Fees</v>
      </c>
      <c r="AF9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6" spans="18:32" x14ac:dyDescent="0.2">
      <c r="R9466" t="s">
        <v>41</v>
      </c>
      <c r="S9466" t="s">
        <v>248</v>
      </c>
      <c r="T9466" t="s">
        <v>8</v>
      </c>
      <c r="U9466" s="21">
        <v>150</v>
      </c>
      <c r="V9466" s="21" t="s">
        <v>368</v>
      </c>
      <c r="W9466" t="str">
        <f>VLOOKUP(Table_Query_from_Actuarial___Production[[#This Row],[Kor1]],$AI$3:$AK$105,3,FALSE)</f>
        <v>Misc. Income</v>
      </c>
      <c r="X9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6"/>
      <c r="Z9466" t="s">
        <v>31</v>
      </c>
      <c r="AA9466" t="s">
        <v>255</v>
      </c>
      <c r="AB9466" t="s">
        <v>8</v>
      </c>
      <c r="AC9466" s="21">
        <v>657.78</v>
      </c>
      <c r="AD9466" s="21" t="s">
        <v>368</v>
      </c>
      <c r="AE9466" t="str">
        <f>VLOOKUP(Table_Query_from_Actuarial___Production3[[#This Row],[Kor1]],$AI$3:$AK$105,3,FALSE)</f>
        <v>Misc. Expense</v>
      </c>
      <c r="AF9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7" spans="18:32" x14ac:dyDescent="0.2">
      <c r="R9467" t="s">
        <v>19</v>
      </c>
      <c r="S9467" t="s">
        <v>265</v>
      </c>
      <c r="T9467" t="s">
        <v>6</v>
      </c>
      <c r="U9467" s="21">
        <v>850</v>
      </c>
      <c r="V9467" s="21" t="s">
        <v>368</v>
      </c>
      <c r="W9467" t="str">
        <f>VLOOKUP(Table_Query_from_Actuarial___Production[[#This Row],[Kor1]],$AI$3:$AK$105,3,FALSE)</f>
        <v>Misc. Expense for Insolvent Companies</v>
      </c>
      <c r="X9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7"/>
      <c r="Z9467" t="s">
        <v>41</v>
      </c>
      <c r="AA9467" t="s">
        <v>242</v>
      </c>
      <c r="AB9467" t="s">
        <v>5</v>
      </c>
      <c r="AC9467" s="21">
        <v>300</v>
      </c>
      <c r="AD9467" s="21" t="s">
        <v>368</v>
      </c>
      <c r="AE9467" t="str">
        <f>VLOOKUP(Table_Query_from_Actuarial___Production3[[#This Row],[Kor1]],$AI$3:$AK$105,3,FALSE)</f>
        <v>Misc. Income</v>
      </c>
      <c r="AF9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8" spans="18:32" x14ac:dyDescent="0.2">
      <c r="R9468" t="s">
        <v>19</v>
      </c>
      <c r="S9468" t="s">
        <v>242</v>
      </c>
      <c r="T9468" t="s">
        <v>441</v>
      </c>
      <c r="U9468" s="21">
        <v>397</v>
      </c>
      <c r="V9468" s="21" t="s">
        <v>368</v>
      </c>
      <c r="W9468" t="str">
        <f>VLOOKUP(Table_Query_from_Actuarial___Production[[#This Row],[Kor1]],$AI$3:$AK$105,3,FALSE)</f>
        <v>Misc. Expense for Insolvent Companies</v>
      </c>
      <c r="X9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8"/>
      <c r="Z9468" t="s">
        <v>48</v>
      </c>
      <c r="AA9468" t="s">
        <v>256</v>
      </c>
      <c r="AB9468" t="s">
        <v>443</v>
      </c>
      <c r="AC9468" s="21">
        <v>19.71</v>
      </c>
      <c r="AD9468" s="21" t="s">
        <v>368</v>
      </c>
      <c r="AE9468" t="str">
        <f>VLOOKUP(Table_Query_from_Actuarial___Production3[[#This Row],[Kor1]],$AI$3:$AK$105,3,FALSE)</f>
        <v>Anticipated Salvage</v>
      </c>
      <c r="AF9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69" spans="18:32" x14ac:dyDescent="0.2">
      <c r="R9469" t="s">
        <v>34</v>
      </c>
      <c r="S9469" t="s">
        <v>4</v>
      </c>
      <c r="T9469" t="s">
        <v>351</v>
      </c>
      <c r="U9469" s="21">
        <v>997.52</v>
      </c>
      <c r="V9469" s="21" t="s">
        <v>368</v>
      </c>
      <c r="W9469" t="str">
        <f>VLOOKUP(Table_Query_from_Actuarial___Production[[#This Row],[Kor1]],$AI$3:$AK$105,3,FALSE)</f>
        <v>Misc. Expense</v>
      </c>
      <c r="X9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69"/>
      <c r="Z9469" t="s">
        <v>31</v>
      </c>
      <c r="AA9469" t="s">
        <v>266</v>
      </c>
      <c r="AB9469" t="s">
        <v>356</v>
      </c>
      <c r="AC9469" s="21">
        <v>811.58</v>
      </c>
      <c r="AD9469" s="21" t="s">
        <v>368</v>
      </c>
      <c r="AE9469" t="str">
        <f>VLOOKUP(Table_Query_from_Actuarial___Production3[[#This Row],[Kor1]],$AI$3:$AK$105,3,FALSE)</f>
        <v>Misc. Expense</v>
      </c>
      <c r="AF9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0" spans="18:32" x14ac:dyDescent="0.2">
      <c r="R9470" t="s">
        <v>48</v>
      </c>
      <c r="S9470" t="s">
        <v>225</v>
      </c>
      <c r="T9470" t="s">
        <v>441</v>
      </c>
      <c r="U9470" s="21">
        <v>2013.09</v>
      </c>
      <c r="V9470" s="21" t="s">
        <v>368</v>
      </c>
      <c r="W9470" t="str">
        <f>VLOOKUP(Table_Query_from_Actuarial___Production[[#This Row],[Kor1]],$AI$3:$AK$105,3,FALSE)</f>
        <v>Anticipated Salvage</v>
      </c>
      <c r="X9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470"/>
      <c r="Z9470" t="s">
        <v>18</v>
      </c>
      <c r="AA9470" t="s">
        <v>352</v>
      </c>
      <c r="AB9470" t="s">
        <v>443</v>
      </c>
      <c r="AC9470" s="21">
        <v>56830.44</v>
      </c>
      <c r="AD9470" s="21" t="s">
        <v>369</v>
      </c>
      <c r="AE9470" t="str">
        <f>VLOOKUP(Table_Query_from_Actuarial___Production3[[#This Row],[Kor1]],$AI$3:$AK$105,3,FALSE)</f>
        <v>Misc. Expense</v>
      </c>
      <c r="AF9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471" spans="18:32" x14ac:dyDescent="0.2">
      <c r="R9471" t="s">
        <v>17</v>
      </c>
      <c r="S9471" t="s">
        <v>245</v>
      </c>
      <c r="T9471" t="s">
        <v>441</v>
      </c>
      <c r="U9471" s="21">
        <v>238.12</v>
      </c>
      <c r="V9471" s="21" t="s">
        <v>368</v>
      </c>
      <c r="W9471" t="str">
        <f>VLOOKUP(Table_Query_from_Actuarial___Production[[#This Row],[Kor1]],$AI$3:$AK$105,3,FALSE)</f>
        <v>IBNR</v>
      </c>
      <c r="X9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1"/>
      <c r="Z9471" t="s">
        <v>41</v>
      </c>
      <c r="AA9471" t="s">
        <v>248</v>
      </c>
      <c r="AB9471" t="s">
        <v>8</v>
      </c>
      <c r="AC9471" s="21">
        <v>150</v>
      </c>
      <c r="AD9471" s="21" t="s">
        <v>368</v>
      </c>
      <c r="AE9471" t="str">
        <f>VLOOKUP(Table_Query_from_Actuarial___Production3[[#This Row],[Kor1]],$AI$3:$AK$105,3,FALSE)</f>
        <v>Misc. Income</v>
      </c>
      <c r="AF9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2" spans="18:32" x14ac:dyDescent="0.2">
      <c r="R9472" t="s">
        <v>10</v>
      </c>
      <c r="S9472" t="s">
        <v>251</v>
      </c>
      <c r="T9472" t="s">
        <v>356</v>
      </c>
      <c r="U9472" s="21">
        <v>93292.06</v>
      </c>
      <c r="V9472" s="21" t="s">
        <v>368</v>
      </c>
      <c r="W9472" t="str">
        <f>VLOOKUP(Table_Query_from_Actuarial___Production[[#This Row],[Kor1]],$AI$3:$AK$105,3,FALSE)</f>
        <v>Commissions</v>
      </c>
      <c r="X9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2"/>
      <c r="Z9472" t="s">
        <v>19</v>
      </c>
      <c r="AA9472" t="s">
        <v>265</v>
      </c>
      <c r="AB9472" t="s">
        <v>6</v>
      </c>
      <c r="AC9472" s="21">
        <v>850</v>
      </c>
      <c r="AD9472" s="21" t="s">
        <v>368</v>
      </c>
      <c r="AE9472" t="str">
        <f>VLOOKUP(Table_Query_from_Actuarial___Production3[[#This Row],[Kor1]],$AI$3:$AK$105,3,FALSE)</f>
        <v>Misc. Expense for Insolvent Companies</v>
      </c>
      <c r="AF9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3" spans="18:32" x14ac:dyDescent="0.2">
      <c r="R9473" t="s">
        <v>49</v>
      </c>
      <c r="S9473" t="s">
        <v>252</v>
      </c>
      <c r="T9473" t="s">
        <v>442</v>
      </c>
      <c r="U9473" s="21">
        <v>300383.03999999998</v>
      </c>
      <c r="V9473" s="21" t="s">
        <v>368</v>
      </c>
      <c r="W9473" t="str">
        <f>VLOOKUP(Table_Query_from_Actuarial___Production[[#This Row],[Kor1]],$AI$3:$AK$105,3,FALSE)</f>
        <v>ALAE Paid</v>
      </c>
      <c r="X9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3"/>
      <c r="Z9473" t="s">
        <v>15</v>
      </c>
      <c r="AA9473" t="s">
        <v>237</v>
      </c>
      <c r="AB9473" t="s">
        <v>442</v>
      </c>
      <c r="AC9473" s="21">
        <v>8365594.1500000004</v>
      </c>
      <c r="AD9473" s="21" t="s">
        <v>368</v>
      </c>
      <c r="AE9473" t="str">
        <f>VLOOKUP(Table_Query_from_Actuarial___Production3[[#This Row],[Kor1]],$AI$3:$AK$105,3,FALSE)</f>
        <v>Unearned Premiums</v>
      </c>
      <c r="AF9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4" spans="18:32" x14ac:dyDescent="0.2">
      <c r="R9474" t="s">
        <v>14</v>
      </c>
      <c r="S9474" t="s">
        <v>224</v>
      </c>
      <c r="T9474" t="s">
        <v>441</v>
      </c>
      <c r="U9474" s="21">
        <v>266834.93</v>
      </c>
      <c r="V9474" s="21" t="s">
        <v>368</v>
      </c>
      <c r="W9474" t="str">
        <f>VLOOKUP(Table_Query_from_Actuarial___Production[[#This Row],[Kor1]],$AI$3:$AK$105,3,FALSE)</f>
        <v>Claims Expense</v>
      </c>
      <c r="X9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474"/>
      <c r="Z9474" t="s">
        <v>19</v>
      </c>
      <c r="AA9474" t="s">
        <v>242</v>
      </c>
      <c r="AB9474" t="s">
        <v>441</v>
      </c>
      <c r="AC9474" s="21">
        <v>397</v>
      </c>
      <c r="AD9474" s="21" t="s">
        <v>368</v>
      </c>
      <c r="AE9474" t="str">
        <f>VLOOKUP(Table_Query_from_Actuarial___Production3[[#This Row],[Kor1]],$AI$3:$AK$105,3,FALSE)</f>
        <v>Misc. Expense for Insolvent Companies</v>
      </c>
      <c r="AF9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5" spans="18:32" x14ac:dyDescent="0.2">
      <c r="R9475" t="s">
        <v>10</v>
      </c>
      <c r="S9475" t="s">
        <v>257</v>
      </c>
      <c r="T9475" t="s">
        <v>433</v>
      </c>
      <c r="U9475" s="21">
        <v>103876.4</v>
      </c>
      <c r="V9475" s="21" t="s">
        <v>368</v>
      </c>
      <c r="W9475" t="str">
        <f>VLOOKUP(Table_Query_from_Actuarial___Production[[#This Row],[Kor1]],$AI$3:$AK$105,3,FALSE)</f>
        <v>Commissions</v>
      </c>
      <c r="X9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5"/>
      <c r="Z9475" t="s">
        <v>34</v>
      </c>
      <c r="AA9475" t="s">
        <v>4</v>
      </c>
      <c r="AB9475" t="s">
        <v>351</v>
      </c>
      <c r="AC9475" s="21">
        <v>997.52</v>
      </c>
      <c r="AD9475" s="21" t="s">
        <v>368</v>
      </c>
      <c r="AE9475" t="str">
        <f>VLOOKUP(Table_Query_from_Actuarial___Production3[[#This Row],[Kor1]],$AI$3:$AK$105,3,FALSE)</f>
        <v>Misc. Expense</v>
      </c>
      <c r="AF9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6" spans="18:32" x14ac:dyDescent="0.2">
      <c r="R9476" t="s">
        <v>30</v>
      </c>
      <c r="S9476" t="s">
        <v>259</v>
      </c>
      <c r="T9476" t="s">
        <v>351</v>
      </c>
      <c r="U9476" s="21">
        <v>1915.24</v>
      </c>
      <c r="V9476" s="21" t="s">
        <v>368</v>
      </c>
      <c r="W9476" t="str">
        <f>VLOOKUP(Table_Query_from_Actuarial___Production[[#This Row],[Kor1]],$AI$3:$AK$105,3,FALSE)</f>
        <v>Misc. Expense</v>
      </c>
      <c r="X9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6"/>
      <c r="Z9476" t="s">
        <v>44</v>
      </c>
      <c r="AA9476" t="s">
        <v>250</v>
      </c>
      <c r="AB9476" t="s">
        <v>5</v>
      </c>
      <c r="AC9476" s="21">
        <v>946</v>
      </c>
      <c r="AD9476" s="21" t="s">
        <v>368</v>
      </c>
      <c r="AE9476" t="str">
        <f>VLOOKUP(Table_Query_from_Actuarial___Production3[[#This Row],[Kor1]],$AI$3:$AK$105,3,FALSE)</f>
        <v>Charge-offs</v>
      </c>
      <c r="AF9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7" spans="18:32" x14ac:dyDescent="0.2">
      <c r="R9477" t="s">
        <v>47</v>
      </c>
      <c r="S9477" t="s">
        <v>227</v>
      </c>
      <c r="T9477" t="s">
        <v>443</v>
      </c>
      <c r="U9477" s="21">
        <v>9911.25</v>
      </c>
      <c r="V9477" s="21" t="s">
        <v>368</v>
      </c>
      <c r="W9477" t="str">
        <f>VLOOKUP(Table_Query_from_Actuarial___Production[[#This Row],[Kor1]],$AI$3:$AK$105,3,FALSE)</f>
        <v>Investment Income</v>
      </c>
      <c r="X9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7"/>
      <c r="Z9477" t="s">
        <v>48</v>
      </c>
      <c r="AA9477" t="s">
        <v>225</v>
      </c>
      <c r="AB9477" t="s">
        <v>441</v>
      </c>
      <c r="AC9477" s="21">
        <v>2198.1999999999998</v>
      </c>
      <c r="AD9477" s="21" t="s">
        <v>368</v>
      </c>
      <c r="AE9477" t="str">
        <f>VLOOKUP(Table_Query_from_Actuarial___Production3[[#This Row],[Kor1]],$AI$3:$AK$105,3,FALSE)</f>
        <v>Anticipated Salvage</v>
      </c>
      <c r="AF9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478" spans="18:32" x14ac:dyDescent="0.2">
      <c r="R9478" t="s">
        <v>15</v>
      </c>
      <c r="S9478" t="s">
        <v>225</v>
      </c>
      <c r="T9478" t="s">
        <v>443</v>
      </c>
      <c r="U9478" s="21">
        <v>108279.33</v>
      </c>
      <c r="V9478" s="21" t="s">
        <v>369</v>
      </c>
      <c r="W9478" t="str">
        <f>VLOOKUP(Table_Query_from_Actuarial___Production[[#This Row],[Kor1]],$AI$3:$AK$105,3,FALSE)</f>
        <v>Unearned Premiums</v>
      </c>
      <c r="X9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478"/>
      <c r="Z9478" t="s">
        <v>17</v>
      </c>
      <c r="AA9478" t="s">
        <v>245</v>
      </c>
      <c r="AB9478" t="s">
        <v>441</v>
      </c>
      <c r="AC9478" s="21">
        <v>410.7</v>
      </c>
      <c r="AD9478" s="21" t="s">
        <v>368</v>
      </c>
      <c r="AE9478" t="str">
        <f>VLOOKUP(Table_Query_from_Actuarial___Production3[[#This Row],[Kor1]],$AI$3:$AK$105,3,FALSE)</f>
        <v>IBNR</v>
      </c>
      <c r="AF9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79" spans="18:32" x14ac:dyDescent="0.2">
      <c r="R9479" t="s">
        <v>13</v>
      </c>
      <c r="S9479" t="s">
        <v>249</v>
      </c>
      <c r="T9479" t="s">
        <v>351</v>
      </c>
      <c r="U9479" s="21">
        <v>106016.4</v>
      </c>
      <c r="V9479" s="21" t="s">
        <v>368</v>
      </c>
      <c r="W9479" t="str">
        <f>VLOOKUP(Table_Query_from_Actuarial___Production[[#This Row],[Kor1]],$AI$3:$AK$105,3,FALSE)</f>
        <v>Operating Service Fees</v>
      </c>
      <c r="X9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79"/>
      <c r="Z9479" t="s">
        <v>10</v>
      </c>
      <c r="AA9479" t="s">
        <v>251</v>
      </c>
      <c r="AB9479" t="s">
        <v>356</v>
      </c>
      <c r="AC9479" s="21">
        <v>93292.06</v>
      </c>
      <c r="AD9479" s="21" t="s">
        <v>368</v>
      </c>
      <c r="AE9479" t="str">
        <f>VLOOKUP(Table_Query_from_Actuarial___Production3[[#This Row],[Kor1]],$AI$3:$AK$105,3,FALSE)</f>
        <v>Commissions</v>
      </c>
      <c r="AF9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0" spans="18:32" x14ac:dyDescent="0.2">
      <c r="R9480" t="s">
        <v>43</v>
      </c>
      <c r="S9480" t="s">
        <v>265</v>
      </c>
      <c r="T9480" t="s">
        <v>351</v>
      </c>
      <c r="U9480" s="21">
        <v>-340.83</v>
      </c>
      <c r="V9480" s="21" t="s">
        <v>368</v>
      </c>
      <c r="W9480" t="str">
        <f>VLOOKUP(Table_Query_from_Actuarial___Production[[#This Row],[Kor1]],$AI$3:$AK$105,3,FALSE)</f>
        <v>Charge-offs</v>
      </c>
      <c r="X9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0"/>
      <c r="Z9480" t="s">
        <v>49</v>
      </c>
      <c r="AA9480" t="s">
        <v>252</v>
      </c>
      <c r="AB9480" t="s">
        <v>442</v>
      </c>
      <c r="AC9480" s="21">
        <v>41509.69</v>
      </c>
      <c r="AD9480" s="21" t="s">
        <v>368</v>
      </c>
      <c r="AE9480" t="str">
        <f>VLOOKUP(Table_Query_from_Actuarial___Production3[[#This Row],[Kor1]],$AI$3:$AK$105,3,FALSE)</f>
        <v>ALAE Paid</v>
      </c>
      <c r="AF9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1" spans="18:32" x14ac:dyDescent="0.2">
      <c r="R9481" t="s">
        <v>50</v>
      </c>
      <c r="S9481" t="s">
        <v>248</v>
      </c>
      <c r="T9481" t="s">
        <v>433</v>
      </c>
      <c r="U9481" s="21">
        <v>2635.59</v>
      </c>
      <c r="V9481" s="21" t="s">
        <v>368</v>
      </c>
      <c r="W9481" t="str">
        <f>VLOOKUP(Table_Query_from_Actuarial___Production[[#This Row],[Kor1]],$AI$3:$AK$105,3,FALSE)</f>
        <v>ALAE Reserve</v>
      </c>
      <c r="X9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1"/>
      <c r="Z9481" t="s">
        <v>14</v>
      </c>
      <c r="AA9481" t="s">
        <v>224</v>
      </c>
      <c r="AB9481" t="s">
        <v>441</v>
      </c>
      <c r="AC9481" s="21">
        <v>266834.93</v>
      </c>
      <c r="AD9481" s="21" t="s">
        <v>368</v>
      </c>
      <c r="AE9481" t="str">
        <f>VLOOKUP(Table_Query_from_Actuarial___Production3[[#This Row],[Kor1]],$AI$3:$AK$105,3,FALSE)</f>
        <v>Claims Expense</v>
      </c>
      <c r="AF9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482" spans="18:32" x14ac:dyDescent="0.2">
      <c r="R9482" t="s">
        <v>33</v>
      </c>
      <c r="S9482" t="s">
        <v>228</v>
      </c>
      <c r="T9482" t="s">
        <v>442</v>
      </c>
      <c r="U9482" s="21">
        <v>20284.240000000002</v>
      </c>
      <c r="V9482" s="21" t="s">
        <v>368</v>
      </c>
      <c r="W9482" t="str">
        <f>VLOOKUP(Table_Query_from_Actuarial___Production[[#This Row],[Kor1]],$AI$3:$AK$105,3,FALSE)</f>
        <v>Misc. Expense</v>
      </c>
      <c r="X9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2"/>
      <c r="Z9482" t="s">
        <v>10</v>
      </c>
      <c r="AA9482" t="s">
        <v>257</v>
      </c>
      <c r="AB9482" t="s">
        <v>433</v>
      </c>
      <c r="AC9482" s="21">
        <v>103876.4</v>
      </c>
      <c r="AD9482" s="21" t="s">
        <v>368</v>
      </c>
      <c r="AE9482" t="str">
        <f>VLOOKUP(Table_Query_from_Actuarial___Production3[[#This Row],[Kor1]],$AI$3:$AK$105,3,FALSE)</f>
        <v>Commissions</v>
      </c>
      <c r="AF9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3" spans="18:32" x14ac:dyDescent="0.2">
      <c r="R9483" t="s">
        <v>37</v>
      </c>
      <c r="S9483" t="s">
        <v>259</v>
      </c>
      <c r="T9483" t="s">
        <v>441</v>
      </c>
      <c r="U9483" s="21">
        <v>4556.9399999999996</v>
      </c>
      <c r="V9483" s="21" t="s">
        <v>368</v>
      </c>
      <c r="W9483" t="str">
        <f>VLOOKUP(Table_Query_from_Actuarial___Production[[#This Row],[Kor1]],$AI$3:$AK$105,3,FALSE)</f>
        <v>Misc. Expense</v>
      </c>
      <c r="X9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3"/>
      <c r="Z9483" t="s">
        <v>30</v>
      </c>
      <c r="AA9483" t="s">
        <v>259</v>
      </c>
      <c r="AB9483" t="s">
        <v>351</v>
      </c>
      <c r="AC9483" s="21">
        <v>1915.24</v>
      </c>
      <c r="AD9483" s="21" t="s">
        <v>368</v>
      </c>
      <c r="AE9483" t="str">
        <f>VLOOKUP(Table_Query_from_Actuarial___Production3[[#This Row],[Kor1]],$AI$3:$AK$105,3,FALSE)</f>
        <v>Misc. Expense</v>
      </c>
      <c r="AF9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4" spans="18:32" x14ac:dyDescent="0.2">
      <c r="R9484" t="s">
        <v>3</v>
      </c>
      <c r="S9484" t="s">
        <v>224</v>
      </c>
      <c r="T9484" t="s">
        <v>356</v>
      </c>
      <c r="U9484" s="21">
        <v>3228757.17</v>
      </c>
      <c r="V9484" s="21" t="s">
        <v>368</v>
      </c>
      <c r="W9484" t="str">
        <f>VLOOKUP(Table_Query_from_Actuarial___Production[[#This Row],[Kor1]],$AI$3:$AK$105,3,FALSE)</f>
        <v>Premiums Written</v>
      </c>
      <c r="X9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484"/>
      <c r="Z9484" t="s">
        <v>15</v>
      </c>
      <c r="AA9484" t="s">
        <v>225</v>
      </c>
      <c r="AB9484" t="s">
        <v>443</v>
      </c>
      <c r="AC9484" s="21">
        <v>223795.49</v>
      </c>
      <c r="AD9484" s="21" t="s">
        <v>369</v>
      </c>
      <c r="AE9484" t="str">
        <f>VLOOKUP(Table_Query_from_Actuarial___Production3[[#This Row],[Kor1]],$AI$3:$AK$105,3,FALSE)</f>
        <v>Unearned Premiums</v>
      </c>
      <c r="AF9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485" spans="18:32" x14ac:dyDescent="0.2">
      <c r="R9485" t="s">
        <v>14</v>
      </c>
      <c r="S9485" t="s">
        <v>239</v>
      </c>
      <c r="T9485" t="s">
        <v>7</v>
      </c>
      <c r="U9485" s="21">
        <v>9011.73</v>
      </c>
      <c r="V9485" s="21" t="s">
        <v>368</v>
      </c>
      <c r="W9485" t="str">
        <f>VLOOKUP(Table_Query_from_Actuarial___Production[[#This Row],[Kor1]],$AI$3:$AK$105,3,FALSE)</f>
        <v>Claims Expense</v>
      </c>
      <c r="X9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5"/>
      <c r="Z9485" t="s">
        <v>13</v>
      </c>
      <c r="AA9485" t="s">
        <v>249</v>
      </c>
      <c r="AB9485" t="s">
        <v>351</v>
      </c>
      <c r="AC9485" s="21">
        <v>106016.4</v>
      </c>
      <c r="AD9485" s="21" t="s">
        <v>368</v>
      </c>
      <c r="AE9485" t="str">
        <f>VLOOKUP(Table_Query_from_Actuarial___Production3[[#This Row],[Kor1]],$AI$3:$AK$105,3,FALSE)</f>
        <v>Operating Service Fees</v>
      </c>
      <c r="AF9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6" spans="18:32" x14ac:dyDescent="0.2">
      <c r="R9486" t="s">
        <v>19</v>
      </c>
      <c r="S9486" t="s">
        <v>4</v>
      </c>
      <c r="T9486" t="s">
        <v>9</v>
      </c>
      <c r="U9486" s="21">
        <v>119194.07</v>
      </c>
      <c r="V9486" s="21" t="s">
        <v>368</v>
      </c>
      <c r="W9486" t="str">
        <f>VLOOKUP(Table_Query_from_Actuarial___Production[[#This Row],[Kor1]],$AI$3:$AK$105,3,FALSE)</f>
        <v>Misc. Expense for Insolvent Companies</v>
      </c>
      <c r="X9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6"/>
      <c r="Z9486" t="s">
        <v>43</v>
      </c>
      <c r="AA9486" t="s">
        <v>265</v>
      </c>
      <c r="AB9486" t="s">
        <v>351</v>
      </c>
      <c r="AC9486" s="21">
        <v>-340.83</v>
      </c>
      <c r="AD9486" s="21" t="s">
        <v>368</v>
      </c>
      <c r="AE9486" t="str">
        <f>VLOOKUP(Table_Query_from_Actuarial___Production3[[#This Row],[Kor1]],$AI$3:$AK$105,3,FALSE)</f>
        <v>Charge-offs</v>
      </c>
      <c r="AF9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7" spans="18:32" x14ac:dyDescent="0.2">
      <c r="R9487" t="s">
        <v>44</v>
      </c>
      <c r="S9487" t="s">
        <v>257</v>
      </c>
      <c r="T9487" t="s">
        <v>427</v>
      </c>
      <c r="U9487" s="21">
        <v>435477.38</v>
      </c>
      <c r="V9487" s="21" t="s">
        <v>368</v>
      </c>
      <c r="W9487" t="str">
        <f>VLOOKUP(Table_Query_from_Actuarial___Production[[#This Row],[Kor1]],$AI$3:$AK$105,3,FALSE)</f>
        <v>Charge-offs</v>
      </c>
      <c r="X9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7"/>
      <c r="Z9487" t="s">
        <v>50</v>
      </c>
      <c r="AA9487" t="s">
        <v>248</v>
      </c>
      <c r="AB9487" t="s">
        <v>433</v>
      </c>
      <c r="AC9487" s="21">
        <v>1970.1</v>
      </c>
      <c r="AD9487" s="21" t="s">
        <v>368</v>
      </c>
      <c r="AE9487" t="str">
        <f>VLOOKUP(Table_Query_from_Actuarial___Production3[[#This Row],[Kor1]],$AI$3:$AK$105,3,FALSE)</f>
        <v>ALAE Reserve</v>
      </c>
      <c r="AF9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8" spans="18:32" x14ac:dyDescent="0.2">
      <c r="R9488" t="s">
        <v>3</v>
      </c>
      <c r="S9488" t="s">
        <v>248</v>
      </c>
      <c r="T9488" t="s">
        <v>427</v>
      </c>
      <c r="U9488" s="21">
        <v>366413</v>
      </c>
      <c r="V9488" s="21" t="s">
        <v>368</v>
      </c>
      <c r="W9488" t="str">
        <f>VLOOKUP(Table_Query_from_Actuarial___Production[[#This Row],[Kor1]],$AI$3:$AK$105,3,FALSE)</f>
        <v>Premiums Written</v>
      </c>
      <c r="X9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8"/>
      <c r="Z9488" t="s">
        <v>33</v>
      </c>
      <c r="AA9488" t="s">
        <v>228</v>
      </c>
      <c r="AB9488" t="s">
        <v>442</v>
      </c>
      <c r="AC9488" s="21">
        <v>20284.240000000002</v>
      </c>
      <c r="AD9488" s="21" t="s">
        <v>368</v>
      </c>
      <c r="AE9488" t="str">
        <f>VLOOKUP(Table_Query_from_Actuarial___Production3[[#This Row],[Kor1]],$AI$3:$AK$105,3,FALSE)</f>
        <v>Misc. Expense</v>
      </c>
      <c r="AF9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89" spans="18:32" x14ac:dyDescent="0.2">
      <c r="R9489" t="s">
        <v>3</v>
      </c>
      <c r="S9489" t="s">
        <v>254</v>
      </c>
      <c r="T9489" t="s">
        <v>356</v>
      </c>
      <c r="U9489" s="21">
        <v>4643148</v>
      </c>
      <c r="V9489" s="21" t="s">
        <v>368</v>
      </c>
      <c r="W9489" t="str">
        <f>VLOOKUP(Table_Query_from_Actuarial___Production[[#This Row],[Kor1]],$AI$3:$AK$105,3,FALSE)</f>
        <v>Premiums Written</v>
      </c>
      <c r="X9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89"/>
      <c r="Z9489" t="s">
        <v>37</v>
      </c>
      <c r="AA9489" t="s">
        <v>259</v>
      </c>
      <c r="AB9489" t="s">
        <v>441</v>
      </c>
      <c r="AC9489" s="21">
        <v>4556.9399999999996</v>
      </c>
      <c r="AD9489" s="21" t="s">
        <v>368</v>
      </c>
      <c r="AE9489" t="str">
        <f>VLOOKUP(Table_Query_from_Actuarial___Production3[[#This Row],[Kor1]],$AI$3:$AK$105,3,FALSE)</f>
        <v>Misc. Expense</v>
      </c>
      <c r="AF9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0" spans="18:32" x14ac:dyDescent="0.2">
      <c r="R9490" t="s">
        <v>39</v>
      </c>
      <c r="S9490" t="s">
        <v>229</v>
      </c>
      <c r="T9490" t="s">
        <v>427</v>
      </c>
      <c r="U9490" s="21">
        <v>7541.71</v>
      </c>
      <c r="V9490" s="21" t="s">
        <v>368</v>
      </c>
      <c r="W9490" t="str">
        <f>VLOOKUP(Table_Query_from_Actuarial___Production[[#This Row],[Kor1]],$AI$3:$AK$105,3,FALSE)</f>
        <v>Misc. Income for Insolvent Companies</v>
      </c>
      <c r="X9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0"/>
      <c r="Z9490" t="s">
        <v>3</v>
      </c>
      <c r="AA9490" t="s">
        <v>224</v>
      </c>
      <c r="AB9490" t="s">
        <v>356</v>
      </c>
      <c r="AC9490" s="21">
        <v>3228757.17</v>
      </c>
      <c r="AD9490" s="21" t="s">
        <v>368</v>
      </c>
      <c r="AE9490" t="str">
        <f>VLOOKUP(Table_Query_from_Actuarial___Production3[[#This Row],[Kor1]],$AI$3:$AK$105,3,FALSE)</f>
        <v>Premiums Written</v>
      </c>
      <c r="AF9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491" spans="18:32" x14ac:dyDescent="0.2">
      <c r="R9491" t="s">
        <v>39</v>
      </c>
      <c r="S9491" t="s">
        <v>252</v>
      </c>
      <c r="T9491" t="s">
        <v>6</v>
      </c>
      <c r="U9491" s="21">
        <v>531513.19999999995</v>
      </c>
      <c r="V9491" s="21" t="s">
        <v>368</v>
      </c>
      <c r="W9491" t="str">
        <f>VLOOKUP(Table_Query_from_Actuarial___Production[[#This Row],[Kor1]],$AI$3:$AK$105,3,FALSE)</f>
        <v>Misc. Income for Insolvent Companies</v>
      </c>
      <c r="X9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1"/>
      <c r="Z9491" t="s">
        <v>14</v>
      </c>
      <c r="AA9491" t="s">
        <v>239</v>
      </c>
      <c r="AB9491" t="s">
        <v>7</v>
      </c>
      <c r="AC9491" s="21">
        <v>9011.73</v>
      </c>
      <c r="AD9491" s="21" t="s">
        <v>368</v>
      </c>
      <c r="AE9491" t="str">
        <f>VLOOKUP(Table_Query_from_Actuarial___Production3[[#This Row],[Kor1]],$AI$3:$AK$105,3,FALSE)</f>
        <v>Claims Expense</v>
      </c>
      <c r="AF9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2" spans="18:32" x14ac:dyDescent="0.2">
      <c r="R9492" t="s">
        <v>49</v>
      </c>
      <c r="S9492" t="s">
        <v>226</v>
      </c>
      <c r="T9492" t="s">
        <v>442</v>
      </c>
      <c r="U9492" s="21">
        <v>13513.58</v>
      </c>
      <c r="V9492" s="21" t="s">
        <v>368</v>
      </c>
      <c r="W9492" t="str">
        <f>VLOOKUP(Table_Query_from_Actuarial___Production[[#This Row],[Kor1]],$AI$3:$AK$105,3,FALSE)</f>
        <v>ALAE Paid</v>
      </c>
      <c r="X9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492"/>
      <c r="Z9492" t="s">
        <v>19</v>
      </c>
      <c r="AA9492" t="s">
        <v>4</v>
      </c>
      <c r="AB9492" t="s">
        <v>9</v>
      </c>
      <c r="AC9492" s="21">
        <v>119194.07</v>
      </c>
      <c r="AD9492" s="21" t="s">
        <v>368</v>
      </c>
      <c r="AE9492" t="str">
        <f>VLOOKUP(Table_Query_from_Actuarial___Production3[[#This Row],[Kor1]],$AI$3:$AK$105,3,FALSE)</f>
        <v>Misc. Expense for Insolvent Companies</v>
      </c>
      <c r="AF9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3" spans="18:32" x14ac:dyDescent="0.2">
      <c r="R9493" t="s">
        <v>10</v>
      </c>
      <c r="S9493" t="s">
        <v>250</v>
      </c>
      <c r="T9493" t="s">
        <v>9</v>
      </c>
      <c r="U9493" s="21">
        <v>94657.32</v>
      </c>
      <c r="V9493" s="21" t="s">
        <v>368</v>
      </c>
      <c r="W9493" t="str">
        <f>VLOOKUP(Table_Query_from_Actuarial___Production[[#This Row],[Kor1]],$AI$3:$AK$105,3,FALSE)</f>
        <v>Commissions</v>
      </c>
      <c r="X9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3"/>
      <c r="Z9493" t="s">
        <v>44</v>
      </c>
      <c r="AA9493" t="s">
        <v>257</v>
      </c>
      <c r="AB9493" t="s">
        <v>427</v>
      </c>
      <c r="AC9493" s="21">
        <v>435477.38</v>
      </c>
      <c r="AD9493" s="21" t="s">
        <v>368</v>
      </c>
      <c r="AE9493" t="str">
        <f>VLOOKUP(Table_Query_from_Actuarial___Production3[[#This Row],[Kor1]],$AI$3:$AK$105,3,FALSE)</f>
        <v>Charge-offs</v>
      </c>
      <c r="AF9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4" spans="18:32" x14ac:dyDescent="0.2">
      <c r="R9494" t="s">
        <v>11</v>
      </c>
      <c r="S9494" t="s">
        <v>249</v>
      </c>
      <c r="T9494" t="s">
        <v>6</v>
      </c>
      <c r="U9494" s="21">
        <v>109406.37</v>
      </c>
      <c r="V9494" s="21" t="s">
        <v>368</v>
      </c>
      <c r="W9494" t="str">
        <f>VLOOKUP(Table_Query_from_Actuarial___Production[[#This Row],[Kor1]],$AI$3:$AK$105,3,FALSE)</f>
        <v>Losses Paid</v>
      </c>
      <c r="X9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4"/>
      <c r="Z9494" t="s">
        <v>3</v>
      </c>
      <c r="AA9494" t="s">
        <v>248</v>
      </c>
      <c r="AB9494" t="s">
        <v>427</v>
      </c>
      <c r="AC9494" s="21">
        <v>366413</v>
      </c>
      <c r="AD9494" s="21" t="s">
        <v>368</v>
      </c>
      <c r="AE9494" t="str">
        <f>VLOOKUP(Table_Query_from_Actuarial___Production3[[#This Row],[Kor1]],$AI$3:$AK$105,3,FALSE)</f>
        <v>Premiums Written</v>
      </c>
      <c r="AF9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5" spans="18:32" x14ac:dyDescent="0.2">
      <c r="R9495" t="s">
        <v>16</v>
      </c>
      <c r="S9495" t="s">
        <v>238</v>
      </c>
      <c r="T9495" t="s">
        <v>445</v>
      </c>
      <c r="U9495" s="21">
        <v>262822.38</v>
      </c>
      <c r="V9495" s="21" t="s">
        <v>368</v>
      </c>
      <c r="W9495" t="str">
        <f>VLOOKUP(Table_Query_from_Actuarial___Production[[#This Row],[Kor1]],$AI$3:$AK$105,3,FALSE)</f>
        <v>Losses Outstanding</v>
      </c>
      <c r="X9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5"/>
      <c r="Z9495" t="s">
        <v>3</v>
      </c>
      <c r="AA9495" t="s">
        <v>254</v>
      </c>
      <c r="AB9495" t="s">
        <v>356</v>
      </c>
      <c r="AC9495" s="21">
        <v>4643148</v>
      </c>
      <c r="AD9495" s="21" t="s">
        <v>368</v>
      </c>
      <c r="AE9495" t="str">
        <f>VLOOKUP(Table_Query_from_Actuarial___Production3[[#This Row],[Kor1]],$AI$3:$AK$105,3,FALSE)</f>
        <v>Premiums Written</v>
      </c>
      <c r="AF9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6" spans="18:32" x14ac:dyDescent="0.2">
      <c r="R9496" t="s">
        <v>37</v>
      </c>
      <c r="S9496" t="s">
        <v>4</v>
      </c>
      <c r="T9496" t="s">
        <v>8</v>
      </c>
      <c r="U9496" s="21">
        <v>15333.46</v>
      </c>
      <c r="V9496" s="21" t="s">
        <v>368</v>
      </c>
      <c r="W9496" t="str">
        <f>VLOOKUP(Table_Query_from_Actuarial___Production[[#This Row],[Kor1]],$AI$3:$AK$105,3,FALSE)</f>
        <v>Misc. Expense</v>
      </c>
      <c r="X9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6"/>
      <c r="Z9496" t="s">
        <v>39</v>
      </c>
      <c r="AA9496" t="s">
        <v>229</v>
      </c>
      <c r="AB9496" t="s">
        <v>427</v>
      </c>
      <c r="AC9496" s="21">
        <v>3117.71</v>
      </c>
      <c r="AD9496" s="21" t="s">
        <v>368</v>
      </c>
      <c r="AE9496" t="str">
        <f>VLOOKUP(Table_Query_from_Actuarial___Production3[[#This Row],[Kor1]],$AI$3:$AK$105,3,FALSE)</f>
        <v>Misc. Income for Insolvent Companies</v>
      </c>
      <c r="AF9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7" spans="18:32" x14ac:dyDescent="0.2">
      <c r="R9497" t="s">
        <v>44</v>
      </c>
      <c r="S9497" t="s">
        <v>250</v>
      </c>
      <c r="T9497" t="s">
        <v>441</v>
      </c>
      <c r="U9497" s="21">
        <v>13836.62</v>
      </c>
      <c r="V9497" s="21" t="s">
        <v>368</v>
      </c>
      <c r="W9497" t="str">
        <f>VLOOKUP(Table_Query_from_Actuarial___Production[[#This Row],[Kor1]],$AI$3:$AK$105,3,FALSE)</f>
        <v>Charge-offs</v>
      </c>
      <c r="X9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7"/>
      <c r="Z9497" t="s">
        <v>39</v>
      </c>
      <c r="AA9497" t="s">
        <v>252</v>
      </c>
      <c r="AB9497" t="s">
        <v>6</v>
      </c>
      <c r="AC9497" s="21">
        <v>531441.19999999995</v>
      </c>
      <c r="AD9497" s="21" t="s">
        <v>368</v>
      </c>
      <c r="AE9497" t="str">
        <f>VLOOKUP(Table_Query_from_Actuarial___Production3[[#This Row],[Kor1]],$AI$3:$AK$105,3,FALSE)</f>
        <v>Misc. Income for Insolvent Companies</v>
      </c>
      <c r="AF9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8" spans="18:32" x14ac:dyDescent="0.2">
      <c r="R9498" t="s">
        <v>16</v>
      </c>
      <c r="S9498" t="s">
        <v>268</v>
      </c>
      <c r="T9498" t="s">
        <v>442</v>
      </c>
      <c r="U9498" s="21">
        <v>163789.48000000001</v>
      </c>
      <c r="V9498" s="21" t="s">
        <v>368</v>
      </c>
      <c r="W9498" t="str">
        <f>VLOOKUP(Table_Query_from_Actuarial___Production[[#This Row],[Kor1]],$AI$3:$AK$105,3,FALSE)</f>
        <v>Losses Outstanding</v>
      </c>
      <c r="X9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8"/>
      <c r="Z9498" t="s">
        <v>77</v>
      </c>
      <c r="AA9498" t="s">
        <v>4</v>
      </c>
      <c r="AB9498" t="s">
        <v>442</v>
      </c>
      <c r="AC9498" s="21">
        <v>1724893</v>
      </c>
      <c r="AD9498" s="21" t="s">
        <v>368</v>
      </c>
      <c r="AE9498" t="str">
        <f>VLOOKUP(Table_Query_from_Actuarial___Production3[[#This Row],[Kor1]],$AI$3:$AK$105,3,FALSE)</f>
        <v>PDR</v>
      </c>
      <c r="AF9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499" spans="18:32" x14ac:dyDescent="0.2">
      <c r="R9499" t="s">
        <v>444</v>
      </c>
      <c r="S9499" t="s">
        <v>229</v>
      </c>
      <c r="T9499" t="s">
        <v>443</v>
      </c>
      <c r="U9499" s="21">
        <v>10167.81</v>
      </c>
      <c r="V9499" s="21" t="s">
        <v>368</v>
      </c>
      <c r="W9499" t="str">
        <f>VLOOKUP(Table_Query_from_Actuarial___Production[[#This Row],[Kor1]],$AI$3:$AK$105,3,FALSE)</f>
        <v>Misc. Expense</v>
      </c>
      <c r="X9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499"/>
      <c r="Z9499" t="s">
        <v>49</v>
      </c>
      <c r="AA9499" t="s">
        <v>226</v>
      </c>
      <c r="AB9499" t="s">
        <v>442</v>
      </c>
      <c r="AC9499" s="21">
        <v>5265.75</v>
      </c>
      <c r="AD9499" s="21" t="s">
        <v>368</v>
      </c>
      <c r="AE9499" t="str">
        <f>VLOOKUP(Table_Query_from_Actuarial___Production3[[#This Row],[Kor1]],$AI$3:$AK$105,3,FALSE)</f>
        <v>ALAE Paid</v>
      </c>
      <c r="AF9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500" spans="18:32" x14ac:dyDescent="0.2">
      <c r="R9500" t="s">
        <v>36</v>
      </c>
      <c r="S9500" t="s">
        <v>4</v>
      </c>
      <c r="T9500" t="s">
        <v>356</v>
      </c>
      <c r="U9500" s="21">
        <v>217511.98</v>
      </c>
      <c r="V9500" s="21" t="s">
        <v>368</v>
      </c>
      <c r="W9500" t="str">
        <f>VLOOKUP(Table_Query_from_Actuarial___Production[[#This Row],[Kor1]],$AI$3:$AK$105,3,FALSE)</f>
        <v>Misc. Expense</v>
      </c>
      <c r="X9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0"/>
      <c r="Z9500" t="s">
        <v>10</v>
      </c>
      <c r="AA9500" t="s">
        <v>250</v>
      </c>
      <c r="AB9500" t="s">
        <v>9</v>
      </c>
      <c r="AC9500" s="21">
        <v>94657.32</v>
      </c>
      <c r="AD9500" s="21" t="s">
        <v>368</v>
      </c>
      <c r="AE9500" t="str">
        <f>VLOOKUP(Table_Query_from_Actuarial___Production3[[#This Row],[Kor1]],$AI$3:$AK$105,3,FALSE)</f>
        <v>Commissions</v>
      </c>
      <c r="AF9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1" spans="18:32" x14ac:dyDescent="0.2">
      <c r="R9501" t="s">
        <v>10</v>
      </c>
      <c r="S9501" t="s">
        <v>241</v>
      </c>
      <c r="T9501" t="s">
        <v>441</v>
      </c>
      <c r="U9501" s="21">
        <v>20969.400000000001</v>
      </c>
      <c r="V9501" s="21" t="s">
        <v>368</v>
      </c>
      <c r="W9501" t="str">
        <f>VLOOKUP(Table_Query_from_Actuarial___Production[[#This Row],[Kor1]],$AI$3:$AK$105,3,FALSE)</f>
        <v>Commissions</v>
      </c>
      <c r="X9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1"/>
      <c r="Z9501" t="s">
        <v>11</v>
      </c>
      <c r="AA9501" t="s">
        <v>249</v>
      </c>
      <c r="AB9501" t="s">
        <v>6</v>
      </c>
      <c r="AC9501" s="21">
        <v>109406.37</v>
      </c>
      <c r="AD9501" s="21" t="s">
        <v>368</v>
      </c>
      <c r="AE9501" t="str">
        <f>VLOOKUP(Table_Query_from_Actuarial___Production3[[#This Row],[Kor1]],$AI$3:$AK$105,3,FALSE)</f>
        <v>Losses Paid</v>
      </c>
      <c r="AF9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2" spans="18:32" x14ac:dyDescent="0.2">
      <c r="R9502" t="s">
        <v>13</v>
      </c>
      <c r="S9502" t="s">
        <v>249</v>
      </c>
      <c r="T9502" t="s">
        <v>441</v>
      </c>
      <c r="U9502" s="21">
        <v>222611.46</v>
      </c>
      <c r="V9502" s="21" t="s">
        <v>368</v>
      </c>
      <c r="W9502" t="str">
        <f>VLOOKUP(Table_Query_from_Actuarial___Production[[#This Row],[Kor1]],$AI$3:$AK$105,3,FALSE)</f>
        <v>Operating Service Fees</v>
      </c>
      <c r="X9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2"/>
      <c r="Z9502" t="s">
        <v>41</v>
      </c>
      <c r="AA9502" t="s">
        <v>231</v>
      </c>
      <c r="AB9502" t="s">
        <v>5</v>
      </c>
      <c r="AC9502" s="21">
        <v>100</v>
      </c>
      <c r="AD9502" s="21" t="s">
        <v>368</v>
      </c>
      <c r="AE9502" t="str">
        <f>VLOOKUP(Table_Query_from_Actuarial___Production3[[#This Row],[Kor1]],$AI$3:$AK$105,3,FALSE)</f>
        <v>Misc. Income</v>
      </c>
      <c r="AF9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3" spans="18:32" x14ac:dyDescent="0.2">
      <c r="R9503" t="s">
        <v>44</v>
      </c>
      <c r="S9503" t="s">
        <v>233</v>
      </c>
      <c r="T9503" t="s">
        <v>6</v>
      </c>
      <c r="U9503" s="21">
        <v>2776.85</v>
      </c>
      <c r="V9503" s="21" t="s">
        <v>368</v>
      </c>
      <c r="W9503" t="str">
        <f>VLOOKUP(Table_Query_from_Actuarial___Production[[#This Row],[Kor1]],$AI$3:$AK$105,3,FALSE)</f>
        <v>Charge-offs</v>
      </c>
      <c r="X9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3"/>
      <c r="Z9503" t="s">
        <v>37</v>
      </c>
      <c r="AA9503" t="s">
        <v>4</v>
      </c>
      <c r="AB9503" t="s">
        <v>8</v>
      </c>
      <c r="AC9503" s="21">
        <v>15333.46</v>
      </c>
      <c r="AD9503" s="21" t="s">
        <v>368</v>
      </c>
      <c r="AE9503" t="str">
        <f>VLOOKUP(Table_Query_from_Actuarial___Production3[[#This Row],[Kor1]],$AI$3:$AK$105,3,FALSE)</f>
        <v>Misc. Expense</v>
      </c>
      <c r="AF9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4" spans="18:32" x14ac:dyDescent="0.2">
      <c r="R9504" t="s">
        <v>33</v>
      </c>
      <c r="S9504" t="s">
        <v>231</v>
      </c>
      <c r="T9504" t="s">
        <v>9</v>
      </c>
      <c r="U9504" s="21">
        <v>15790.88</v>
      </c>
      <c r="V9504" s="21" t="s">
        <v>368</v>
      </c>
      <c r="W9504" t="str">
        <f>VLOOKUP(Table_Query_from_Actuarial___Production[[#This Row],[Kor1]],$AI$3:$AK$105,3,FALSE)</f>
        <v>Misc. Expense</v>
      </c>
      <c r="X9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4"/>
      <c r="Z9504" t="s">
        <v>44</v>
      </c>
      <c r="AA9504" t="s">
        <v>250</v>
      </c>
      <c r="AB9504" t="s">
        <v>441</v>
      </c>
      <c r="AC9504" s="21">
        <v>13836.62</v>
      </c>
      <c r="AD9504" s="21" t="s">
        <v>368</v>
      </c>
      <c r="AE9504" t="str">
        <f>VLOOKUP(Table_Query_from_Actuarial___Production3[[#This Row],[Kor1]],$AI$3:$AK$105,3,FALSE)</f>
        <v>Charge-offs</v>
      </c>
      <c r="AF9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5" spans="18:32" x14ac:dyDescent="0.2">
      <c r="R9505" t="s">
        <v>20</v>
      </c>
      <c r="S9505" t="s">
        <v>233</v>
      </c>
      <c r="T9505" t="s">
        <v>445</v>
      </c>
      <c r="U9505" s="21">
        <v>28.46</v>
      </c>
      <c r="V9505" s="21" t="s">
        <v>368</v>
      </c>
      <c r="W9505" t="str">
        <f>VLOOKUP(Table_Query_from_Actuarial___Production[[#This Row],[Kor1]],$AI$3:$AK$105,3,FALSE)</f>
        <v>Misc. Expense</v>
      </c>
      <c r="X9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5"/>
      <c r="Z9505" t="s">
        <v>16</v>
      </c>
      <c r="AA9505" t="s">
        <v>268</v>
      </c>
      <c r="AB9505" t="s">
        <v>442</v>
      </c>
      <c r="AC9505" s="21">
        <v>141080.22</v>
      </c>
      <c r="AD9505" s="21" t="s">
        <v>368</v>
      </c>
      <c r="AE9505" t="str">
        <f>VLOOKUP(Table_Query_from_Actuarial___Production3[[#This Row],[Kor1]],$AI$3:$AK$105,3,FALSE)</f>
        <v>Losses Outstanding</v>
      </c>
      <c r="AF9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6" spans="18:32" x14ac:dyDescent="0.2">
      <c r="R9506" t="s">
        <v>37</v>
      </c>
      <c r="S9506" t="s">
        <v>240</v>
      </c>
      <c r="T9506" t="s">
        <v>427</v>
      </c>
      <c r="U9506" s="21">
        <v>738.5</v>
      </c>
      <c r="V9506" s="21" t="s">
        <v>368</v>
      </c>
      <c r="W9506" t="str">
        <f>VLOOKUP(Table_Query_from_Actuarial___Production[[#This Row],[Kor1]],$AI$3:$AK$105,3,FALSE)</f>
        <v>Misc. Expense</v>
      </c>
      <c r="X9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6"/>
      <c r="Z9506" t="s">
        <v>36</v>
      </c>
      <c r="AA9506" t="s">
        <v>4</v>
      </c>
      <c r="AB9506" t="s">
        <v>356</v>
      </c>
      <c r="AC9506" s="21">
        <v>217511.98</v>
      </c>
      <c r="AD9506" s="21" t="s">
        <v>368</v>
      </c>
      <c r="AE9506" t="str">
        <f>VLOOKUP(Table_Query_from_Actuarial___Production3[[#This Row],[Kor1]],$AI$3:$AK$105,3,FALSE)</f>
        <v>Misc. Expense</v>
      </c>
      <c r="AF9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7" spans="18:32" x14ac:dyDescent="0.2">
      <c r="R9507" t="s">
        <v>18</v>
      </c>
      <c r="S9507" t="s">
        <v>225</v>
      </c>
      <c r="T9507" t="s">
        <v>445</v>
      </c>
      <c r="U9507" s="21">
        <v>201675.22</v>
      </c>
      <c r="V9507" s="21" t="s">
        <v>368</v>
      </c>
      <c r="W9507" t="str">
        <f>VLOOKUP(Table_Query_from_Actuarial___Production[[#This Row],[Kor1]],$AI$3:$AK$105,3,FALSE)</f>
        <v>Misc. Expense</v>
      </c>
      <c r="X9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507"/>
      <c r="Z9507" t="s">
        <v>10</v>
      </c>
      <c r="AA9507" t="s">
        <v>241</v>
      </c>
      <c r="AB9507" t="s">
        <v>441</v>
      </c>
      <c r="AC9507" s="21">
        <v>20969.400000000001</v>
      </c>
      <c r="AD9507" s="21" t="s">
        <v>368</v>
      </c>
      <c r="AE9507" t="str">
        <f>VLOOKUP(Table_Query_from_Actuarial___Production3[[#This Row],[Kor1]],$AI$3:$AK$105,3,FALSE)</f>
        <v>Commissions</v>
      </c>
      <c r="AF9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8" spans="18:32" x14ac:dyDescent="0.2">
      <c r="R9508" t="s">
        <v>47</v>
      </c>
      <c r="S9508" t="s">
        <v>245</v>
      </c>
      <c r="T9508" t="s">
        <v>441</v>
      </c>
      <c r="U9508" s="21">
        <v>24.16</v>
      </c>
      <c r="V9508" s="21" t="s">
        <v>368</v>
      </c>
      <c r="W9508" t="str">
        <f>VLOOKUP(Table_Query_from_Actuarial___Production[[#This Row],[Kor1]],$AI$3:$AK$105,3,FALSE)</f>
        <v>Investment Income</v>
      </c>
      <c r="X9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8"/>
      <c r="Z9508" t="s">
        <v>13</v>
      </c>
      <c r="AA9508" t="s">
        <v>249</v>
      </c>
      <c r="AB9508" t="s">
        <v>441</v>
      </c>
      <c r="AC9508" s="21">
        <v>222611.46</v>
      </c>
      <c r="AD9508" s="21" t="s">
        <v>368</v>
      </c>
      <c r="AE9508" t="str">
        <f>VLOOKUP(Table_Query_from_Actuarial___Production3[[#This Row],[Kor1]],$AI$3:$AK$105,3,FALSE)</f>
        <v>Operating Service Fees</v>
      </c>
      <c r="AF9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09" spans="18:32" x14ac:dyDescent="0.2">
      <c r="R9509" t="s">
        <v>19</v>
      </c>
      <c r="S9509" t="s">
        <v>242</v>
      </c>
      <c r="T9509" t="s">
        <v>351</v>
      </c>
      <c r="U9509" s="21">
        <v>7836</v>
      </c>
      <c r="V9509" s="21" t="s">
        <v>368</v>
      </c>
      <c r="W9509" t="str">
        <f>VLOOKUP(Table_Query_from_Actuarial___Production[[#This Row],[Kor1]],$AI$3:$AK$105,3,FALSE)</f>
        <v>Misc. Expense for Insolvent Companies</v>
      </c>
      <c r="X9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09"/>
      <c r="Z9509" t="s">
        <v>3</v>
      </c>
      <c r="AA9509" t="s">
        <v>239</v>
      </c>
      <c r="AB9509" t="s">
        <v>5</v>
      </c>
      <c r="AC9509" s="21">
        <v>23250</v>
      </c>
      <c r="AD9509" s="21" t="s">
        <v>368</v>
      </c>
      <c r="AE9509" t="str">
        <f>VLOOKUP(Table_Query_from_Actuarial___Production3[[#This Row],[Kor1]],$AI$3:$AK$105,3,FALSE)</f>
        <v>Premiums Written</v>
      </c>
      <c r="AF9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0" spans="18:32" x14ac:dyDescent="0.2">
      <c r="R9510" t="s">
        <v>15</v>
      </c>
      <c r="S9510" t="s">
        <v>227</v>
      </c>
      <c r="T9510" t="s">
        <v>443</v>
      </c>
      <c r="U9510" s="21">
        <v>37956.83</v>
      </c>
      <c r="V9510" s="21" t="s">
        <v>368</v>
      </c>
      <c r="W9510" t="str">
        <f>VLOOKUP(Table_Query_from_Actuarial___Production[[#This Row],[Kor1]],$AI$3:$AK$105,3,FALSE)</f>
        <v>Unearned Premiums</v>
      </c>
      <c r="X9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0"/>
      <c r="Z9510" t="s">
        <v>16</v>
      </c>
      <c r="AA9510" t="s">
        <v>263</v>
      </c>
      <c r="AB9510" t="s">
        <v>442</v>
      </c>
      <c r="AC9510" s="21">
        <v>10913.73</v>
      </c>
      <c r="AD9510" s="21" t="s">
        <v>368</v>
      </c>
      <c r="AE9510" t="str">
        <f>VLOOKUP(Table_Query_from_Actuarial___Production3[[#This Row],[Kor1]],$AI$3:$AK$105,3,FALSE)</f>
        <v>Losses Outstanding</v>
      </c>
      <c r="AF9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1" spans="18:32" x14ac:dyDescent="0.2">
      <c r="R9511" t="s">
        <v>20</v>
      </c>
      <c r="S9511" t="s">
        <v>261</v>
      </c>
      <c r="T9511" t="s">
        <v>356</v>
      </c>
      <c r="U9511" s="21">
        <v>386.87</v>
      </c>
      <c r="V9511" s="21" t="s">
        <v>368</v>
      </c>
      <c r="W9511" t="str">
        <f>VLOOKUP(Table_Query_from_Actuarial___Production[[#This Row],[Kor1]],$AI$3:$AK$105,3,FALSE)</f>
        <v>Misc. Expense</v>
      </c>
      <c r="X9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1"/>
      <c r="Z9511" t="s">
        <v>44</v>
      </c>
      <c r="AA9511" t="s">
        <v>233</v>
      </c>
      <c r="AB9511" t="s">
        <v>6</v>
      </c>
      <c r="AC9511" s="21">
        <v>2776.85</v>
      </c>
      <c r="AD9511" s="21" t="s">
        <v>368</v>
      </c>
      <c r="AE9511" t="str">
        <f>VLOOKUP(Table_Query_from_Actuarial___Production3[[#This Row],[Kor1]],$AI$3:$AK$105,3,FALSE)</f>
        <v>Charge-offs</v>
      </c>
      <c r="AF9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2" spans="18:32" x14ac:dyDescent="0.2">
      <c r="R9512" t="s">
        <v>47</v>
      </c>
      <c r="S9512" t="s">
        <v>262</v>
      </c>
      <c r="T9512" t="s">
        <v>9</v>
      </c>
      <c r="U9512" s="21">
        <v>125.24</v>
      </c>
      <c r="V9512" s="21" t="s">
        <v>368</v>
      </c>
      <c r="W9512" t="str">
        <f>VLOOKUP(Table_Query_from_Actuarial___Production[[#This Row],[Kor1]],$AI$3:$AK$105,3,FALSE)</f>
        <v>Investment Income</v>
      </c>
      <c r="X9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2"/>
      <c r="Z9512" t="s">
        <v>33</v>
      </c>
      <c r="AA9512" t="s">
        <v>231</v>
      </c>
      <c r="AB9512" t="s">
        <v>9</v>
      </c>
      <c r="AC9512" s="21">
        <v>15790.88</v>
      </c>
      <c r="AD9512" s="21" t="s">
        <v>368</v>
      </c>
      <c r="AE9512" t="str">
        <f>VLOOKUP(Table_Query_from_Actuarial___Production3[[#This Row],[Kor1]],$AI$3:$AK$105,3,FALSE)</f>
        <v>Misc. Expense</v>
      </c>
      <c r="AF9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3" spans="18:32" x14ac:dyDescent="0.2">
      <c r="R9513" t="s">
        <v>11</v>
      </c>
      <c r="S9513" t="s">
        <v>241</v>
      </c>
      <c r="T9513" t="s">
        <v>9</v>
      </c>
      <c r="U9513" s="21">
        <v>1042172.97</v>
      </c>
      <c r="V9513" s="21" t="s">
        <v>368</v>
      </c>
      <c r="W9513" t="str">
        <f>VLOOKUP(Table_Query_from_Actuarial___Production[[#This Row],[Kor1]],$AI$3:$AK$105,3,FALSE)</f>
        <v>Losses Paid</v>
      </c>
      <c r="X9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3"/>
      <c r="Z9513" t="s">
        <v>37</v>
      </c>
      <c r="AA9513" t="s">
        <v>240</v>
      </c>
      <c r="AB9513" t="s">
        <v>427</v>
      </c>
      <c r="AC9513" s="21">
        <v>738.5</v>
      </c>
      <c r="AD9513" s="21" t="s">
        <v>368</v>
      </c>
      <c r="AE9513" t="str">
        <f>VLOOKUP(Table_Query_from_Actuarial___Production3[[#This Row],[Kor1]],$AI$3:$AK$105,3,FALSE)</f>
        <v>Misc. Expense</v>
      </c>
      <c r="AF9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4" spans="18:32" x14ac:dyDescent="0.2">
      <c r="R9514" t="s">
        <v>21</v>
      </c>
      <c r="S9514" t="s">
        <v>231</v>
      </c>
      <c r="T9514" t="s">
        <v>351</v>
      </c>
      <c r="U9514" s="21">
        <v>981.02</v>
      </c>
      <c r="V9514" s="21" t="s">
        <v>368</v>
      </c>
      <c r="W9514" t="str">
        <f>VLOOKUP(Table_Query_from_Actuarial___Production[[#This Row],[Kor1]],$AI$3:$AK$105,3,FALSE)</f>
        <v>Misc. Expense</v>
      </c>
      <c r="X9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4"/>
      <c r="Z9514" t="s">
        <v>17</v>
      </c>
      <c r="AA9514" t="s">
        <v>258</v>
      </c>
      <c r="AB9514" t="s">
        <v>427</v>
      </c>
      <c r="AC9514" s="21">
        <v>314016.11</v>
      </c>
      <c r="AD9514" s="21" t="s">
        <v>368</v>
      </c>
      <c r="AE9514" t="str">
        <f>VLOOKUP(Table_Query_from_Actuarial___Production3[[#This Row],[Kor1]],$AI$3:$AK$105,3,FALSE)</f>
        <v>IBNR</v>
      </c>
      <c r="AF9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5" spans="18:32" x14ac:dyDescent="0.2">
      <c r="R9515" t="s">
        <v>10</v>
      </c>
      <c r="S9515" t="s">
        <v>238</v>
      </c>
      <c r="T9515" t="s">
        <v>445</v>
      </c>
      <c r="U9515" s="21">
        <v>81287.350000000006</v>
      </c>
      <c r="V9515" s="21" t="s">
        <v>368</v>
      </c>
      <c r="W9515" t="str">
        <f>VLOOKUP(Table_Query_from_Actuarial___Production[[#This Row],[Kor1]],$AI$3:$AK$105,3,FALSE)</f>
        <v>Commissions</v>
      </c>
      <c r="X9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5"/>
      <c r="Z9515" t="s">
        <v>47</v>
      </c>
      <c r="AA9515" t="s">
        <v>245</v>
      </c>
      <c r="AB9515" t="s">
        <v>441</v>
      </c>
      <c r="AC9515" s="21">
        <v>24.16</v>
      </c>
      <c r="AD9515" s="21" t="s">
        <v>368</v>
      </c>
      <c r="AE9515" t="str">
        <f>VLOOKUP(Table_Query_from_Actuarial___Production3[[#This Row],[Kor1]],$AI$3:$AK$105,3,FALSE)</f>
        <v>Investment Income</v>
      </c>
      <c r="AF9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6" spans="18:32" x14ac:dyDescent="0.2">
      <c r="R9516" t="s">
        <v>43</v>
      </c>
      <c r="S9516" t="s">
        <v>255</v>
      </c>
      <c r="T9516" t="s">
        <v>8</v>
      </c>
      <c r="U9516" s="21">
        <v>-2.12</v>
      </c>
      <c r="V9516" s="21" t="s">
        <v>368</v>
      </c>
      <c r="W9516" t="str">
        <f>VLOOKUP(Table_Query_from_Actuarial___Production[[#This Row],[Kor1]],$AI$3:$AK$105,3,FALSE)</f>
        <v>Charge-offs</v>
      </c>
      <c r="X9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6"/>
      <c r="Z9516" t="s">
        <v>13</v>
      </c>
      <c r="AA9516" t="s">
        <v>234</v>
      </c>
      <c r="AB9516" t="s">
        <v>5</v>
      </c>
      <c r="AC9516" s="21">
        <v>95069.66</v>
      </c>
      <c r="AD9516" s="21" t="s">
        <v>368</v>
      </c>
      <c r="AE9516" t="str">
        <f>VLOOKUP(Table_Query_from_Actuarial___Production3[[#This Row],[Kor1]],$AI$3:$AK$105,3,FALSE)</f>
        <v>Operating Service Fees</v>
      </c>
      <c r="AF9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7" spans="18:32" x14ac:dyDescent="0.2">
      <c r="R9517" t="s">
        <v>11</v>
      </c>
      <c r="S9517" t="s">
        <v>4</v>
      </c>
      <c r="T9517" t="s">
        <v>445</v>
      </c>
      <c r="U9517" s="21">
        <v>29195.759999999998</v>
      </c>
      <c r="V9517" s="21" t="s">
        <v>368</v>
      </c>
      <c r="W9517" t="str">
        <f>VLOOKUP(Table_Query_from_Actuarial___Production[[#This Row],[Kor1]],$AI$3:$AK$105,3,FALSE)</f>
        <v>Losses Paid</v>
      </c>
      <c r="X9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7"/>
      <c r="Z9517" t="s">
        <v>19</v>
      </c>
      <c r="AA9517" t="s">
        <v>242</v>
      </c>
      <c r="AB9517" t="s">
        <v>351</v>
      </c>
      <c r="AC9517" s="21">
        <v>7836</v>
      </c>
      <c r="AD9517" s="21" t="s">
        <v>368</v>
      </c>
      <c r="AE9517" t="str">
        <f>VLOOKUP(Table_Query_from_Actuarial___Production3[[#This Row],[Kor1]],$AI$3:$AK$105,3,FALSE)</f>
        <v>Misc. Expense for Insolvent Companies</v>
      </c>
      <c r="AF9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8" spans="18:32" x14ac:dyDescent="0.2">
      <c r="R9518" t="s">
        <v>439</v>
      </c>
      <c r="S9518" t="s">
        <v>233</v>
      </c>
      <c r="T9518" t="s">
        <v>443</v>
      </c>
      <c r="U9518" s="21">
        <v>-21602.44</v>
      </c>
      <c r="V9518" s="21" t="s">
        <v>368</v>
      </c>
      <c r="W9518" t="str">
        <f>VLOOKUP(Table_Query_from_Actuarial___Production[[#This Row],[Kor1]],$AI$3:$AK$105,3,FALSE)</f>
        <v>Operating Service Fees</v>
      </c>
      <c r="X9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8"/>
      <c r="Z9518" t="s">
        <v>20</v>
      </c>
      <c r="AA9518" t="s">
        <v>261</v>
      </c>
      <c r="AB9518" t="s">
        <v>356</v>
      </c>
      <c r="AC9518" s="21">
        <v>386.87</v>
      </c>
      <c r="AD9518" s="21" t="s">
        <v>368</v>
      </c>
      <c r="AE9518" t="str">
        <f>VLOOKUP(Table_Query_from_Actuarial___Production3[[#This Row],[Kor1]],$AI$3:$AK$105,3,FALSE)</f>
        <v>Misc. Expense</v>
      </c>
      <c r="AF9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19" spans="18:32" x14ac:dyDescent="0.2">
      <c r="R9519" t="s">
        <v>12</v>
      </c>
      <c r="S9519" t="s">
        <v>233</v>
      </c>
      <c r="T9519" t="s">
        <v>445</v>
      </c>
      <c r="U9519" s="21">
        <v>10353.44</v>
      </c>
      <c r="V9519" s="21" t="s">
        <v>368</v>
      </c>
      <c r="W9519" t="str">
        <f>VLOOKUP(Table_Query_from_Actuarial___Production[[#This Row],[Kor1]],$AI$3:$AK$105,3,FALSE)</f>
        <v>Premium Tax</v>
      </c>
      <c r="X9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19"/>
      <c r="Z9519" t="s">
        <v>47</v>
      </c>
      <c r="AA9519" t="s">
        <v>262</v>
      </c>
      <c r="AB9519" t="s">
        <v>9</v>
      </c>
      <c r="AC9519" s="21">
        <v>125.24</v>
      </c>
      <c r="AD9519" s="21" t="s">
        <v>368</v>
      </c>
      <c r="AE9519" t="str">
        <f>VLOOKUP(Table_Query_from_Actuarial___Production3[[#This Row],[Kor1]],$AI$3:$AK$105,3,FALSE)</f>
        <v>Investment Income</v>
      </c>
      <c r="AF9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0" spans="18:32" x14ac:dyDescent="0.2">
      <c r="R9520" t="s">
        <v>20</v>
      </c>
      <c r="S9520" t="s">
        <v>244</v>
      </c>
      <c r="T9520" t="s">
        <v>445</v>
      </c>
      <c r="U9520" s="21">
        <v>28.45</v>
      </c>
      <c r="V9520" s="21" t="s">
        <v>368</v>
      </c>
      <c r="W9520" t="str">
        <f>VLOOKUP(Table_Query_from_Actuarial___Production[[#This Row],[Kor1]],$AI$3:$AK$105,3,FALSE)</f>
        <v>Misc. Expense</v>
      </c>
      <c r="X9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0"/>
      <c r="Z9520" t="s">
        <v>11</v>
      </c>
      <c r="AA9520" t="s">
        <v>241</v>
      </c>
      <c r="AB9520" t="s">
        <v>9</v>
      </c>
      <c r="AC9520" s="21">
        <v>1042172.97</v>
      </c>
      <c r="AD9520" s="21" t="s">
        <v>368</v>
      </c>
      <c r="AE9520" t="str">
        <f>VLOOKUP(Table_Query_from_Actuarial___Production3[[#This Row],[Kor1]],$AI$3:$AK$105,3,FALSE)</f>
        <v>Losses Paid</v>
      </c>
      <c r="AF9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1" spans="18:32" x14ac:dyDescent="0.2">
      <c r="R9521" t="s">
        <v>11</v>
      </c>
      <c r="S9521" t="s">
        <v>235</v>
      </c>
      <c r="T9521" t="s">
        <v>6</v>
      </c>
      <c r="U9521" s="21">
        <v>910772.6</v>
      </c>
      <c r="V9521" s="21" t="s">
        <v>368</v>
      </c>
      <c r="W9521" t="str">
        <f>VLOOKUP(Table_Query_from_Actuarial___Production[[#This Row],[Kor1]],$AI$3:$AK$105,3,FALSE)</f>
        <v>Losses Paid</v>
      </c>
      <c r="X9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1"/>
      <c r="Z9521" t="s">
        <v>21</v>
      </c>
      <c r="AA9521" t="s">
        <v>231</v>
      </c>
      <c r="AB9521" t="s">
        <v>351</v>
      </c>
      <c r="AC9521" s="21">
        <v>981.02</v>
      </c>
      <c r="AD9521" s="21" t="s">
        <v>368</v>
      </c>
      <c r="AE9521" t="str">
        <f>VLOOKUP(Table_Query_from_Actuarial___Production3[[#This Row],[Kor1]],$AI$3:$AK$105,3,FALSE)</f>
        <v>Misc. Expense</v>
      </c>
      <c r="AF9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2" spans="18:32" x14ac:dyDescent="0.2">
      <c r="R9522" t="s">
        <v>16</v>
      </c>
      <c r="S9522" t="s">
        <v>234</v>
      </c>
      <c r="T9522" t="s">
        <v>442</v>
      </c>
      <c r="U9522" s="21">
        <v>188907.28</v>
      </c>
      <c r="V9522" s="21" t="s">
        <v>368</v>
      </c>
      <c r="W9522" t="str">
        <f>VLOOKUP(Table_Query_from_Actuarial___Production[[#This Row],[Kor1]],$AI$3:$AK$105,3,FALSE)</f>
        <v>Losses Outstanding</v>
      </c>
      <c r="X9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2"/>
      <c r="Z9522" t="s">
        <v>16</v>
      </c>
      <c r="AA9522" t="s">
        <v>231</v>
      </c>
      <c r="AB9522" t="s">
        <v>427</v>
      </c>
      <c r="AC9522" s="21">
        <v>13070.47</v>
      </c>
      <c r="AD9522" s="21" t="s">
        <v>368</v>
      </c>
      <c r="AE9522" t="str">
        <f>VLOOKUP(Table_Query_from_Actuarial___Production3[[#This Row],[Kor1]],$AI$3:$AK$105,3,FALSE)</f>
        <v>Losses Outstanding</v>
      </c>
      <c r="AF9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3" spans="18:32" x14ac:dyDescent="0.2">
      <c r="R9523" t="s">
        <v>39</v>
      </c>
      <c r="S9523" t="s">
        <v>246</v>
      </c>
      <c r="T9523" t="s">
        <v>441</v>
      </c>
      <c r="U9523" s="21">
        <v>77.989999999999995</v>
      </c>
      <c r="V9523" s="21" t="s">
        <v>368</v>
      </c>
      <c r="W9523" t="str">
        <f>VLOOKUP(Table_Query_from_Actuarial___Production[[#This Row],[Kor1]],$AI$3:$AK$105,3,FALSE)</f>
        <v>Misc. Income for Insolvent Companies</v>
      </c>
      <c r="X9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3"/>
      <c r="Z9523" t="s">
        <v>43</v>
      </c>
      <c r="AA9523" t="s">
        <v>255</v>
      </c>
      <c r="AB9523" t="s">
        <v>8</v>
      </c>
      <c r="AC9523" s="21">
        <v>-2.12</v>
      </c>
      <c r="AD9523" s="21" t="s">
        <v>368</v>
      </c>
      <c r="AE9523" t="str">
        <f>VLOOKUP(Table_Query_from_Actuarial___Production3[[#This Row],[Kor1]],$AI$3:$AK$105,3,FALSE)</f>
        <v>Charge-offs</v>
      </c>
      <c r="AF9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4" spans="18:32" x14ac:dyDescent="0.2">
      <c r="R9524" t="s">
        <v>44</v>
      </c>
      <c r="S9524" t="s">
        <v>257</v>
      </c>
      <c r="T9524" t="s">
        <v>7</v>
      </c>
      <c r="U9524" s="21">
        <v>15446.56</v>
      </c>
      <c r="V9524" s="21" t="s">
        <v>368</v>
      </c>
      <c r="W9524" t="str">
        <f>VLOOKUP(Table_Query_from_Actuarial___Production[[#This Row],[Kor1]],$AI$3:$AK$105,3,FALSE)</f>
        <v>Charge-offs</v>
      </c>
      <c r="X9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4"/>
      <c r="Z9524" t="s">
        <v>439</v>
      </c>
      <c r="AA9524" t="s">
        <v>233</v>
      </c>
      <c r="AB9524" t="s">
        <v>443</v>
      </c>
      <c r="AC9524" s="21">
        <v>-21602.44</v>
      </c>
      <c r="AD9524" s="21" t="s">
        <v>368</v>
      </c>
      <c r="AE9524" t="str">
        <f>VLOOKUP(Table_Query_from_Actuarial___Production3[[#This Row],[Kor1]],$AI$3:$AK$105,3,FALSE)</f>
        <v>Operating Service Fees</v>
      </c>
      <c r="AF9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5" spans="18:32" x14ac:dyDescent="0.2">
      <c r="R9525" t="s">
        <v>15</v>
      </c>
      <c r="S9525" t="s">
        <v>224</v>
      </c>
      <c r="T9525" t="s">
        <v>445</v>
      </c>
      <c r="U9525" s="21">
        <v>53197.41</v>
      </c>
      <c r="V9525" s="21" t="s">
        <v>369</v>
      </c>
      <c r="W9525" t="str">
        <f>VLOOKUP(Table_Query_from_Actuarial___Production[[#This Row],[Kor1]],$AI$3:$AK$105,3,FALSE)</f>
        <v>Unearned Premiums</v>
      </c>
      <c r="X9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525"/>
      <c r="Z9525" t="s">
        <v>11</v>
      </c>
      <c r="AA9525" t="s">
        <v>235</v>
      </c>
      <c r="AB9525" t="s">
        <v>6</v>
      </c>
      <c r="AC9525" s="21">
        <v>910772.6</v>
      </c>
      <c r="AD9525" s="21" t="s">
        <v>368</v>
      </c>
      <c r="AE9525" t="str">
        <f>VLOOKUP(Table_Query_from_Actuarial___Production3[[#This Row],[Kor1]],$AI$3:$AK$105,3,FALSE)</f>
        <v>Losses Paid</v>
      </c>
      <c r="AF9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6" spans="18:32" x14ac:dyDescent="0.2">
      <c r="R9526" t="s">
        <v>37</v>
      </c>
      <c r="S9526" t="s">
        <v>227</v>
      </c>
      <c r="T9526" t="s">
        <v>6</v>
      </c>
      <c r="U9526" s="21">
        <v>129.09</v>
      </c>
      <c r="V9526" s="21" t="s">
        <v>368</v>
      </c>
      <c r="W9526" t="str">
        <f>VLOOKUP(Table_Query_from_Actuarial___Production[[#This Row],[Kor1]],$AI$3:$AK$105,3,FALSE)</f>
        <v>Misc. Expense</v>
      </c>
      <c r="X9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6"/>
      <c r="Z9526" t="s">
        <v>16</v>
      </c>
      <c r="AA9526" t="s">
        <v>234</v>
      </c>
      <c r="AB9526" t="s">
        <v>442</v>
      </c>
      <c r="AC9526" s="21">
        <v>263935.15999999997</v>
      </c>
      <c r="AD9526" s="21" t="s">
        <v>368</v>
      </c>
      <c r="AE9526" t="str">
        <f>VLOOKUP(Table_Query_from_Actuarial___Production3[[#This Row],[Kor1]],$AI$3:$AK$105,3,FALSE)</f>
        <v>Losses Outstanding</v>
      </c>
      <c r="AF9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7" spans="18:32" x14ac:dyDescent="0.2">
      <c r="R9527" t="s">
        <v>3</v>
      </c>
      <c r="S9527" t="s">
        <v>257</v>
      </c>
      <c r="T9527" t="s">
        <v>433</v>
      </c>
      <c r="U9527" s="21">
        <v>1643499</v>
      </c>
      <c r="V9527" s="21" t="s">
        <v>368</v>
      </c>
      <c r="W9527" t="str">
        <f>VLOOKUP(Table_Query_from_Actuarial___Production[[#This Row],[Kor1]],$AI$3:$AK$105,3,FALSE)</f>
        <v>Premiums Written</v>
      </c>
      <c r="X9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7"/>
      <c r="Z9527" t="s">
        <v>39</v>
      </c>
      <c r="AA9527" t="s">
        <v>246</v>
      </c>
      <c r="AB9527" t="s">
        <v>441</v>
      </c>
      <c r="AC9527" s="21">
        <v>77.989999999999995</v>
      </c>
      <c r="AD9527" s="21" t="s">
        <v>368</v>
      </c>
      <c r="AE9527" t="str">
        <f>VLOOKUP(Table_Query_from_Actuarial___Production3[[#This Row],[Kor1]],$AI$3:$AK$105,3,FALSE)</f>
        <v>Misc. Income for Insolvent Companies</v>
      </c>
      <c r="AF9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8" spans="18:32" x14ac:dyDescent="0.2">
      <c r="R9528" t="s">
        <v>47</v>
      </c>
      <c r="S9528" t="s">
        <v>258</v>
      </c>
      <c r="T9528" t="s">
        <v>9</v>
      </c>
      <c r="U9528" s="21">
        <v>365.94</v>
      </c>
      <c r="V9528" s="21" t="s">
        <v>368</v>
      </c>
      <c r="W9528" t="str">
        <f>VLOOKUP(Table_Query_from_Actuarial___Production[[#This Row],[Kor1]],$AI$3:$AK$105,3,FALSE)</f>
        <v>Investment Income</v>
      </c>
      <c r="X9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8"/>
      <c r="Z9528" t="s">
        <v>44</v>
      </c>
      <c r="AA9528" t="s">
        <v>257</v>
      </c>
      <c r="AB9528" t="s">
        <v>7</v>
      </c>
      <c r="AC9528" s="21">
        <v>15446.56</v>
      </c>
      <c r="AD9528" s="21" t="s">
        <v>368</v>
      </c>
      <c r="AE9528" t="str">
        <f>VLOOKUP(Table_Query_from_Actuarial___Production3[[#This Row],[Kor1]],$AI$3:$AK$105,3,FALSE)</f>
        <v>Charge-offs</v>
      </c>
      <c r="AF9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29" spans="18:32" x14ac:dyDescent="0.2">
      <c r="R9529" t="s">
        <v>37</v>
      </c>
      <c r="S9529" t="s">
        <v>230</v>
      </c>
      <c r="T9529" t="s">
        <v>356</v>
      </c>
      <c r="U9529" s="21">
        <v>67098.2</v>
      </c>
      <c r="V9529" s="21" t="s">
        <v>368</v>
      </c>
      <c r="W9529" t="str">
        <f>VLOOKUP(Table_Query_from_Actuarial___Production[[#This Row],[Kor1]],$AI$3:$AK$105,3,FALSE)</f>
        <v>Misc. Expense</v>
      </c>
      <c r="X9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29"/>
      <c r="Z9529" t="s">
        <v>37</v>
      </c>
      <c r="AA9529" t="s">
        <v>227</v>
      </c>
      <c r="AB9529" t="s">
        <v>6</v>
      </c>
      <c r="AC9529" s="21">
        <v>129.09</v>
      </c>
      <c r="AD9529" s="21" t="s">
        <v>368</v>
      </c>
      <c r="AE9529" t="str">
        <f>VLOOKUP(Table_Query_from_Actuarial___Production3[[#This Row],[Kor1]],$AI$3:$AK$105,3,FALSE)</f>
        <v>Misc. Expense</v>
      </c>
      <c r="AF9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0" spans="18:32" x14ac:dyDescent="0.2">
      <c r="R9530" t="s">
        <v>439</v>
      </c>
      <c r="S9530" t="s">
        <v>268</v>
      </c>
      <c r="T9530" t="s">
        <v>433</v>
      </c>
      <c r="U9530" s="21">
        <v>3045</v>
      </c>
      <c r="V9530" s="21" t="s">
        <v>368</v>
      </c>
      <c r="W9530" t="str">
        <f>VLOOKUP(Table_Query_from_Actuarial___Production[[#This Row],[Kor1]],$AI$3:$AK$105,3,FALSE)</f>
        <v>Operating Service Fees</v>
      </c>
      <c r="X9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0"/>
      <c r="Z9530" t="s">
        <v>3</v>
      </c>
      <c r="AA9530" t="s">
        <v>257</v>
      </c>
      <c r="AB9530" t="s">
        <v>433</v>
      </c>
      <c r="AC9530" s="21">
        <v>1643499</v>
      </c>
      <c r="AD9530" s="21" t="s">
        <v>368</v>
      </c>
      <c r="AE9530" t="str">
        <f>VLOOKUP(Table_Query_from_Actuarial___Production3[[#This Row],[Kor1]],$AI$3:$AK$105,3,FALSE)</f>
        <v>Premiums Written</v>
      </c>
      <c r="AF9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1" spans="18:32" x14ac:dyDescent="0.2">
      <c r="R9531" t="s">
        <v>19</v>
      </c>
      <c r="S9531" t="s">
        <v>263</v>
      </c>
      <c r="T9531" t="s">
        <v>8</v>
      </c>
      <c r="U9531" s="21">
        <v>699</v>
      </c>
      <c r="V9531" s="21" t="s">
        <v>368</v>
      </c>
      <c r="W9531" t="str">
        <f>VLOOKUP(Table_Query_from_Actuarial___Production[[#This Row],[Kor1]],$AI$3:$AK$105,3,FALSE)</f>
        <v>Misc. Expense for Insolvent Companies</v>
      </c>
      <c r="X9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1"/>
      <c r="Z9531" t="s">
        <v>47</v>
      </c>
      <c r="AA9531" t="s">
        <v>258</v>
      </c>
      <c r="AB9531" t="s">
        <v>9</v>
      </c>
      <c r="AC9531" s="21">
        <v>365.94</v>
      </c>
      <c r="AD9531" s="21" t="s">
        <v>368</v>
      </c>
      <c r="AE9531" t="str">
        <f>VLOOKUP(Table_Query_from_Actuarial___Production3[[#This Row],[Kor1]],$AI$3:$AK$105,3,FALSE)</f>
        <v>Investment Income</v>
      </c>
      <c r="AF9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2" spans="18:32" x14ac:dyDescent="0.2">
      <c r="R9532" t="s">
        <v>46</v>
      </c>
      <c r="S9532" t="s">
        <v>224</v>
      </c>
      <c r="T9532" t="s">
        <v>6</v>
      </c>
      <c r="U9532" s="21">
        <v>261.24</v>
      </c>
      <c r="V9532" s="21" t="s">
        <v>368</v>
      </c>
      <c r="W9532" t="str">
        <f>VLOOKUP(Table_Query_from_Actuarial___Production[[#This Row],[Kor1]],$AI$3:$AK$105,3,FALSE)</f>
        <v>Investment Income</v>
      </c>
      <c r="X9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532"/>
      <c r="Z9532" t="s">
        <v>37</v>
      </c>
      <c r="AA9532" t="s">
        <v>230</v>
      </c>
      <c r="AB9532" t="s">
        <v>356</v>
      </c>
      <c r="AC9532" s="21">
        <v>67098.2</v>
      </c>
      <c r="AD9532" s="21" t="s">
        <v>368</v>
      </c>
      <c r="AE9532" t="str">
        <f>VLOOKUP(Table_Query_from_Actuarial___Production3[[#This Row],[Kor1]],$AI$3:$AK$105,3,FALSE)</f>
        <v>Misc. Expense</v>
      </c>
      <c r="AF9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3" spans="18:32" x14ac:dyDescent="0.2">
      <c r="R9533" t="s">
        <v>32</v>
      </c>
      <c r="S9533" t="s">
        <v>252</v>
      </c>
      <c r="T9533" t="s">
        <v>441</v>
      </c>
      <c r="U9533" s="21">
        <v>-200703.13</v>
      </c>
      <c r="V9533" s="21" t="s">
        <v>368</v>
      </c>
      <c r="W9533" t="str">
        <f>VLOOKUP(Table_Query_from_Actuarial___Production[[#This Row],[Kor1]],$AI$3:$AK$105,3,FALSE)</f>
        <v>Misc. Expense</v>
      </c>
      <c r="X9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3"/>
      <c r="Z9533" t="s">
        <v>439</v>
      </c>
      <c r="AA9533" t="s">
        <v>268</v>
      </c>
      <c r="AB9533" t="s">
        <v>433</v>
      </c>
      <c r="AC9533" s="21">
        <v>3045</v>
      </c>
      <c r="AD9533" s="21" t="s">
        <v>368</v>
      </c>
      <c r="AE9533" t="str">
        <f>VLOOKUP(Table_Query_from_Actuarial___Production3[[#This Row],[Kor1]],$AI$3:$AK$105,3,FALSE)</f>
        <v>Operating Service Fees</v>
      </c>
      <c r="AF9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4" spans="18:32" x14ac:dyDescent="0.2">
      <c r="R9534" t="s">
        <v>43</v>
      </c>
      <c r="S9534" t="s">
        <v>228</v>
      </c>
      <c r="T9534" t="s">
        <v>427</v>
      </c>
      <c r="U9534" s="21">
        <v>4.5</v>
      </c>
      <c r="V9534" s="21" t="s">
        <v>368</v>
      </c>
      <c r="W9534" t="str">
        <f>VLOOKUP(Table_Query_from_Actuarial___Production[[#This Row],[Kor1]],$AI$3:$AK$105,3,FALSE)</f>
        <v>Charge-offs</v>
      </c>
      <c r="X9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4"/>
      <c r="Z9534" t="s">
        <v>19</v>
      </c>
      <c r="AA9534" t="s">
        <v>263</v>
      </c>
      <c r="AB9534" t="s">
        <v>8</v>
      </c>
      <c r="AC9534" s="21">
        <v>699</v>
      </c>
      <c r="AD9534" s="21" t="s">
        <v>368</v>
      </c>
      <c r="AE9534" t="str">
        <f>VLOOKUP(Table_Query_from_Actuarial___Production3[[#This Row],[Kor1]],$AI$3:$AK$105,3,FALSE)</f>
        <v>Misc. Expense for Insolvent Companies</v>
      </c>
      <c r="AF9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5" spans="18:32" x14ac:dyDescent="0.2">
      <c r="R9535" t="s">
        <v>34</v>
      </c>
      <c r="S9535" t="s">
        <v>257</v>
      </c>
      <c r="T9535" t="s">
        <v>445</v>
      </c>
      <c r="U9535" s="21">
        <v>-88266.73</v>
      </c>
      <c r="V9535" s="21" t="s">
        <v>368</v>
      </c>
      <c r="W9535" t="str">
        <f>VLOOKUP(Table_Query_from_Actuarial___Production[[#This Row],[Kor1]],$AI$3:$AK$105,3,FALSE)</f>
        <v>Misc. Expense</v>
      </c>
      <c r="X9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5"/>
      <c r="Z9535" t="s">
        <v>46</v>
      </c>
      <c r="AA9535" t="s">
        <v>224</v>
      </c>
      <c r="AB9535" t="s">
        <v>6</v>
      </c>
      <c r="AC9535" s="21">
        <v>261.24</v>
      </c>
      <c r="AD9535" s="21" t="s">
        <v>368</v>
      </c>
      <c r="AE9535" t="str">
        <f>VLOOKUP(Table_Query_from_Actuarial___Production3[[#This Row],[Kor1]],$AI$3:$AK$105,3,FALSE)</f>
        <v>Investment Income</v>
      </c>
      <c r="AF9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536" spans="18:32" x14ac:dyDescent="0.2">
      <c r="R9536" t="s">
        <v>44</v>
      </c>
      <c r="S9536" t="s">
        <v>229</v>
      </c>
      <c r="T9536" t="s">
        <v>427</v>
      </c>
      <c r="U9536" s="21">
        <v>-4</v>
      </c>
      <c r="V9536" s="21" t="s">
        <v>368</v>
      </c>
      <c r="W9536" t="str">
        <f>VLOOKUP(Table_Query_from_Actuarial___Production[[#This Row],[Kor1]],$AI$3:$AK$105,3,FALSE)</f>
        <v>Charge-offs</v>
      </c>
      <c r="X9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6"/>
      <c r="Z9536" t="s">
        <v>10</v>
      </c>
      <c r="AA9536" t="s">
        <v>257</v>
      </c>
      <c r="AB9536" t="s">
        <v>5</v>
      </c>
      <c r="AC9536" s="21">
        <v>76807.360000000001</v>
      </c>
      <c r="AD9536" s="21" t="s">
        <v>368</v>
      </c>
      <c r="AE9536" t="str">
        <f>VLOOKUP(Table_Query_from_Actuarial___Production3[[#This Row],[Kor1]],$AI$3:$AK$105,3,FALSE)</f>
        <v>Commissions</v>
      </c>
      <c r="AF9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7" spans="18:32" x14ac:dyDescent="0.2">
      <c r="R9537" t="s">
        <v>33</v>
      </c>
      <c r="S9537" t="s">
        <v>242</v>
      </c>
      <c r="T9537" t="s">
        <v>443</v>
      </c>
      <c r="U9537" s="21">
        <v>15710.35</v>
      </c>
      <c r="V9537" s="21" t="s">
        <v>368</v>
      </c>
      <c r="W9537" t="str">
        <f>VLOOKUP(Table_Query_from_Actuarial___Production[[#This Row],[Kor1]],$AI$3:$AK$105,3,FALSE)</f>
        <v>Misc. Expense</v>
      </c>
      <c r="X9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7"/>
      <c r="Z9537" t="s">
        <v>32</v>
      </c>
      <c r="AA9537" t="s">
        <v>252</v>
      </c>
      <c r="AB9537" t="s">
        <v>441</v>
      </c>
      <c r="AC9537" s="21">
        <v>-200703.13</v>
      </c>
      <c r="AD9537" s="21" t="s">
        <v>368</v>
      </c>
      <c r="AE9537" t="str">
        <f>VLOOKUP(Table_Query_from_Actuarial___Production3[[#This Row],[Kor1]],$AI$3:$AK$105,3,FALSE)</f>
        <v>Misc. Expense</v>
      </c>
      <c r="AF9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8" spans="18:32" x14ac:dyDescent="0.2">
      <c r="R9538" t="s">
        <v>44</v>
      </c>
      <c r="S9538" t="s">
        <v>230</v>
      </c>
      <c r="T9538" t="s">
        <v>351</v>
      </c>
      <c r="U9538" s="21">
        <v>3882974.73</v>
      </c>
      <c r="V9538" s="21" t="s">
        <v>368</v>
      </c>
      <c r="W9538" t="str">
        <f>VLOOKUP(Table_Query_from_Actuarial___Production[[#This Row],[Kor1]],$AI$3:$AK$105,3,FALSE)</f>
        <v>Charge-offs</v>
      </c>
      <c r="X9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8"/>
      <c r="Z9538" t="s">
        <v>43</v>
      </c>
      <c r="AA9538" t="s">
        <v>228</v>
      </c>
      <c r="AB9538" t="s">
        <v>427</v>
      </c>
      <c r="AC9538" s="21">
        <v>4.5</v>
      </c>
      <c r="AD9538" s="21" t="s">
        <v>368</v>
      </c>
      <c r="AE9538" t="str">
        <f>VLOOKUP(Table_Query_from_Actuarial___Production3[[#This Row],[Kor1]],$AI$3:$AK$105,3,FALSE)</f>
        <v>Charge-offs</v>
      </c>
      <c r="AF9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39" spans="18:32" x14ac:dyDescent="0.2">
      <c r="R9539" t="s">
        <v>13</v>
      </c>
      <c r="S9539" t="s">
        <v>263</v>
      </c>
      <c r="T9539" t="s">
        <v>443</v>
      </c>
      <c r="U9539" s="21">
        <v>74605.83</v>
      </c>
      <c r="V9539" s="21" t="s">
        <v>368</v>
      </c>
      <c r="W9539" t="str">
        <f>VLOOKUP(Table_Query_from_Actuarial___Production[[#This Row],[Kor1]],$AI$3:$AK$105,3,FALSE)</f>
        <v>Operating Service Fees</v>
      </c>
      <c r="X9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39"/>
      <c r="Z9539" t="s">
        <v>44</v>
      </c>
      <c r="AA9539" t="s">
        <v>229</v>
      </c>
      <c r="AB9539" t="s">
        <v>427</v>
      </c>
      <c r="AC9539" s="21">
        <v>-4</v>
      </c>
      <c r="AD9539" s="21" t="s">
        <v>368</v>
      </c>
      <c r="AE9539" t="str">
        <f>VLOOKUP(Table_Query_from_Actuarial___Production3[[#This Row],[Kor1]],$AI$3:$AK$105,3,FALSE)</f>
        <v>Charge-offs</v>
      </c>
      <c r="AF9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0" spans="18:32" x14ac:dyDescent="0.2">
      <c r="R9540" t="s">
        <v>44</v>
      </c>
      <c r="S9540" t="s">
        <v>258</v>
      </c>
      <c r="T9540" t="s">
        <v>9</v>
      </c>
      <c r="U9540" s="21">
        <v>4780.17</v>
      </c>
      <c r="V9540" s="21" t="s">
        <v>368</v>
      </c>
      <c r="W9540" t="str">
        <f>VLOOKUP(Table_Query_from_Actuarial___Production[[#This Row],[Kor1]],$AI$3:$AK$105,3,FALSE)</f>
        <v>Charge-offs</v>
      </c>
      <c r="X9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0"/>
      <c r="Z9540" t="s">
        <v>33</v>
      </c>
      <c r="AA9540" t="s">
        <v>242</v>
      </c>
      <c r="AB9540" t="s">
        <v>443</v>
      </c>
      <c r="AC9540" s="21">
        <v>8320.25</v>
      </c>
      <c r="AD9540" s="21" t="s">
        <v>368</v>
      </c>
      <c r="AE9540" t="str">
        <f>VLOOKUP(Table_Query_from_Actuarial___Production3[[#This Row],[Kor1]],$AI$3:$AK$105,3,FALSE)</f>
        <v>Misc. Expense</v>
      </c>
      <c r="AF9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1" spans="18:32" x14ac:dyDescent="0.2">
      <c r="R9541" t="s">
        <v>50</v>
      </c>
      <c r="S9541" t="s">
        <v>231</v>
      </c>
      <c r="T9541" t="s">
        <v>441</v>
      </c>
      <c r="U9541" s="21">
        <v>111661.48</v>
      </c>
      <c r="V9541" s="21" t="s">
        <v>368</v>
      </c>
      <c r="W9541" t="str">
        <f>VLOOKUP(Table_Query_from_Actuarial___Production[[#This Row],[Kor1]],$AI$3:$AK$105,3,FALSE)</f>
        <v>ALAE Reserve</v>
      </c>
      <c r="X9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1"/>
      <c r="Z9541" t="s">
        <v>44</v>
      </c>
      <c r="AA9541" t="s">
        <v>230</v>
      </c>
      <c r="AB9541" t="s">
        <v>351</v>
      </c>
      <c r="AC9541" s="21">
        <v>3882974.73</v>
      </c>
      <c r="AD9541" s="21" t="s">
        <v>368</v>
      </c>
      <c r="AE9541" t="str">
        <f>VLOOKUP(Table_Query_from_Actuarial___Production3[[#This Row],[Kor1]],$AI$3:$AK$105,3,FALSE)</f>
        <v>Charge-offs</v>
      </c>
      <c r="AF9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2" spans="18:32" x14ac:dyDescent="0.2">
      <c r="R9542" t="s">
        <v>44</v>
      </c>
      <c r="S9542" t="s">
        <v>251</v>
      </c>
      <c r="T9542" t="s">
        <v>7</v>
      </c>
      <c r="U9542" s="21">
        <v>-1</v>
      </c>
      <c r="V9542" s="21" t="s">
        <v>368</v>
      </c>
      <c r="W9542" t="str">
        <f>VLOOKUP(Table_Query_from_Actuarial___Production[[#This Row],[Kor1]],$AI$3:$AK$105,3,FALSE)</f>
        <v>Charge-offs</v>
      </c>
      <c r="X9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2"/>
      <c r="Z9542" t="s">
        <v>13</v>
      </c>
      <c r="AA9542" t="s">
        <v>263</v>
      </c>
      <c r="AB9542" t="s">
        <v>443</v>
      </c>
      <c r="AC9542" s="21">
        <v>10203.81</v>
      </c>
      <c r="AD9542" s="21" t="s">
        <v>368</v>
      </c>
      <c r="AE9542" t="str">
        <f>VLOOKUP(Table_Query_from_Actuarial___Production3[[#This Row],[Kor1]],$AI$3:$AK$105,3,FALSE)</f>
        <v>Operating Service Fees</v>
      </c>
      <c r="AF9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3" spans="18:32" x14ac:dyDescent="0.2">
      <c r="R9543" t="s">
        <v>11</v>
      </c>
      <c r="S9543" t="s">
        <v>352</v>
      </c>
      <c r="T9543" t="s">
        <v>8</v>
      </c>
      <c r="U9543" s="21">
        <v>2397.52</v>
      </c>
      <c r="V9543" s="21" t="s">
        <v>368</v>
      </c>
      <c r="W9543" t="str">
        <f>VLOOKUP(Table_Query_from_Actuarial___Production[[#This Row],[Kor1]],$AI$3:$AK$105,3,FALSE)</f>
        <v>Losses Paid</v>
      </c>
      <c r="X9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9543"/>
      <c r="Z9543" t="s">
        <v>44</v>
      </c>
      <c r="AA9543" t="s">
        <v>258</v>
      </c>
      <c r="AB9543" t="s">
        <v>9</v>
      </c>
      <c r="AC9543" s="21">
        <v>4780.17</v>
      </c>
      <c r="AD9543" s="21" t="s">
        <v>368</v>
      </c>
      <c r="AE9543" t="str">
        <f>VLOOKUP(Table_Query_from_Actuarial___Production3[[#This Row],[Kor1]],$AI$3:$AK$105,3,FALSE)</f>
        <v>Charge-offs</v>
      </c>
      <c r="AF9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4" spans="18:32" x14ac:dyDescent="0.2">
      <c r="R9544" t="s">
        <v>11</v>
      </c>
      <c r="S9544" t="s">
        <v>265</v>
      </c>
      <c r="T9544" t="s">
        <v>445</v>
      </c>
      <c r="U9544" s="21">
        <v>8946.43</v>
      </c>
      <c r="V9544" s="21" t="s">
        <v>368</v>
      </c>
      <c r="W9544" t="str">
        <f>VLOOKUP(Table_Query_from_Actuarial___Production[[#This Row],[Kor1]],$AI$3:$AK$105,3,FALSE)</f>
        <v>Losses Paid</v>
      </c>
      <c r="X9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4"/>
      <c r="Z9544" t="s">
        <v>50</v>
      </c>
      <c r="AA9544" t="s">
        <v>231</v>
      </c>
      <c r="AB9544" t="s">
        <v>441</v>
      </c>
      <c r="AC9544" s="21">
        <v>132580.59</v>
      </c>
      <c r="AD9544" s="21" t="s">
        <v>368</v>
      </c>
      <c r="AE9544" t="str">
        <f>VLOOKUP(Table_Query_from_Actuarial___Production3[[#This Row],[Kor1]],$AI$3:$AK$105,3,FALSE)</f>
        <v>ALAE Reserve</v>
      </c>
      <c r="AF9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5" spans="18:32" x14ac:dyDescent="0.2">
      <c r="R9545" t="s">
        <v>10</v>
      </c>
      <c r="S9545" t="s">
        <v>258</v>
      </c>
      <c r="T9545" t="s">
        <v>433</v>
      </c>
      <c r="U9545" s="21">
        <v>217722.8</v>
      </c>
      <c r="V9545" s="21" t="s">
        <v>368</v>
      </c>
      <c r="W9545" t="str">
        <f>VLOOKUP(Table_Query_from_Actuarial___Production[[#This Row],[Kor1]],$AI$3:$AK$105,3,FALSE)</f>
        <v>Commissions</v>
      </c>
      <c r="X9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5"/>
      <c r="Z9545" t="s">
        <v>44</v>
      </c>
      <c r="AA9545" t="s">
        <v>251</v>
      </c>
      <c r="AB9545" t="s">
        <v>7</v>
      </c>
      <c r="AC9545" s="21">
        <v>-1</v>
      </c>
      <c r="AD9545" s="21" t="s">
        <v>368</v>
      </c>
      <c r="AE9545" t="str">
        <f>VLOOKUP(Table_Query_from_Actuarial___Production3[[#This Row],[Kor1]],$AI$3:$AK$105,3,FALSE)</f>
        <v>Charge-offs</v>
      </c>
      <c r="AF9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6" spans="18:32" x14ac:dyDescent="0.2">
      <c r="R9546" t="s">
        <v>49</v>
      </c>
      <c r="S9546" t="s">
        <v>267</v>
      </c>
      <c r="T9546" t="s">
        <v>442</v>
      </c>
      <c r="U9546" s="21">
        <v>25094.15</v>
      </c>
      <c r="V9546" s="21" t="s">
        <v>368</v>
      </c>
      <c r="W9546" t="str">
        <f>VLOOKUP(Table_Query_from_Actuarial___Production[[#This Row],[Kor1]],$AI$3:$AK$105,3,FALSE)</f>
        <v>ALAE Paid</v>
      </c>
      <c r="X9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6"/>
      <c r="Z9546" t="s">
        <v>11</v>
      </c>
      <c r="AA9546" t="s">
        <v>352</v>
      </c>
      <c r="AB9546" t="s">
        <v>8</v>
      </c>
      <c r="AC9546" s="21">
        <v>26464.41</v>
      </c>
      <c r="AD9546" s="21" t="s">
        <v>368</v>
      </c>
      <c r="AE9546" t="str">
        <f>VLOOKUP(Table_Query_from_Actuarial___Production3[[#This Row],[Kor1]],$AI$3:$AK$105,3,FALSE)</f>
        <v>Losses Paid</v>
      </c>
      <c r="AF9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9547" spans="18:32" x14ac:dyDescent="0.2">
      <c r="R9547" t="s">
        <v>19</v>
      </c>
      <c r="S9547" t="s">
        <v>266</v>
      </c>
      <c r="T9547" t="s">
        <v>7</v>
      </c>
      <c r="U9547" s="21">
        <v>577</v>
      </c>
      <c r="V9547" s="21" t="s">
        <v>368</v>
      </c>
      <c r="W9547" t="str">
        <f>VLOOKUP(Table_Query_from_Actuarial___Production[[#This Row],[Kor1]],$AI$3:$AK$105,3,FALSE)</f>
        <v>Misc. Expense for Insolvent Companies</v>
      </c>
      <c r="X9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7"/>
      <c r="Z9547" t="s">
        <v>10</v>
      </c>
      <c r="AA9547" t="s">
        <v>258</v>
      </c>
      <c r="AB9547" t="s">
        <v>433</v>
      </c>
      <c r="AC9547" s="21">
        <v>217722.8</v>
      </c>
      <c r="AD9547" s="21" t="s">
        <v>368</v>
      </c>
      <c r="AE9547" t="str">
        <f>VLOOKUP(Table_Query_from_Actuarial___Production3[[#This Row],[Kor1]],$AI$3:$AK$105,3,FALSE)</f>
        <v>Commissions</v>
      </c>
      <c r="AF9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8" spans="18:32" x14ac:dyDescent="0.2">
      <c r="R9548" t="s">
        <v>43</v>
      </c>
      <c r="S9548" t="s">
        <v>237</v>
      </c>
      <c r="T9548" t="s">
        <v>6</v>
      </c>
      <c r="U9548" s="21">
        <v>11506.12</v>
      </c>
      <c r="V9548" s="21" t="s">
        <v>368</v>
      </c>
      <c r="W9548" t="str">
        <f>VLOOKUP(Table_Query_from_Actuarial___Production[[#This Row],[Kor1]],$AI$3:$AK$105,3,FALSE)</f>
        <v>Charge-offs</v>
      </c>
      <c r="X9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8"/>
      <c r="Z9548" t="s">
        <v>49</v>
      </c>
      <c r="AA9548" t="s">
        <v>267</v>
      </c>
      <c r="AB9548" t="s">
        <v>442</v>
      </c>
      <c r="AC9548" s="21">
        <v>91</v>
      </c>
      <c r="AD9548" s="21" t="s">
        <v>368</v>
      </c>
      <c r="AE9548" t="str">
        <f>VLOOKUP(Table_Query_from_Actuarial___Production3[[#This Row],[Kor1]],$AI$3:$AK$105,3,FALSE)</f>
        <v>ALAE Paid</v>
      </c>
      <c r="AF9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49" spans="18:32" x14ac:dyDescent="0.2">
      <c r="R9549" t="s">
        <v>48</v>
      </c>
      <c r="S9549" t="s">
        <v>228</v>
      </c>
      <c r="T9549" t="s">
        <v>433</v>
      </c>
      <c r="U9549" s="21">
        <v>76.2</v>
      </c>
      <c r="V9549" s="21" t="s">
        <v>368</v>
      </c>
      <c r="W9549" t="str">
        <f>VLOOKUP(Table_Query_from_Actuarial___Production[[#This Row],[Kor1]],$AI$3:$AK$105,3,FALSE)</f>
        <v>Anticipated Salvage</v>
      </c>
      <c r="X9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49"/>
      <c r="Z9549" t="s">
        <v>19</v>
      </c>
      <c r="AA9549" t="s">
        <v>266</v>
      </c>
      <c r="AB9549" t="s">
        <v>7</v>
      </c>
      <c r="AC9549" s="21">
        <v>577</v>
      </c>
      <c r="AD9549" s="21" t="s">
        <v>368</v>
      </c>
      <c r="AE9549" t="str">
        <f>VLOOKUP(Table_Query_from_Actuarial___Production3[[#This Row],[Kor1]],$AI$3:$AK$105,3,FALSE)</f>
        <v>Misc. Expense for Insolvent Companies</v>
      </c>
      <c r="AF9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0" spans="18:32" x14ac:dyDescent="0.2">
      <c r="R9550" t="s">
        <v>50</v>
      </c>
      <c r="S9550" t="s">
        <v>242</v>
      </c>
      <c r="T9550" t="s">
        <v>433</v>
      </c>
      <c r="U9550" s="21">
        <v>14177.54</v>
      </c>
      <c r="V9550" s="21" t="s">
        <v>368</v>
      </c>
      <c r="W9550" t="str">
        <f>VLOOKUP(Table_Query_from_Actuarial___Production[[#This Row],[Kor1]],$AI$3:$AK$105,3,FALSE)</f>
        <v>ALAE Reserve</v>
      </c>
      <c r="X9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0"/>
      <c r="Z9550" t="s">
        <v>43</v>
      </c>
      <c r="AA9550" t="s">
        <v>237</v>
      </c>
      <c r="AB9550" t="s">
        <v>6</v>
      </c>
      <c r="AC9550" s="21">
        <v>11506.12</v>
      </c>
      <c r="AD9550" s="21" t="s">
        <v>368</v>
      </c>
      <c r="AE9550" t="str">
        <f>VLOOKUP(Table_Query_from_Actuarial___Production3[[#This Row],[Kor1]],$AI$3:$AK$105,3,FALSE)</f>
        <v>Charge-offs</v>
      </c>
      <c r="AF9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1" spans="18:32" x14ac:dyDescent="0.2">
      <c r="R9551" t="s">
        <v>12</v>
      </c>
      <c r="S9551" t="s">
        <v>227</v>
      </c>
      <c r="T9551" t="s">
        <v>443</v>
      </c>
      <c r="U9551" s="21">
        <v>7012.93</v>
      </c>
      <c r="V9551" s="21" t="s">
        <v>368</v>
      </c>
      <c r="W9551" t="str">
        <f>VLOOKUP(Table_Query_from_Actuarial___Production[[#This Row],[Kor1]],$AI$3:$AK$105,3,FALSE)</f>
        <v>Premium Tax</v>
      </c>
      <c r="X9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1"/>
      <c r="Z9551" t="s">
        <v>48</v>
      </c>
      <c r="AA9551" t="s">
        <v>228</v>
      </c>
      <c r="AB9551" t="s">
        <v>433</v>
      </c>
      <c r="AC9551" s="21">
        <v>19.36</v>
      </c>
      <c r="AD9551" s="21" t="s">
        <v>368</v>
      </c>
      <c r="AE9551" t="str">
        <f>VLOOKUP(Table_Query_from_Actuarial___Production3[[#This Row],[Kor1]],$AI$3:$AK$105,3,FALSE)</f>
        <v>Anticipated Salvage</v>
      </c>
      <c r="AF9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2" spans="18:32" x14ac:dyDescent="0.2">
      <c r="R9552" t="s">
        <v>39</v>
      </c>
      <c r="S9552" t="s">
        <v>240</v>
      </c>
      <c r="T9552" t="s">
        <v>9</v>
      </c>
      <c r="U9552" s="21">
        <v>286.01</v>
      </c>
      <c r="V9552" s="21" t="s">
        <v>368</v>
      </c>
      <c r="W9552" t="str">
        <f>VLOOKUP(Table_Query_from_Actuarial___Production[[#This Row],[Kor1]],$AI$3:$AK$105,3,FALSE)</f>
        <v>Misc. Income for Insolvent Companies</v>
      </c>
      <c r="X9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2"/>
      <c r="Z9552" t="s">
        <v>50</v>
      </c>
      <c r="AA9552" t="s">
        <v>242</v>
      </c>
      <c r="AB9552" t="s">
        <v>433</v>
      </c>
      <c r="AC9552" s="21">
        <v>55325.24</v>
      </c>
      <c r="AD9552" s="21" t="s">
        <v>368</v>
      </c>
      <c r="AE9552" t="str">
        <f>VLOOKUP(Table_Query_from_Actuarial___Production3[[#This Row],[Kor1]],$AI$3:$AK$105,3,FALSE)</f>
        <v>ALAE Reserve</v>
      </c>
      <c r="AF9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3" spans="18:32" x14ac:dyDescent="0.2">
      <c r="R9553" t="s">
        <v>15</v>
      </c>
      <c r="S9553" t="s">
        <v>240</v>
      </c>
      <c r="T9553" t="s">
        <v>445</v>
      </c>
      <c r="U9553" s="21">
        <v>1062114.8700000001</v>
      </c>
      <c r="V9553" s="21" t="s">
        <v>368</v>
      </c>
      <c r="W9553" t="str">
        <f>VLOOKUP(Table_Query_from_Actuarial___Production[[#This Row],[Kor1]],$AI$3:$AK$105,3,FALSE)</f>
        <v>Unearned Premiums</v>
      </c>
      <c r="X9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3"/>
      <c r="Z9553" t="s">
        <v>39</v>
      </c>
      <c r="AA9553" t="s">
        <v>240</v>
      </c>
      <c r="AB9553" t="s">
        <v>9</v>
      </c>
      <c r="AC9553" s="21">
        <v>286.01</v>
      </c>
      <c r="AD9553" s="21" t="s">
        <v>368</v>
      </c>
      <c r="AE9553" t="str">
        <f>VLOOKUP(Table_Query_from_Actuarial___Production3[[#This Row],[Kor1]],$AI$3:$AK$105,3,FALSE)</f>
        <v>Misc. Income for Insolvent Companies</v>
      </c>
      <c r="AF9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4" spans="18:32" x14ac:dyDescent="0.2">
      <c r="R9554" t="s">
        <v>37</v>
      </c>
      <c r="S9554" t="s">
        <v>240</v>
      </c>
      <c r="T9554" t="s">
        <v>443</v>
      </c>
      <c r="U9554" s="21">
        <v>2542.3000000000002</v>
      </c>
      <c r="V9554" s="21" t="s">
        <v>368</v>
      </c>
      <c r="W9554" t="str">
        <f>VLOOKUP(Table_Query_from_Actuarial___Production[[#This Row],[Kor1]],$AI$3:$AK$105,3,FALSE)</f>
        <v>Misc. Expense</v>
      </c>
      <c r="X9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4"/>
      <c r="Z9554" t="s">
        <v>37</v>
      </c>
      <c r="AA9554" t="s">
        <v>240</v>
      </c>
      <c r="AB9554" t="s">
        <v>443</v>
      </c>
      <c r="AC9554" s="21">
        <v>2415.25</v>
      </c>
      <c r="AD9554" s="21" t="s">
        <v>368</v>
      </c>
      <c r="AE9554" t="str">
        <f>VLOOKUP(Table_Query_from_Actuarial___Production3[[#This Row],[Kor1]],$AI$3:$AK$105,3,FALSE)</f>
        <v>Misc. Expense</v>
      </c>
      <c r="AF9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5" spans="18:32" x14ac:dyDescent="0.2">
      <c r="R9555" t="s">
        <v>39</v>
      </c>
      <c r="S9555" t="s">
        <v>227</v>
      </c>
      <c r="T9555" t="s">
        <v>427</v>
      </c>
      <c r="U9555" s="21">
        <v>10840.42</v>
      </c>
      <c r="V9555" s="21" t="s">
        <v>368</v>
      </c>
      <c r="W9555" t="str">
        <f>VLOOKUP(Table_Query_from_Actuarial___Production[[#This Row],[Kor1]],$AI$3:$AK$105,3,FALSE)</f>
        <v>Misc. Income for Insolvent Companies</v>
      </c>
      <c r="X9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5"/>
      <c r="Z9555" t="s">
        <v>39</v>
      </c>
      <c r="AA9555" t="s">
        <v>227</v>
      </c>
      <c r="AB9555" t="s">
        <v>427</v>
      </c>
      <c r="AC9555" s="21">
        <v>10840.42</v>
      </c>
      <c r="AD9555" s="21" t="s">
        <v>368</v>
      </c>
      <c r="AE9555" t="str">
        <f>VLOOKUP(Table_Query_from_Actuarial___Production3[[#This Row],[Kor1]],$AI$3:$AK$105,3,FALSE)</f>
        <v>Misc. Income for Insolvent Companies</v>
      </c>
      <c r="AF9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6" spans="18:32" x14ac:dyDescent="0.2">
      <c r="R9556" t="s">
        <v>47</v>
      </c>
      <c r="S9556" t="s">
        <v>229</v>
      </c>
      <c r="T9556" t="s">
        <v>445</v>
      </c>
      <c r="U9556" s="21">
        <v>6762.16</v>
      </c>
      <c r="V9556" s="21" t="s">
        <v>368</v>
      </c>
      <c r="W9556" t="str">
        <f>VLOOKUP(Table_Query_from_Actuarial___Production[[#This Row],[Kor1]],$AI$3:$AK$105,3,FALSE)</f>
        <v>Investment Income</v>
      </c>
      <c r="X9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6"/>
      <c r="Z9556" t="s">
        <v>43</v>
      </c>
      <c r="AA9556" t="s">
        <v>240</v>
      </c>
      <c r="AB9556" t="s">
        <v>427</v>
      </c>
      <c r="AC9556" s="21">
        <v>2262.36</v>
      </c>
      <c r="AD9556" s="21" t="s">
        <v>368</v>
      </c>
      <c r="AE9556" t="str">
        <f>VLOOKUP(Table_Query_from_Actuarial___Production3[[#This Row],[Kor1]],$AI$3:$AK$105,3,FALSE)</f>
        <v>Charge-offs</v>
      </c>
      <c r="AF9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7" spans="18:32" x14ac:dyDescent="0.2">
      <c r="R9557" t="s">
        <v>43</v>
      </c>
      <c r="S9557" t="s">
        <v>240</v>
      </c>
      <c r="T9557" t="s">
        <v>427</v>
      </c>
      <c r="U9557" s="21">
        <v>2262.36</v>
      </c>
      <c r="V9557" s="21" t="s">
        <v>368</v>
      </c>
      <c r="W9557" t="str">
        <f>VLOOKUP(Table_Query_from_Actuarial___Production[[#This Row],[Kor1]],$AI$3:$AK$105,3,FALSE)</f>
        <v>Charge-offs</v>
      </c>
      <c r="X9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7"/>
      <c r="Z9557" t="s">
        <v>439</v>
      </c>
      <c r="AA9557" t="s">
        <v>230</v>
      </c>
      <c r="AB9557" t="s">
        <v>433</v>
      </c>
      <c r="AC9557" s="21">
        <v>333724</v>
      </c>
      <c r="AD9557" s="21" t="s">
        <v>368</v>
      </c>
      <c r="AE9557" t="str">
        <f>VLOOKUP(Table_Query_from_Actuarial___Production3[[#This Row],[Kor1]],$AI$3:$AK$105,3,FALSE)</f>
        <v>Operating Service Fees</v>
      </c>
      <c r="AF9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8" spans="18:32" x14ac:dyDescent="0.2">
      <c r="R9558" t="s">
        <v>439</v>
      </c>
      <c r="S9558" t="s">
        <v>230</v>
      </c>
      <c r="T9558" t="s">
        <v>433</v>
      </c>
      <c r="U9558" s="21">
        <v>333724</v>
      </c>
      <c r="V9558" s="21" t="s">
        <v>368</v>
      </c>
      <c r="W9558" t="str">
        <f>VLOOKUP(Table_Query_from_Actuarial___Production[[#This Row],[Kor1]],$AI$3:$AK$105,3,FALSE)</f>
        <v>Operating Service Fees</v>
      </c>
      <c r="X9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8"/>
      <c r="Z9558" t="s">
        <v>10</v>
      </c>
      <c r="AA9558" t="s">
        <v>261</v>
      </c>
      <c r="AB9558" t="s">
        <v>427</v>
      </c>
      <c r="AC9558" s="21">
        <v>33259.1</v>
      </c>
      <c r="AD9558" s="21" t="s">
        <v>368</v>
      </c>
      <c r="AE9558" t="str">
        <f>VLOOKUP(Table_Query_from_Actuarial___Production3[[#This Row],[Kor1]],$AI$3:$AK$105,3,FALSE)</f>
        <v>Commissions</v>
      </c>
      <c r="AF9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59" spans="18:32" x14ac:dyDescent="0.2">
      <c r="R9559" t="s">
        <v>10</v>
      </c>
      <c r="S9559" t="s">
        <v>261</v>
      </c>
      <c r="T9559" t="s">
        <v>427</v>
      </c>
      <c r="U9559" s="21">
        <v>33259.1</v>
      </c>
      <c r="V9559" s="21" t="s">
        <v>368</v>
      </c>
      <c r="W9559" t="str">
        <f>VLOOKUP(Table_Query_from_Actuarial___Production[[#This Row],[Kor1]],$AI$3:$AK$105,3,FALSE)</f>
        <v>Commissions</v>
      </c>
      <c r="X9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59"/>
      <c r="Z9559" t="s">
        <v>19</v>
      </c>
      <c r="AA9559" t="s">
        <v>242</v>
      </c>
      <c r="AB9559" t="s">
        <v>5</v>
      </c>
      <c r="AC9559" s="21">
        <v>41545</v>
      </c>
      <c r="AD9559" s="21" t="s">
        <v>368</v>
      </c>
      <c r="AE9559" t="str">
        <f>VLOOKUP(Table_Query_from_Actuarial___Production3[[#This Row],[Kor1]],$AI$3:$AK$105,3,FALSE)</f>
        <v>Misc. Expense for Insolvent Companies</v>
      </c>
      <c r="AF9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0" spans="18:32" x14ac:dyDescent="0.2">
      <c r="R9560" t="s">
        <v>31</v>
      </c>
      <c r="S9560" t="s">
        <v>253</v>
      </c>
      <c r="T9560" t="s">
        <v>356</v>
      </c>
      <c r="U9560" s="21">
        <v>1205.1199999999999</v>
      </c>
      <c r="V9560" s="21" t="s">
        <v>368</v>
      </c>
      <c r="W9560" t="str">
        <f>VLOOKUP(Table_Query_from_Actuarial___Production[[#This Row],[Kor1]],$AI$3:$AK$105,3,FALSE)</f>
        <v>Misc. Expense</v>
      </c>
      <c r="X9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0"/>
      <c r="Z9560" t="s">
        <v>31</v>
      </c>
      <c r="AA9560" t="s">
        <v>253</v>
      </c>
      <c r="AB9560" t="s">
        <v>356</v>
      </c>
      <c r="AC9560" s="21">
        <v>1205.1199999999999</v>
      </c>
      <c r="AD9560" s="21" t="s">
        <v>368</v>
      </c>
      <c r="AE9560" t="str">
        <f>VLOOKUP(Table_Query_from_Actuarial___Production3[[#This Row],[Kor1]],$AI$3:$AK$105,3,FALSE)</f>
        <v>Misc. Expense</v>
      </c>
      <c r="AF9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1" spans="18:32" x14ac:dyDescent="0.2">
      <c r="R9561" t="s">
        <v>39</v>
      </c>
      <c r="S9561" t="s">
        <v>257</v>
      </c>
      <c r="T9561" t="s">
        <v>6</v>
      </c>
      <c r="U9561" s="21">
        <v>2912.43</v>
      </c>
      <c r="V9561" s="21" t="s">
        <v>368</v>
      </c>
      <c r="W9561" t="str">
        <f>VLOOKUP(Table_Query_from_Actuarial___Production[[#This Row],[Kor1]],$AI$3:$AK$105,3,FALSE)</f>
        <v>Misc. Income for Insolvent Companies</v>
      </c>
      <c r="X9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1"/>
      <c r="Z9561" t="s">
        <v>39</v>
      </c>
      <c r="AA9561" t="s">
        <v>257</v>
      </c>
      <c r="AB9561" t="s">
        <v>6</v>
      </c>
      <c r="AC9561" s="21">
        <v>2912.43</v>
      </c>
      <c r="AD9561" s="21" t="s">
        <v>368</v>
      </c>
      <c r="AE9561" t="str">
        <f>VLOOKUP(Table_Query_from_Actuarial___Production3[[#This Row],[Kor1]],$AI$3:$AK$105,3,FALSE)</f>
        <v>Misc. Income for Insolvent Companies</v>
      </c>
      <c r="AF9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2" spans="18:32" x14ac:dyDescent="0.2">
      <c r="R9562" t="s">
        <v>37</v>
      </c>
      <c r="S9562" t="s">
        <v>246</v>
      </c>
      <c r="T9562" t="s">
        <v>8</v>
      </c>
      <c r="U9562" s="21">
        <v>24.69</v>
      </c>
      <c r="V9562" s="21" t="s">
        <v>368</v>
      </c>
      <c r="W9562" t="str">
        <f>VLOOKUP(Table_Query_from_Actuarial___Production[[#This Row],[Kor1]],$AI$3:$AK$105,3,FALSE)</f>
        <v>Misc. Expense</v>
      </c>
      <c r="X9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2"/>
      <c r="Z9562" t="s">
        <v>37</v>
      </c>
      <c r="AA9562" t="s">
        <v>246</v>
      </c>
      <c r="AB9562" t="s">
        <v>8</v>
      </c>
      <c r="AC9562" s="21">
        <v>24.69</v>
      </c>
      <c r="AD9562" s="21" t="s">
        <v>368</v>
      </c>
      <c r="AE9562" t="str">
        <f>VLOOKUP(Table_Query_from_Actuarial___Production3[[#This Row],[Kor1]],$AI$3:$AK$105,3,FALSE)</f>
        <v>Misc. Expense</v>
      </c>
      <c r="AF9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3" spans="18:32" x14ac:dyDescent="0.2">
      <c r="R9563" t="s">
        <v>39</v>
      </c>
      <c r="S9563" t="s">
        <v>230</v>
      </c>
      <c r="T9563" t="s">
        <v>442</v>
      </c>
      <c r="U9563" s="21">
        <v>23614.11</v>
      </c>
      <c r="V9563" s="21" t="s">
        <v>368</v>
      </c>
      <c r="W9563" t="str">
        <f>VLOOKUP(Table_Query_from_Actuarial___Production[[#This Row],[Kor1]],$AI$3:$AK$105,3,FALSE)</f>
        <v>Misc. Income for Insolvent Companies</v>
      </c>
      <c r="X9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3"/>
      <c r="Z9563" t="s">
        <v>39</v>
      </c>
      <c r="AA9563" t="s">
        <v>230</v>
      </c>
      <c r="AB9563" t="s">
        <v>442</v>
      </c>
      <c r="AC9563" s="21">
        <v>23614.11</v>
      </c>
      <c r="AD9563" s="21" t="s">
        <v>368</v>
      </c>
      <c r="AE9563" t="str">
        <f>VLOOKUP(Table_Query_from_Actuarial___Production3[[#This Row],[Kor1]],$AI$3:$AK$105,3,FALSE)</f>
        <v>Misc. Income for Insolvent Companies</v>
      </c>
      <c r="AF9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4" spans="18:32" x14ac:dyDescent="0.2">
      <c r="R9564" t="s">
        <v>11</v>
      </c>
      <c r="S9564" t="s">
        <v>243</v>
      </c>
      <c r="T9564" t="s">
        <v>8</v>
      </c>
      <c r="U9564" s="21">
        <v>93690.59</v>
      </c>
      <c r="V9564" s="21" t="s">
        <v>368</v>
      </c>
      <c r="W9564" t="str">
        <f>VLOOKUP(Table_Query_from_Actuarial___Production[[#This Row],[Kor1]],$AI$3:$AK$105,3,FALSE)</f>
        <v>Losses Paid</v>
      </c>
      <c r="X9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4"/>
      <c r="Z9564" t="s">
        <v>11</v>
      </c>
      <c r="AA9564" t="s">
        <v>243</v>
      </c>
      <c r="AB9564" t="s">
        <v>8</v>
      </c>
      <c r="AC9564" s="21">
        <v>93690.59</v>
      </c>
      <c r="AD9564" s="21" t="s">
        <v>368</v>
      </c>
      <c r="AE9564" t="str">
        <f>VLOOKUP(Table_Query_from_Actuarial___Production3[[#This Row],[Kor1]],$AI$3:$AK$105,3,FALSE)</f>
        <v>Losses Paid</v>
      </c>
      <c r="AF9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5" spans="18:32" x14ac:dyDescent="0.2">
      <c r="R9565" t="s">
        <v>33</v>
      </c>
      <c r="S9565" t="s">
        <v>231</v>
      </c>
      <c r="T9565" t="s">
        <v>427</v>
      </c>
      <c r="U9565" s="21">
        <v>13079.21</v>
      </c>
      <c r="V9565" s="21" t="s">
        <v>368</v>
      </c>
      <c r="W9565" t="str">
        <f>VLOOKUP(Table_Query_from_Actuarial___Production[[#This Row],[Kor1]],$AI$3:$AK$105,3,FALSE)</f>
        <v>Misc. Expense</v>
      </c>
      <c r="X9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5"/>
      <c r="Z9565" t="s">
        <v>33</v>
      </c>
      <c r="AA9565" t="s">
        <v>231</v>
      </c>
      <c r="AB9565" t="s">
        <v>427</v>
      </c>
      <c r="AC9565" s="21">
        <v>13079.21</v>
      </c>
      <c r="AD9565" s="21" t="s">
        <v>368</v>
      </c>
      <c r="AE9565" t="str">
        <f>VLOOKUP(Table_Query_from_Actuarial___Production3[[#This Row],[Kor1]],$AI$3:$AK$105,3,FALSE)</f>
        <v>Misc. Expense</v>
      </c>
      <c r="AF9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6" spans="18:32" x14ac:dyDescent="0.2">
      <c r="R9566" t="s">
        <v>3</v>
      </c>
      <c r="S9566" t="s">
        <v>224</v>
      </c>
      <c r="T9566" t="s">
        <v>427</v>
      </c>
      <c r="U9566" s="21">
        <v>34961.07</v>
      </c>
      <c r="V9566" s="21" t="s">
        <v>425</v>
      </c>
      <c r="W9566" t="str">
        <f>VLOOKUP(Table_Query_from_Actuarial___Production[[#This Row],[Kor1]],$AI$3:$AK$105,3,FALSE)</f>
        <v>Premiums Written</v>
      </c>
      <c r="X9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566"/>
      <c r="Z9566" t="s">
        <v>3</v>
      </c>
      <c r="AA9566" t="s">
        <v>224</v>
      </c>
      <c r="AB9566" t="s">
        <v>427</v>
      </c>
      <c r="AC9566" s="21">
        <v>36814</v>
      </c>
      <c r="AD9566" s="21" t="s">
        <v>425</v>
      </c>
      <c r="AE9566" t="str">
        <f>VLOOKUP(Table_Query_from_Actuarial___Production3[[#This Row],[Kor1]],$AI$3:$AK$105,3,FALSE)</f>
        <v>Premiums Written</v>
      </c>
      <c r="AF9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567" spans="18:32" x14ac:dyDescent="0.2">
      <c r="R9567" t="s">
        <v>31</v>
      </c>
      <c r="S9567" t="s">
        <v>256</v>
      </c>
      <c r="T9567" t="s">
        <v>445</v>
      </c>
      <c r="U9567" s="21">
        <v>276.79000000000002</v>
      </c>
      <c r="V9567" s="21" t="s">
        <v>368</v>
      </c>
      <c r="W9567" t="str">
        <f>VLOOKUP(Table_Query_from_Actuarial___Production[[#This Row],[Kor1]],$AI$3:$AK$105,3,FALSE)</f>
        <v>Misc. Expense</v>
      </c>
      <c r="X9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7"/>
      <c r="Z9567" t="s">
        <v>12</v>
      </c>
      <c r="AA9567" t="s">
        <v>244</v>
      </c>
      <c r="AB9567" t="s">
        <v>351</v>
      </c>
      <c r="AC9567" s="21">
        <v>27069.94</v>
      </c>
      <c r="AD9567" s="21" t="s">
        <v>368</v>
      </c>
      <c r="AE9567" t="str">
        <f>VLOOKUP(Table_Query_from_Actuarial___Production3[[#This Row],[Kor1]],$AI$3:$AK$105,3,FALSE)</f>
        <v>Premium Tax</v>
      </c>
      <c r="AF9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8" spans="18:32" x14ac:dyDescent="0.2">
      <c r="R9568" t="s">
        <v>12</v>
      </c>
      <c r="S9568" t="s">
        <v>244</v>
      </c>
      <c r="T9568" t="s">
        <v>351</v>
      </c>
      <c r="U9568" s="21">
        <v>27069.94</v>
      </c>
      <c r="V9568" s="21" t="s">
        <v>368</v>
      </c>
      <c r="W9568" t="str">
        <f>VLOOKUP(Table_Query_from_Actuarial___Production[[#This Row],[Kor1]],$AI$3:$AK$105,3,FALSE)</f>
        <v>Premium Tax</v>
      </c>
      <c r="X9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8"/>
      <c r="Z9568" t="s">
        <v>34</v>
      </c>
      <c r="AA9568" t="s">
        <v>242</v>
      </c>
      <c r="AB9568" t="s">
        <v>5</v>
      </c>
      <c r="AC9568" s="21">
        <v>55.69</v>
      </c>
      <c r="AD9568" s="21" t="s">
        <v>368</v>
      </c>
      <c r="AE9568" t="str">
        <f>VLOOKUP(Table_Query_from_Actuarial___Production3[[#This Row],[Kor1]],$AI$3:$AK$105,3,FALSE)</f>
        <v>Misc. Expense</v>
      </c>
      <c r="AF9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69" spans="18:32" x14ac:dyDescent="0.2">
      <c r="R9569" t="s">
        <v>40</v>
      </c>
      <c r="S9569" t="s">
        <v>258</v>
      </c>
      <c r="T9569" t="s">
        <v>8</v>
      </c>
      <c r="U9569" s="21">
        <v>7513.93</v>
      </c>
      <c r="V9569" s="21" t="s">
        <v>368</v>
      </c>
      <c r="W9569" t="str">
        <f>VLOOKUP(Table_Query_from_Actuarial___Production[[#This Row],[Kor1]],$AI$3:$AK$105,3,FALSE)</f>
        <v>Misc. Income</v>
      </c>
      <c r="X9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69"/>
      <c r="Z9569" t="s">
        <v>40</v>
      </c>
      <c r="AA9569" t="s">
        <v>258</v>
      </c>
      <c r="AB9569" t="s">
        <v>8</v>
      </c>
      <c r="AC9569" s="21">
        <v>7513.93</v>
      </c>
      <c r="AD9569" s="21" t="s">
        <v>368</v>
      </c>
      <c r="AE9569" t="str">
        <f>VLOOKUP(Table_Query_from_Actuarial___Production3[[#This Row],[Kor1]],$AI$3:$AK$105,3,FALSE)</f>
        <v>Misc. Income</v>
      </c>
      <c r="AF9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0" spans="18:32" x14ac:dyDescent="0.2">
      <c r="R9570" t="s">
        <v>16</v>
      </c>
      <c r="S9570" t="s">
        <v>354</v>
      </c>
      <c r="T9570" t="s">
        <v>351</v>
      </c>
      <c r="U9570" s="21">
        <v>586559.28</v>
      </c>
      <c r="V9570" s="21" t="s">
        <v>369</v>
      </c>
      <c r="W9570" t="str">
        <f>VLOOKUP(Table_Query_from_Actuarial___Production[[#This Row],[Kor1]],$AI$3:$AK$105,3,FALSE)</f>
        <v>Losses Outstanding</v>
      </c>
      <c r="X9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570"/>
      <c r="Z9570" t="s">
        <v>16</v>
      </c>
      <c r="AA9570" t="s">
        <v>354</v>
      </c>
      <c r="AB9570" t="s">
        <v>351</v>
      </c>
      <c r="AC9570" s="21">
        <v>1686628.25</v>
      </c>
      <c r="AD9570" s="21" t="s">
        <v>369</v>
      </c>
      <c r="AE9570" t="str">
        <f>VLOOKUP(Table_Query_from_Actuarial___Production3[[#This Row],[Kor1]],$AI$3:$AK$105,3,FALSE)</f>
        <v>Losses Outstanding</v>
      </c>
      <c r="AF9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571" spans="18:32" x14ac:dyDescent="0.2">
      <c r="R9571" t="s">
        <v>18</v>
      </c>
      <c r="S9571" t="s">
        <v>224</v>
      </c>
      <c r="T9571" t="s">
        <v>7</v>
      </c>
      <c r="U9571" s="21">
        <v>155225.12</v>
      </c>
      <c r="V9571" s="21" t="s">
        <v>368</v>
      </c>
      <c r="W9571" t="str">
        <f>VLOOKUP(Table_Query_from_Actuarial___Production[[#This Row],[Kor1]],$AI$3:$AK$105,3,FALSE)</f>
        <v>Misc. Expense</v>
      </c>
      <c r="X9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571"/>
      <c r="Z9571" t="s">
        <v>18</v>
      </c>
      <c r="AA9571" t="s">
        <v>224</v>
      </c>
      <c r="AB9571" t="s">
        <v>7</v>
      </c>
      <c r="AC9571" s="21">
        <v>155225.12</v>
      </c>
      <c r="AD9571" s="21" t="s">
        <v>368</v>
      </c>
      <c r="AE9571" t="str">
        <f>VLOOKUP(Table_Query_from_Actuarial___Production3[[#This Row],[Kor1]],$AI$3:$AK$105,3,FALSE)</f>
        <v>Misc. Expense</v>
      </c>
      <c r="AF9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572" spans="18:32" x14ac:dyDescent="0.2">
      <c r="R9572" t="s">
        <v>31</v>
      </c>
      <c r="S9572" t="s">
        <v>264</v>
      </c>
      <c r="T9572" t="s">
        <v>441</v>
      </c>
      <c r="U9572" s="21">
        <v>1089.28</v>
      </c>
      <c r="V9572" s="21" t="s">
        <v>368</v>
      </c>
      <c r="W9572" t="str">
        <f>VLOOKUP(Table_Query_from_Actuarial___Production[[#This Row],[Kor1]],$AI$3:$AK$105,3,FALSE)</f>
        <v>Misc. Expense</v>
      </c>
      <c r="X9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2"/>
      <c r="Z9572" t="s">
        <v>16</v>
      </c>
      <c r="AA9572" t="s">
        <v>242</v>
      </c>
      <c r="AB9572" t="s">
        <v>7</v>
      </c>
      <c r="AC9572" s="21">
        <v>1001300</v>
      </c>
      <c r="AD9572" s="21" t="s">
        <v>368</v>
      </c>
      <c r="AE9572" t="str">
        <f>VLOOKUP(Table_Query_from_Actuarial___Production3[[#This Row],[Kor1]],$AI$3:$AK$105,3,FALSE)</f>
        <v>Losses Outstanding</v>
      </c>
      <c r="AF9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3" spans="18:32" x14ac:dyDescent="0.2">
      <c r="R9573" t="s">
        <v>17</v>
      </c>
      <c r="S9573" t="s">
        <v>253</v>
      </c>
      <c r="T9573" t="s">
        <v>442</v>
      </c>
      <c r="U9573" s="21">
        <v>1189.5</v>
      </c>
      <c r="V9573" s="21" t="s">
        <v>368</v>
      </c>
      <c r="W9573" t="str">
        <f>VLOOKUP(Table_Query_from_Actuarial___Production[[#This Row],[Kor1]],$AI$3:$AK$105,3,FALSE)</f>
        <v>IBNR</v>
      </c>
      <c r="X9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3"/>
      <c r="Z9573" t="s">
        <v>31</v>
      </c>
      <c r="AA9573" t="s">
        <v>264</v>
      </c>
      <c r="AB9573" t="s">
        <v>441</v>
      </c>
      <c r="AC9573" s="21">
        <v>1089.28</v>
      </c>
      <c r="AD9573" s="21" t="s">
        <v>368</v>
      </c>
      <c r="AE9573" t="str">
        <f>VLOOKUP(Table_Query_from_Actuarial___Production3[[#This Row],[Kor1]],$AI$3:$AK$105,3,FALSE)</f>
        <v>Misc. Expense</v>
      </c>
      <c r="AF9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4" spans="18:32" x14ac:dyDescent="0.2">
      <c r="R9574" t="s">
        <v>19</v>
      </c>
      <c r="S9574" t="s">
        <v>229</v>
      </c>
      <c r="T9574" t="s">
        <v>433</v>
      </c>
      <c r="U9574" s="21">
        <v>1585</v>
      </c>
      <c r="V9574" s="21" t="s">
        <v>368</v>
      </c>
      <c r="W9574" t="str">
        <f>VLOOKUP(Table_Query_from_Actuarial___Production[[#This Row],[Kor1]],$AI$3:$AK$105,3,FALSE)</f>
        <v>Misc. Expense for Insolvent Companies</v>
      </c>
      <c r="X9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4"/>
      <c r="Z9574" t="s">
        <v>17</v>
      </c>
      <c r="AA9574" t="s">
        <v>253</v>
      </c>
      <c r="AB9574" t="s">
        <v>442</v>
      </c>
      <c r="AC9574" s="21">
        <v>1975.16</v>
      </c>
      <c r="AD9574" s="21" t="s">
        <v>368</v>
      </c>
      <c r="AE9574" t="str">
        <f>VLOOKUP(Table_Query_from_Actuarial___Production3[[#This Row],[Kor1]],$AI$3:$AK$105,3,FALSE)</f>
        <v>IBNR</v>
      </c>
      <c r="AF9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5" spans="18:32" x14ac:dyDescent="0.2">
      <c r="R9575" t="s">
        <v>40</v>
      </c>
      <c r="S9575" t="s">
        <v>255</v>
      </c>
      <c r="T9575" t="s">
        <v>9</v>
      </c>
      <c r="U9575" s="21">
        <v>19.989999999999998</v>
      </c>
      <c r="V9575" s="21" t="s">
        <v>368</v>
      </c>
      <c r="W9575" t="str">
        <f>VLOOKUP(Table_Query_from_Actuarial___Production[[#This Row],[Kor1]],$AI$3:$AK$105,3,FALSE)</f>
        <v>Misc. Income</v>
      </c>
      <c r="X9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5"/>
      <c r="Z9575" t="s">
        <v>12</v>
      </c>
      <c r="AA9575" t="s">
        <v>4</v>
      </c>
      <c r="AB9575" t="s">
        <v>5</v>
      </c>
      <c r="AC9575" s="21">
        <v>72803.31</v>
      </c>
      <c r="AD9575" s="21" t="s">
        <v>368</v>
      </c>
      <c r="AE9575" t="str">
        <f>VLOOKUP(Table_Query_from_Actuarial___Production3[[#This Row],[Kor1]],$AI$3:$AK$105,3,FALSE)</f>
        <v>Premium Tax</v>
      </c>
      <c r="AF9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6" spans="18:32" x14ac:dyDescent="0.2">
      <c r="R9576" t="s">
        <v>48</v>
      </c>
      <c r="S9576" t="s">
        <v>234</v>
      </c>
      <c r="T9576" t="s">
        <v>442</v>
      </c>
      <c r="U9576" s="21">
        <v>2295.81</v>
      </c>
      <c r="V9576" s="21" t="s">
        <v>368</v>
      </c>
      <c r="W9576" t="str">
        <f>VLOOKUP(Table_Query_from_Actuarial___Production[[#This Row],[Kor1]],$AI$3:$AK$105,3,FALSE)</f>
        <v>Anticipated Salvage</v>
      </c>
      <c r="X9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6"/>
      <c r="Z9576" t="s">
        <v>19</v>
      </c>
      <c r="AA9576" t="s">
        <v>229</v>
      </c>
      <c r="AB9576" t="s">
        <v>433</v>
      </c>
      <c r="AC9576" s="21">
        <v>1486</v>
      </c>
      <c r="AD9576" s="21" t="s">
        <v>368</v>
      </c>
      <c r="AE9576" t="str">
        <f>VLOOKUP(Table_Query_from_Actuarial___Production3[[#This Row],[Kor1]],$AI$3:$AK$105,3,FALSE)</f>
        <v>Misc. Expense for Insolvent Companies</v>
      </c>
      <c r="AF9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7" spans="18:32" x14ac:dyDescent="0.2">
      <c r="R9577" t="s">
        <v>14</v>
      </c>
      <c r="S9577" t="s">
        <v>225</v>
      </c>
      <c r="T9577" t="s">
        <v>9</v>
      </c>
      <c r="U9577" s="21">
        <v>142589</v>
      </c>
      <c r="V9577" s="21" t="s">
        <v>369</v>
      </c>
      <c r="W9577" t="str">
        <f>VLOOKUP(Table_Query_from_Actuarial___Production[[#This Row],[Kor1]],$AI$3:$AK$105,3,FALSE)</f>
        <v>Claims Expense</v>
      </c>
      <c r="X9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577"/>
      <c r="Z9577" t="s">
        <v>40</v>
      </c>
      <c r="AA9577" t="s">
        <v>255</v>
      </c>
      <c r="AB9577" t="s">
        <v>9</v>
      </c>
      <c r="AC9577" s="21">
        <v>19.989999999999998</v>
      </c>
      <c r="AD9577" s="21" t="s">
        <v>368</v>
      </c>
      <c r="AE9577" t="str">
        <f>VLOOKUP(Table_Query_from_Actuarial___Production3[[#This Row],[Kor1]],$AI$3:$AK$105,3,FALSE)</f>
        <v>Misc. Income</v>
      </c>
      <c r="AF9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8" spans="18:32" x14ac:dyDescent="0.2">
      <c r="R9578" t="s">
        <v>12</v>
      </c>
      <c r="S9578" t="s">
        <v>262</v>
      </c>
      <c r="T9578" t="s">
        <v>445</v>
      </c>
      <c r="U9578" s="21">
        <v>7088.36</v>
      </c>
      <c r="V9578" s="21" t="s">
        <v>368</v>
      </c>
      <c r="W9578" t="str">
        <f>VLOOKUP(Table_Query_from_Actuarial___Production[[#This Row],[Kor1]],$AI$3:$AK$105,3,FALSE)</f>
        <v>Premium Tax</v>
      </c>
      <c r="X9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8"/>
      <c r="Z9578" t="s">
        <v>48</v>
      </c>
      <c r="AA9578" t="s">
        <v>234</v>
      </c>
      <c r="AB9578" t="s">
        <v>442</v>
      </c>
      <c r="AC9578" s="21">
        <v>3056.23</v>
      </c>
      <c r="AD9578" s="21" t="s">
        <v>368</v>
      </c>
      <c r="AE9578" t="str">
        <f>VLOOKUP(Table_Query_from_Actuarial___Production3[[#This Row],[Kor1]],$AI$3:$AK$105,3,FALSE)</f>
        <v>Anticipated Salvage</v>
      </c>
      <c r="AF9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79" spans="18:32" x14ac:dyDescent="0.2">
      <c r="R9579" t="s">
        <v>13</v>
      </c>
      <c r="S9579" t="s">
        <v>230</v>
      </c>
      <c r="T9579" t="s">
        <v>356</v>
      </c>
      <c r="U9579" s="21">
        <v>5083064.07</v>
      </c>
      <c r="V9579" s="21" t="s">
        <v>368</v>
      </c>
      <c r="W9579" t="str">
        <f>VLOOKUP(Table_Query_from_Actuarial___Production[[#This Row],[Kor1]],$AI$3:$AK$105,3,FALSE)</f>
        <v>Operating Service Fees</v>
      </c>
      <c r="X9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79"/>
      <c r="Z9579" t="s">
        <v>14</v>
      </c>
      <c r="AA9579" t="s">
        <v>225</v>
      </c>
      <c r="AB9579" t="s">
        <v>9</v>
      </c>
      <c r="AC9579" s="21">
        <v>142619</v>
      </c>
      <c r="AD9579" s="21" t="s">
        <v>369</v>
      </c>
      <c r="AE9579" t="str">
        <f>VLOOKUP(Table_Query_from_Actuarial___Production3[[#This Row],[Kor1]],$AI$3:$AK$105,3,FALSE)</f>
        <v>Claims Expense</v>
      </c>
      <c r="AF9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580" spans="18:32" x14ac:dyDescent="0.2">
      <c r="R9580" t="s">
        <v>40</v>
      </c>
      <c r="S9580" t="s">
        <v>237</v>
      </c>
      <c r="T9580" t="s">
        <v>442</v>
      </c>
      <c r="U9580" s="21">
        <v>1885.21</v>
      </c>
      <c r="V9580" s="21" t="s">
        <v>368</v>
      </c>
      <c r="W9580" t="str">
        <f>VLOOKUP(Table_Query_from_Actuarial___Production[[#This Row],[Kor1]],$AI$3:$AK$105,3,FALSE)</f>
        <v>Misc. Income</v>
      </c>
      <c r="X9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0"/>
      <c r="Z9580" t="s">
        <v>13</v>
      </c>
      <c r="AA9580" t="s">
        <v>230</v>
      </c>
      <c r="AB9580" t="s">
        <v>356</v>
      </c>
      <c r="AC9580" s="21">
        <v>5083064.07</v>
      </c>
      <c r="AD9580" s="21" t="s">
        <v>368</v>
      </c>
      <c r="AE9580" t="str">
        <f>VLOOKUP(Table_Query_from_Actuarial___Production3[[#This Row],[Kor1]],$AI$3:$AK$105,3,FALSE)</f>
        <v>Operating Service Fees</v>
      </c>
      <c r="AF9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1" spans="18:32" x14ac:dyDescent="0.2">
      <c r="R9581" t="s">
        <v>11</v>
      </c>
      <c r="S9581" t="s">
        <v>261</v>
      </c>
      <c r="T9581" t="s">
        <v>356</v>
      </c>
      <c r="U9581" s="21">
        <v>170769.39</v>
      </c>
      <c r="V9581" s="21" t="s">
        <v>368</v>
      </c>
      <c r="W9581" t="str">
        <f>VLOOKUP(Table_Query_from_Actuarial___Production[[#This Row],[Kor1]],$AI$3:$AK$105,3,FALSE)</f>
        <v>Losses Paid</v>
      </c>
      <c r="X9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1"/>
      <c r="Z9581" t="s">
        <v>40</v>
      </c>
      <c r="AA9581" t="s">
        <v>237</v>
      </c>
      <c r="AB9581" t="s">
        <v>442</v>
      </c>
      <c r="AC9581" s="21">
        <v>1885.21</v>
      </c>
      <c r="AD9581" s="21" t="s">
        <v>368</v>
      </c>
      <c r="AE9581" t="str">
        <f>VLOOKUP(Table_Query_from_Actuarial___Production3[[#This Row],[Kor1]],$AI$3:$AK$105,3,FALSE)</f>
        <v>Misc. Income</v>
      </c>
      <c r="AF9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2" spans="18:32" x14ac:dyDescent="0.2">
      <c r="R9582" t="s">
        <v>46</v>
      </c>
      <c r="S9582" t="s">
        <v>225</v>
      </c>
      <c r="T9582" t="s">
        <v>441</v>
      </c>
      <c r="U9582" s="21">
        <v>4014.17</v>
      </c>
      <c r="V9582" s="21" t="s">
        <v>369</v>
      </c>
      <c r="W9582" t="str">
        <f>VLOOKUP(Table_Query_from_Actuarial___Production[[#This Row],[Kor1]],$AI$3:$AK$105,3,FALSE)</f>
        <v>Investment Income</v>
      </c>
      <c r="X9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582"/>
      <c r="Z9582" t="s">
        <v>11</v>
      </c>
      <c r="AA9582" t="s">
        <v>261</v>
      </c>
      <c r="AB9582" t="s">
        <v>356</v>
      </c>
      <c r="AC9582" s="21">
        <v>170769.39</v>
      </c>
      <c r="AD9582" s="21" t="s">
        <v>368</v>
      </c>
      <c r="AE9582" t="str">
        <f>VLOOKUP(Table_Query_from_Actuarial___Production3[[#This Row],[Kor1]],$AI$3:$AK$105,3,FALSE)</f>
        <v>Losses Paid</v>
      </c>
      <c r="AF9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3" spans="18:32" x14ac:dyDescent="0.2">
      <c r="R9583" t="s">
        <v>13</v>
      </c>
      <c r="S9583" t="s">
        <v>234</v>
      </c>
      <c r="T9583" t="s">
        <v>441</v>
      </c>
      <c r="U9583" s="21">
        <v>206002.23</v>
      </c>
      <c r="V9583" s="21" t="s">
        <v>368</v>
      </c>
      <c r="W9583" t="str">
        <f>VLOOKUP(Table_Query_from_Actuarial___Production[[#This Row],[Kor1]],$AI$3:$AK$105,3,FALSE)</f>
        <v>Operating Service Fees</v>
      </c>
      <c r="X9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3"/>
      <c r="Z9583" t="s">
        <v>46</v>
      </c>
      <c r="AA9583" t="s">
        <v>225</v>
      </c>
      <c r="AB9583" t="s">
        <v>441</v>
      </c>
      <c r="AC9583" s="21">
        <v>4014.17</v>
      </c>
      <c r="AD9583" s="21" t="s">
        <v>369</v>
      </c>
      <c r="AE9583" t="str">
        <f>VLOOKUP(Table_Query_from_Actuarial___Production3[[#This Row],[Kor1]],$AI$3:$AK$105,3,FALSE)</f>
        <v>Investment Income</v>
      </c>
      <c r="AF9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584" spans="18:32" x14ac:dyDescent="0.2">
      <c r="R9584" t="s">
        <v>33</v>
      </c>
      <c r="S9584" t="s">
        <v>242</v>
      </c>
      <c r="T9584" t="s">
        <v>427</v>
      </c>
      <c r="U9584" s="21">
        <v>12759.97</v>
      </c>
      <c r="V9584" s="21" t="s">
        <v>368</v>
      </c>
      <c r="W9584" t="str">
        <f>VLOOKUP(Table_Query_from_Actuarial___Production[[#This Row],[Kor1]],$AI$3:$AK$105,3,FALSE)</f>
        <v>Misc. Expense</v>
      </c>
      <c r="X9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4"/>
      <c r="Z9584" t="s">
        <v>13</v>
      </c>
      <c r="AA9584" t="s">
        <v>234</v>
      </c>
      <c r="AB9584" t="s">
        <v>441</v>
      </c>
      <c r="AC9584" s="21">
        <v>206002.23</v>
      </c>
      <c r="AD9584" s="21" t="s">
        <v>368</v>
      </c>
      <c r="AE9584" t="str">
        <f>VLOOKUP(Table_Query_from_Actuarial___Production3[[#This Row],[Kor1]],$AI$3:$AK$105,3,FALSE)</f>
        <v>Operating Service Fees</v>
      </c>
      <c r="AF9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5" spans="18:32" x14ac:dyDescent="0.2">
      <c r="R9585" t="s">
        <v>41</v>
      </c>
      <c r="S9585" t="s">
        <v>260</v>
      </c>
      <c r="T9585" t="s">
        <v>7</v>
      </c>
      <c r="U9585" s="21">
        <v>150</v>
      </c>
      <c r="V9585" s="21" t="s">
        <v>368</v>
      </c>
      <c r="W9585" t="str">
        <f>VLOOKUP(Table_Query_from_Actuarial___Production[[#This Row],[Kor1]],$AI$3:$AK$105,3,FALSE)</f>
        <v>Misc. Income</v>
      </c>
      <c r="X9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5"/>
      <c r="Z9585" t="s">
        <v>33</v>
      </c>
      <c r="AA9585" t="s">
        <v>242</v>
      </c>
      <c r="AB9585" t="s">
        <v>427</v>
      </c>
      <c r="AC9585" s="21">
        <v>12759.97</v>
      </c>
      <c r="AD9585" s="21" t="s">
        <v>368</v>
      </c>
      <c r="AE9585" t="str">
        <f>VLOOKUP(Table_Query_from_Actuarial___Production3[[#This Row],[Kor1]],$AI$3:$AK$105,3,FALSE)</f>
        <v>Misc. Expense</v>
      </c>
      <c r="AF9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6" spans="18:32" x14ac:dyDescent="0.2">
      <c r="R9586" t="s">
        <v>10</v>
      </c>
      <c r="S9586" t="s">
        <v>235</v>
      </c>
      <c r="T9586" t="s">
        <v>356</v>
      </c>
      <c r="U9586" s="21">
        <v>42994.15</v>
      </c>
      <c r="V9586" s="21" t="s">
        <v>368</v>
      </c>
      <c r="W9586" t="str">
        <f>VLOOKUP(Table_Query_from_Actuarial___Production[[#This Row],[Kor1]],$AI$3:$AK$105,3,FALSE)</f>
        <v>Commissions</v>
      </c>
      <c r="X9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6"/>
      <c r="Z9586" t="s">
        <v>41</v>
      </c>
      <c r="AA9586" t="s">
        <v>260</v>
      </c>
      <c r="AB9586" t="s">
        <v>7</v>
      </c>
      <c r="AC9586" s="21">
        <v>150</v>
      </c>
      <c r="AD9586" s="21" t="s">
        <v>368</v>
      </c>
      <c r="AE9586" t="str">
        <f>VLOOKUP(Table_Query_from_Actuarial___Production3[[#This Row],[Kor1]],$AI$3:$AK$105,3,FALSE)</f>
        <v>Misc. Income</v>
      </c>
      <c r="AF9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7" spans="18:32" x14ac:dyDescent="0.2">
      <c r="R9587" t="s">
        <v>12</v>
      </c>
      <c r="S9587" t="s">
        <v>260</v>
      </c>
      <c r="T9587" t="s">
        <v>8</v>
      </c>
      <c r="U9587" s="21">
        <v>132.35</v>
      </c>
      <c r="V9587" s="21" t="s">
        <v>368</v>
      </c>
      <c r="W9587" t="str">
        <f>VLOOKUP(Table_Query_from_Actuarial___Production[[#This Row],[Kor1]],$AI$3:$AK$105,3,FALSE)</f>
        <v>Premium Tax</v>
      </c>
      <c r="X9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7"/>
      <c r="Z9587" t="s">
        <v>10</v>
      </c>
      <c r="AA9587" t="s">
        <v>235</v>
      </c>
      <c r="AB9587" t="s">
        <v>356</v>
      </c>
      <c r="AC9587" s="21">
        <v>42994.15</v>
      </c>
      <c r="AD9587" s="21" t="s">
        <v>368</v>
      </c>
      <c r="AE9587" t="str">
        <f>VLOOKUP(Table_Query_from_Actuarial___Production3[[#This Row],[Kor1]],$AI$3:$AK$105,3,FALSE)</f>
        <v>Commissions</v>
      </c>
      <c r="AF9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8" spans="18:32" x14ac:dyDescent="0.2">
      <c r="R9588" t="s">
        <v>10</v>
      </c>
      <c r="S9588" t="s">
        <v>238</v>
      </c>
      <c r="T9588" t="s">
        <v>6</v>
      </c>
      <c r="U9588" s="21">
        <v>3527.15</v>
      </c>
      <c r="V9588" s="21" t="s">
        <v>368</v>
      </c>
      <c r="W9588" t="str">
        <f>VLOOKUP(Table_Query_from_Actuarial___Production[[#This Row],[Kor1]],$AI$3:$AK$105,3,FALSE)</f>
        <v>Commissions</v>
      </c>
      <c r="X9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8"/>
      <c r="Z9588" t="s">
        <v>12</v>
      </c>
      <c r="AA9588" t="s">
        <v>260</v>
      </c>
      <c r="AB9588" t="s">
        <v>8</v>
      </c>
      <c r="AC9588" s="21">
        <v>132.35</v>
      </c>
      <c r="AD9588" s="21" t="s">
        <v>368</v>
      </c>
      <c r="AE9588" t="str">
        <f>VLOOKUP(Table_Query_from_Actuarial___Production3[[#This Row],[Kor1]],$AI$3:$AK$105,3,FALSE)</f>
        <v>Premium Tax</v>
      </c>
      <c r="AF9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89" spans="18:32" x14ac:dyDescent="0.2">
      <c r="R9589" t="s">
        <v>39</v>
      </c>
      <c r="S9589" t="s">
        <v>235</v>
      </c>
      <c r="T9589" t="s">
        <v>441</v>
      </c>
      <c r="U9589" s="21">
        <v>1048.47</v>
      </c>
      <c r="V9589" s="21" t="s">
        <v>368</v>
      </c>
      <c r="W9589" t="str">
        <f>VLOOKUP(Table_Query_from_Actuarial___Production[[#This Row],[Kor1]],$AI$3:$AK$105,3,FALSE)</f>
        <v>Misc. Income for Insolvent Companies</v>
      </c>
      <c r="X9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89"/>
      <c r="Z9589" t="s">
        <v>10</v>
      </c>
      <c r="AA9589" t="s">
        <v>238</v>
      </c>
      <c r="AB9589" t="s">
        <v>6</v>
      </c>
      <c r="AC9589" s="21">
        <v>3527.15</v>
      </c>
      <c r="AD9589" s="21" t="s">
        <v>368</v>
      </c>
      <c r="AE9589" t="str">
        <f>VLOOKUP(Table_Query_from_Actuarial___Production3[[#This Row],[Kor1]],$AI$3:$AK$105,3,FALSE)</f>
        <v>Commissions</v>
      </c>
      <c r="AF9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0" spans="18:32" x14ac:dyDescent="0.2">
      <c r="R9590" t="s">
        <v>40</v>
      </c>
      <c r="S9590" t="s">
        <v>259</v>
      </c>
      <c r="T9590" t="s">
        <v>9</v>
      </c>
      <c r="U9590" s="21">
        <v>15</v>
      </c>
      <c r="V9590" s="21" t="s">
        <v>368</v>
      </c>
      <c r="W9590" t="str">
        <f>VLOOKUP(Table_Query_from_Actuarial___Production[[#This Row],[Kor1]],$AI$3:$AK$105,3,FALSE)</f>
        <v>Misc. Income</v>
      </c>
      <c r="X9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0"/>
      <c r="Z9590" t="s">
        <v>39</v>
      </c>
      <c r="AA9590" t="s">
        <v>235</v>
      </c>
      <c r="AB9590" t="s">
        <v>441</v>
      </c>
      <c r="AC9590" s="21">
        <v>1048.47</v>
      </c>
      <c r="AD9590" s="21" t="s">
        <v>368</v>
      </c>
      <c r="AE9590" t="str">
        <f>VLOOKUP(Table_Query_from_Actuarial___Production3[[#This Row],[Kor1]],$AI$3:$AK$105,3,FALSE)</f>
        <v>Misc. Income for Insolvent Companies</v>
      </c>
      <c r="AF9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1" spans="18:32" x14ac:dyDescent="0.2">
      <c r="R9591" t="s">
        <v>10</v>
      </c>
      <c r="S9591" t="s">
        <v>261</v>
      </c>
      <c r="T9591" t="s">
        <v>443</v>
      </c>
      <c r="U9591" s="21">
        <v>14664.15</v>
      </c>
      <c r="V9591" s="21" t="s">
        <v>368</v>
      </c>
      <c r="W9591" t="str">
        <f>VLOOKUP(Table_Query_from_Actuarial___Production[[#This Row],[Kor1]],$AI$3:$AK$105,3,FALSE)</f>
        <v>Commissions</v>
      </c>
      <c r="X9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1"/>
      <c r="Z9591" t="s">
        <v>40</v>
      </c>
      <c r="AA9591" t="s">
        <v>259</v>
      </c>
      <c r="AB9591" t="s">
        <v>9</v>
      </c>
      <c r="AC9591" s="21">
        <v>15</v>
      </c>
      <c r="AD9591" s="21" t="s">
        <v>368</v>
      </c>
      <c r="AE9591" t="str">
        <f>VLOOKUP(Table_Query_from_Actuarial___Production3[[#This Row],[Kor1]],$AI$3:$AK$105,3,FALSE)</f>
        <v>Misc. Income</v>
      </c>
      <c r="AF9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2" spans="18:32" x14ac:dyDescent="0.2">
      <c r="R9592" t="s">
        <v>37</v>
      </c>
      <c r="S9592" t="s">
        <v>244</v>
      </c>
      <c r="T9592" t="s">
        <v>8</v>
      </c>
      <c r="U9592" s="21">
        <v>252.96</v>
      </c>
      <c r="V9592" s="21" t="s">
        <v>368</v>
      </c>
      <c r="W9592" t="str">
        <f>VLOOKUP(Table_Query_from_Actuarial___Production[[#This Row],[Kor1]],$AI$3:$AK$105,3,FALSE)</f>
        <v>Misc. Expense</v>
      </c>
      <c r="X9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2"/>
      <c r="Z9592" t="s">
        <v>10</v>
      </c>
      <c r="AA9592" t="s">
        <v>261</v>
      </c>
      <c r="AB9592" t="s">
        <v>443</v>
      </c>
      <c r="AC9592" s="21">
        <v>1538.45</v>
      </c>
      <c r="AD9592" s="21" t="s">
        <v>368</v>
      </c>
      <c r="AE9592" t="str">
        <f>VLOOKUP(Table_Query_from_Actuarial___Production3[[#This Row],[Kor1]],$AI$3:$AK$105,3,FALSE)</f>
        <v>Commissions</v>
      </c>
      <c r="AF9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3" spans="18:32" x14ac:dyDescent="0.2">
      <c r="R9593" t="s">
        <v>10</v>
      </c>
      <c r="S9593" t="s">
        <v>243</v>
      </c>
      <c r="T9593" t="s">
        <v>443</v>
      </c>
      <c r="U9593" s="21">
        <v>36238.239999999998</v>
      </c>
      <c r="V9593" s="21" t="s">
        <v>368</v>
      </c>
      <c r="W9593" t="str">
        <f>VLOOKUP(Table_Query_from_Actuarial___Production[[#This Row],[Kor1]],$AI$3:$AK$105,3,FALSE)</f>
        <v>Commissions</v>
      </c>
      <c r="X9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3"/>
      <c r="Z9593" t="s">
        <v>10</v>
      </c>
      <c r="AA9593" t="s">
        <v>241</v>
      </c>
      <c r="AB9593" t="s">
        <v>5</v>
      </c>
      <c r="AC9593" s="21">
        <v>20034.55</v>
      </c>
      <c r="AD9593" s="21" t="s">
        <v>368</v>
      </c>
      <c r="AE9593" t="str">
        <f>VLOOKUP(Table_Query_from_Actuarial___Production3[[#This Row],[Kor1]],$AI$3:$AK$105,3,FALSE)</f>
        <v>Commissions</v>
      </c>
      <c r="AF9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4" spans="18:32" x14ac:dyDescent="0.2">
      <c r="R9594" t="s">
        <v>37</v>
      </c>
      <c r="S9594" t="s">
        <v>232</v>
      </c>
      <c r="T9594" t="s">
        <v>7</v>
      </c>
      <c r="U9594" s="21">
        <v>5725.69</v>
      </c>
      <c r="V9594" s="21" t="s">
        <v>368</v>
      </c>
      <c r="W9594" t="str">
        <f>VLOOKUP(Table_Query_from_Actuarial___Production[[#This Row],[Kor1]],$AI$3:$AK$105,3,FALSE)</f>
        <v>Misc. Expense</v>
      </c>
      <c r="X9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4"/>
      <c r="Z9594" t="s">
        <v>37</v>
      </c>
      <c r="AA9594" t="s">
        <v>244</v>
      </c>
      <c r="AB9594" t="s">
        <v>8</v>
      </c>
      <c r="AC9594" s="21">
        <v>252.96</v>
      </c>
      <c r="AD9594" s="21" t="s">
        <v>368</v>
      </c>
      <c r="AE9594" t="str">
        <f>VLOOKUP(Table_Query_from_Actuarial___Production3[[#This Row],[Kor1]],$AI$3:$AK$105,3,FALSE)</f>
        <v>Misc. Expense</v>
      </c>
      <c r="AF9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5" spans="18:32" x14ac:dyDescent="0.2">
      <c r="R9595" t="s">
        <v>12</v>
      </c>
      <c r="S9595" t="s">
        <v>227</v>
      </c>
      <c r="T9595" t="s">
        <v>427</v>
      </c>
      <c r="U9595" s="21">
        <v>115.85</v>
      </c>
      <c r="V9595" s="21" t="s">
        <v>368</v>
      </c>
      <c r="W9595" t="str">
        <f>VLOOKUP(Table_Query_from_Actuarial___Production[[#This Row],[Kor1]],$AI$3:$AK$105,3,FALSE)</f>
        <v>Premium Tax</v>
      </c>
      <c r="X9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5"/>
      <c r="Z9595" t="s">
        <v>10</v>
      </c>
      <c r="AA9595" t="s">
        <v>243</v>
      </c>
      <c r="AB9595" t="s">
        <v>443</v>
      </c>
      <c r="AC9595" s="21">
        <v>10087.35</v>
      </c>
      <c r="AD9595" s="21" t="s">
        <v>368</v>
      </c>
      <c r="AE9595" t="str">
        <f>VLOOKUP(Table_Query_from_Actuarial___Production3[[#This Row],[Kor1]],$AI$3:$AK$105,3,FALSE)</f>
        <v>Commissions</v>
      </c>
      <c r="AF9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6" spans="18:32" x14ac:dyDescent="0.2">
      <c r="R9596" t="s">
        <v>13</v>
      </c>
      <c r="S9596" t="s">
        <v>245</v>
      </c>
      <c r="T9596" t="s">
        <v>441</v>
      </c>
      <c r="U9596" s="21">
        <v>490.34</v>
      </c>
      <c r="V9596" s="21" t="s">
        <v>368</v>
      </c>
      <c r="W9596" t="str">
        <f>VLOOKUP(Table_Query_from_Actuarial___Production[[#This Row],[Kor1]],$AI$3:$AK$105,3,FALSE)</f>
        <v>Operating Service Fees</v>
      </c>
      <c r="X9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6"/>
      <c r="Z9596" t="s">
        <v>37</v>
      </c>
      <c r="AA9596" t="s">
        <v>232</v>
      </c>
      <c r="AB9596" t="s">
        <v>7</v>
      </c>
      <c r="AC9596" s="21">
        <v>5725.69</v>
      </c>
      <c r="AD9596" s="21" t="s">
        <v>368</v>
      </c>
      <c r="AE9596" t="str">
        <f>VLOOKUP(Table_Query_from_Actuarial___Production3[[#This Row],[Kor1]],$AI$3:$AK$105,3,FALSE)</f>
        <v>Misc. Expense</v>
      </c>
      <c r="AF9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7" spans="18:32" x14ac:dyDescent="0.2">
      <c r="R9597" t="s">
        <v>31</v>
      </c>
      <c r="S9597" t="s">
        <v>265</v>
      </c>
      <c r="T9597" t="s">
        <v>356</v>
      </c>
      <c r="U9597" s="21">
        <v>855.16</v>
      </c>
      <c r="V9597" s="21" t="s">
        <v>368</v>
      </c>
      <c r="W9597" t="str">
        <f>VLOOKUP(Table_Query_from_Actuarial___Production[[#This Row],[Kor1]],$AI$3:$AK$105,3,FALSE)</f>
        <v>Misc. Expense</v>
      </c>
      <c r="X9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7"/>
      <c r="Z9597" t="s">
        <v>12</v>
      </c>
      <c r="AA9597" t="s">
        <v>227</v>
      </c>
      <c r="AB9597" t="s">
        <v>427</v>
      </c>
      <c r="AC9597" s="21">
        <v>115.85</v>
      </c>
      <c r="AD9597" s="21" t="s">
        <v>368</v>
      </c>
      <c r="AE9597" t="str">
        <f>VLOOKUP(Table_Query_from_Actuarial___Production3[[#This Row],[Kor1]],$AI$3:$AK$105,3,FALSE)</f>
        <v>Premium Tax</v>
      </c>
      <c r="AF9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8" spans="18:32" x14ac:dyDescent="0.2">
      <c r="R9598" t="s">
        <v>41</v>
      </c>
      <c r="S9598" t="s">
        <v>231</v>
      </c>
      <c r="T9598" t="s">
        <v>8</v>
      </c>
      <c r="U9598" s="21">
        <v>200</v>
      </c>
      <c r="V9598" s="21" t="s">
        <v>368</v>
      </c>
      <c r="W9598" t="str">
        <f>VLOOKUP(Table_Query_from_Actuarial___Production[[#This Row],[Kor1]],$AI$3:$AK$105,3,FALSE)</f>
        <v>Misc. Income</v>
      </c>
      <c r="X9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8"/>
      <c r="Z9598" t="s">
        <v>13</v>
      </c>
      <c r="AA9598" t="s">
        <v>245</v>
      </c>
      <c r="AB9598" t="s">
        <v>441</v>
      </c>
      <c r="AC9598" s="21">
        <v>490.34</v>
      </c>
      <c r="AD9598" s="21" t="s">
        <v>368</v>
      </c>
      <c r="AE9598" t="str">
        <f>VLOOKUP(Table_Query_from_Actuarial___Production3[[#This Row],[Kor1]],$AI$3:$AK$105,3,FALSE)</f>
        <v>Operating Service Fees</v>
      </c>
      <c r="AF9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599" spans="18:32" x14ac:dyDescent="0.2">
      <c r="R9599" t="s">
        <v>33</v>
      </c>
      <c r="S9599" t="s">
        <v>268</v>
      </c>
      <c r="T9599" t="s">
        <v>442</v>
      </c>
      <c r="U9599" s="21">
        <v>8432.5499999999993</v>
      </c>
      <c r="V9599" s="21" t="s">
        <v>368</v>
      </c>
      <c r="W9599" t="str">
        <f>VLOOKUP(Table_Query_from_Actuarial___Production[[#This Row],[Kor1]],$AI$3:$AK$105,3,FALSE)</f>
        <v>Misc. Expense</v>
      </c>
      <c r="X9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599"/>
      <c r="Z9599" t="s">
        <v>31</v>
      </c>
      <c r="AA9599" t="s">
        <v>265</v>
      </c>
      <c r="AB9599" t="s">
        <v>356</v>
      </c>
      <c r="AC9599" s="21">
        <v>855.16</v>
      </c>
      <c r="AD9599" s="21" t="s">
        <v>368</v>
      </c>
      <c r="AE9599" t="str">
        <f>VLOOKUP(Table_Query_from_Actuarial___Production3[[#This Row],[Kor1]],$AI$3:$AK$105,3,FALSE)</f>
        <v>Misc. Expense</v>
      </c>
      <c r="AF9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0" spans="18:32" x14ac:dyDescent="0.2">
      <c r="R9600" t="s">
        <v>48</v>
      </c>
      <c r="S9600" t="s">
        <v>266</v>
      </c>
      <c r="T9600" t="s">
        <v>443</v>
      </c>
      <c r="U9600" s="21">
        <v>4151.08</v>
      </c>
      <c r="V9600" s="21" t="s">
        <v>368</v>
      </c>
      <c r="W9600" t="str">
        <f>VLOOKUP(Table_Query_from_Actuarial___Production[[#This Row],[Kor1]],$AI$3:$AK$105,3,FALSE)</f>
        <v>Anticipated Salvage</v>
      </c>
      <c r="X9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0"/>
      <c r="Z9600" t="s">
        <v>41</v>
      </c>
      <c r="AA9600" t="s">
        <v>231</v>
      </c>
      <c r="AB9600" t="s">
        <v>8</v>
      </c>
      <c r="AC9600" s="21">
        <v>200</v>
      </c>
      <c r="AD9600" s="21" t="s">
        <v>368</v>
      </c>
      <c r="AE9600" t="str">
        <f>VLOOKUP(Table_Query_from_Actuarial___Production3[[#This Row],[Kor1]],$AI$3:$AK$105,3,FALSE)</f>
        <v>Misc. Income</v>
      </c>
      <c r="AF9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1" spans="18:32" x14ac:dyDescent="0.2">
      <c r="R9601" t="s">
        <v>3</v>
      </c>
      <c r="S9601" t="s">
        <v>225</v>
      </c>
      <c r="T9601" t="s">
        <v>6</v>
      </c>
      <c r="U9601" s="21">
        <v>2040714.7</v>
      </c>
      <c r="V9601" s="21" t="s">
        <v>368</v>
      </c>
      <c r="W9601" t="str">
        <f>VLOOKUP(Table_Query_from_Actuarial___Production[[#This Row],[Kor1]],$AI$3:$AK$105,3,FALSE)</f>
        <v>Premiums Written</v>
      </c>
      <c r="X9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601"/>
      <c r="Z9601" t="s">
        <v>15</v>
      </c>
      <c r="AA9601" t="s">
        <v>225</v>
      </c>
      <c r="AB9601" t="s">
        <v>442</v>
      </c>
      <c r="AC9601" s="21">
        <v>53374.55</v>
      </c>
      <c r="AD9601" s="21" t="s">
        <v>368</v>
      </c>
      <c r="AE9601" t="str">
        <f>VLOOKUP(Table_Query_from_Actuarial___Production3[[#This Row],[Kor1]],$AI$3:$AK$105,3,FALSE)</f>
        <v>Unearned Premiums</v>
      </c>
      <c r="AF9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602" spans="18:32" x14ac:dyDescent="0.2">
      <c r="R9602" t="s">
        <v>37</v>
      </c>
      <c r="S9602" t="s">
        <v>232</v>
      </c>
      <c r="T9602" t="s">
        <v>443</v>
      </c>
      <c r="U9602" s="21">
        <v>3062.57</v>
      </c>
      <c r="V9602" s="21" t="s">
        <v>368</v>
      </c>
      <c r="W9602" t="str">
        <f>VLOOKUP(Table_Query_from_Actuarial___Production[[#This Row],[Kor1]],$AI$3:$AK$105,3,FALSE)</f>
        <v>Misc. Expense</v>
      </c>
      <c r="X9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2"/>
      <c r="Z9602" t="s">
        <v>33</v>
      </c>
      <c r="AA9602" t="s">
        <v>268</v>
      </c>
      <c r="AB9602" t="s">
        <v>442</v>
      </c>
      <c r="AC9602" s="21">
        <v>8432.5499999999993</v>
      </c>
      <c r="AD9602" s="21" t="s">
        <v>368</v>
      </c>
      <c r="AE9602" t="str">
        <f>VLOOKUP(Table_Query_from_Actuarial___Production3[[#This Row],[Kor1]],$AI$3:$AK$105,3,FALSE)</f>
        <v>Misc. Expense</v>
      </c>
      <c r="AF9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3" spans="18:32" x14ac:dyDescent="0.2">
      <c r="R9603" t="s">
        <v>13</v>
      </c>
      <c r="S9603" t="s">
        <v>257</v>
      </c>
      <c r="T9603" t="s">
        <v>443</v>
      </c>
      <c r="U9603" s="21">
        <v>477074.4</v>
      </c>
      <c r="V9603" s="21" t="s">
        <v>368</v>
      </c>
      <c r="W9603" t="str">
        <f>VLOOKUP(Table_Query_from_Actuarial___Production[[#This Row],[Kor1]],$AI$3:$AK$105,3,FALSE)</f>
        <v>Operating Service Fees</v>
      </c>
      <c r="X9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3"/>
      <c r="Z9603" t="s">
        <v>37</v>
      </c>
      <c r="AA9603" t="s">
        <v>4</v>
      </c>
      <c r="AB9603" t="s">
        <v>5</v>
      </c>
      <c r="AC9603" s="21">
        <v>37101.39</v>
      </c>
      <c r="AD9603" s="21" t="s">
        <v>368</v>
      </c>
      <c r="AE9603" t="str">
        <f>VLOOKUP(Table_Query_from_Actuarial___Production3[[#This Row],[Kor1]],$AI$3:$AK$105,3,FALSE)</f>
        <v>Misc. Expense</v>
      </c>
      <c r="AF9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4" spans="18:32" x14ac:dyDescent="0.2">
      <c r="R9604" t="s">
        <v>14</v>
      </c>
      <c r="S9604" t="s">
        <v>239</v>
      </c>
      <c r="T9604" t="s">
        <v>427</v>
      </c>
      <c r="U9604" s="21">
        <v>207033.73</v>
      </c>
      <c r="V9604" s="21" t="s">
        <v>368</v>
      </c>
      <c r="W9604" t="str">
        <f>VLOOKUP(Table_Query_from_Actuarial___Production[[#This Row],[Kor1]],$AI$3:$AK$105,3,FALSE)</f>
        <v>Claims Expense</v>
      </c>
      <c r="X9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4"/>
      <c r="Z9604" t="s">
        <v>48</v>
      </c>
      <c r="AA9604" t="s">
        <v>266</v>
      </c>
      <c r="AB9604" t="s">
        <v>443</v>
      </c>
      <c r="AC9604" s="21">
        <v>1465.28</v>
      </c>
      <c r="AD9604" s="21" t="s">
        <v>368</v>
      </c>
      <c r="AE9604" t="str">
        <f>VLOOKUP(Table_Query_from_Actuarial___Production3[[#This Row],[Kor1]],$AI$3:$AK$105,3,FALSE)</f>
        <v>Anticipated Salvage</v>
      </c>
      <c r="AF9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5" spans="18:32" x14ac:dyDescent="0.2">
      <c r="R9605" t="s">
        <v>3</v>
      </c>
      <c r="S9605" t="s">
        <v>224</v>
      </c>
      <c r="T9605" t="s">
        <v>443</v>
      </c>
      <c r="U9605" s="21">
        <v>27320</v>
      </c>
      <c r="V9605" s="21" t="s">
        <v>425</v>
      </c>
      <c r="W9605" t="str">
        <f>VLOOKUP(Table_Query_from_Actuarial___Production[[#This Row],[Kor1]],$AI$3:$AK$105,3,FALSE)</f>
        <v>Premiums Written</v>
      </c>
      <c r="X9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605"/>
      <c r="Z9605" t="s">
        <v>3</v>
      </c>
      <c r="AA9605" t="s">
        <v>225</v>
      </c>
      <c r="AB9605" t="s">
        <v>6</v>
      </c>
      <c r="AC9605" s="21">
        <v>2040714.7</v>
      </c>
      <c r="AD9605" s="21" t="s">
        <v>368</v>
      </c>
      <c r="AE9605" t="str">
        <f>VLOOKUP(Table_Query_from_Actuarial___Production3[[#This Row],[Kor1]],$AI$3:$AK$105,3,FALSE)</f>
        <v>Premiums Written</v>
      </c>
      <c r="AF9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606" spans="18:32" x14ac:dyDescent="0.2">
      <c r="R9606" t="s">
        <v>43</v>
      </c>
      <c r="S9606" t="s">
        <v>224</v>
      </c>
      <c r="T9606" t="s">
        <v>6</v>
      </c>
      <c r="U9606" s="21">
        <v>1084.5</v>
      </c>
      <c r="V9606" s="21" t="s">
        <v>368</v>
      </c>
      <c r="W9606" t="str">
        <f>VLOOKUP(Table_Query_from_Actuarial___Production[[#This Row],[Kor1]],$AI$3:$AK$105,3,FALSE)</f>
        <v>Charge-offs</v>
      </c>
      <c r="X9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606"/>
      <c r="Z9606" t="s">
        <v>37</v>
      </c>
      <c r="AA9606" t="s">
        <v>232</v>
      </c>
      <c r="AB9606" t="s">
        <v>443</v>
      </c>
      <c r="AC9606" s="21">
        <v>2517.27</v>
      </c>
      <c r="AD9606" s="21" t="s">
        <v>368</v>
      </c>
      <c r="AE9606" t="str">
        <f>VLOOKUP(Table_Query_from_Actuarial___Production3[[#This Row],[Kor1]],$AI$3:$AK$105,3,FALSE)</f>
        <v>Misc. Expense</v>
      </c>
      <c r="AF9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7" spans="18:32" x14ac:dyDescent="0.2">
      <c r="R9607" t="s">
        <v>12</v>
      </c>
      <c r="S9607" t="s">
        <v>4</v>
      </c>
      <c r="T9607" t="s">
        <v>351</v>
      </c>
      <c r="U9607" s="21">
        <v>486360.37</v>
      </c>
      <c r="V9607" s="21" t="s">
        <v>368</v>
      </c>
      <c r="W9607" t="str">
        <f>VLOOKUP(Table_Query_from_Actuarial___Production[[#This Row],[Kor1]],$AI$3:$AK$105,3,FALSE)</f>
        <v>Premium Tax</v>
      </c>
      <c r="X9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7"/>
      <c r="Z9607" t="s">
        <v>13</v>
      </c>
      <c r="AA9607" t="s">
        <v>257</v>
      </c>
      <c r="AB9607" t="s">
        <v>443</v>
      </c>
      <c r="AC9607" s="21">
        <v>152495.20000000001</v>
      </c>
      <c r="AD9607" s="21" t="s">
        <v>368</v>
      </c>
      <c r="AE9607" t="str">
        <f>VLOOKUP(Table_Query_from_Actuarial___Production3[[#This Row],[Kor1]],$AI$3:$AK$105,3,FALSE)</f>
        <v>Operating Service Fees</v>
      </c>
      <c r="AF9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8" spans="18:32" x14ac:dyDescent="0.2">
      <c r="R9608" t="s">
        <v>14</v>
      </c>
      <c r="S9608" t="s">
        <v>234</v>
      </c>
      <c r="T9608" t="s">
        <v>356</v>
      </c>
      <c r="U9608" s="21">
        <v>41236.31</v>
      </c>
      <c r="V9608" s="21" t="s">
        <v>368</v>
      </c>
      <c r="W9608" t="str">
        <f>VLOOKUP(Table_Query_from_Actuarial___Production[[#This Row],[Kor1]],$AI$3:$AK$105,3,FALSE)</f>
        <v>Claims Expense</v>
      </c>
      <c r="X9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8"/>
      <c r="Z9608" t="s">
        <v>14</v>
      </c>
      <c r="AA9608" t="s">
        <v>239</v>
      </c>
      <c r="AB9608" t="s">
        <v>427</v>
      </c>
      <c r="AC9608" s="21">
        <v>207033.73</v>
      </c>
      <c r="AD9608" s="21" t="s">
        <v>368</v>
      </c>
      <c r="AE9608" t="str">
        <f>VLOOKUP(Table_Query_from_Actuarial___Production3[[#This Row],[Kor1]],$AI$3:$AK$105,3,FALSE)</f>
        <v>Claims Expense</v>
      </c>
      <c r="AF9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09" spans="18:32" x14ac:dyDescent="0.2">
      <c r="R9609" t="s">
        <v>39</v>
      </c>
      <c r="S9609" t="s">
        <v>260</v>
      </c>
      <c r="T9609" t="s">
        <v>441</v>
      </c>
      <c r="U9609" s="21">
        <v>215.03</v>
      </c>
      <c r="V9609" s="21" t="s">
        <v>368</v>
      </c>
      <c r="W9609" t="str">
        <f>VLOOKUP(Table_Query_from_Actuarial___Production[[#This Row],[Kor1]],$AI$3:$AK$105,3,FALSE)</f>
        <v>Misc. Income for Insolvent Companies</v>
      </c>
      <c r="X9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09"/>
      <c r="Z9609" t="s">
        <v>3</v>
      </c>
      <c r="AA9609" t="s">
        <v>224</v>
      </c>
      <c r="AB9609" t="s">
        <v>443</v>
      </c>
      <c r="AC9609" s="21">
        <v>13774</v>
      </c>
      <c r="AD9609" s="21" t="s">
        <v>425</v>
      </c>
      <c r="AE9609" t="str">
        <f>VLOOKUP(Table_Query_from_Actuarial___Production3[[#This Row],[Kor1]],$AI$3:$AK$105,3,FALSE)</f>
        <v>Premiums Written</v>
      </c>
      <c r="AF9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610" spans="18:32" x14ac:dyDescent="0.2">
      <c r="R9610" t="s">
        <v>16</v>
      </c>
      <c r="S9610" t="s">
        <v>224</v>
      </c>
      <c r="T9610" t="s">
        <v>441</v>
      </c>
      <c r="U9610" s="21">
        <v>-8.74</v>
      </c>
      <c r="V9610" s="21" t="s">
        <v>425</v>
      </c>
      <c r="W9610" t="str">
        <f>VLOOKUP(Table_Query_from_Actuarial___Production[[#This Row],[Kor1]],$AI$3:$AK$105,3,FALSE)</f>
        <v>Losses Outstanding</v>
      </c>
      <c r="X9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610"/>
      <c r="Z9610" t="s">
        <v>43</v>
      </c>
      <c r="AA9610" t="s">
        <v>224</v>
      </c>
      <c r="AB9610" t="s">
        <v>6</v>
      </c>
      <c r="AC9610" s="21">
        <v>1084.5</v>
      </c>
      <c r="AD9610" s="21" t="s">
        <v>368</v>
      </c>
      <c r="AE9610" t="str">
        <f>VLOOKUP(Table_Query_from_Actuarial___Production3[[#This Row],[Kor1]],$AI$3:$AK$105,3,FALSE)</f>
        <v>Charge-offs</v>
      </c>
      <c r="AF9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611" spans="18:32" x14ac:dyDescent="0.2">
      <c r="R9611" t="s">
        <v>24</v>
      </c>
      <c r="S9611" t="s">
        <v>259</v>
      </c>
      <c r="T9611" t="s">
        <v>445</v>
      </c>
      <c r="U9611" s="21">
        <v>-2.16</v>
      </c>
      <c r="V9611" s="21" t="s">
        <v>368</v>
      </c>
      <c r="W9611" t="str">
        <f>VLOOKUP(Table_Query_from_Actuarial___Production[[#This Row],[Kor1]],$AI$3:$AK$105,3,FALSE)</f>
        <v>Misc. Expense</v>
      </c>
      <c r="X9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1"/>
      <c r="Z9611" t="s">
        <v>12</v>
      </c>
      <c r="AA9611" t="s">
        <v>4</v>
      </c>
      <c r="AB9611" t="s">
        <v>351</v>
      </c>
      <c r="AC9611" s="21">
        <v>486360.37</v>
      </c>
      <c r="AD9611" s="21" t="s">
        <v>368</v>
      </c>
      <c r="AE9611" t="str">
        <f>VLOOKUP(Table_Query_from_Actuarial___Production3[[#This Row],[Kor1]],$AI$3:$AK$105,3,FALSE)</f>
        <v>Premium Tax</v>
      </c>
      <c r="AF9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2" spans="18:32" x14ac:dyDescent="0.2">
      <c r="R9612" t="s">
        <v>41</v>
      </c>
      <c r="S9612" t="s">
        <v>265</v>
      </c>
      <c r="T9612" t="s">
        <v>7</v>
      </c>
      <c r="U9612" s="21">
        <v>150</v>
      </c>
      <c r="V9612" s="21" t="s">
        <v>368</v>
      </c>
      <c r="W9612" t="str">
        <f>VLOOKUP(Table_Query_from_Actuarial___Production[[#This Row],[Kor1]],$AI$3:$AK$105,3,FALSE)</f>
        <v>Misc. Income</v>
      </c>
      <c r="X9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2"/>
      <c r="Z9612" t="s">
        <v>14</v>
      </c>
      <c r="AA9612" t="s">
        <v>234</v>
      </c>
      <c r="AB9612" t="s">
        <v>356</v>
      </c>
      <c r="AC9612" s="21">
        <v>41236.31</v>
      </c>
      <c r="AD9612" s="21" t="s">
        <v>368</v>
      </c>
      <c r="AE9612" t="str">
        <f>VLOOKUP(Table_Query_from_Actuarial___Production3[[#This Row],[Kor1]],$AI$3:$AK$105,3,FALSE)</f>
        <v>Claims Expense</v>
      </c>
      <c r="AF9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3" spans="18:32" x14ac:dyDescent="0.2">
      <c r="R9613" t="s">
        <v>49</v>
      </c>
      <c r="S9613" t="s">
        <v>262</v>
      </c>
      <c r="T9613" t="s">
        <v>351</v>
      </c>
      <c r="U9613" s="21">
        <v>46846.18</v>
      </c>
      <c r="V9613" s="21" t="s">
        <v>368</v>
      </c>
      <c r="W9613" t="str">
        <f>VLOOKUP(Table_Query_from_Actuarial___Production[[#This Row],[Kor1]],$AI$3:$AK$105,3,FALSE)</f>
        <v>ALAE Paid</v>
      </c>
      <c r="X9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3"/>
      <c r="Z9613" t="s">
        <v>39</v>
      </c>
      <c r="AA9613" t="s">
        <v>260</v>
      </c>
      <c r="AB9613" t="s">
        <v>441</v>
      </c>
      <c r="AC9613" s="21">
        <v>215.03</v>
      </c>
      <c r="AD9613" s="21" t="s">
        <v>368</v>
      </c>
      <c r="AE9613" t="str">
        <f>VLOOKUP(Table_Query_from_Actuarial___Production3[[#This Row],[Kor1]],$AI$3:$AK$105,3,FALSE)</f>
        <v>Misc. Income for Insolvent Companies</v>
      </c>
      <c r="AF9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4" spans="18:32" x14ac:dyDescent="0.2">
      <c r="R9614" t="s">
        <v>10</v>
      </c>
      <c r="S9614" t="s">
        <v>263</v>
      </c>
      <c r="T9614" t="s">
        <v>7</v>
      </c>
      <c r="U9614" s="21">
        <v>37913.949999999997</v>
      </c>
      <c r="V9614" s="21" t="s">
        <v>368</v>
      </c>
      <c r="W9614" t="str">
        <f>VLOOKUP(Table_Query_from_Actuarial___Production[[#This Row],[Kor1]],$AI$3:$AK$105,3,FALSE)</f>
        <v>Commissions</v>
      </c>
      <c r="X9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4"/>
      <c r="Z9614" t="s">
        <v>41</v>
      </c>
      <c r="AA9614" t="s">
        <v>265</v>
      </c>
      <c r="AB9614" t="s">
        <v>7</v>
      </c>
      <c r="AC9614" s="21">
        <v>150</v>
      </c>
      <c r="AD9614" s="21" t="s">
        <v>368</v>
      </c>
      <c r="AE9614" t="str">
        <f>VLOOKUP(Table_Query_from_Actuarial___Production3[[#This Row],[Kor1]],$AI$3:$AK$105,3,FALSE)</f>
        <v>Misc. Income</v>
      </c>
      <c r="AF9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5" spans="18:32" x14ac:dyDescent="0.2">
      <c r="R9615" t="s">
        <v>14</v>
      </c>
      <c r="S9615" t="s">
        <v>254</v>
      </c>
      <c r="T9615" t="s">
        <v>445</v>
      </c>
      <c r="U9615" s="21">
        <v>476822.19</v>
      </c>
      <c r="V9615" s="21" t="s">
        <v>368</v>
      </c>
      <c r="W9615" t="str">
        <f>VLOOKUP(Table_Query_from_Actuarial___Production[[#This Row],[Kor1]],$AI$3:$AK$105,3,FALSE)</f>
        <v>Claims Expense</v>
      </c>
      <c r="X9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5"/>
      <c r="Z9615" t="s">
        <v>49</v>
      </c>
      <c r="AA9615" t="s">
        <v>262</v>
      </c>
      <c r="AB9615" t="s">
        <v>351</v>
      </c>
      <c r="AC9615" s="21">
        <v>46846.18</v>
      </c>
      <c r="AD9615" s="21" t="s">
        <v>368</v>
      </c>
      <c r="AE9615" t="str">
        <f>VLOOKUP(Table_Query_from_Actuarial___Production3[[#This Row],[Kor1]],$AI$3:$AK$105,3,FALSE)</f>
        <v>ALAE Paid</v>
      </c>
      <c r="AF9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6" spans="18:32" x14ac:dyDescent="0.2">
      <c r="R9616" t="s">
        <v>77</v>
      </c>
      <c r="S9616" t="s">
        <v>235</v>
      </c>
      <c r="T9616" t="s">
        <v>445</v>
      </c>
      <c r="U9616" s="21">
        <v>4043</v>
      </c>
      <c r="V9616" s="21" t="s">
        <v>368</v>
      </c>
      <c r="W9616" t="str">
        <f>VLOOKUP(Table_Query_from_Actuarial___Production[[#This Row],[Kor1]],$AI$3:$AK$105,3,FALSE)</f>
        <v>PDR</v>
      </c>
      <c r="X9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6"/>
      <c r="Z9616" t="s">
        <v>10</v>
      </c>
      <c r="AA9616" t="s">
        <v>263</v>
      </c>
      <c r="AB9616" t="s">
        <v>7</v>
      </c>
      <c r="AC9616" s="21">
        <v>37913.949999999997</v>
      </c>
      <c r="AD9616" s="21" t="s">
        <v>368</v>
      </c>
      <c r="AE9616" t="str">
        <f>VLOOKUP(Table_Query_from_Actuarial___Production3[[#This Row],[Kor1]],$AI$3:$AK$105,3,FALSE)</f>
        <v>Commissions</v>
      </c>
      <c r="AF9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7" spans="18:32" x14ac:dyDescent="0.2">
      <c r="R9617" t="s">
        <v>37</v>
      </c>
      <c r="S9617" t="s">
        <v>235</v>
      </c>
      <c r="T9617" t="s">
        <v>351</v>
      </c>
      <c r="U9617" s="21">
        <v>103.93</v>
      </c>
      <c r="V9617" s="21" t="s">
        <v>368</v>
      </c>
      <c r="W9617" t="str">
        <f>VLOOKUP(Table_Query_from_Actuarial___Production[[#This Row],[Kor1]],$AI$3:$AK$105,3,FALSE)</f>
        <v>Misc. Expense</v>
      </c>
      <c r="X9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7"/>
      <c r="Z9617" t="s">
        <v>37</v>
      </c>
      <c r="AA9617" t="s">
        <v>235</v>
      </c>
      <c r="AB9617" t="s">
        <v>351</v>
      </c>
      <c r="AC9617" s="21">
        <v>103.93</v>
      </c>
      <c r="AD9617" s="21" t="s">
        <v>368</v>
      </c>
      <c r="AE9617" t="str">
        <f>VLOOKUP(Table_Query_from_Actuarial___Production3[[#This Row],[Kor1]],$AI$3:$AK$105,3,FALSE)</f>
        <v>Misc. Expense</v>
      </c>
      <c r="AF9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8" spans="18:32" x14ac:dyDescent="0.2">
      <c r="R9618" t="s">
        <v>40</v>
      </c>
      <c r="S9618" t="s">
        <v>267</v>
      </c>
      <c r="T9618" t="s">
        <v>6</v>
      </c>
      <c r="U9618" s="21">
        <v>19</v>
      </c>
      <c r="V9618" s="21" t="s">
        <v>368</v>
      </c>
      <c r="W9618" t="str">
        <f>VLOOKUP(Table_Query_from_Actuarial___Production[[#This Row],[Kor1]],$AI$3:$AK$105,3,FALSE)</f>
        <v>Misc. Income</v>
      </c>
      <c r="X9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8"/>
      <c r="Z9618" t="s">
        <v>40</v>
      </c>
      <c r="AA9618" t="s">
        <v>267</v>
      </c>
      <c r="AB9618" t="s">
        <v>6</v>
      </c>
      <c r="AC9618" s="21">
        <v>19</v>
      </c>
      <c r="AD9618" s="21" t="s">
        <v>368</v>
      </c>
      <c r="AE9618" t="str">
        <f>VLOOKUP(Table_Query_from_Actuarial___Production3[[#This Row],[Kor1]],$AI$3:$AK$105,3,FALSE)</f>
        <v>Misc. Income</v>
      </c>
      <c r="AF9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19" spans="18:32" x14ac:dyDescent="0.2">
      <c r="R9619" t="s">
        <v>31</v>
      </c>
      <c r="S9619" t="s">
        <v>264</v>
      </c>
      <c r="T9619" t="s">
        <v>351</v>
      </c>
      <c r="U9619" s="21">
        <v>62.59</v>
      </c>
      <c r="V9619" s="21" t="s">
        <v>368</v>
      </c>
      <c r="W9619" t="str">
        <f>VLOOKUP(Table_Query_from_Actuarial___Production[[#This Row],[Kor1]],$AI$3:$AK$105,3,FALSE)</f>
        <v>Misc. Expense</v>
      </c>
      <c r="X9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19"/>
      <c r="Z9619" t="s">
        <v>31</v>
      </c>
      <c r="AA9619" t="s">
        <v>264</v>
      </c>
      <c r="AB9619" t="s">
        <v>351</v>
      </c>
      <c r="AC9619" s="21">
        <v>62.59</v>
      </c>
      <c r="AD9619" s="21" t="s">
        <v>368</v>
      </c>
      <c r="AE9619" t="str">
        <f>VLOOKUP(Table_Query_from_Actuarial___Production3[[#This Row],[Kor1]],$AI$3:$AK$105,3,FALSE)</f>
        <v>Misc. Expense</v>
      </c>
      <c r="AF9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0" spans="18:32" x14ac:dyDescent="0.2">
      <c r="R9620" t="s">
        <v>37</v>
      </c>
      <c r="S9620" t="s">
        <v>258</v>
      </c>
      <c r="T9620" t="s">
        <v>427</v>
      </c>
      <c r="U9620" s="21">
        <v>772.67</v>
      </c>
      <c r="V9620" s="21" t="s">
        <v>368</v>
      </c>
      <c r="W9620" t="str">
        <f>VLOOKUP(Table_Query_from_Actuarial___Production[[#This Row],[Kor1]],$AI$3:$AK$105,3,FALSE)</f>
        <v>Misc. Expense</v>
      </c>
      <c r="X9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0"/>
      <c r="Z9620" t="s">
        <v>37</v>
      </c>
      <c r="AA9620" t="s">
        <v>258</v>
      </c>
      <c r="AB9620" t="s">
        <v>427</v>
      </c>
      <c r="AC9620" s="21">
        <v>772.67</v>
      </c>
      <c r="AD9620" s="21" t="s">
        <v>368</v>
      </c>
      <c r="AE9620" t="str">
        <f>VLOOKUP(Table_Query_from_Actuarial___Production3[[#This Row],[Kor1]],$AI$3:$AK$105,3,FALSE)</f>
        <v>Misc. Expense</v>
      </c>
      <c r="AF9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1" spans="18:32" x14ac:dyDescent="0.2">
      <c r="R9621" t="s">
        <v>3</v>
      </c>
      <c r="S9621" t="s">
        <v>263</v>
      </c>
      <c r="T9621" t="s">
        <v>443</v>
      </c>
      <c r="U9621" s="21">
        <v>409117</v>
      </c>
      <c r="V9621" s="21" t="s">
        <v>368</v>
      </c>
      <c r="W9621" t="str">
        <f>VLOOKUP(Table_Query_from_Actuarial___Production[[#This Row],[Kor1]],$AI$3:$AK$105,3,FALSE)</f>
        <v>Premiums Written</v>
      </c>
      <c r="X9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1"/>
      <c r="Z9621" t="s">
        <v>3</v>
      </c>
      <c r="AA9621" t="s">
        <v>263</v>
      </c>
      <c r="AB9621" t="s">
        <v>443</v>
      </c>
      <c r="AC9621" s="21">
        <v>56028</v>
      </c>
      <c r="AD9621" s="21" t="s">
        <v>368</v>
      </c>
      <c r="AE9621" t="str">
        <f>VLOOKUP(Table_Query_from_Actuarial___Production3[[#This Row],[Kor1]],$AI$3:$AK$105,3,FALSE)</f>
        <v>Premiums Written</v>
      </c>
      <c r="AF9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2" spans="18:32" x14ac:dyDescent="0.2">
      <c r="R9622" t="s">
        <v>39</v>
      </c>
      <c r="S9622" t="s">
        <v>227</v>
      </c>
      <c r="T9622" t="s">
        <v>9</v>
      </c>
      <c r="U9622" s="21">
        <v>1812.99</v>
      </c>
      <c r="V9622" s="21" t="s">
        <v>368</v>
      </c>
      <c r="W9622" t="str">
        <f>VLOOKUP(Table_Query_from_Actuarial___Production[[#This Row],[Kor1]],$AI$3:$AK$105,3,FALSE)</f>
        <v>Misc. Income for Insolvent Companies</v>
      </c>
      <c r="X9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2"/>
      <c r="Z9622" t="s">
        <v>16</v>
      </c>
      <c r="AA9622" t="s">
        <v>242</v>
      </c>
      <c r="AB9622" t="s">
        <v>427</v>
      </c>
      <c r="AC9622" s="21">
        <v>166085.78</v>
      </c>
      <c r="AD9622" s="21" t="s">
        <v>368</v>
      </c>
      <c r="AE9622" t="str">
        <f>VLOOKUP(Table_Query_from_Actuarial___Production3[[#This Row],[Kor1]],$AI$3:$AK$105,3,FALSE)</f>
        <v>Losses Outstanding</v>
      </c>
      <c r="AF9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3" spans="18:32" x14ac:dyDescent="0.2">
      <c r="R9623" t="s">
        <v>43</v>
      </c>
      <c r="S9623" t="s">
        <v>246</v>
      </c>
      <c r="T9623" t="s">
        <v>427</v>
      </c>
      <c r="U9623" s="21">
        <v>-0.09</v>
      </c>
      <c r="V9623" s="21" t="s">
        <v>368</v>
      </c>
      <c r="W9623" t="str">
        <f>VLOOKUP(Table_Query_from_Actuarial___Production[[#This Row],[Kor1]],$AI$3:$AK$105,3,FALSE)</f>
        <v>Charge-offs</v>
      </c>
      <c r="X9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3"/>
      <c r="Z9623" t="s">
        <v>39</v>
      </c>
      <c r="AA9623" t="s">
        <v>227</v>
      </c>
      <c r="AB9623" t="s">
        <v>9</v>
      </c>
      <c r="AC9623" s="21">
        <v>1812.99</v>
      </c>
      <c r="AD9623" s="21" t="s">
        <v>368</v>
      </c>
      <c r="AE9623" t="str">
        <f>VLOOKUP(Table_Query_from_Actuarial___Production3[[#This Row],[Kor1]],$AI$3:$AK$105,3,FALSE)</f>
        <v>Misc. Income for Insolvent Companies</v>
      </c>
      <c r="AF9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4" spans="18:32" x14ac:dyDescent="0.2">
      <c r="R9624" t="s">
        <v>43</v>
      </c>
      <c r="S9624" t="s">
        <v>264</v>
      </c>
      <c r="T9624" t="s">
        <v>442</v>
      </c>
      <c r="U9624" s="21">
        <v>459.9</v>
      </c>
      <c r="V9624" s="21" t="s">
        <v>368</v>
      </c>
      <c r="W9624" t="str">
        <f>VLOOKUP(Table_Query_from_Actuarial___Production[[#This Row],[Kor1]],$AI$3:$AK$105,3,FALSE)</f>
        <v>Charge-offs</v>
      </c>
      <c r="X9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4"/>
      <c r="Z9624" t="s">
        <v>43</v>
      </c>
      <c r="AA9624" t="s">
        <v>246</v>
      </c>
      <c r="AB9624" t="s">
        <v>427</v>
      </c>
      <c r="AC9624" s="21">
        <v>-0.09</v>
      </c>
      <c r="AD9624" s="21" t="s">
        <v>368</v>
      </c>
      <c r="AE9624" t="str">
        <f>VLOOKUP(Table_Query_from_Actuarial___Production3[[#This Row],[Kor1]],$AI$3:$AK$105,3,FALSE)</f>
        <v>Charge-offs</v>
      </c>
      <c r="AF9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5" spans="18:32" x14ac:dyDescent="0.2">
      <c r="R9625" t="s">
        <v>10</v>
      </c>
      <c r="S9625" t="s">
        <v>257</v>
      </c>
      <c r="T9625" t="s">
        <v>441</v>
      </c>
      <c r="U9625" s="21">
        <v>161774.94</v>
      </c>
      <c r="V9625" s="21" t="s">
        <v>368</v>
      </c>
      <c r="W9625" t="str">
        <f>VLOOKUP(Table_Query_from_Actuarial___Production[[#This Row],[Kor1]],$AI$3:$AK$105,3,FALSE)</f>
        <v>Commissions</v>
      </c>
      <c r="X9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5"/>
      <c r="Z9625" t="s">
        <v>43</v>
      </c>
      <c r="AA9625" t="s">
        <v>264</v>
      </c>
      <c r="AB9625" t="s">
        <v>442</v>
      </c>
      <c r="AC9625" s="21">
        <v>484.85</v>
      </c>
      <c r="AD9625" s="21" t="s">
        <v>368</v>
      </c>
      <c r="AE9625" t="str">
        <f>VLOOKUP(Table_Query_from_Actuarial___Production3[[#This Row],[Kor1]],$AI$3:$AK$105,3,FALSE)</f>
        <v>Charge-offs</v>
      </c>
      <c r="AF9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6" spans="18:32" x14ac:dyDescent="0.2">
      <c r="R9626" t="s">
        <v>11</v>
      </c>
      <c r="S9626" t="s">
        <v>265</v>
      </c>
      <c r="T9626" t="s">
        <v>6</v>
      </c>
      <c r="U9626" s="21">
        <v>29764.52</v>
      </c>
      <c r="V9626" s="21" t="s">
        <v>368</v>
      </c>
      <c r="W9626" t="str">
        <f>VLOOKUP(Table_Query_from_Actuarial___Production[[#This Row],[Kor1]],$AI$3:$AK$105,3,FALSE)</f>
        <v>Losses Paid</v>
      </c>
      <c r="X9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6"/>
      <c r="Z9626" t="s">
        <v>10</v>
      </c>
      <c r="AA9626" t="s">
        <v>257</v>
      </c>
      <c r="AB9626" t="s">
        <v>441</v>
      </c>
      <c r="AC9626" s="21">
        <v>161774.94</v>
      </c>
      <c r="AD9626" s="21" t="s">
        <v>368</v>
      </c>
      <c r="AE9626" t="str">
        <f>VLOOKUP(Table_Query_from_Actuarial___Production3[[#This Row],[Kor1]],$AI$3:$AK$105,3,FALSE)</f>
        <v>Commissions</v>
      </c>
      <c r="AF9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7" spans="18:32" x14ac:dyDescent="0.2">
      <c r="R9627" t="s">
        <v>3</v>
      </c>
      <c r="S9627" t="s">
        <v>265</v>
      </c>
      <c r="T9627" t="s">
        <v>356</v>
      </c>
      <c r="U9627" s="21">
        <v>1413499</v>
      </c>
      <c r="V9627" s="21" t="s">
        <v>368</v>
      </c>
      <c r="W9627" t="str">
        <f>VLOOKUP(Table_Query_from_Actuarial___Production[[#This Row],[Kor1]],$AI$3:$AK$105,3,FALSE)</f>
        <v>Premiums Written</v>
      </c>
      <c r="X9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7"/>
      <c r="Z9627" t="s">
        <v>11</v>
      </c>
      <c r="AA9627" t="s">
        <v>265</v>
      </c>
      <c r="AB9627" t="s">
        <v>6</v>
      </c>
      <c r="AC9627" s="21">
        <v>29764.52</v>
      </c>
      <c r="AD9627" s="21" t="s">
        <v>368</v>
      </c>
      <c r="AE9627" t="str">
        <f>VLOOKUP(Table_Query_from_Actuarial___Production3[[#This Row],[Kor1]],$AI$3:$AK$105,3,FALSE)</f>
        <v>Losses Paid</v>
      </c>
      <c r="AF9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8" spans="18:32" x14ac:dyDescent="0.2">
      <c r="R9628" t="s">
        <v>13</v>
      </c>
      <c r="S9628" t="s">
        <v>263</v>
      </c>
      <c r="T9628" t="s">
        <v>427</v>
      </c>
      <c r="U9628" s="21">
        <v>95336.76</v>
      </c>
      <c r="V9628" s="21" t="s">
        <v>368</v>
      </c>
      <c r="W9628" t="str">
        <f>VLOOKUP(Table_Query_from_Actuarial___Production[[#This Row],[Kor1]],$AI$3:$AK$105,3,FALSE)</f>
        <v>Operating Service Fees</v>
      </c>
      <c r="X9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8"/>
      <c r="Z9628" t="s">
        <v>3</v>
      </c>
      <c r="AA9628" t="s">
        <v>265</v>
      </c>
      <c r="AB9628" t="s">
        <v>356</v>
      </c>
      <c r="AC9628" s="21">
        <v>1413499</v>
      </c>
      <c r="AD9628" s="21" t="s">
        <v>368</v>
      </c>
      <c r="AE9628" t="str">
        <f>VLOOKUP(Table_Query_from_Actuarial___Production3[[#This Row],[Kor1]],$AI$3:$AK$105,3,FALSE)</f>
        <v>Premiums Written</v>
      </c>
      <c r="AF9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29" spans="18:32" x14ac:dyDescent="0.2">
      <c r="R9629" t="s">
        <v>31</v>
      </c>
      <c r="S9629" t="s">
        <v>227</v>
      </c>
      <c r="T9629" t="s">
        <v>9</v>
      </c>
      <c r="U9629" s="21">
        <v>537.61</v>
      </c>
      <c r="V9629" s="21" t="s">
        <v>368</v>
      </c>
      <c r="W9629" t="str">
        <f>VLOOKUP(Table_Query_from_Actuarial___Production[[#This Row],[Kor1]],$AI$3:$AK$105,3,FALSE)</f>
        <v>Misc. Expense</v>
      </c>
      <c r="X9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29"/>
      <c r="Z9629" t="s">
        <v>13</v>
      </c>
      <c r="AA9629" t="s">
        <v>263</v>
      </c>
      <c r="AB9629" t="s">
        <v>427</v>
      </c>
      <c r="AC9629" s="21">
        <v>95336.76</v>
      </c>
      <c r="AD9629" s="21" t="s">
        <v>368</v>
      </c>
      <c r="AE9629" t="str">
        <f>VLOOKUP(Table_Query_from_Actuarial___Production3[[#This Row],[Kor1]],$AI$3:$AK$105,3,FALSE)</f>
        <v>Operating Service Fees</v>
      </c>
      <c r="AF9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0" spans="18:32" x14ac:dyDescent="0.2">
      <c r="R9630" t="s">
        <v>33</v>
      </c>
      <c r="S9630" t="s">
        <v>250</v>
      </c>
      <c r="T9630" t="s">
        <v>9</v>
      </c>
      <c r="U9630" s="21">
        <v>30752.23</v>
      </c>
      <c r="V9630" s="21" t="s">
        <v>368</v>
      </c>
      <c r="W9630" t="str">
        <f>VLOOKUP(Table_Query_from_Actuarial___Production[[#This Row],[Kor1]],$AI$3:$AK$105,3,FALSE)</f>
        <v>Misc. Expense</v>
      </c>
      <c r="X9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0"/>
      <c r="Z9630" t="s">
        <v>20</v>
      </c>
      <c r="AA9630" t="s">
        <v>243</v>
      </c>
      <c r="AB9630" t="s">
        <v>5</v>
      </c>
      <c r="AC9630" s="21">
        <v>42.49</v>
      </c>
      <c r="AD9630" s="21" t="s">
        <v>368</v>
      </c>
      <c r="AE9630" t="str">
        <f>VLOOKUP(Table_Query_from_Actuarial___Production3[[#This Row],[Kor1]],$AI$3:$AK$105,3,FALSE)</f>
        <v>Misc. Expense</v>
      </c>
      <c r="AF9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1" spans="18:32" x14ac:dyDescent="0.2">
      <c r="R9631" t="s">
        <v>19</v>
      </c>
      <c r="S9631" t="s">
        <v>249</v>
      </c>
      <c r="T9631" t="s">
        <v>6</v>
      </c>
      <c r="U9631" s="21">
        <v>1573</v>
      </c>
      <c r="V9631" s="21" t="s">
        <v>368</v>
      </c>
      <c r="W9631" t="str">
        <f>VLOOKUP(Table_Query_from_Actuarial___Production[[#This Row],[Kor1]],$AI$3:$AK$105,3,FALSE)</f>
        <v>Misc. Expense for Insolvent Companies</v>
      </c>
      <c r="X9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1"/>
      <c r="Z9631" t="s">
        <v>31</v>
      </c>
      <c r="AA9631" t="s">
        <v>227</v>
      </c>
      <c r="AB9631" t="s">
        <v>9</v>
      </c>
      <c r="AC9631" s="21">
        <v>537.61</v>
      </c>
      <c r="AD9631" s="21" t="s">
        <v>368</v>
      </c>
      <c r="AE9631" t="str">
        <f>VLOOKUP(Table_Query_from_Actuarial___Production3[[#This Row],[Kor1]],$AI$3:$AK$105,3,FALSE)</f>
        <v>Misc. Expense</v>
      </c>
      <c r="AF9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2" spans="18:32" x14ac:dyDescent="0.2">
      <c r="R9632" t="s">
        <v>44</v>
      </c>
      <c r="S9632" t="s">
        <v>234</v>
      </c>
      <c r="T9632" t="s">
        <v>442</v>
      </c>
      <c r="U9632" s="21">
        <v>48480.03</v>
      </c>
      <c r="V9632" s="21" t="s">
        <v>368</v>
      </c>
      <c r="W9632" t="str">
        <f>VLOOKUP(Table_Query_from_Actuarial___Production[[#This Row],[Kor1]],$AI$3:$AK$105,3,FALSE)</f>
        <v>Charge-offs</v>
      </c>
      <c r="X9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2"/>
      <c r="Z9632" t="s">
        <v>33</v>
      </c>
      <c r="AA9632" t="s">
        <v>250</v>
      </c>
      <c r="AB9632" t="s">
        <v>9</v>
      </c>
      <c r="AC9632" s="21">
        <v>30752.23</v>
      </c>
      <c r="AD9632" s="21" t="s">
        <v>368</v>
      </c>
      <c r="AE9632" t="str">
        <f>VLOOKUP(Table_Query_from_Actuarial___Production3[[#This Row],[Kor1]],$AI$3:$AK$105,3,FALSE)</f>
        <v>Misc. Expense</v>
      </c>
      <c r="AF9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3" spans="18:32" x14ac:dyDescent="0.2">
      <c r="R9633" t="s">
        <v>21</v>
      </c>
      <c r="S9633" t="s">
        <v>239</v>
      </c>
      <c r="T9633" t="s">
        <v>442</v>
      </c>
      <c r="U9633" s="21">
        <v>2374.17</v>
      </c>
      <c r="V9633" s="21" t="s">
        <v>368</v>
      </c>
      <c r="W9633" t="str">
        <f>VLOOKUP(Table_Query_from_Actuarial___Production[[#This Row],[Kor1]],$AI$3:$AK$105,3,FALSE)</f>
        <v>Misc. Expense</v>
      </c>
      <c r="X9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3"/>
      <c r="Z9633" t="s">
        <v>19</v>
      </c>
      <c r="AA9633" t="s">
        <v>249</v>
      </c>
      <c r="AB9633" t="s">
        <v>6</v>
      </c>
      <c r="AC9633" s="21">
        <v>1573</v>
      </c>
      <c r="AD9633" s="21" t="s">
        <v>368</v>
      </c>
      <c r="AE9633" t="str">
        <f>VLOOKUP(Table_Query_from_Actuarial___Production3[[#This Row],[Kor1]],$AI$3:$AK$105,3,FALSE)</f>
        <v>Misc. Expense for Insolvent Companies</v>
      </c>
      <c r="AF9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4" spans="18:32" x14ac:dyDescent="0.2">
      <c r="R9634" t="s">
        <v>33</v>
      </c>
      <c r="S9634" t="s">
        <v>253</v>
      </c>
      <c r="T9634" t="s">
        <v>8</v>
      </c>
      <c r="U9634" s="21">
        <v>19473.47</v>
      </c>
      <c r="V9634" s="21" t="s">
        <v>368</v>
      </c>
      <c r="W9634" t="str">
        <f>VLOOKUP(Table_Query_from_Actuarial___Production[[#This Row],[Kor1]],$AI$3:$AK$105,3,FALSE)</f>
        <v>Misc. Expense</v>
      </c>
      <c r="X9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4"/>
      <c r="Z9634" t="s">
        <v>44</v>
      </c>
      <c r="AA9634" t="s">
        <v>234</v>
      </c>
      <c r="AB9634" t="s">
        <v>442</v>
      </c>
      <c r="AC9634" s="21">
        <v>43379.35</v>
      </c>
      <c r="AD9634" s="21" t="s">
        <v>368</v>
      </c>
      <c r="AE9634" t="str">
        <f>VLOOKUP(Table_Query_from_Actuarial___Production3[[#This Row],[Kor1]],$AI$3:$AK$105,3,FALSE)</f>
        <v>Charge-offs</v>
      </c>
      <c r="AF9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5" spans="18:32" x14ac:dyDescent="0.2">
      <c r="R9635" t="s">
        <v>12</v>
      </c>
      <c r="S9635" t="s">
        <v>227</v>
      </c>
      <c r="T9635" t="s">
        <v>7</v>
      </c>
      <c r="U9635" s="21">
        <v>31293.040000000001</v>
      </c>
      <c r="V9635" s="21" t="s">
        <v>368</v>
      </c>
      <c r="W9635" t="str">
        <f>VLOOKUP(Table_Query_from_Actuarial___Production[[#This Row],[Kor1]],$AI$3:$AK$105,3,FALSE)</f>
        <v>Premium Tax</v>
      </c>
      <c r="X9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5"/>
      <c r="Z9635" t="s">
        <v>21</v>
      </c>
      <c r="AA9635" t="s">
        <v>239</v>
      </c>
      <c r="AB9635" t="s">
        <v>442</v>
      </c>
      <c r="AC9635" s="21">
        <v>2374.17</v>
      </c>
      <c r="AD9635" s="21" t="s">
        <v>368</v>
      </c>
      <c r="AE9635" t="str">
        <f>VLOOKUP(Table_Query_from_Actuarial___Production3[[#This Row],[Kor1]],$AI$3:$AK$105,3,FALSE)</f>
        <v>Misc. Expense</v>
      </c>
      <c r="AF9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6" spans="18:32" x14ac:dyDescent="0.2">
      <c r="R9636" t="s">
        <v>34</v>
      </c>
      <c r="S9636" t="s">
        <v>250</v>
      </c>
      <c r="T9636" t="s">
        <v>351</v>
      </c>
      <c r="U9636" s="21">
        <v>1567.1</v>
      </c>
      <c r="V9636" s="21" t="s">
        <v>368</v>
      </c>
      <c r="W9636" t="str">
        <f>VLOOKUP(Table_Query_from_Actuarial___Production[[#This Row],[Kor1]],$AI$3:$AK$105,3,FALSE)</f>
        <v>Misc. Expense</v>
      </c>
      <c r="X9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6"/>
      <c r="Z9636" t="s">
        <v>33</v>
      </c>
      <c r="AA9636" t="s">
        <v>253</v>
      </c>
      <c r="AB9636" t="s">
        <v>8</v>
      </c>
      <c r="AC9636" s="21">
        <v>19473.47</v>
      </c>
      <c r="AD9636" s="21" t="s">
        <v>368</v>
      </c>
      <c r="AE9636" t="str">
        <f>VLOOKUP(Table_Query_from_Actuarial___Production3[[#This Row],[Kor1]],$AI$3:$AK$105,3,FALSE)</f>
        <v>Misc. Expense</v>
      </c>
      <c r="AF9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7" spans="18:32" x14ac:dyDescent="0.2">
      <c r="R9637" t="s">
        <v>36</v>
      </c>
      <c r="S9637" t="s">
        <v>250</v>
      </c>
      <c r="T9637" t="s">
        <v>433</v>
      </c>
      <c r="U9637" s="21">
        <v>2437.0100000000002</v>
      </c>
      <c r="V9637" s="21" t="s">
        <v>368</v>
      </c>
      <c r="W9637" t="str">
        <f>VLOOKUP(Table_Query_from_Actuarial___Production[[#This Row],[Kor1]],$AI$3:$AK$105,3,FALSE)</f>
        <v>Misc. Expense</v>
      </c>
      <c r="X9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7"/>
      <c r="Z9637" t="s">
        <v>12</v>
      </c>
      <c r="AA9637" t="s">
        <v>227</v>
      </c>
      <c r="AB9637" t="s">
        <v>7</v>
      </c>
      <c r="AC9637" s="21">
        <v>31293.040000000001</v>
      </c>
      <c r="AD9637" s="21" t="s">
        <v>368</v>
      </c>
      <c r="AE9637" t="str">
        <f>VLOOKUP(Table_Query_from_Actuarial___Production3[[#This Row],[Kor1]],$AI$3:$AK$105,3,FALSE)</f>
        <v>Premium Tax</v>
      </c>
      <c r="AF9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8" spans="18:32" x14ac:dyDescent="0.2">
      <c r="R9638" t="s">
        <v>10</v>
      </c>
      <c r="S9638" t="s">
        <v>243</v>
      </c>
      <c r="T9638" t="s">
        <v>427</v>
      </c>
      <c r="U9638" s="21">
        <v>45846.41</v>
      </c>
      <c r="V9638" s="21" t="s">
        <v>368</v>
      </c>
      <c r="W9638" t="str">
        <f>VLOOKUP(Table_Query_from_Actuarial___Production[[#This Row],[Kor1]],$AI$3:$AK$105,3,FALSE)</f>
        <v>Commissions</v>
      </c>
      <c r="X9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8"/>
      <c r="Z9638" t="s">
        <v>44</v>
      </c>
      <c r="AA9638" t="s">
        <v>4</v>
      </c>
      <c r="AB9638" t="s">
        <v>5</v>
      </c>
      <c r="AC9638" s="21">
        <v>73896.800000000003</v>
      </c>
      <c r="AD9638" s="21" t="s">
        <v>368</v>
      </c>
      <c r="AE9638" t="str">
        <f>VLOOKUP(Table_Query_from_Actuarial___Production3[[#This Row],[Kor1]],$AI$3:$AK$105,3,FALSE)</f>
        <v>Charge-offs</v>
      </c>
      <c r="AF9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39" spans="18:32" x14ac:dyDescent="0.2">
      <c r="R9639" t="s">
        <v>13</v>
      </c>
      <c r="S9639" t="s">
        <v>234</v>
      </c>
      <c r="T9639" t="s">
        <v>351</v>
      </c>
      <c r="U9639" s="21">
        <v>112906.31</v>
      </c>
      <c r="V9639" s="21" t="s">
        <v>368</v>
      </c>
      <c r="W9639" t="str">
        <f>VLOOKUP(Table_Query_from_Actuarial___Production[[#This Row],[Kor1]],$AI$3:$AK$105,3,FALSE)</f>
        <v>Operating Service Fees</v>
      </c>
      <c r="X9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39"/>
      <c r="Z9639" t="s">
        <v>34</v>
      </c>
      <c r="AA9639" t="s">
        <v>250</v>
      </c>
      <c r="AB9639" t="s">
        <v>351</v>
      </c>
      <c r="AC9639" s="21">
        <v>1567.1</v>
      </c>
      <c r="AD9639" s="21" t="s">
        <v>368</v>
      </c>
      <c r="AE9639" t="str">
        <f>VLOOKUP(Table_Query_from_Actuarial___Production3[[#This Row],[Kor1]],$AI$3:$AK$105,3,FALSE)</f>
        <v>Misc. Expense</v>
      </c>
      <c r="AF9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0" spans="18:32" x14ac:dyDescent="0.2">
      <c r="R9640" t="s">
        <v>49</v>
      </c>
      <c r="S9640" t="s">
        <v>225</v>
      </c>
      <c r="T9640" t="s">
        <v>442</v>
      </c>
      <c r="U9640" s="21">
        <v>6637.29</v>
      </c>
      <c r="V9640" s="21" t="s">
        <v>369</v>
      </c>
      <c r="W9640" t="str">
        <f>VLOOKUP(Table_Query_from_Actuarial___Production[[#This Row],[Kor1]],$AI$3:$AK$105,3,FALSE)</f>
        <v>ALAE Paid</v>
      </c>
      <c r="X9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640"/>
      <c r="Z9640" t="s">
        <v>36</v>
      </c>
      <c r="AA9640" t="s">
        <v>250</v>
      </c>
      <c r="AB9640" t="s">
        <v>433</v>
      </c>
      <c r="AC9640" s="21">
        <v>2437.0100000000002</v>
      </c>
      <c r="AD9640" s="21" t="s">
        <v>368</v>
      </c>
      <c r="AE9640" t="str">
        <f>VLOOKUP(Table_Query_from_Actuarial___Production3[[#This Row],[Kor1]],$AI$3:$AK$105,3,FALSE)</f>
        <v>Misc. Expense</v>
      </c>
      <c r="AF9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1" spans="18:32" x14ac:dyDescent="0.2">
      <c r="R9641" t="s">
        <v>14</v>
      </c>
      <c r="S9641" t="s">
        <v>264</v>
      </c>
      <c r="T9641" t="s">
        <v>351</v>
      </c>
      <c r="U9641" s="21">
        <v>138040.01999999999</v>
      </c>
      <c r="V9641" s="21" t="s">
        <v>368</v>
      </c>
      <c r="W9641" t="str">
        <f>VLOOKUP(Table_Query_from_Actuarial___Production[[#This Row],[Kor1]],$AI$3:$AK$105,3,FALSE)</f>
        <v>Claims Expense</v>
      </c>
      <c r="X9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1"/>
      <c r="Z9641" t="s">
        <v>10</v>
      </c>
      <c r="AA9641" t="s">
        <v>243</v>
      </c>
      <c r="AB9641" t="s">
        <v>427</v>
      </c>
      <c r="AC9641" s="21">
        <v>45846.41</v>
      </c>
      <c r="AD9641" s="21" t="s">
        <v>368</v>
      </c>
      <c r="AE9641" t="str">
        <f>VLOOKUP(Table_Query_from_Actuarial___Production3[[#This Row],[Kor1]],$AI$3:$AK$105,3,FALSE)</f>
        <v>Commissions</v>
      </c>
      <c r="AF9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2" spans="18:32" x14ac:dyDescent="0.2">
      <c r="R9642" t="s">
        <v>13</v>
      </c>
      <c r="S9642" t="s">
        <v>245</v>
      </c>
      <c r="T9642" t="s">
        <v>351</v>
      </c>
      <c r="U9642" s="21">
        <v>402.06</v>
      </c>
      <c r="V9642" s="21" t="s">
        <v>368</v>
      </c>
      <c r="W9642" t="str">
        <f>VLOOKUP(Table_Query_from_Actuarial___Production[[#This Row],[Kor1]],$AI$3:$AK$105,3,FALSE)</f>
        <v>Operating Service Fees</v>
      </c>
      <c r="X9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2"/>
      <c r="Z9642" t="s">
        <v>13</v>
      </c>
      <c r="AA9642" t="s">
        <v>234</v>
      </c>
      <c r="AB9642" t="s">
        <v>351</v>
      </c>
      <c r="AC9642" s="21">
        <v>112906.31</v>
      </c>
      <c r="AD9642" s="21" t="s">
        <v>368</v>
      </c>
      <c r="AE9642" t="str">
        <f>VLOOKUP(Table_Query_from_Actuarial___Production3[[#This Row],[Kor1]],$AI$3:$AK$105,3,FALSE)</f>
        <v>Operating Service Fees</v>
      </c>
      <c r="AF9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3" spans="18:32" x14ac:dyDescent="0.2">
      <c r="R9643" t="s">
        <v>33</v>
      </c>
      <c r="S9643" t="s">
        <v>242</v>
      </c>
      <c r="T9643" t="s">
        <v>7</v>
      </c>
      <c r="U9643" s="21">
        <v>14749.09</v>
      </c>
      <c r="V9643" s="21" t="s">
        <v>368</v>
      </c>
      <c r="W9643" t="str">
        <f>VLOOKUP(Table_Query_from_Actuarial___Production[[#This Row],[Kor1]],$AI$3:$AK$105,3,FALSE)</f>
        <v>Misc. Expense</v>
      </c>
      <c r="X9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3"/>
      <c r="Z9643" t="s">
        <v>49</v>
      </c>
      <c r="AA9643" t="s">
        <v>225</v>
      </c>
      <c r="AB9643" t="s">
        <v>442</v>
      </c>
      <c r="AC9643" s="21">
        <v>5379.35</v>
      </c>
      <c r="AD9643" s="21" t="s">
        <v>369</v>
      </c>
      <c r="AE9643" t="str">
        <f>VLOOKUP(Table_Query_from_Actuarial___Production3[[#This Row],[Kor1]],$AI$3:$AK$105,3,FALSE)</f>
        <v>ALAE Paid</v>
      </c>
      <c r="AF9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644" spans="18:32" x14ac:dyDescent="0.2">
      <c r="R9644" t="s">
        <v>48</v>
      </c>
      <c r="S9644" t="s">
        <v>226</v>
      </c>
      <c r="T9644" t="s">
        <v>441</v>
      </c>
      <c r="U9644" s="21">
        <v>65875.600000000006</v>
      </c>
      <c r="V9644" s="21" t="s">
        <v>368</v>
      </c>
      <c r="W9644" t="str">
        <f>VLOOKUP(Table_Query_from_Actuarial___Production[[#This Row],[Kor1]],$AI$3:$AK$105,3,FALSE)</f>
        <v>Anticipated Salvage</v>
      </c>
      <c r="X9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644"/>
      <c r="Z9644" t="s">
        <v>14</v>
      </c>
      <c r="AA9644" t="s">
        <v>264</v>
      </c>
      <c r="AB9644" t="s">
        <v>351</v>
      </c>
      <c r="AC9644" s="21">
        <v>138040.01999999999</v>
      </c>
      <c r="AD9644" s="21" t="s">
        <v>368</v>
      </c>
      <c r="AE9644" t="str">
        <f>VLOOKUP(Table_Query_from_Actuarial___Production3[[#This Row],[Kor1]],$AI$3:$AK$105,3,FALSE)</f>
        <v>Claims Expense</v>
      </c>
      <c r="AF9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5" spans="18:32" x14ac:dyDescent="0.2">
      <c r="R9645" t="s">
        <v>31</v>
      </c>
      <c r="S9645" t="s">
        <v>234</v>
      </c>
      <c r="T9645" t="s">
        <v>427</v>
      </c>
      <c r="U9645" s="21">
        <v>485.07</v>
      </c>
      <c r="V9645" s="21" t="s">
        <v>368</v>
      </c>
      <c r="W9645" t="str">
        <f>VLOOKUP(Table_Query_from_Actuarial___Production[[#This Row],[Kor1]],$AI$3:$AK$105,3,FALSE)</f>
        <v>Misc. Expense</v>
      </c>
      <c r="X9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5"/>
      <c r="Z9645" t="s">
        <v>13</v>
      </c>
      <c r="AA9645" t="s">
        <v>245</v>
      </c>
      <c r="AB9645" t="s">
        <v>351</v>
      </c>
      <c r="AC9645" s="21">
        <v>402.06</v>
      </c>
      <c r="AD9645" s="21" t="s">
        <v>368</v>
      </c>
      <c r="AE9645" t="str">
        <f>VLOOKUP(Table_Query_from_Actuarial___Production3[[#This Row],[Kor1]],$AI$3:$AK$105,3,FALSE)</f>
        <v>Operating Service Fees</v>
      </c>
      <c r="AF9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6" spans="18:32" x14ac:dyDescent="0.2">
      <c r="R9646" t="s">
        <v>32</v>
      </c>
      <c r="S9646" t="s">
        <v>237</v>
      </c>
      <c r="T9646" t="s">
        <v>427</v>
      </c>
      <c r="U9646" s="21">
        <v>3105892.89</v>
      </c>
      <c r="V9646" s="21" t="s">
        <v>368</v>
      </c>
      <c r="W9646" t="str">
        <f>VLOOKUP(Table_Query_from_Actuarial___Production[[#This Row],[Kor1]],$AI$3:$AK$105,3,FALSE)</f>
        <v>Misc. Expense</v>
      </c>
      <c r="X9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6"/>
      <c r="Z9646" t="s">
        <v>33</v>
      </c>
      <c r="AA9646" t="s">
        <v>242</v>
      </c>
      <c r="AB9646" t="s">
        <v>7</v>
      </c>
      <c r="AC9646" s="21">
        <v>14749.09</v>
      </c>
      <c r="AD9646" s="21" t="s">
        <v>368</v>
      </c>
      <c r="AE9646" t="str">
        <f>VLOOKUP(Table_Query_from_Actuarial___Production3[[#This Row],[Kor1]],$AI$3:$AK$105,3,FALSE)</f>
        <v>Misc. Expense</v>
      </c>
      <c r="AF9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7" spans="18:32" x14ac:dyDescent="0.2">
      <c r="R9647" t="s">
        <v>43</v>
      </c>
      <c r="S9647" t="s">
        <v>248</v>
      </c>
      <c r="T9647" t="s">
        <v>441</v>
      </c>
      <c r="U9647" s="21">
        <v>8.25</v>
      </c>
      <c r="V9647" s="21" t="s">
        <v>368</v>
      </c>
      <c r="W9647" t="str">
        <f>VLOOKUP(Table_Query_from_Actuarial___Production[[#This Row],[Kor1]],$AI$3:$AK$105,3,FALSE)</f>
        <v>Charge-offs</v>
      </c>
      <c r="X9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7"/>
      <c r="Z9647" t="s">
        <v>48</v>
      </c>
      <c r="AA9647" t="s">
        <v>226</v>
      </c>
      <c r="AB9647" t="s">
        <v>441</v>
      </c>
      <c r="AC9647" s="21">
        <v>97165.98</v>
      </c>
      <c r="AD9647" s="21" t="s">
        <v>368</v>
      </c>
      <c r="AE9647" t="str">
        <f>VLOOKUP(Table_Query_from_Actuarial___Production3[[#This Row],[Kor1]],$AI$3:$AK$105,3,FALSE)</f>
        <v>Anticipated Salvage</v>
      </c>
      <c r="AF9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648" spans="18:32" x14ac:dyDescent="0.2">
      <c r="R9648" t="s">
        <v>167</v>
      </c>
      <c r="S9648" t="s">
        <v>354</v>
      </c>
      <c r="T9648" t="s">
        <v>433</v>
      </c>
      <c r="U9648" s="21">
        <v>48697235</v>
      </c>
      <c r="V9648" s="21" t="s">
        <v>369</v>
      </c>
      <c r="W9648" t="str">
        <f>VLOOKUP(Table_Query_from_Actuarial___Production[[#This Row],[Kor1]],$AI$3:$AK$105,3,FALSE)</f>
        <v>Recoupment</v>
      </c>
      <c r="X9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648"/>
      <c r="Z9648" t="s">
        <v>31</v>
      </c>
      <c r="AA9648" t="s">
        <v>234</v>
      </c>
      <c r="AB9648" t="s">
        <v>427</v>
      </c>
      <c r="AC9648" s="21">
        <v>485.07</v>
      </c>
      <c r="AD9648" s="21" t="s">
        <v>368</v>
      </c>
      <c r="AE9648" t="str">
        <f>VLOOKUP(Table_Query_from_Actuarial___Production3[[#This Row],[Kor1]],$AI$3:$AK$105,3,FALSE)</f>
        <v>Misc. Expense</v>
      </c>
      <c r="AF9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49" spans="18:32" x14ac:dyDescent="0.2">
      <c r="R9649" t="s">
        <v>12</v>
      </c>
      <c r="S9649" t="s">
        <v>235</v>
      </c>
      <c r="T9649" t="s">
        <v>7</v>
      </c>
      <c r="U9649" s="21">
        <v>14768.84</v>
      </c>
      <c r="V9649" s="21" t="s">
        <v>368</v>
      </c>
      <c r="W9649" t="str">
        <f>VLOOKUP(Table_Query_from_Actuarial___Production[[#This Row],[Kor1]],$AI$3:$AK$105,3,FALSE)</f>
        <v>Premium Tax</v>
      </c>
      <c r="X9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49"/>
      <c r="Z9649" t="s">
        <v>32</v>
      </c>
      <c r="AA9649" t="s">
        <v>237</v>
      </c>
      <c r="AB9649" t="s">
        <v>427</v>
      </c>
      <c r="AC9649" s="21">
        <v>3105892.89</v>
      </c>
      <c r="AD9649" s="21" t="s">
        <v>368</v>
      </c>
      <c r="AE9649" t="str">
        <f>VLOOKUP(Table_Query_from_Actuarial___Production3[[#This Row],[Kor1]],$AI$3:$AK$105,3,FALSE)</f>
        <v>Misc. Expense</v>
      </c>
      <c r="AF9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0" spans="18:32" x14ac:dyDescent="0.2">
      <c r="R9650" t="s">
        <v>18</v>
      </c>
      <c r="S9650" t="s">
        <v>224</v>
      </c>
      <c r="T9650" t="s">
        <v>443</v>
      </c>
      <c r="U9650" s="21">
        <v>95913.45</v>
      </c>
      <c r="V9650" s="21" t="s">
        <v>368</v>
      </c>
      <c r="W9650" t="str">
        <f>VLOOKUP(Table_Query_from_Actuarial___Production[[#This Row],[Kor1]],$AI$3:$AK$105,3,FALSE)</f>
        <v>Misc. Expense</v>
      </c>
      <c r="X9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650"/>
      <c r="Z9650" t="s">
        <v>43</v>
      </c>
      <c r="AA9650" t="s">
        <v>248</v>
      </c>
      <c r="AB9650" t="s">
        <v>441</v>
      </c>
      <c r="AC9650" s="21">
        <v>8.25</v>
      </c>
      <c r="AD9650" s="21" t="s">
        <v>368</v>
      </c>
      <c r="AE9650" t="str">
        <f>VLOOKUP(Table_Query_from_Actuarial___Production3[[#This Row],[Kor1]],$AI$3:$AK$105,3,FALSE)</f>
        <v>Charge-offs</v>
      </c>
      <c r="AF9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1" spans="18:32" x14ac:dyDescent="0.2">
      <c r="R9651" t="s">
        <v>11</v>
      </c>
      <c r="S9651" t="s">
        <v>268</v>
      </c>
      <c r="T9651" t="s">
        <v>441</v>
      </c>
      <c r="U9651" s="21">
        <v>117890.83</v>
      </c>
      <c r="V9651" s="21" t="s">
        <v>368</v>
      </c>
      <c r="W9651" t="str">
        <f>VLOOKUP(Table_Query_from_Actuarial___Production[[#This Row],[Kor1]],$AI$3:$AK$105,3,FALSE)</f>
        <v>Losses Paid</v>
      </c>
      <c r="X9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1"/>
      <c r="Z9651" t="s">
        <v>167</v>
      </c>
      <c r="AA9651" t="s">
        <v>354</v>
      </c>
      <c r="AB9651" t="s">
        <v>433</v>
      </c>
      <c r="AC9651" s="21">
        <v>49478565</v>
      </c>
      <c r="AD9651" s="21" t="s">
        <v>369</v>
      </c>
      <c r="AE9651" t="str">
        <f>VLOOKUP(Table_Query_from_Actuarial___Production3[[#This Row],[Kor1]],$AI$3:$AK$105,3,FALSE)</f>
        <v>Recoupment</v>
      </c>
      <c r="AF9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652" spans="18:32" x14ac:dyDescent="0.2">
      <c r="R9652" t="s">
        <v>12</v>
      </c>
      <c r="S9652" t="s">
        <v>245</v>
      </c>
      <c r="T9652" t="s">
        <v>351</v>
      </c>
      <c r="U9652" s="21">
        <v>6026.15</v>
      </c>
      <c r="V9652" s="21" t="s">
        <v>368</v>
      </c>
      <c r="W9652" t="str">
        <f>VLOOKUP(Table_Query_from_Actuarial___Production[[#This Row],[Kor1]],$AI$3:$AK$105,3,FALSE)</f>
        <v>Premium Tax</v>
      </c>
      <c r="X9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2"/>
      <c r="Z9652" t="s">
        <v>12</v>
      </c>
      <c r="AA9652" t="s">
        <v>235</v>
      </c>
      <c r="AB9652" t="s">
        <v>7</v>
      </c>
      <c r="AC9652" s="21">
        <v>14768.84</v>
      </c>
      <c r="AD9652" s="21" t="s">
        <v>368</v>
      </c>
      <c r="AE9652" t="str">
        <f>VLOOKUP(Table_Query_from_Actuarial___Production3[[#This Row],[Kor1]],$AI$3:$AK$105,3,FALSE)</f>
        <v>Premium Tax</v>
      </c>
      <c r="AF9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3" spans="18:32" x14ac:dyDescent="0.2">
      <c r="R9653" t="s">
        <v>43</v>
      </c>
      <c r="S9653" t="s">
        <v>232</v>
      </c>
      <c r="T9653" t="s">
        <v>356</v>
      </c>
      <c r="U9653" s="21">
        <v>-247.62</v>
      </c>
      <c r="V9653" s="21" t="s">
        <v>368</v>
      </c>
      <c r="W9653" t="str">
        <f>VLOOKUP(Table_Query_from_Actuarial___Production[[#This Row],[Kor1]],$AI$3:$AK$105,3,FALSE)</f>
        <v>Charge-offs</v>
      </c>
      <c r="X9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3"/>
      <c r="Z9653" t="s">
        <v>18</v>
      </c>
      <c r="AA9653" t="s">
        <v>224</v>
      </c>
      <c r="AB9653" t="s">
        <v>443</v>
      </c>
      <c r="AC9653" s="21">
        <v>104117.05</v>
      </c>
      <c r="AD9653" s="21" t="s">
        <v>368</v>
      </c>
      <c r="AE9653" t="str">
        <f>VLOOKUP(Table_Query_from_Actuarial___Production3[[#This Row],[Kor1]],$AI$3:$AK$105,3,FALSE)</f>
        <v>Misc. Expense</v>
      </c>
      <c r="AF9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654" spans="18:32" x14ac:dyDescent="0.2">
      <c r="R9654" t="s">
        <v>49</v>
      </c>
      <c r="S9654" t="s">
        <v>232</v>
      </c>
      <c r="T9654" t="s">
        <v>351</v>
      </c>
      <c r="U9654" s="21">
        <v>532.4</v>
      </c>
      <c r="V9654" s="21" t="s">
        <v>368</v>
      </c>
      <c r="W9654" t="str">
        <f>VLOOKUP(Table_Query_from_Actuarial___Production[[#This Row],[Kor1]],$AI$3:$AK$105,3,FALSE)</f>
        <v>ALAE Paid</v>
      </c>
      <c r="X9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4"/>
      <c r="Z9654" t="s">
        <v>11</v>
      </c>
      <c r="AA9654" t="s">
        <v>268</v>
      </c>
      <c r="AB9654" t="s">
        <v>441</v>
      </c>
      <c r="AC9654" s="21">
        <v>110677.43</v>
      </c>
      <c r="AD9654" s="21" t="s">
        <v>368</v>
      </c>
      <c r="AE9654" t="str">
        <f>VLOOKUP(Table_Query_from_Actuarial___Production3[[#This Row],[Kor1]],$AI$3:$AK$105,3,FALSE)</f>
        <v>Losses Paid</v>
      </c>
      <c r="AF9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5" spans="18:32" x14ac:dyDescent="0.2">
      <c r="R9655" t="s">
        <v>48</v>
      </c>
      <c r="S9655" t="s">
        <v>354</v>
      </c>
      <c r="T9655" t="s">
        <v>427</v>
      </c>
      <c r="U9655" s="21">
        <v>36118.25</v>
      </c>
      <c r="V9655" s="21" t="s">
        <v>368</v>
      </c>
      <c r="W9655" t="str">
        <f>VLOOKUP(Table_Query_from_Actuarial___Production[[#This Row],[Kor1]],$AI$3:$AK$105,3,FALSE)</f>
        <v>Anticipated Salvage</v>
      </c>
      <c r="X9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655"/>
      <c r="Z9655" t="s">
        <v>12</v>
      </c>
      <c r="AA9655" t="s">
        <v>245</v>
      </c>
      <c r="AB9655" t="s">
        <v>351</v>
      </c>
      <c r="AC9655" s="21">
        <v>6026.15</v>
      </c>
      <c r="AD9655" s="21" t="s">
        <v>368</v>
      </c>
      <c r="AE9655" t="str">
        <f>VLOOKUP(Table_Query_from_Actuarial___Production3[[#This Row],[Kor1]],$AI$3:$AK$105,3,FALSE)</f>
        <v>Premium Tax</v>
      </c>
      <c r="AF9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6" spans="18:32" x14ac:dyDescent="0.2">
      <c r="R9656" t="s">
        <v>39</v>
      </c>
      <c r="S9656" t="s">
        <v>245</v>
      </c>
      <c r="T9656" t="s">
        <v>7</v>
      </c>
      <c r="U9656" s="21">
        <v>82</v>
      </c>
      <c r="V9656" s="21" t="s">
        <v>368</v>
      </c>
      <c r="W9656" t="str">
        <f>VLOOKUP(Table_Query_from_Actuarial___Production[[#This Row],[Kor1]],$AI$3:$AK$105,3,FALSE)</f>
        <v>Misc. Income for Insolvent Companies</v>
      </c>
      <c r="X9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6"/>
      <c r="Z9656" t="s">
        <v>43</v>
      </c>
      <c r="AA9656" t="s">
        <v>232</v>
      </c>
      <c r="AB9656" t="s">
        <v>356</v>
      </c>
      <c r="AC9656" s="21">
        <v>-247.62</v>
      </c>
      <c r="AD9656" s="21" t="s">
        <v>368</v>
      </c>
      <c r="AE9656" t="str">
        <f>VLOOKUP(Table_Query_from_Actuarial___Production3[[#This Row],[Kor1]],$AI$3:$AK$105,3,FALSE)</f>
        <v>Charge-offs</v>
      </c>
      <c r="AF9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7" spans="18:32" x14ac:dyDescent="0.2">
      <c r="R9657" t="s">
        <v>37</v>
      </c>
      <c r="S9657" t="s">
        <v>232</v>
      </c>
      <c r="T9657" t="s">
        <v>427</v>
      </c>
      <c r="U9657" s="21">
        <v>13551.26</v>
      </c>
      <c r="V9657" s="21" t="s">
        <v>368</v>
      </c>
      <c r="W9657" t="str">
        <f>VLOOKUP(Table_Query_from_Actuarial___Production[[#This Row],[Kor1]],$AI$3:$AK$105,3,FALSE)</f>
        <v>Misc. Expense</v>
      </c>
      <c r="X9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7"/>
      <c r="Z9657" t="s">
        <v>49</v>
      </c>
      <c r="AA9657" t="s">
        <v>232</v>
      </c>
      <c r="AB9657" t="s">
        <v>351</v>
      </c>
      <c r="AC9657" s="21">
        <v>532.4</v>
      </c>
      <c r="AD9657" s="21" t="s">
        <v>368</v>
      </c>
      <c r="AE9657" t="str">
        <f>VLOOKUP(Table_Query_from_Actuarial___Production3[[#This Row],[Kor1]],$AI$3:$AK$105,3,FALSE)</f>
        <v>ALAE Paid</v>
      </c>
      <c r="AF9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58" spans="18:32" x14ac:dyDescent="0.2">
      <c r="R9658" t="s">
        <v>43</v>
      </c>
      <c r="S9658" t="s">
        <v>267</v>
      </c>
      <c r="T9658" t="s">
        <v>356</v>
      </c>
      <c r="U9658" s="21">
        <v>-12.89</v>
      </c>
      <c r="V9658" s="21" t="s">
        <v>368</v>
      </c>
      <c r="W9658" t="str">
        <f>VLOOKUP(Table_Query_from_Actuarial___Production[[#This Row],[Kor1]],$AI$3:$AK$105,3,FALSE)</f>
        <v>Charge-offs</v>
      </c>
      <c r="X9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8"/>
      <c r="Z9658" t="s">
        <v>48</v>
      </c>
      <c r="AA9658" t="s">
        <v>354</v>
      </c>
      <c r="AB9658" t="s">
        <v>427</v>
      </c>
      <c r="AC9658" s="21">
        <v>43087.89</v>
      </c>
      <c r="AD9658" s="21" t="s">
        <v>368</v>
      </c>
      <c r="AE9658" t="str">
        <f>VLOOKUP(Table_Query_from_Actuarial___Production3[[#This Row],[Kor1]],$AI$3:$AK$105,3,FALSE)</f>
        <v>Anticipated Salvage</v>
      </c>
      <c r="AF9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659" spans="18:32" x14ac:dyDescent="0.2">
      <c r="R9659" t="s">
        <v>43</v>
      </c>
      <c r="S9659" t="s">
        <v>256</v>
      </c>
      <c r="T9659" t="s">
        <v>6</v>
      </c>
      <c r="U9659" s="21">
        <v>-0.45</v>
      </c>
      <c r="V9659" s="21" t="s">
        <v>368</v>
      </c>
      <c r="W9659" t="str">
        <f>VLOOKUP(Table_Query_from_Actuarial___Production[[#This Row],[Kor1]],$AI$3:$AK$105,3,FALSE)</f>
        <v>Charge-offs</v>
      </c>
      <c r="X9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59"/>
      <c r="Z9659" t="s">
        <v>39</v>
      </c>
      <c r="AA9659" t="s">
        <v>245</v>
      </c>
      <c r="AB9659" t="s">
        <v>7</v>
      </c>
      <c r="AC9659" s="21">
        <v>82</v>
      </c>
      <c r="AD9659" s="21" t="s">
        <v>368</v>
      </c>
      <c r="AE9659" t="str">
        <f>VLOOKUP(Table_Query_from_Actuarial___Production3[[#This Row],[Kor1]],$AI$3:$AK$105,3,FALSE)</f>
        <v>Misc. Income for Insolvent Companies</v>
      </c>
      <c r="AF9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0" spans="18:32" x14ac:dyDescent="0.2">
      <c r="R9660" t="s">
        <v>10</v>
      </c>
      <c r="S9660" t="s">
        <v>232</v>
      </c>
      <c r="T9660" t="s">
        <v>433</v>
      </c>
      <c r="U9660" s="21">
        <v>96441.35</v>
      </c>
      <c r="V9660" s="21" t="s">
        <v>368</v>
      </c>
      <c r="W9660" t="str">
        <f>VLOOKUP(Table_Query_from_Actuarial___Production[[#This Row],[Kor1]],$AI$3:$AK$105,3,FALSE)</f>
        <v>Commissions</v>
      </c>
      <c r="X9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0"/>
      <c r="Z9660" t="s">
        <v>37</v>
      </c>
      <c r="AA9660" t="s">
        <v>232</v>
      </c>
      <c r="AB9660" t="s">
        <v>427</v>
      </c>
      <c r="AC9660" s="21">
        <v>13551.26</v>
      </c>
      <c r="AD9660" s="21" t="s">
        <v>368</v>
      </c>
      <c r="AE9660" t="str">
        <f>VLOOKUP(Table_Query_from_Actuarial___Production3[[#This Row],[Kor1]],$AI$3:$AK$105,3,FALSE)</f>
        <v>Misc. Expense</v>
      </c>
      <c r="AF9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1" spans="18:32" x14ac:dyDescent="0.2">
      <c r="R9661" t="s">
        <v>47</v>
      </c>
      <c r="S9661" t="s">
        <v>230</v>
      </c>
      <c r="T9661" t="s">
        <v>351</v>
      </c>
      <c r="U9661" s="21">
        <v>23947</v>
      </c>
      <c r="V9661" s="21" t="s">
        <v>368</v>
      </c>
      <c r="W9661" t="str">
        <f>VLOOKUP(Table_Query_from_Actuarial___Production[[#This Row],[Kor1]],$AI$3:$AK$105,3,FALSE)</f>
        <v>Investment Income</v>
      </c>
      <c r="X9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1"/>
      <c r="Z9661" t="s">
        <v>43</v>
      </c>
      <c r="AA9661" t="s">
        <v>267</v>
      </c>
      <c r="AB9661" t="s">
        <v>356</v>
      </c>
      <c r="AC9661" s="21">
        <v>-12.89</v>
      </c>
      <c r="AD9661" s="21" t="s">
        <v>368</v>
      </c>
      <c r="AE9661" t="str">
        <f>VLOOKUP(Table_Query_from_Actuarial___Production3[[#This Row],[Kor1]],$AI$3:$AK$105,3,FALSE)</f>
        <v>Charge-offs</v>
      </c>
      <c r="AF9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2" spans="18:32" x14ac:dyDescent="0.2">
      <c r="R9662" t="s">
        <v>39</v>
      </c>
      <c r="S9662" t="s">
        <v>257</v>
      </c>
      <c r="T9662" t="s">
        <v>445</v>
      </c>
      <c r="U9662" s="21">
        <v>560.69000000000005</v>
      </c>
      <c r="V9662" s="21" t="s">
        <v>368</v>
      </c>
      <c r="W9662" t="str">
        <f>VLOOKUP(Table_Query_from_Actuarial___Production[[#This Row],[Kor1]],$AI$3:$AK$105,3,FALSE)</f>
        <v>Misc. Income for Insolvent Companies</v>
      </c>
      <c r="X9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2"/>
      <c r="Z9662" t="s">
        <v>43</v>
      </c>
      <c r="AA9662" t="s">
        <v>256</v>
      </c>
      <c r="AB9662" t="s">
        <v>6</v>
      </c>
      <c r="AC9662" s="21">
        <v>-0.45</v>
      </c>
      <c r="AD9662" s="21" t="s">
        <v>368</v>
      </c>
      <c r="AE9662" t="str">
        <f>VLOOKUP(Table_Query_from_Actuarial___Production3[[#This Row],[Kor1]],$AI$3:$AK$105,3,FALSE)</f>
        <v>Charge-offs</v>
      </c>
      <c r="AF9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3" spans="18:32" x14ac:dyDescent="0.2">
      <c r="R9663" t="s">
        <v>10</v>
      </c>
      <c r="S9663" t="s">
        <v>265</v>
      </c>
      <c r="T9663" t="s">
        <v>356</v>
      </c>
      <c r="U9663" s="21">
        <v>87402.43</v>
      </c>
      <c r="V9663" s="21" t="s">
        <v>368</v>
      </c>
      <c r="W9663" t="str">
        <f>VLOOKUP(Table_Query_from_Actuarial___Production[[#This Row],[Kor1]],$AI$3:$AK$105,3,FALSE)</f>
        <v>Commissions</v>
      </c>
      <c r="X9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3"/>
      <c r="Z9663" t="s">
        <v>10</v>
      </c>
      <c r="AA9663" t="s">
        <v>232</v>
      </c>
      <c r="AB9663" t="s">
        <v>433</v>
      </c>
      <c r="AC9663" s="21">
        <v>96441.35</v>
      </c>
      <c r="AD9663" s="21" t="s">
        <v>368</v>
      </c>
      <c r="AE9663" t="str">
        <f>VLOOKUP(Table_Query_from_Actuarial___Production3[[#This Row],[Kor1]],$AI$3:$AK$105,3,FALSE)</f>
        <v>Commissions</v>
      </c>
      <c r="AF9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4" spans="18:32" x14ac:dyDescent="0.2">
      <c r="R9664" t="s">
        <v>20</v>
      </c>
      <c r="S9664" t="s">
        <v>250</v>
      </c>
      <c r="T9664" t="s">
        <v>445</v>
      </c>
      <c r="U9664" s="21">
        <v>85.46</v>
      </c>
      <c r="V9664" s="21" t="s">
        <v>368</v>
      </c>
      <c r="W9664" t="str">
        <f>VLOOKUP(Table_Query_from_Actuarial___Production[[#This Row],[Kor1]],$AI$3:$AK$105,3,FALSE)</f>
        <v>Misc. Expense</v>
      </c>
      <c r="X9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4"/>
      <c r="Z9664" t="s">
        <v>47</v>
      </c>
      <c r="AA9664" t="s">
        <v>230</v>
      </c>
      <c r="AB9664" t="s">
        <v>351</v>
      </c>
      <c r="AC9664" s="21">
        <v>23947</v>
      </c>
      <c r="AD9664" s="21" t="s">
        <v>368</v>
      </c>
      <c r="AE9664" t="str">
        <f>VLOOKUP(Table_Query_from_Actuarial___Production3[[#This Row],[Kor1]],$AI$3:$AK$105,3,FALSE)</f>
        <v>Investment Income</v>
      </c>
      <c r="AF9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5" spans="18:32" x14ac:dyDescent="0.2">
      <c r="R9665" t="s">
        <v>11</v>
      </c>
      <c r="S9665" t="s">
        <v>257</v>
      </c>
      <c r="T9665" t="s">
        <v>8</v>
      </c>
      <c r="U9665" s="21">
        <v>1798646.26</v>
      </c>
      <c r="V9665" s="21" t="s">
        <v>368</v>
      </c>
      <c r="W9665" t="str">
        <f>VLOOKUP(Table_Query_from_Actuarial___Production[[#This Row],[Kor1]],$AI$3:$AK$105,3,FALSE)</f>
        <v>Losses Paid</v>
      </c>
      <c r="X9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5"/>
      <c r="Z9665" t="s">
        <v>10</v>
      </c>
      <c r="AA9665" t="s">
        <v>265</v>
      </c>
      <c r="AB9665" t="s">
        <v>356</v>
      </c>
      <c r="AC9665" s="21">
        <v>87402.43</v>
      </c>
      <c r="AD9665" s="21" t="s">
        <v>368</v>
      </c>
      <c r="AE9665" t="str">
        <f>VLOOKUP(Table_Query_from_Actuarial___Production3[[#This Row],[Kor1]],$AI$3:$AK$105,3,FALSE)</f>
        <v>Commissions</v>
      </c>
      <c r="AF9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6" spans="18:32" x14ac:dyDescent="0.2">
      <c r="R9666" t="s">
        <v>10</v>
      </c>
      <c r="S9666" t="s">
        <v>257</v>
      </c>
      <c r="T9666" t="s">
        <v>351</v>
      </c>
      <c r="U9666" s="21">
        <v>79148.639999999999</v>
      </c>
      <c r="V9666" s="21" t="s">
        <v>368</v>
      </c>
      <c r="W9666" t="str">
        <f>VLOOKUP(Table_Query_from_Actuarial___Production[[#This Row],[Kor1]],$AI$3:$AK$105,3,FALSE)</f>
        <v>Commissions</v>
      </c>
      <c r="X9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6"/>
      <c r="Z9666" t="s">
        <v>37</v>
      </c>
      <c r="AA9666" t="s">
        <v>244</v>
      </c>
      <c r="AB9666" t="s">
        <v>5</v>
      </c>
      <c r="AC9666" s="21">
        <v>602.63</v>
      </c>
      <c r="AD9666" s="21" t="s">
        <v>368</v>
      </c>
      <c r="AE9666" t="str">
        <f>VLOOKUP(Table_Query_from_Actuarial___Production3[[#This Row],[Kor1]],$AI$3:$AK$105,3,FALSE)</f>
        <v>Misc. Expense</v>
      </c>
      <c r="AF9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7" spans="18:32" x14ac:dyDescent="0.2">
      <c r="R9667" t="s">
        <v>44</v>
      </c>
      <c r="S9667" t="s">
        <v>4</v>
      </c>
      <c r="T9667" t="s">
        <v>441</v>
      </c>
      <c r="U9667" s="21">
        <v>2345957.2400000002</v>
      </c>
      <c r="V9667" s="21" t="s">
        <v>368</v>
      </c>
      <c r="W9667" t="str">
        <f>VLOOKUP(Table_Query_from_Actuarial___Production[[#This Row],[Kor1]],$AI$3:$AK$105,3,FALSE)</f>
        <v>Charge-offs</v>
      </c>
      <c r="X9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7"/>
      <c r="Z9667" t="s">
        <v>11</v>
      </c>
      <c r="AA9667" t="s">
        <v>257</v>
      </c>
      <c r="AB9667" t="s">
        <v>8</v>
      </c>
      <c r="AC9667" s="21">
        <v>1798646.26</v>
      </c>
      <c r="AD9667" s="21" t="s">
        <v>368</v>
      </c>
      <c r="AE9667" t="str">
        <f>VLOOKUP(Table_Query_from_Actuarial___Production3[[#This Row],[Kor1]],$AI$3:$AK$105,3,FALSE)</f>
        <v>Losses Paid</v>
      </c>
      <c r="AF9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8" spans="18:32" x14ac:dyDescent="0.2">
      <c r="R9668" t="s">
        <v>14</v>
      </c>
      <c r="S9668" t="s">
        <v>231</v>
      </c>
      <c r="T9668" t="s">
        <v>441</v>
      </c>
      <c r="U9668" s="21">
        <v>136828.82999999999</v>
      </c>
      <c r="V9668" s="21" t="s">
        <v>368</v>
      </c>
      <c r="W9668" t="str">
        <f>VLOOKUP(Table_Query_from_Actuarial___Production[[#This Row],[Kor1]],$AI$3:$AK$105,3,FALSE)</f>
        <v>Claims Expense</v>
      </c>
      <c r="X9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8"/>
      <c r="Z9668" t="s">
        <v>10</v>
      </c>
      <c r="AA9668" t="s">
        <v>257</v>
      </c>
      <c r="AB9668" t="s">
        <v>351</v>
      </c>
      <c r="AC9668" s="21">
        <v>79148.639999999999</v>
      </c>
      <c r="AD9668" s="21" t="s">
        <v>368</v>
      </c>
      <c r="AE9668" t="str">
        <f>VLOOKUP(Table_Query_from_Actuarial___Production3[[#This Row],[Kor1]],$AI$3:$AK$105,3,FALSE)</f>
        <v>Commissions</v>
      </c>
      <c r="AF9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69" spans="18:32" x14ac:dyDescent="0.2">
      <c r="R9669" t="s">
        <v>41</v>
      </c>
      <c r="S9669" t="s">
        <v>249</v>
      </c>
      <c r="T9669" t="s">
        <v>351</v>
      </c>
      <c r="U9669" s="21">
        <v>745.67</v>
      </c>
      <c r="V9669" s="21" t="s">
        <v>368</v>
      </c>
      <c r="W9669" t="str">
        <f>VLOOKUP(Table_Query_from_Actuarial___Production[[#This Row],[Kor1]],$AI$3:$AK$105,3,FALSE)</f>
        <v>Misc. Income</v>
      </c>
      <c r="X9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69"/>
      <c r="Z9669" t="s">
        <v>44</v>
      </c>
      <c r="AA9669" t="s">
        <v>4</v>
      </c>
      <c r="AB9669" t="s">
        <v>441</v>
      </c>
      <c r="AC9669" s="21">
        <v>2383557.2400000002</v>
      </c>
      <c r="AD9669" s="21" t="s">
        <v>368</v>
      </c>
      <c r="AE9669" t="str">
        <f>VLOOKUP(Table_Query_from_Actuarial___Production3[[#This Row],[Kor1]],$AI$3:$AK$105,3,FALSE)</f>
        <v>Charge-offs</v>
      </c>
      <c r="AF9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0" spans="18:32" x14ac:dyDescent="0.2">
      <c r="R9670" t="s">
        <v>41</v>
      </c>
      <c r="S9670" t="s">
        <v>267</v>
      </c>
      <c r="T9670" t="s">
        <v>6</v>
      </c>
      <c r="U9670" s="21">
        <v>250.01</v>
      </c>
      <c r="V9670" s="21" t="s">
        <v>368</v>
      </c>
      <c r="W9670" t="str">
        <f>VLOOKUP(Table_Query_from_Actuarial___Production[[#This Row],[Kor1]],$AI$3:$AK$105,3,FALSE)</f>
        <v>Misc. Income</v>
      </c>
      <c r="X9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0"/>
      <c r="Z9670" t="s">
        <v>14</v>
      </c>
      <c r="AA9670" t="s">
        <v>231</v>
      </c>
      <c r="AB9670" t="s">
        <v>441</v>
      </c>
      <c r="AC9670" s="21">
        <v>136976.88</v>
      </c>
      <c r="AD9670" s="21" t="s">
        <v>368</v>
      </c>
      <c r="AE9670" t="str">
        <f>VLOOKUP(Table_Query_from_Actuarial___Production3[[#This Row],[Kor1]],$AI$3:$AK$105,3,FALSE)</f>
        <v>Claims Expense</v>
      </c>
      <c r="AF9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1" spans="18:32" x14ac:dyDescent="0.2">
      <c r="R9671" t="s">
        <v>37</v>
      </c>
      <c r="S9671" t="s">
        <v>268</v>
      </c>
      <c r="T9671" t="s">
        <v>356</v>
      </c>
      <c r="U9671" s="21">
        <v>500</v>
      </c>
      <c r="V9671" s="21" t="s">
        <v>368</v>
      </c>
      <c r="W9671" t="str">
        <f>VLOOKUP(Table_Query_from_Actuarial___Production[[#This Row],[Kor1]],$AI$3:$AK$105,3,FALSE)</f>
        <v>Misc. Expense</v>
      </c>
      <c r="X9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1"/>
      <c r="Z9671" t="s">
        <v>41</v>
      </c>
      <c r="AA9671" t="s">
        <v>249</v>
      </c>
      <c r="AB9671" t="s">
        <v>351</v>
      </c>
      <c r="AC9671" s="21">
        <v>745.67</v>
      </c>
      <c r="AD9671" s="21" t="s">
        <v>368</v>
      </c>
      <c r="AE9671" t="str">
        <f>VLOOKUP(Table_Query_from_Actuarial___Production3[[#This Row],[Kor1]],$AI$3:$AK$105,3,FALSE)</f>
        <v>Misc. Income</v>
      </c>
      <c r="AF9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2" spans="18:32" x14ac:dyDescent="0.2">
      <c r="R9672" t="s">
        <v>48</v>
      </c>
      <c r="S9672" t="s">
        <v>242</v>
      </c>
      <c r="T9672" t="s">
        <v>442</v>
      </c>
      <c r="U9672" s="21">
        <v>787.49</v>
      </c>
      <c r="V9672" s="21" t="s">
        <v>368</v>
      </c>
      <c r="W9672" t="str">
        <f>VLOOKUP(Table_Query_from_Actuarial___Production[[#This Row],[Kor1]],$AI$3:$AK$105,3,FALSE)</f>
        <v>Anticipated Salvage</v>
      </c>
      <c r="X9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2"/>
      <c r="Z9672" t="s">
        <v>41</v>
      </c>
      <c r="AA9672" t="s">
        <v>267</v>
      </c>
      <c r="AB9672" t="s">
        <v>6</v>
      </c>
      <c r="AC9672" s="21">
        <v>250.01</v>
      </c>
      <c r="AD9672" s="21" t="s">
        <v>368</v>
      </c>
      <c r="AE9672" t="str">
        <f>VLOOKUP(Table_Query_from_Actuarial___Production3[[#This Row],[Kor1]],$AI$3:$AK$105,3,FALSE)</f>
        <v>Misc. Income</v>
      </c>
      <c r="AF9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3" spans="18:32" x14ac:dyDescent="0.2">
      <c r="R9673" t="s">
        <v>31</v>
      </c>
      <c r="S9673" t="s">
        <v>244</v>
      </c>
      <c r="T9673" t="s">
        <v>7</v>
      </c>
      <c r="U9673" s="21">
        <v>935.17</v>
      </c>
      <c r="V9673" s="21" t="s">
        <v>368</v>
      </c>
      <c r="W9673" t="str">
        <f>VLOOKUP(Table_Query_from_Actuarial___Production[[#This Row],[Kor1]],$AI$3:$AK$105,3,FALSE)</f>
        <v>Misc. Expense</v>
      </c>
      <c r="X9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3"/>
      <c r="Z9673" t="s">
        <v>48</v>
      </c>
      <c r="AA9673" t="s">
        <v>244</v>
      </c>
      <c r="AB9673" t="s">
        <v>356</v>
      </c>
      <c r="AC9673" s="21">
        <v>660.09</v>
      </c>
      <c r="AD9673" s="21" t="s">
        <v>368</v>
      </c>
      <c r="AE9673" t="str">
        <f>VLOOKUP(Table_Query_from_Actuarial___Production3[[#This Row],[Kor1]],$AI$3:$AK$105,3,FALSE)</f>
        <v>Anticipated Salvage</v>
      </c>
      <c r="AF9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4" spans="18:32" x14ac:dyDescent="0.2">
      <c r="R9674" t="s">
        <v>40</v>
      </c>
      <c r="S9674" t="s">
        <v>262</v>
      </c>
      <c r="T9674" t="s">
        <v>442</v>
      </c>
      <c r="U9674" s="21">
        <v>924</v>
      </c>
      <c r="V9674" s="21" t="s">
        <v>368</v>
      </c>
      <c r="W9674" t="str">
        <f>VLOOKUP(Table_Query_from_Actuarial___Production[[#This Row],[Kor1]],$AI$3:$AK$105,3,FALSE)</f>
        <v>Misc. Income</v>
      </c>
      <c r="X9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4"/>
      <c r="Z9674" t="s">
        <v>37</v>
      </c>
      <c r="AA9674" t="s">
        <v>268</v>
      </c>
      <c r="AB9674" t="s">
        <v>356</v>
      </c>
      <c r="AC9674" s="21">
        <v>500</v>
      </c>
      <c r="AD9674" s="21" t="s">
        <v>368</v>
      </c>
      <c r="AE9674" t="str">
        <f>VLOOKUP(Table_Query_from_Actuarial___Production3[[#This Row],[Kor1]],$AI$3:$AK$105,3,FALSE)</f>
        <v>Misc. Expense</v>
      </c>
      <c r="AF9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5" spans="18:32" x14ac:dyDescent="0.2">
      <c r="R9675" t="s">
        <v>44</v>
      </c>
      <c r="S9675" t="s">
        <v>259</v>
      </c>
      <c r="T9675" t="s">
        <v>433</v>
      </c>
      <c r="U9675" s="21">
        <v>2</v>
      </c>
      <c r="V9675" s="21" t="s">
        <v>368</v>
      </c>
      <c r="W9675" t="str">
        <f>VLOOKUP(Table_Query_from_Actuarial___Production[[#This Row],[Kor1]],$AI$3:$AK$105,3,FALSE)</f>
        <v>Charge-offs</v>
      </c>
      <c r="X9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5"/>
      <c r="Z9675" t="s">
        <v>48</v>
      </c>
      <c r="AA9675" t="s">
        <v>242</v>
      </c>
      <c r="AB9675" t="s">
        <v>442</v>
      </c>
      <c r="AC9675" s="21">
        <v>707.62</v>
      </c>
      <c r="AD9675" s="21" t="s">
        <v>368</v>
      </c>
      <c r="AE9675" t="str">
        <f>VLOOKUP(Table_Query_from_Actuarial___Production3[[#This Row],[Kor1]],$AI$3:$AK$105,3,FALSE)</f>
        <v>Anticipated Salvage</v>
      </c>
      <c r="AF9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6" spans="18:32" x14ac:dyDescent="0.2">
      <c r="R9676" t="s">
        <v>34</v>
      </c>
      <c r="S9676" t="s">
        <v>242</v>
      </c>
      <c r="T9676" t="s">
        <v>8</v>
      </c>
      <c r="U9676" s="21">
        <v>9.3699999999999992</v>
      </c>
      <c r="V9676" s="21" t="s">
        <v>368</v>
      </c>
      <c r="W9676" t="str">
        <f>VLOOKUP(Table_Query_from_Actuarial___Production[[#This Row],[Kor1]],$AI$3:$AK$105,3,FALSE)</f>
        <v>Misc. Expense</v>
      </c>
      <c r="X9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6"/>
      <c r="Z9676" t="s">
        <v>46</v>
      </c>
      <c r="AA9676" t="s">
        <v>225</v>
      </c>
      <c r="AB9676" t="s">
        <v>5</v>
      </c>
      <c r="AC9676" s="21">
        <v>25511.05</v>
      </c>
      <c r="AD9676" s="21" t="s">
        <v>369</v>
      </c>
      <c r="AE9676" t="str">
        <f>VLOOKUP(Table_Query_from_Actuarial___Production3[[#This Row],[Kor1]],$AI$3:$AK$105,3,FALSE)</f>
        <v>Investment Income</v>
      </c>
      <c r="AF9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677" spans="18:32" x14ac:dyDescent="0.2">
      <c r="R9677" t="s">
        <v>39</v>
      </c>
      <c r="S9677" t="s">
        <v>232</v>
      </c>
      <c r="T9677" t="s">
        <v>9</v>
      </c>
      <c r="U9677" s="21">
        <v>203.01</v>
      </c>
      <c r="V9677" s="21" t="s">
        <v>368</v>
      </c>
      <c r="W9677" t="str">
        <f>VLOOKUP(Table_Query_from_Actuarial___Production[[#This Row],[Kor1]],$AI$3:$AK$105,3,FALSE)</f>
        <v>Misc. Income for Insolvent Companies</v>
      </c>
      <c r="X9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7"/>
      <c r="Z9677" t="s">
        <v>31</v>
      </c>
      <c r="AA9677" t="s">
        <v>244</v>
      </c>
      <c r="AB9677" t="s">
        <v>7</v>
      </c>
      <c r="AC9677" s="21">
        <v>935.17</v>
      </c>
      <c r="AD9677" s="21" t="s">
        <v>368</v>
      </c>
      <c r="AE9677" t="str">
        <f>VLOOKUP(Table_Query_from_Actuarial___Production3[[#This Row],[Kor1]],$AI$3:$AK$105,3,FALSE)</f>
        <v>Misc. Expense</v>
      </c>
      <c r="AF9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8" spans="18:32" x14ac:dyDescent="0.2">
      <c r="R9678" t="s">
        <v>14</v>
      </c>
      <c r="S9678" t="s">
        <v>242</v>
      </c>
      <c r="T9678" t="s">
        <v>433</v>
      </c>
      <c r="U9678" s="21">
        <v>52442.28</v>
      </c>
      <c r="V9678" s="21" t="s">
        <v>368</v>
      </c>
      <c r="W9678" t="str">
        <f>VLOOKUP(Table_Query_from_Actuarial___Production[[#This Row],[Kor1]],$AI$3:$AK$105,3,FALSE)</f>
        <v>Claims Expense</v>
      </c>
      <c r="X9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8"/>
      <c r="Z9678" t="s">
        <v>40</v>
      </c>
      <c r="AA9678" t="s">
        <v>262</v>
      </c>
      <c r="AB9678" t="s">
        <v>442</v>
      </c>
      <c r="AC9678" s="21">
        <v>924</v>
      </c>
      <c r="AD9678" s="21" t="s">
        <v>368</v>
      </c>
      <c r="AE9678" t="str">
        <f>VLOOKUP(Table_Query_from_Actuarial___Production3[[#This Row],[Kor1]],$AI$3:$AK$105,3,FALSE)</f>
        <v>Misc. Income</v>
      </c>
      <c r="AF9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79" spans="18:32" x14ac:dyDescent="0.2">
      <c r="R9679" t="s">
        <v>19</v>
      </c>
      <c r="S9679" t="s">
        <v>241</v>
      </c>
      <c r="T9679" t="s">
        <v>9</v>
      </c>
      <c r="U9679" s="21">
        <v>488</v>
      </c>
      <c r="V9679" s="21" t="s">
        <v>368</v>
      </c>
      <c r="W9679" t="str">
        <f>VLOOKUP(Table_Query_from_Actuarial___Production[[#This Row],[Kor1]],$AI$3:$AK$105,3,FALSE)</f>
        <v>Misc. Expense for Insolvent Companies</v>
      </c>
      <c r="X9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79"/>
      <c r="Z9679" t="s">
        <v>44</v>
      </c>
      <c r="AA9679" t="s">
        <v>259</v>
      </c>
      <c r="AB9679" t="s">
        <v>433</v>
      </c>
      <c r="AC9679" s="21">
        <v>2</v>
      </c>
      <c r="AD9679" s="21" t="s">
        <v>368</v>
      </c>
      <c r="AE9679" t="str">
        <f>VLOOKUP(Table_Query_from_Actuarial___Production3[[#This Row],[Kor1]],$AI$3:$AK$105,3,FALSE)</f>
        <v>Charge-offs</v>
      </c>
      <c r="AF9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0" spans="18:32" x14ac:dyDescent="0.2">
      <c r="R9680" t="s">
        <v>19</v>
      </c>
      <c r="S9680" t="s">
        <v>238</v>
      </c>
      <c r="T9680" t="s">
        <v>356</v>
      </c>
      <c r="U9680" s="21">
        <v>3491</v>
      </c>
      <c r="V9680" s="21" t="s">
        <v>368</v>
      </c>
      <c r="W9680" t="str">
        <f>VLOOKUP(Table_Query_from_Actuarial___Production[[#This Row],[Kor1]],$AI$3:$AK$105,3,FALSE)</f>
        <v>Misc. Expense for Insolvent Companies</v>
      </c>
      <c r="X9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0"/>
      <c r="Z9680" t="s">
        <v>34</v>
      </c>
      <c r="AA9680" t="s">
        <v>242</v>
      </c>
      <c r="AB9680" t="s">
        <v>8</v>
      </c>
      <c r="AC9680" s="21">
        <v>9.3699999999999992</v>
      </c>
      <c r="AD9680" s="21" t="s">
        <v>368</v>
      </c>
      <c r="AE9680" t="str">
        <f>VLOOKUP(Table_Query_from_Actuarial___Production3[[#This Row],[Kor1]],$AI$3:$AK$105,3,FALSE)</f>
        <v>Misc. Expense</v>
      </c>
      <c r="AF9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1" spans="18:32" x14ac:dyDescent="0.2">
      <c r="R9681" t="s">
        <v>39</v>
      </c>
      <c r="S9681" t="s">
        <v>246</v>
      </c>
      <c r="T9681" t="s">
        <v>351</v>
      </c>
      <c r="U9681" s="21">
        <v>694</v>
      </c>
      <c r="V9681" s="21" t="s">
        <v>368</v>
      </c>
      <c r="W9681" t="str">
        <f>VLOOKUP(Table_Query_from_Actuarial___Production[[#This Row],[Kor1]],$AI$3:$AK$105,3,FALSE)</f>
        <v>Misc. Income for Insolvent Companies</v>
      </c>
      <c r="X9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1"/>
      <c r="Z9681" t="s">
        <v>39</v>
      </c>
      <c r="AA9681" t="s">
        <v>232</v>
      </c>
      <c r="AB9681" t="s">
        <v>9</v>
      </c>
      <c r="AC9681" s="21">
        <v>203.01</v>
      </c>
      <c r="AD9681" s="21" t="s">
        <v>368</v>
      </c>
      <c r="AE9681" t="str">
        <f>VLOOKUP(Table_Query_from_Actuarial___Production3[[#This Row],[Kor1]],$AI$3:$AK$105,3,FALSE)</f>
        <v>Misc. Income for Insolvent Companies</v>
      </c>
      <c r="AF9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2" spans="18:32" x14ac:dyDescent="0.2">
      <c r="R9682" t="s">
        <v>41</v>
      </c>
      <c r="S9682" t="s">
        <v>4</v>
      </c>
      <c r="T9682" t="s">
        <v>7</v>
      </c>
      <c r="U9682" s="21">
        <v>99.96</v>
      </c>
      <c r="V9682" s="21" t="s">
        <v>368</v>
      </c>
      <c r="W9682" t="str">
        <f>VLOOKUP(Table_Query_from_Actuarial___Production[[#This Row],[Kor1]],$AI$3:$AK$105,3,FALSE)</f>
        <v>Misc. Income</v>
      </c>
      <c r="X9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2"/>
      <c r="Z9682" t="s">
        <v>14</v>
      </c>
      <c r="AA9682" t="s">
        <v>242</v>
      </c>
      <c r="AB9682" t="s">
        <v>433</v>
      </c>
      <c r="AC9682" s="21">
        <v>52442.28</v>
      </c>
      <c r="AD9682" s="21" t="s">
        <v>368</v>
      </c>
      <c r="AE9682" t="str">
        <f>VLOOKUP(Table_Query_from_Actuarial___Production3[[#This Row],[Kor1]],$AI$3:$AK$105,3,FALSE)</f>
        <v>Claims Expense</v>
      </c>
      <c r="AF9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3" spans="18:32" x14ac:dyDescent="0.2">
      <c r="R9683" t="s">
        <v>31</v>
      </c>
      <c r="S9683" t="s">
        <v>254</v>
      </c>
      <c r="T9683" t="s">
        <v>441</v>
      </c>
      <c r="U9683" s="21">
        <v>1359.69</v>
      </c>
      <c r="V9683" s="21" t="s">
        <v>368</v>
      </c>
      <c r="W9683" t="str">
        <f>VLOOKUP(Table_Query_from_Actuarial___Production[[#This Row],[Kor1]],$AI$3:$AK$105,3,FALSE)</f>
        <v>Misc. Expense</v>
      </c>
      <c r="X9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3"/>
      <c r="Z9683" t="s">
        <v>19</v>
      </c>
      <c r="AA9683" t="s">
        <v>241</v>
      </c>
      <c r="AB9683" t="s">
        <v>9</v>
      </c>
      <c r="AC9683" s="21">
        <v>488</v>
      </c>
      <c r="AD9683" s="21" t="s">
        <v>368</v>
      </c>
      <c r="AE9683" t="str">
        <f>VLOOKUP(Table_Query_from_Actuarial___Production3[[#This Row],[Kor1]],$AI$3:$AK$105,3,FALSE)</f>
        <v>Misc. Expense for Insolvent Companies</v>
      </c>
      <c r="AF9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4" spans="18:32" x14ac:dyDescent="0.2">
      <c r="R9684" t="s">
        <v>439</v>
      </c>
      <c r="S9684" t="s">
        <v>245</v>
      </c>
      <c r="T9684" t="s">
        <v>443</v>
      </c>
      <c r="U9684" s="21">
        <v>-53.74</v>
      </c>
      <c r="V9684" s="21" t="s">
        <v>368</v>
      </c>
      <c r="W9684" t="str">
        <f>VLOOKUP(Table_Query_from_Actuarial___Production[[#This Row],[Kor1]],$AI$3:$AK$105,3,FALSE)</f>
        <v>Operating Service Fees</v>
      </c>
      <c r="X9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4"/>
      <c r="Z9684" t="s">
        <v>14</v>
      </c>
      <c r="AA9684" t="s">
        <v>256</v>
      </c>
      <c r="AB9684" t="s">
        <v>5</v>
      </c>
      <c r="AC9684" s="21">
        <v>3553.18</v>
      </c>
      <c r="AD9684" s="21" t="s">
        <v>368</v>
      </c>
      <c r="AE9684" t="str">
        <f>VLOOKUP(Table_Query_from_Actuarial___Production3[[#This Row],[Kor1]],$AI$3:$AK$105,3,FALSE)</f>
        <v>Claims Expense</v>
      </c>
      <c r="AF9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5" spans="18:32" x14ac:dyDescent="0.2">
      <c r="R9685" t="s">
        <v>39</v>
      </c>
      <c r="S9685" t="s">
        <v>263</v>
      </c>
      <c r="T9685" t="s">
        <v>9</v>
      </c>
      <c r="U9685" s="21">
        <v>18</v>
      </c>
      <c r="V9685" s="21" t="s">
        <v>368</v>
      </c>
      <c r="W9685" t="str">
        <f>VLOOKUP(Table_Query_from_Actuarial___Production[[#This Row],[Kor1]],$AI$3:$AK$105,3,FALSE)</f>
        <v>Misc. Income for Insolvent Companies</v>
      </c>
      <c r="X96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5"/>
      <c r="Z9685" t="s">
        <v>19</v>
      </c>
      <c r="AA9685" t="s">
        <v>238</v>
      </c>
      <c r="AB9685" t="s">
        <v>356</v>
      </c>
      <c r="AC9685" s="21">
        <v>3491</v>
      </c>
      <c r="AD9685" s="21" t="s">
        <v>368</v>
      </c>
      <c r="AE9685" t="str">
        <f>VLOOKUP(Table_Query_from_Actuarial___Production3[[#This Row],[Kor1]],$AI$3:$AK$105,3,FALSE)</f>
        <v>Misc. Expense for Insolvent Companies</v>
      </c>
      <c r="AF9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6" spans="18:32" x14ac:dyDescent="0.2">
      <c r="R9686" t="s">
        <v>44</v>
      </c>
      <c r="S9686" t="s">
        <v>230</v>
      </c>
      <c r="T9686" t="s">
        <v>441</v>
      </c>
      <c r="U9686" s="21">
        <v>1501797.01</v>
      </c>
      <c r="V9686" s="21" t="s">
        <v>368</v>
      </c>
      <c r="W9686" t="str">
        <f>VLOOKUP(Table_Query_from_Actuarial___Production[[#This Row],[Kor1]],$AI$3:$AK$105,3,FALSE)</f>
        <v>Charge-offs</v>
      </c>
      <c r="X96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6"/>
      <c r="Z9686" t="s">
        <v>39</v>
      </c>
      <c r="AA9686" t="s">
        <v>246</v>
      </c>
      <c r="AB9686" t="s">
        <v>351</v>
      </c>
      <c r="AC9686" s="21">
        <v>694</v>
      </c>
      <c r="AD9686" s="21" t="s">
        <v>368</v>
      </c>
      <c r="AE9686" t="str">
        <f>VLOOKUP(Table_Query_from_Actuarial___Production3[[#This Row],[Kor1]],$AI$3:$AK$105,3,FALSE)</f>
        <v>Misc. Income for Insolvent Companies</v>
      </c>
      <c r="AF9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7" spans="18:32" x14ac:dyDescent="0.2">
      <c r="R9687" t="s">
        <v>23</v>
      </c>
      <c r="S9687" t="s">
        <v>259</v>
      </c>
      <c r="T9687" t="s">
        <v>9</v>
      </c>
      <c r="U9687" s="21">
        <v>6970.24</v>
      </c>
      <c r="V9687" s="21" t="s">
        <v>368</v>
      </c>
      <c r="W9687" t="str">
        <f>VLOOKUP(Table_Query_from_Actuarial___Production[[#This Row],[Kor1]],$AI$3:$AK$105,3,FALSE)</f>
        <v>Misc. Expense</v>
      </c>
      <c r="X96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7"/>
      <c r="Z9687" t="s">
        <v>41</v>
      </c>
      <c r="AA9687" t="s">
        <v>4</v>
      </c>
      <c r="AB9687" t="s">
        <v>7</v>
      </c>
      <c r="AC9687" s="21">
        <v>99.96</v>
      </c>
      <c r="AD9687" s="21" t="s">
        <v>368</v>
      </c>
      <c r="AE9687" t="str">
        <f>VLOOKUP(Table_Query_from_Actuarial___Production3[[#This Row],[Kor1]],$AI$3:$AK$105,3,FALSE)</f>
        <v>Misc. Income</v>
      </c>
      <c r="AF9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8" spans="18:32" x14ac:dyDescent="0.2">
      <c r="R9688" t="s">
        <v>44</v>
      </c>
      <c r="S9688" t="s">
        <v>252</v>
      </c>
      <c r="T9688" t="s">
        <v>442</v>
      </c>
      <c r="U9688" s="21">
        <v>1775855.27</v>
      </c>
      <c r="V9688" s="21" t="s">
        <v>368</v>
      </c>
      <c r="W9688" t="str">
        <f>VLOOKUP(Table_Query_from_Actuarial___Production[[#This Row],[Kor1]],$AI$3:$AK$105,3,FALSE)</f>
        <v>Charge-offs</v>
      </c>
      <c r="X96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8"/>
      <c r="Z9688" t="s">
        <v>12</v>
      </c>
      <c r="AA9688" t="s">
        <v>244</v>
      </c>
      <c r="AB9688" t="s">
        <v>5</v>
      </c>
      <c r="AC9688" s="21">
        <v>11650.76</v>
      </c>
      <c r="AD9688" s="21" t="s">
        <v>368</v>
      </c>
      <c r="AE9688" t="str">
        <f>VLOOKUP(Table_Query_from_Actuarial___Production3[[#This Row],[Kor1]],$AI$3:$AK$105,3,FALSE)</f>
        <v>Premium Tax</v>
      </c>
      <c r="AF9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89" spans="18:32" x14ac:dyDescent="0.2">
      <c r="R9689" t="s">
        <v>12</v>
      </c>
      <c r="S9689" t="s">
        <v>254</v>
      </c>
      <c r="T9689" t="s">
        <v>356</v>
      </c>
      <c r="U9689" s="21">
        <v>99199.45</v>
      </c>
      <c r="V9689" s="21" t="s">
        <v>368</v>
      </c>
      <c r="W9689" t="str">
        <f>VLOOKUP(Table_Query_from_Actuarial___Production[[#This Row],[Kor1]],$AI$3:$AK$105,3,FALSE)</f>
        <v>Premium Tax</v>
      </c>
      <c r="X96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89"/>
      <c r="Z9689" t="s">
        <v>31</v>
      </c>
      <c r="AA9689" t="s">
        <v>254</v>
      </c>
      <c r="AB9689" t="s">
        <v>441</v>
      </c>
      <c r="AC9689" s="21">
        <v>1359.69</v>
      </c>
      <c r="AD9689" s="21" t="s">
        <v>368</v>
      </c>
      <c r="AE9689" t="str">
        <f>VLOOKUP(Table_Query_from_Actuarial___Production3[[#This Row],[Kor1]],$AI$3:$AK$105,3,FALSE)</f>
        <v>Misc. Expense</v>
      </c>
      <c r="AF9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0" spans="18:32" x14ac:dyDescent="0.2">
      <c r="R9690" t="s">
        <v>37</v>
      </c>
      <c r="S9690" t="s">
        <v>262</v>
      </c>
      <c r="T9690" t="s">
        <v>441</v>
      </c>
      <c r="U9690" s="21">
        <v>342.52</v>
      </c>
      <c r="V9690" s="21" t="s">
        <v>368</v>
      </c>
      <c r="W9690" t="str">
        <f>VLOOKUP(Table_Query_from_Actuarial___Production[[#This Row],[Kor1]],$AI$3:$AK$105,3,FALSE)</f>
        <v>Misc. Expense</v>
      </c>
      <c r="X96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0"/>
      <c r="Z9690" t="s">
        <v>439</v>
      </c>
      <c r="AA9690" t="s">
        <v>245</v>
      </c>
      <c r="AB9690" t="s">
        <v>443</v>
      </c>
      <c r="AC9690" s="21">
        <v>-53.74</v>
      </c>
      <c r="AD9690" s="21" t="s">
        <v>368</v>
      </c>
      <c r="AE9690" t="str">
        <f>VLOOKUP(Table_Query_from_Actuarial___Production3[[#This Row],[Kor1]],$AI$3:$AK$105,3,FALSE)</f>
        <v>Operating Service Fees</v>
      </c>
      <c r="AF9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1" spans="18:32" x14ac:dyDescent="0.2">
      <c r="R9691" t="s">
        <v>39</v>
      </c>
      <c r="S9691" t="s">
        <v>249</v>
      </c>
      <c r="T9691" t="s">
        <v>443</v>
      </c>
      <c r="U9691" s="21">
        <v>7.01</v>
      </c>
      <c r="V9691" s="21" t="s">
        <v>368</v>
      </c>
      <c r="W9691" t="str">
        <f>VLOOKUP(Table_Query_from_Actuarial___Production[[#This Row],[Kor1]],$AI$3:$AK$105,3,FALSE)</f>
        <v>Misc. Income for Insolvent Companies</v>
      </c>
      <c r="X96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1"/>
      <c r="Z9691" t="s">
        <v>39</v>
      </c>
      <c r="AA9691" t="s">
        <v>263</v>
      </c>
      <c r="AB9691" t="s">
        <v>9</v>
      </c>
      <c r="AC9691" s="21">
        <v>18</v>
      </c>
      <c r="AD9691" s="21" t="s">
        <v>368</v>
      </c>
      <c r="AE9691" t="str">
        <f>VLOOKUP(Table_Query_from_Actuarial___Production3[[#This Row],[Kor1]],$AI$3:$AK$105,3,FALSE)</f>
        <v>Misc. Income for Insolvent Companies</v>
      </c>
      <c r="AF9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2" spans="18:32" x14ac:dyDescent="0.2">
      <c r="R9692" t="s">
        <v>49</v>
      </c>
      <c r="S9692" t="s">
        <v>249</v>
      </c>
      <c r="T9692" t="s">
        <v>351</v>
      </c>
      <c r="U9692" s="21">
        <v>25</v>
      </c>
      <c r="V9692" s="21" t="s">
        <v>368</v>
      </c>
      <c r="W9692" t="str">
        <f>VLOOKUP(Table_Query_from_Actuarial___Production[[#This Row],[Kor1]],$AI$3:$AK$105,3,FALSE)</f>
        <v>ALAE Paid</v>
      </c>
      <c r="X96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2"/>
      <c r="Z9692" t="s">
        <v>44</v>
      </c>
      <c r="AA9692" t="s">
        <v>230</v>
      </c>
      <c r="AB9692" t="s">
        <v>441</v>
      </c>
      <c r="AC9692" s="21">
        <v>1501817.01</v>
      </c>
      <c r="AD9692" s="21" t="s">
        <v>368</v>
      </c>
      <c r="AE9692" t="str">
        <f>VLOOKUP(Table_Query_from_Actuarial___Production3[[#This Row],[Kor1]],$AI$3:$AK$105,3,FALSE)</f>
        <v>Charge-offs</v>
      </c>
      <c r="AF9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3" spans="18:32" x14ac:dyDescent="0.2">
      <c r="R9693" t="s">
        <v>43</v>
      </c>
      <c r="S9693" t="s">
        <v>259</v>
      </c>
      <c r="T9693" t="s">
        <v>433</v>
      </c>
      <c r="U9693" s="21">
        <v>4354.03</v>
      </c>
      <c r="V9693" s="21" t="s">
        <v>368</v>
      </c>
      <c r="W9693" t="str">
        <f>VLOOKUP(Table_Query_from_Actuarial___Production[[#This Row],[Kor1]],$AI$3:$AK$105,3,FALSE)</f>
        <v>Charge-offs</v>
      </c>
      <c r="X96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3"/>
      <c r="Z9693" t="s">
        <v>23</v>
      </c>
      <c r="AA9693" t="s">
        <v>259</v>
      </c>
      <c r="AB9693" t="s">
        <v>9</v>
      </c>
      <c r="AC9693" s="21">
        <v>6970.24</v>
      </c>
      <c r="AD9693" s="21" t="s">
        <v>368</v>
      </c>
      <c r="AE9693" t="str">
        <f>VLOOKUP(Table_Query_from_Actuarial___Production3[[#This Row],[Kor1]],$AI$3:$AK$105,3,FALSE)</f>
        <v>Misc. Expense</v>
      </c>
      <c r="AF9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4" spans="18:32" x14ac:dyDescent="0.2">
      <c r="R9694" t="s">
        <v>43</v>
      </c>
      <c r="S9694" t="s">
        <v>224</v>
      </c>
      <c r="T9694" t="s">
        <v>8</v>
      </c>
      <c r="U9694" s="21">
        <v>96.08</v>
      </c>
      <c r="V9694" s="21" t="s">
        <v>370</v>
      </c>
      <c r="W9694" t="str">
        <f>VLOOKUP(Table_Query_from_Actuarial___Production[[#This Row],[Kor1]],$AI$3:$AK$105,3,FALSE)</f>
        <v>Charge-offs</v>
      </c>
      <c r="X96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694"/>
      <c r="Z9694" t="s">
        <v>44</v>
      </c>
      <c r="AA9694" t="s">
        <v>252</v>
      </c>
      <c r="AB9694" t="s">
        <v>442</v>
      </c>
      <c r="AC9694" s="21">
        <v>852755.91</v>
      </c>
      <c r="AD9694" s="21" t="s">
        <v>368</v>
      </c>
      <c r="AE9694" t="str">
        <f>VLOOKUP(Table_Query_from_Actuarial___Production3[[#This Row],[Kor1]],$AI$3:$AK$105,3,FALSE)</f>
        <v>Charge-offs</v>
      </c>
      <c r="AF9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5" spans="18:32" x14ac:dyDescent="0.2">
      <c r="R9695" t="s">
        <v>444</v>
      </c>
      <c r="S9695" t="s">
        <v>4</v>
      </c>
      <c r="T9695" t="s">
        <v>443</v>
      </c>
      <c r="U9695" s="21">
        <v>39106.879999999997</v>
      </c>
      <c r="V9695" s="21" t="s">
        <v>368</v>
      </c>
      <c r="W9695" t="str">
        <f>VLOOKUP(Table_Query_from_Actuarial___Production[[#This Row],[Kor1]],$AI$3:$AK$105,3,FALSE)</f>
        <v>Misc. Expense</v>
      </c>
      <c r="X96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5"/>
      <c r="Z9695" t="s">
        <v>12</v>
      </c>
      <c r="AA9695" t="s">
        <v>254</v>
      </c>
      <c r="AB9695" t="s">
        <v>356</v>
      </c>
      <c r="AC9695" s="21">
        <v>99199.45</v>
      </c>
      <c r="AD9695" s="21" t="s">
        <v>368</v>
      </c>
      <c r="AE9695" t="str">
        <f>VLOOKUP(Table_Query_from_Actuarial___Production3[[#This Row],[Kor1]],$AI$3:$AK$105,3,FALSE)</f>
        <v>Premium Tax</v>
      </c>
      <c r="AF9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6" spans="18:32" x14ac:dyDescent="0.2">
      <c r="R9696" t="s">
        <v>31</v>
      </c>
      <c r="S9696" t="s">
        <v>234</v>
      </c>
      <c r="T9696" t="s">
        <v>443</v>
      </c>
      <c r="U9696" s="21">
        <v>1137.8599999999999</v>
      </c>
      <c r="V9696" s="21" t="s">
        <v>368</v>
      </c>
      <c r="W9696" t="str">
        <f>VLOOKUP(Table_Query_from_Actuarial___Production[[#This Row],[Kor1]],$AI$3:$AK$105,3,FALSE)</f>
        <v>Misc. Expense</v>
      </c>
      <c r="X96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6"/>
      <c r="Z9696" t="s">
        <v>37</v>
      </c>
      <c r="AA9696" t="s">
        <v>262</v>
      </c>
      <c r="AB9696" t="s">
        <v>441</v>
      </c>
      <c r="AC9696" s="21">
        <v>342.52</v>
      </c>
      <c r="AD9696" s="21" t="s">
        <v>368</v>
      </c>
      <c r="AE9696" t="str">
        <f>VLOOKUP(Table_Query_from_Actuarial___Production3[[#This Row],[Kor1]],$AI$3:$AK$105,3,FALSE)</f>
        <v>Misc. Expense</v>
      </c>
      <c r="AF9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7" spans="18:32" x14ac:dyDescent="0.2">
      <c r="R9697" t="s">
        <v>11</v>
      </c>
      <c r="S9697" t="s">
        <v>253</v>
      </c>
      <c r="T9697" t="s">
        <v>356</v>
      </c>
      <c r="U9697" s="21">
        <v>6950.07</v>
      </c>
      <c r="V9697" s="21" t="s">
        <v>368</v>
      </c>
      <c r="W9697" t="str">
        <f>VLOOKUP(Table_Query_from_Actuarial___Production[[#This Row],[Kor1]],$AI$3:$AK$105,3,FALSE)</f>
        <v>Losses Paid</v>
      </c>
      <c r="X96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7"/>
      <c r="Z9697" t="s">
        <v>39</v>
      </c>
      <c r="AA9697" t="s">
        <v>249</v>
      </c>
      <c r="AB9697" t="s">
        <v>443</v>
      </c>
      <c r="AC9697" s="21">
        <v>7.01</v>
      </c>
      <c r="AD9697" s="21" t="s">
        <v>368</v>
      </c>
      <c r="AE9697" t="str">
        <f>VLOOKUP(Table_Query_from_Actuarial___Production3[[#This Row],[Kor1]],$AI$3:$AK$105,3,FALSE)</f>
        <v>Misc. Income for Insolvent Companies</v>
      </c>
      <c r="AF9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8" spans="18:32" x14ac:dyDescent="0.2">
      <c r="R9698" t="s">
        <v>13</v>
      </c>
      <c r="S9698" t="s">
        <v>256</v>
      </c>
      <c r="T9698" t="s">
        <v>442</v>
      </c>
      <c r="U9698" s="21">
        <v>11184.18</v>
      </c>
      <c r="V9698" s="21" t="s">
        <v>368</v>
      </c>
      <c r="W9698" t="str">
        <f>VLOOKUP(Table_Query_from_Actuarial___Production[[#This Row],[Kor1]],$AI$3:$AK$105,3,FALSE)</f>
        <v>Operating Service Fees</v>
      </c>
      <c r="X96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8"/>
      <c r="Z9698" t="s">
        <v>40</v>
      </c>
      <c r="AA9698" t="s">
        <v>229</v>
      </c>
      <c r="AB9698" t="s">
        <v>5</v>
      </c>
      <c r="AC9698" s="21">
        <v>108</v>
      </c>
      <c r="AD9698" s="21" t="s">
        <v>368</v>
      </c>
      <c r="AE9698" t="str">
        <f>VLOOKUP(Table_Query_from_Actuarial___Production3[[#This Row],[Kor1]],$AI$3:$AK$105,3,FALSE)</f>
        <v>Misc. Income</v>
      </c>
      <c r="AF9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699" spans="18:32" x14ac:dyDescent="0.2">
      <c r="R9699" t="s">
        <v>25</v>
      </c>
      <c r="S9699" t="s">
        <v>4</v>
      </c>
      <c r="T9699" t="s">
        <v>427</v>
      </c>
      <c r="U9699" s="21">
        <v>3008.19</v>
      </c>
      <c r="V9699" s="21" t="s">
        <v>368</v>
      </c>
      <c r="W9699" t="str">
        <f>VLOOKUP(Table_Query_from_Actuarial___Production[[#This Row],[Kor1]],$AI$3:$AK$105,3,FALSE)</f>
        <v>Misc. Expense</v>
      </c>
      <c r="X96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699"/>
      <c r="Z9699" t="s">
        <v>48</v>
      </c>
      <c r="AA9699" t="s">
        <v>262</v>
      </c>
      <c r="AB9699" t="s">
        <v>427</v>
      </c>
      <c r="AC9699" s="21">
        <v>581.98</v>
      </c>
      <c r="AD9699" s="21" t="s">
        <v>368</v>
      </c>
      <c r="AE9699" t="str">
        <f>VLOOKUP(Table_Query_from_Actuarial___Production3[[#This Row],[Kor1]],$AI$3:$AK$105,3,FALSE)</f>
        <v>Anticipated Salvage</v>
      </c>
      <c r="AF9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0" spans="18:32" x14ac:dyDescent="0.2">
      <c r="R9700" t="s">
        <v>3</v>
      </c>
      <c r="S9700" t="s">
        <v>224</v>
      </c>
      <c r="T9700" t="s">
        <v>7</v>
      </c>
      <c r="U9700" s="21">
        <v>111635.08</v>
      </c>
      <c r="V9700" s="21" t="s">
        <v>425</v>
      </c>
      <c r="W9700" t="str">
        <f>VLOOKUP(Table_Query_from_Actuarial___Production[[#This Row],[Kor1]],$AI$3:$AK$105,3,FALSE)</f>
        <v>Premiums Written</v>
      </c>
      <c r="X97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700"/>
      <c r="Z9700" t="s">
        <v>49</v>
      </c>
      <c r="AA9700" t="s">
        <v>249</v>
      </c>
      <c r="AB9700" t="s">
        <v>351</v>
      </c>
      <c r="AC9700" s="21">
        <v>25</v>
      </c>
      <c r="AD9700" s="21" t="s">
        <v>368</v>
      </c>
      <c r="AE9700" t="str">
        <f>VLOOKUP(Table_Query_from_Actuarial___Production3[[#This Row],[Kor1]],$AI$3:$AK$105,3,FALSE)</f>
        <v>ALAE Paid</v>
      </c>
      <c r="AF9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1" spans="18:32" x14ac:dyDescent="0.2">
      <c r="R9701" t="s">
        <v>48</v>
      </c>
      <c r="S9701" t="s">
        <v>240</v>
      </c>
      <c r="T9701" t="s">
        <v>445</v>
      </c>
      <c r="U9701" s="21">
        <v>2247.91</v>
      </c>
      <c r="V9701" s="21" t="s">
        <v>368</v>
      </c>
      <c r="W9701" t="str">
        <f>VLOOKUP(Table_Query_from_Actuarial___Production[[#This Row],[Kor1]],$AI$3:$AK$105,3,FALSE)</f>
        <v>Anticipated Salvage</v>
      </c>
      <c r="X97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1"/>
      <c r="Z9701" t="s">
        <v>43</v>
      </c>
      <c r="AA9701" t="s">
        <v>259</v>
      </c>
      <c r="AB9701" t="s">
        <v>433</v>
      </c>
      <c r="AC9701" s="21">
        <v>4354.03</v>
      </c>
      <c r="AD9701" s="21" t="s">
        <v>368</v>
      </c>
      <c r="AE9701" t="str">
        <f>VLOOKUP(Table_Query_from_Actuarial___Production3[[#This Row],[Kor1]],$AI$3:$AK$105,3,FALSE)</f>
        <v>Charge-offs</v>
      </c>
      <c r="AF9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2" spans="18:32" x14ac:dyDescent="0.2">
      <c r="R9702" t="s">
        <v>15</v>
      </c>
      <c r="S9702" t="s">
        <v>233</v>
      </c>
      <c r="T9702" t="s">
        <v>443</v>
      </c>
      <c r="U9702" s="21">
        <v>221198.52</v>
      </c>
      <c r="V9702" s="21" t="s">
        <v>368</v>
      </c>
      <c r="W9702" t="str">
        <f>VLOOKUP(Table_Query_from_Actuarial___Production[[#This Row],[Kor1]],$AI$3:$AK$105,3,FALSE)</f>
        <v>Unearned Premiums</v>
      </c>
      <c r="X97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2"/>
      <c r="Z9702" t="s">
        <v>43</v>
      </c>
      <c r="AA9702" t="s">
        <v>224</v>
      </c>
      <c r="AB9702" t="s">
        <v>8</v>
      </c>
      <c r="AC9702" s="21">
        <v>96.08</v>
      </c>
      <c r="AD9702" s="21" t="s">
        <v>370</v>
      </c>
      <c r="AE9702" t="str">
        <f>VLOOKUP(Table_Query_from_Actuarial___Production3[[#This Row],[Kor1]],$AI$3:$AK$105,3,FALSE)</f>
        <v>Charge-offs</v>
      </c>
      <c r="AF9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703" spans="18:32" x14ac:dyDescent="0.2">
      <c r="R9703" t="s">
        <v>33</v>
      </c>
      <c r="S9703" t="s">
        <v>265</v>
      </c>
      <c r="T9703" t="s">
        <v>433</v>
      </c>
      <c r="U9703" s="21">
        <v>14551.74</v>
      </c>
      <c r="V9703" s="21" t="s">
        <v>368</v>
      </c>
      <c r="W9703" t="str">
        <f>VLOOKUP(Table_Query_from_Actuarial___Production[[#This Row],[Kor1]],$AI$3:$AK$105,3,FALSE)</f>
        <v>Misc. Expense</v>
      </c>
      <c r="X97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3"/>
      <c r="Z9703" t="s">
        <v>31</v>
      </c>
      <c r="AA9703" t="s">
        <v>234</v>
      </c>
      <c r="AB9703" t="s">
        <v>443</v>
      </c>
      <c r="AC9703" s="21">
        <v>1020.66</v>
      </c>
      <c r="AD9703" s="21" t="s">
        <v>368</v>
      </c>
      <c r="AE9703" t="str">
        <f>VLOOKUP(Table_Query_from_Actuarial___Production3[[#This Row],[Kor1]],$AI$3:$AK$105,3,FALSE)</f>
        <v>Misc. Expense</v>
      </c>
      <c r="AF97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4" spans="18:32" x14ac:dyDescent="0.2">
      <c r="R9704" t="s">
        <v>39</v>
      </c>
      <c r="S9704" t="s">
        <v>246</v>
      </c>
      <c r="T9704" t="s">
        <v>433</v>
      </c>
      <c r="U9704" s="21">
        <v>5161.05</v>
      </c>
      <c r="V9704" s="21" t="s">
        <v>368</v>
      </c>
      <c r="W9704" t="str">
        <f>VLOOKUP(Table_Query_from_Actuarial___Production[[#This Row],[Kor1]],$AI$3:$AK$105,3,FALSE)</f>
        <v>Misc. Income for Insolvent Companies</v>
      </c>
      <c r="X97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4"/>
      <c r="Z9704" t="s">
        <v>11</v>
      </c>
      <c r="AA9704" t="s">
        <v>253</v>
      </c>
      <c r="AB9704" t="s">
        <v>356</v>
      </c>
      <c r="AC9704" s="21">
        <v>6950.07</v>
      </c>
      <c r="AD9704" s="21" t="s">
        <v>368</v>
      </c>
      <c r="AE9704" t="str">
        <f>VLOOKUP(Table_Query_from_Actuarial___Production3[[#This Row],[Kor1]],$AI$3:$AK$105,3,FALSE)</f>
        <v>Losses Paid</v>
      </c>
      <c r="AF97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5" spans="18:32" x14ac:dyDescent="0.2">
      <c r="R9705" t="s">
        <v>13</v>
      </c>
      <c r="S9705" t="s">
        <v>248</v>
      </c>
      <c r="T9705" t="s">
        <v>8</v>
      </c>
      <c r="U9705" s="21">
        <v>8565</v>
      </c>
      <c r="V9705" s="21" t="s">
        <v>368</v>
      </c>
      <c r="W9705" t="str">
        <f>VLOOKUP(Table_Query_from_Actuarial___Production[[#This Row],[Kor1]],$AI$3:$AK$105,3,FALSE)</f>
        <v>Operating Service Fees</v>
      </c>
      <c r="X97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5"/>
      <c r="Z9705" t="s">
        <v>13</v>
      </c>
      <c r="AA9705" t="s">
        <v>256</v>
      </c>
      <c r="AB9705" t="s">
        <v>442</v>
      </c>
      <c r="AC9705" s="21">
        <v>11184.18</v>
      </c>
      <c r="AD9705" s="21" t="s">
        <v>368</v>
      </c>
      <c r="AE9705" t="str">
        <f>VLOOKUP(Table_Query_from_Actuarial___Production3[[#This Row],[Kor1]],$AI$3:$AK$105,3,FALSE)</f>
        <v>Operating Service Fees</v>
      </c>
      <c r="AF97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6" spans="18:32" x14ac:dyDescent="0.2">
      <c r="R9706" t="s">
        <v>33</v>
      </c>
      <c r="S9706" t="s">
        <v>237</v>
      </c>
      <c r="T9706" t="s">
        <v>445</v>
      </c>
      <c r="U9706" s="21">
        <v>12768.51</v>
      </c>
      <c r="V9706" s="21" t="s">
        <v>368</v>
      </c>
      <c r="W9706" t="str">
        <f>VLOOKUP(Table_Query_from_Actuarial___Production[[#This Row],[Kor1]],$AI$3:$AK$105,3,FALSE)</f>
        <v>Misc. Expense</v>
      </c>
      <c r="X97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6"/>
      <c r="Z9706" t="s">
        <v>25</v>
      </c>
      <c r="AA9706" t="s">
        <v>4</v>
      </c>
      <c r="AB9706" t="s">
        <v>427</v>
      </c>
      <c r="AC9706" s="21">
        <v>3008.19</v>
      </c>
      <c r="AD9706" s="21" t="s">
        <v>368</v>
      </c>
      <c r="AE9706" t="str">
        <f>VLOOKUP(Table_Query_from_Actuarial___Production3[[#This Row],[Kor1]],$AI$3:$AK$105,3,FALSE)</f>
        <v>Misc. Expense</v>
      </c>
      <c r="AF97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7" spans="18:32" x14ac:dyDescent="0.2">
      <c r="R9707" t="s">
        <v>16</v>
      </c>
      <c r="S9707" t="s">
        <v>225</v>
      </c>
      <c r="T9707" t="s">
        <v>443</v>
      </c>
      <c r="U9707" s="21">
        <v>64498.84</v>
      </c>
      <c r="V9707" s="21" t="s">
        <v>369</v>
      </c>
      <c r="W9707" t="str">
        <f>VLOOKUP(Table_Query_from_Actuarial___Production[[#This Row],[Kor1]],$AI$3:$AK$105,3,FALSE)</f>
        <v>Losses Outstanding</v>
      </c>
      <c r="X97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707"/>
      <c r="Z9707" t="s">
        <v>3</v>
      </c>
      <c r="AA9707" t="s">
        <v>224</v>
      </c>
      <c r="AB9707" t="s">
        <v>7</v>
      </c>
      <c r="AC9707" s="21">
        <v>111635.08</v>
      </c>
      <c r="AD9707" s="21" t="s">
        <v>425</v>
      </c>
      <c r="AE9707" t="str">
        <f>VLOOKUP(Table_Query_from_Actuarial___Production3[[#This Row],[Kor1]],$AI$3:$AK$105,3,FALSE)</f>
        <v>Premiums Written</v>
      </c>
      <c r="AF97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708" spans="18:32" x14ac:dyDescent="0.2">
      <c r="R9708" t="s">
        <v>3</v>
      </c>
      <c r="S9708" t="s">
        <v>263</v>
      </c>
      <c r="T9708" t="s">
        <v>7</v>
      </c>
      <c r="U9708" s="21">
        <v>410595</v>
      </c>
      <c r="V9708" s="21" t="s">
        <v>368</v>
      </c>
      <c r="W9708" t="str">
        <f>VLOOKUP(Table_Query_from_Actuarial___Production[[#This Row],[Kor1]],$AI$3:$AK$105,3,FALSE)</f>
        <v>Premiums Written</v>
      </c>
      <c r="X97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8"/>
      <c r="Z9708" t="s">
        <v>50</v>
      </c>
      <c r="AA9708" t="s">
        <v>246</v>
      </c>
      <c r="AB9708" t="s">
        <v>427</v>
      </c>
      <c r="AC9708" s="21">
        <v>36830.57</v>
      </c>
      <c r="AD9708" s="21" t="s">
        <v>368</v>
      </c>
      <c r="AE9708" t="str">
        <f>VLOOKUP(Table_Query_from_Actuarial___Production3[[#This Row],[Kor1]],$AI$3:$AK$105,3,FALSE)</f>
        <v>ALAE Reserve</v>
      </c>
      <c r="AF97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09" spans="18:32" x14ac:dyDescent="0.2">
      <c r="R9709" t="s">
        <v>37</v>
      </c>
      <c r="S9709" t="s">
        <v>238</v>
      </c>
      <c r="T9709" t="s">
        <v>356</v>
      </c>
      <c r="U9709" s="21">
        <v>712.94</v>
      </c>
      <c r="V9709" s="21" t="s">
        <v>368</v>
      </c>
      <c r="W9709" t="str">
        <f>VLOOKUP(Table_Query_from_Actuarial___Production[[#This Row],[Kor1]],$AI$3:$AK$105,3,FALSE)</f>
        <v>Misc. Expense</v>
      </c>
      <c r="X97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09"/>
      <c r="Z9709" t="s">
        <v>15</v>
      </c>
      <c r="AA9709" t="s">
        <v>233</v>
      </c>
      <c r="AB9709" t="s">
        <v>443</v>
      </c>
      <c r="AC9709" s="21">
        <v>299162.68</v>
      </c>
      <c r="AD9709" s="21" t="s">
        <v>368</v>
      </c>
      <c r="AE9709" t="str">
        <f>VLOOKUP(Table_Query_from_Actuarial___Production3[[#This Row],[Kor1]],$AI$3:$AK$105,3,FALSE)</f>
        <v>Unearned Premiums</v>
      </c>
      <c r="AF97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0" spans="18:32" x14ac:dyDescent="0.2">
      <c r="R9710" t="s">
        <v>49</v>
      </c>
      <c r="S9710" t="s">
        <v>238</v>
      </c>
      <c r="T9710" t="s">
        <v>441</v>
      </c>
      <c r="U9710" s="21">
        <v>125331.51</v>
      </c>
      <c r="V9710" s="21" t="s">
        <v>368</v>
      </c>
      <c r="W9710" t="str">
        <f>VLOOKUP(Table_Query_from_Actuarial___Production[[#This Row],[Kor1]],$AI$3:$AK$105,3,FALSE)</f>
        <v>ALAE Paid</v>
      </c>
      <c r="X97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0"/>
      <c r="Z9710" t="s">
        <v>33</v>
      </c>
      <c r="AA9710" t="s">
        <v>265</v>
      </c>
      <c r="AB9710" t="s">
        <v>433</v>
      </c>
      <c r="AC9710" s="21">
        <v>14551.74</v>
      </c>
      <c r="AD9710" s="21" t="s">
        <v>368</v>
      </c>
      <c r="AE9710" t="str">
        <f>VLOOKUP(Table_Query_from_Actuarial___Production3[[#This Row],[Kor1]],$AI$3:$AK$105,3,FALSE)</f>
        <v>Misc. Expense</v>
      </c>
      <c r="AF97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1" spans="18:32" x14ac:dyDescent="0.2">
      <c r="R9711" t="s">
        <v>18</v>
      </c>
      <c r="S9711" t="s">
        <v>224</v>
      </c>
      <c r="T9711" t="s">
        <v>433</v>
      </c>
      <c r="U9711" s="21">
        <v>3264.81</v>
      </c>
      <c r="V9711" s="21" t="s">
        <v>425</v>
      </c>
      <c r="W9711" t="str">
        <f>VLOOKUP(Table_Query_from_Actuarial___Production[[#This Row],[Kor1]],$AI$3:$AK$105,3,FALSE)</f>
        <v>Misc. Expense</v>
      </c>
      <c r="X97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711"/>
      <c r="Z9711" t="s">
        <v>39</v>
      </c>
      <c r="AA9711" t="s">
        <v>246</v>
      </c>
      <c r="AB9711" t="s">
        <v>433</v>
      </c>
      <c r="AC9711" s="21">
        <v>5161.05</v>
      </c>
      <c r="AD9711" s="21" t="s">
        <v>368</v>
      </c>
      <c r="AE9711" t="str">
        <f>VLOOKUP(Table_Query_from_Actuarial___Production3[[#This Row],[Kor1]],$AI$3:$AK$105,3,FALSE)</f>
        <v>Misc. Income for Insolvent Companies</v>
      </c>
      <c r="AF97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2" spans="18:32" x14ac:dyDescent="0.2">
      <c r="R9712" t="s">
        <v>31</v>
      </c>
      <c r="S9712" t="s">
        <v>259</v>
      </c>
      <c r="T9712" t="s">
        <v>443</v>
      </c>
      <c r="U9712" s="21">
        <v>1010.86</v>
      </c>
      <c r="V9712" s="21" t="s">
        <v>368</v>
      </c>
      <c r="W9712" t="str">
        <f>VLOOKUP(Table_Query_from_Actuarial___Production[[#This Row],[Kor1]],$AI$3:$AK$105,3,FALSE)</f>
        <v>Misc. Expense</v>
      </c>
      <c r="X97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2"/>
      <c r="Z9712" t="s">
        <v>13</v>
      </c>
      <c r="AA9712" t="s">
        <v>248</v>
      </c>
      <c r="AB9712" t="s">
        <v>8</v>
      </c>
      <c r="AC9712" s="21">
        <v>8565</v>
      </c>
      <c r="AD9712" s="21" t="s">
        <v>368</v>
      </c>
      <c r="AE9712" t="str">
        <f>VLOOKUP(Table_Query_from_Actuarial___Production3[[#This Row],[Kor1]],$AI$3:$AK$105,3,FALSE)</f>
        <v>Operating Service Fees</v>
      </c>
      <c r="AF97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3" spans="18:32" x14ac:dyDescent="0.2">
      <c r="R9713" t="s">
        <v>49</v>
      </c>
      <c r="S9713" t="s">
        <v>264</v>
      </c>
      <c r="T9713" t="s">
        <v>441</v>
      </c>
      <c r="U9713" s="21">
        <v>18842.14</v>
      </c>
      <c r="V9713" s="21" t="s">
        <v>368</v>
      </c>
      <c r="W9713" t="str">
        <f>VLOOKUP(Table_Query_from_Actuarial___Production[[#This Row],[Kor1]],$AI$3:$AK$105,3,FALSE)</f>
        <v>ALAE Paid</v>
      </c>
      <c r="X97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3"/>
      <c r="Z9713" t="s">
        <v>16</v>
      </c>
      <c r="AA9713" t="s">
        <v>225</v>
      </c>
      <c r="AB9713" t="s">
        <v>443</v>
      </c>
      <c r="AC9713" s="21">
        <v>22601</v>
      </c>
      <c r="AD9713" s="21" t="s">
        <v>369</v>
      </c>
      <c r="AE9713" t="str">
        <f>VLOOKUP(Table_Query_from_Actuarial___Production3[[#This Row],[Kor1]],$AI$3:$AK$105,3,FALSE)</f>
        <v>Losses Outstanding</v>
      </c>
      <c r="AF97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714" spans="18:32" x14ac:dyDescent="0.2">
      <c r="R9714" t="s">
        <v>11</v>
      </c>
      <c r="S9714" t="s">
        <v>225</v>
      </c>
      <c r="T9714" t="s">
        <v>7</v>
      </c>
      <c r="U9714" s="21">
        <v>1318681.96</v>
      </c>
      <c r="V9714" s="21" t="s">
        <v>368</v>
      </c>
      <c r="W9714" t="str">
        <f>VLOOKUP(Table_Query_from_Actuarial___Production[[#This Row],[Kor1]],$AI$3:$AK$105,3,FALSE)</f>
        <v>Losses Paid</v>
      </c>
      <c r="X97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714"/>
      <c r="Z9714" t="s">
        <v>3</v>
      </c>
      <c r="AA9714" t="s">
        <v>263</v>
      </c>
      <c r="AB9714" t="s">
        <v>7</v>
      </c>
      <c r="AC9714" s="21">
        <v>410595</v>
      </c>
      <c r="AD9714" s="21" t="s">
        <v>368</v>
      </c>
      <c r="AE9714" t="str">
        <f>VLOOKUP(Table_Query_from_Actuarial___Production3[[#This Row],[Kor1]],$AI$3:$AK$105,3,FALSE)</f>
        <v>Premiums Written</v>
      </c>
      <c r="AF97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5" spans="18:32" x14ac:dyDescent="0.2">
      <c r="R9715" t="s">
        <v>12</v>
      </c>
      <c r="S9715" t="s">
        <v>249</v>
      </c>
      <c r="T9715" t="s">
        <v>443</v>
      </c>
      <c r="U9715" s="21">
        <v>33054.870000000003</v>
      </c>
      <c r="V9715" s="21" t="s">
        <v>368</v>
      </c>
      <c r="W9715" t="str">
        <f>VLOOKUP(Table_Query_from_Actuarial___Production[[#This Row],[Kor1]],$AI$3:$AK$105,3,FALSE)</f>
        <v>Premium Tax</v>
      </c>
      <c r="X97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5"/>
      <c r="Z9715" t="s">
        <v>37</v>
      </c>
      <c r="AA9715" t="s">
        <v>238</v>
      </c>
      <c r="AB9715" t="s">
        <v>356</v>
      </c>
      <c r="AC9715" s="21">
        <v>712.94</v>
      </c>
      <c r="AD9715" s="21" t="s">
        <v>368</v>
      </c>
      <c r="AE9715" t="str">
        <f>VLOOKUP(Table_Query_from_Actuarial___Production3[[#This Row],[Kor1]],$AI$3:$AK$105,3,FALSE)</f>
        <v>Misc. Expense</v>
      </c>
      <c r="AF97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6" spans="18:32" x14ac:dyDescent="0.2">
      <c r="R9716" t="s">
        <v>12</v>
      </c>
      <c r="S9716" t="s">
        <v>263</v>
      </c>
      <c r="T9716" t="s">
        <v>445</v>
      </c>
      <c r="U9716" s="21">
        <v>891.08</v>
      </c>
      <c r="V9716" s="21" t="s">
        <v>368</v>
      </c>
      <c r="W9716" t="str">
        <f>VLOOKUP(Table_Query_from_Actuarial___Production[[#This Row],[Kor1]],$AI$3:$AK$105,3,FALSE)</f>
        <v>Premium Tax</v>
      </c>
      <c r="X97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6"/>
      <c r="Z9716" t="s">
        <v>49</v>
      </c>
      <c r="AA9716" t="s">
        <v>238</v>
      </c>
      <c r="AB9716" t="s">
        <v>441</v>
      </c>
      <c r="AC9716" s="21">
        <v>25817.77</v>
      </c>
      <c r="AD9716" s="21" t="s">
        <v>368</v>
      </c>
      <c r="AE9716" t="str">
        <f>VLOOKUP(Table_Query_from_Actuarial___Production3[[#This Row],[Kor1]],$AI$3:$AK$105,3,FALSE)</f>
        <v>ALAE Paid</v>
      </c>
      <c r="AF97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7" spans="18:32" x14ac:dyDescent="0.2">
      <c r="R9717" t="s">
        <v>11</v>
      </c>
      <c r="S9717" t="s">
        <v>233</v>
      </c>
      <c r="T9717" t="s">
        <v>9</v>
      </c>
      <c r="U9717" s="21">
        <v>438883.4</v>
      </c>
      <c r="V9717" s="21" t="s">
        <v>368</v>
      </c>
      <c r="W9717" t="str">
        <f>VLOOKUP(Table_Query_from_Actuarial___Production[[#This Row],[Kor1]],$AI$3:$AK$105,3,FALSE)</f>
        <v>Losses Paid</v>
      </c>
      <c r="X97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7"/>
      <c r="Z9717" t="s">
        <v>18</v>
      </c>
      <c r="AA9717" t="s">
        <v>224</v>
      </c>
      <c r="AB9717" t="s">
        <v>433</v>
      </c>
      <c r="AC9717" s="21">
        <v>3264.81</v>
      </c>
      <c r="AD9717" s="21" t="s">
        <v>425</v>
      </c>
      <c r="AE9717" t="str">
        <f>VLOOKUP(Table_Query_from_Actuarial___Production3[[#This Row],[Kor1]],$AI$3:$AK$105,3,FALSE)</f>
        <v>Misc. Expense</v>
      </c>
      <c r="AF97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718" spans="18:32" x14ac:dyDescent="0.2">
      <c r="R9718" t="s">
        <v>11</v>
      </c>
      <c r="S9718" t="s">
        <v>266</v>
      </c>
      <c r="T9718" t="s">
        <v>8</v>
      </c>
      <c r="U9718" s="21">
        <v>359183.93</v>
      </c>
      <c r="V9718" s="21" t="s">
        <v>368</v>
      </c>
      <c r="W9718" t="str">
        <f>VLOOKUP(Table_Query_from_Actuarial___Production[[#This Row],[Kor1]],$AI$3:$AK$105,3,FALSE)</f>
        <v>Losses Paid</v>
      </c>
      <c r="X97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8"/>
      <c r="Z9718" t="s">
        <v>31</v>
      </c>
      <c r="AA9718" t="s">
        <v>259</v>
      </c>
      <c r="AB9718" t="s">
        <v>443</v>
      </c>
      <c r="AC9718" s="21">
        <v>288.69</v>
      </c>
      <c r="AD9718" s="21" t="s">
        <v>368</v>
      </c>
      <c r="AE9718" t="str">
        <f>VLOOKUP(Table_Query_from_Actuarial___Production3[[#This Row],[Kor1]],$AI$3:$AK$105,3,FALSE)</f>
        <v>Misc. Expense</v>
      </c>
      <c r="AF97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19" spans="18:32" x14ac:dyDescent="0.2">
      <c r="R9719" t="s">
        <v>50</v>
      </c>
      <c r="S9719" t="s">
        <v>242</v>
      </c>
      <c r="T9719" t="s">
        <v>441</v>
      </c>
      <c r="U9719" s="21">
        <v>35820.49</v>
      </c>
      <c r="V9719" s="21" t="s">
        <v>368</v>
      </c>
      <c r="W9719" t="str">
        <f>VLOOKUP(Table_Query_from_Actuarial___Production[[#This Row],[Kor1]],$AI$3:$AK$105,3,FALSE)</f>
        <v>ALAE Reserve</v>
      </c>
      <c r="X97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19"/>
      <c r="Z9719" t="s">
        <v>49</v>
      </c>
      <c r="AA9719" t="s">
        <v>264</v>
      </c>
      <c r="AB9719" t="s">
        <v>441</v>
      </c>
      <c r="AC9719" s="21">
        <v>18842.14</v>
      </c>
      <c r="AD9719" s="21" t="s">
        <v>368</v>
      </c>
      <c r="AE9719" t="str">
        <f>VLOOKUP(Table_Query_from_Actuarial___Production3[[#This Row],[Kor1]],$AI$3:$AK$105,3,FALSE)</f>
        <v>ALAE Paid</v>
      </c>
      <c r="AF97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0" spans="18:32" x14ac:dyDescent="0.2">
      <c r="R9720" t="s">
        <v>48</v>
      </c>
      <c r="S9720" t="s">
        <v>224</v>
      </c>
      <c r="T9720" t="s">
        <v>441</v>
      </c>
      <c r="U9720" s="21">
        <v>4108.74</v>
      </c>
      <c r="V9720" s="21" t="s">
        <v>368</v>
      </c>
      <c r="W9720" t="str">
        <f>VLOOKUP(Table_Query_from_Actuarial___Production[[#This Row],[Kor1]],$AI$3:$AK$105,3,FALSE)</f>
        <v>Anticipated Salvage</v>
      </c>
      <c r="X97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720"/>
      <c r="Z9720" t="s">
        <v>11</v>
      </c>
      <c r="AA9720" t="s">
        <v>225</v>
      </c>
      <c r="AB9720" t="s">
        <v>7</v>
      </c>
      <c r="AC9720" s="21">
        <v>1318681.96</v>
      </c>
      <c r="AD9720" s="21" t="s">
        <v>368</v>
      </c>
      <c r="AE9720" t="str">
        <f>VLOOKUP(Table_Query_from_Actuarial___Production3[[#This Row],[Kor1]],$AI$3:$AK$105,3,FALSE)</f>
        <v>Losses Paid</v>
      </c>
      <c r="AF97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721" spans="18:32" x14ac:dyDescent="0.2">
      <c r="R9721" t="s">
        <v>14</v>
      </c>
      <c r="S9721" t="s">
        <v>241</v>
      </c>
      <c r="T9721" t="s">
        <v>351</v>
      </c>
      <c r="U9721" s="21">
        <v>168424.65</v>
      </c>
      <c r="V9721" s="21" t="s">
        <v>368</v>
      </c>
      <c r="W9721" t="str">
        <f>VLOOKUP(Table_Query_from_Actuarial___Production[[#This Row],[Kor1]],$AI$3:$AK$105,3,FALSE)</f>
        <v>Claims Expense</v>
      </c>
      <c r="X97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1"/>
      <c r="Z9721" t="s">
        <v>12</v>
      </c>
      <c r="AA9721" t="s">
        <v>249</v>
      </c>
      <c r="AB9721" t="s">
        <v>443</v>
      </c>
      <c r="AC9721" s="21">
        <v>8001.22</v>
      </c>
      <c r="AD9721" s="21" t="s">
        <v>368</v>
      </c>
      <c r="AE9721" t="str">
        <f>VLOOKUP(Table_Query_from_Actuarial___Production3[[#This Row],[Kor1]],$AI$3:$AK$105,3,FALSE)</f>
        <v>Premium Tax</v>
      </c>
      <c r="AF97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2" spans="18:32" x14ac:dyDescent="0.2">
      <c r="R9722" t="s">
        <v>17</v>
      </c>
      <c r="S9722" t="s">
        <v>228</v>
      </c>
      <c r="T9722" t="s">
        <v>445</v>
      </c>
      <c r="U9722" s="21">
        <v>707</v>
      </c>
      <c r="V9722" s="21" t="s">
        <v>368</v>
      </c>
      <c r="W9722" t="str">
        <f>VLOOKUP(Table_Query_from_Actuarial___Production[[#This Row],[Kor1]],$AI$3:$AK$105,3,FALSE)</f>
        <v>IBNR</v>
      </c>
      <c r="X97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2"/>
      <c r="Z9722" t="s">
        <v>11</v>
      </c>
      <c r="AA9722" t="s">
        <v>233</v>
      </c>
      <c r="AB9722" t="s">
        <v>9</v>
      </c>
      <c r="AC9722" s="21">
        <v>438883.4</v>
      </c>
      <c r="AD9722" s="21" t="s">
        <v>368</v>
      </c>
      <c r="AE9722" t="str">
        <f>VLOOKUP(Table_Query_from_Actuarial___Production3[[#This Row],[Kor1]],$AI$3:$AK$105,3,FALSE)</f>
        <v>Losses Paid</v>
      </c>
      <c r="AF97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3" spans="18:32" x14ac:dyDescent="0.2">
      <c r="R9723" t="s">
        <v>38</v>
      </c>
      <c r="S9723" t="s">
        <v>225</v>
      </c>
      <c r="T9723" t="s">
        <v>9</v>
      </c>
      <c r="U9723" s="21">
        <v>1132219.27</v>
      </c>
      <c r="V9723" s="21" t="s">
        <v>368</v>
      </c>
      <c r="W9723" t="str">
        <f>VLOOKUP(Table_Query_from_Actuarial___Production[[#This Row],[Kor1]],$AI$3:$AK$105,3,FALSE)</f>
        <v>Misc. Income</v>
      </c>
      <c r="X97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723"/>
      <c r="Z9723" t="s">
        <v>11</v>
      </c>
      <c r="AA9723" t="s">
        <v>266</v>
      </c>
      <c r="AB9723" t="s">
        <v>8</v>
      </c>
      <c r="AC9723" s="21">
        <v>359183.93</v>
      </c>
      <c r="AD9723" s="21" t="s">
        <v>368</v>
      </c>
      <c r="AE9723" t="str">
        <f>VLOOKUP(Table_Query_from_Actuarial___Production3[[#This Row],[Kor1]],$AI$3:$AK$105,3,FALSE)</f>
        <v>Losses Paid</v>
      </c>
      <c r="AF97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4" spans="18:32" x14ac:dyDescent="0.2">
      <c r="R9724" t="s">
        <v>14</v>
      </c>
      <c r="S9724" t="s">
        <v>354</v>
      </c>
      <c r="T9724" t="s">
        <v>356</v>
      </c>
      <c r="U9724" s="21">
        <v>141361389.62</v>
      </c>
      <c r="V9724" s="21" t="s">
        <v>369</v>
      </c>
      <c r="W9724" t="str">
        <f>VLOOKUP(Table_Query_from_Actuarial___Production[[#This Row],[Kor1]],$AI$3:$AK$105,3,FALSE)</f>
        <v>Claims Expense</v>
      </c>
      <c r="X97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724"/>
      <c r="Z9724" t="s">
        <v>50</v>
      </c>
      <c r="AA9724" t="s">
        <v>242</v>
      </c>
      <c r="AB9724" t="s">
        <v>441</v>
      </c>
      <c r="AC9724" s="21">
        <v>9644.9599999999991</v>
      </c>
      <c r="AD9724" s="21" t="s">
        <v>368</v>
      </c>
      <c r="AE9724" t="str">
        <f>VLOOKUP(Table_Query_from_Actuarial___Production3[[#This Row],[Kor1]],$AI$3:$AK$105,3,FALSE)</f>
        <v>ALAE Reserve</v>
      </c>
      <c r="AF97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5" spans="18:32" x14ac:dyDescent="0.2">
      <c r="R9725" t="s">
        <v>49</v>
      </c>
      <c r="S9725" t="s">
        <v>239</v>
      </c>
      <c r="T9725" t="s">
        <v>356</v>
      </c>
      <c r="U9725" s="21">
        <v>658.16</v>
      </c>
      <c r="V9725" s="21" t="s">
        <v>368</v>
      </c>
      <c r="W9725" t="str">
        <f>VLOOKUP(Table_Query_from_Actuarial___Production[[#This Row],[Kor1]],$AI$3:$AK$105,3,FALSE)</f>
        <v>ALAE Paid</v>
      </c>
      <c r="X97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5"/>
      <c r="Z9725" t="s">
        <v>48</v>
      </c>
      <c r="AA9725" t="s">
        <v>224</v>
      </c>
      <c r="AB9725" t="s">
        <v>441</v>
      </c>
      <c r="AC9725" s="21">
        <v>3408.99</v>
      </c>
      <c r="AD9725" s="21" t="s">
        <v>368</v>
      </c>
      <c r="AE9725" t="str">
        <f>VLOOKUP(Table_Query_from_Actuarial___Production3[[#This Row],[Kor1]],$AI$3:$AK$105,3,FALSE)</f>
        <v>Anticipated Salvage</v>
      </c>
      <c r="AF97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726" spans="18:32" x14ac:dyDescent="0.2">
      <c r="R9726" t="s">
        <v>47</v>
      </c>
      <c r="S9726" t="s">
        <v>4</v>
      </c>
      <c r="T9726" t="s">
        <v>441</v>
      </c>
      <c r="U9726" s="21">
        <v>599.35</v>
      </c>
      <c r="V9726" s="21" t="s">
        <v>368</v>
      </c>
      <c r="W9726" t="str">
        <f>VLOOKUP(Table_Query_from_Actuarial___Production[[#This Row],[Kor1]],$AI$3:$AK$105,3,FALSE)</f>
        <v>Investment Income</v>
      </c>
      <c r="X97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6"/>
      <c r="Z9726" t="s">
        <v>14</v>
      </c>
      <c r="AA9726" t="s">
        <v>241</v>
      </c>
      <c r="AB9726" t="s">
        <v>351</v>
      </c>
      <c r="AC9726" s="21">
        <v>168424.65</v>
      </c>
      <c r="AD9726" s="21" t="s">
        <v>368</v>
      </c>
      <c r="AE9726" t="str">
        <f>VLOOKUP(Table_Query_from_Actuarial___Production3[[#This Row],[Kor1]],$AI$3:$AK$105,3,FALSE)</f>
        <v>Claims Expense</v>
      </c>
      <c r="AF97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27" spans="18:32" x14ac:dyDescent="0.2">
      <c r="R9727" t="s">
        <v>12</v>
      </c>
      <c r="S9727" t="s">
        <v>237</v>
      </c>
      <c r="T9727" t="s">
        <v>7</v>
      </c>
      <c r="U9727" s="21">
        <v>53066.86</v>
      </c>
      <c r="V9727" s="21" t="s">
        <v>368</v>
      </c>
      <c r="W9727" t="str">
        <f>VLOOKUP(Table_Query_from_Actuarial___Production[[#This Row],[Kor1]],$AI$3:$AK$105,3,FALSE)</f>
        <v>Premium Tax</v>
      </c>
      <c r="X97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7"/>
      <c r="Z9727" t="s">
        <v>38</v>
      </c>
      <c r="AA9727" t="s">
        <v>225</v>
      </c>
      <c r="AB9727" t="s">
        <v>9</v>
      </c>
      <c r="AC9727" s="21">
        <v>1132219.27</v>
      </c>
      <c r="AD9727" s="21" t="s">
        <v>368</v>
      </c>
      <c r="AE9727" t="str">
        <f>VLOOKUP(Table_Query_from_Actuarial___Production3[[#This Row],[Kor1]],$AI$3:$AK$105,3,FALSE)</f>
        <v>Misc. Income</v>
      </c>
      <c r="AF97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728" spans="18:32" x14ac:dyDescent="0.2">
      <c r="R9728" t="s">
        <v>31</v>
      </c>
      <c r="S9728" t="s">
        <v>236</v>
      </c>
      <c r="T9728" t="s">
        <v>427</v>
      </c>
      <c r="U9728" s="21">
        <v>1003.92</v>
      </c>
      <c r="V9728" s="21" t="s">
        <v>368</v>
      </c>
      <c r="W9728" t="str">
        <f>VLOOKUP(Table_Query_from_Actuarial___Production[[#This Row],[Kor1]],$AI$3:$AK$105,3,FALSE)</f>
        <v>Misc. Expense</v>
      </c>
      <c r="X97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8"/>
      <c r="Z9728" t="s">
        <v>14</v>
      </c>
      <c r="AA9728" t="s">
        <v>354</v>
      </c>
      <c r="AB9728" t="s">
        <v>356</v>
      </c>
      <c r="AC9728" s="21">
        <v>141351831.63</v>
      </c>
      <c r="AD9728" s="21" t="s">
        <v>369</v>
      </c>
      <c r="AE9728" t="str">
        <f>VLOOKUP(Table_Query_from_Actuarial___Production3[[#This Row],[Kor1]],$AI$3:$AK$105,3,FALSE)</f>
        <v>Claims Expense</v>
      </c>
      <c r="AF97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729" spans="18:32" x14ac:dyDescent="0.2">
      <c r="R9729" t="s">
        <v>13</v>
      </c>
      <c r="S9729" t="s">
        <v>233</v>
      </c>
      <c r="T9729" t="s">
        <v>442</v>
      </c>
      <c r="U9729" s="21">
        <v>219706.43</v>
      </c>
      <c r="V9729" s="21" t="s">
        <v>368</v>
      </c>
      <c r="W9729" t="str">
        <f>VLOOKUP(Table_Query_from_Actuarial___Production[[#This Row],[Kor1]],$AI$3:$AK$105,3,FALSE)</f>
        <v>Operating Service Fees</v>
      </c>
      <c r="X97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29"/>
      <c r="Z9729" t="s">
        <v>49</v>
      </c>
      <c r="AA9729" t="s">
        <v>239</v>
      </c>
      <c r="AB9729" t="s">
        <v>356</v>
      </c>
      <c r="AC9729" s="21">
        <v>658.16</v>
      </c>
      <c r="AD9729" s="21" t="s">
        <v>368</v>
      </c>
      <c r="AE9729" t="str">
        <f>VLOOKUP(Table_Query_from_Actuarial___Production3[[#This Row],[Kor1]],$AI$3:$AK$105,3,FALSE)</f>
        <v>ALAE Paid</v>
      </c>
      <c r="AF97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0" spans="18:32" x14ac:dyDescent="0.2">
      <c r="R9730" t="s">
        <v>10</v>
      </c>
      <c r="S9730" t="s">
        <v>248</v>
      </c>
      <c r="T9730" t="s">
        <v>427</v>
      </c>
      <c r="U9730" s="21">
        <v>20072.07</v>
      </c>
      <c r="V9730" s="21" t="s">
        <v>368</v>
      </c>
      <c r="W9730" t="str">
        <f>VLOOKUP(Table_Query_from_Actuarial___Production[[#This Row],[Kor1]],$AI$3:$AK$105,3,FALSE)</f>
        <v>Commissions</v>
      </c>
      <c r="X97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0"/>
      <c r="Z9730" t="s">
        <v>47</v>
      </c>
      <c r="AA9730" t="s">
        <v>4</v>
      </c>
      <c r="AB9730" t="s">
        <v>441</v>
      </c>
      <c r="AC9730" s="21">
        <v>619.19000000000005</v>
      </c>
      <c r="AD9730" s="21" t="s">
        <v>368</v>
      </c>
      <c r="AE9730" t="str">
        <f>VLOOKUP(Table_Query_from_Actuarial___Production3[[#This Row],[Kor1]],$AI$3:$AK$105,3,FALSE)</f>
        <v>Investment Income</v>
      </c>
      <c r="AF97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1" spans="18:32" x14ac:dyDescent="0.2">
      <c r="R9731" t="s">
        <v>31</v>
      </c>
      <c r="S9731" t="s">
        <v>252</v>
      </c>
      <c r="T9731" t="s">
        <v>6</v>
      </c>
      <c r="U9731" s="21">
        <v>46.17</v>
      </c>
      <c r="V9731" s="21" t="s">
        <v>368</v>
      </c>
      <c r="W9731" t="str">
        <f>VLOOKUP(Table_Query_from_Actuarial___Production[[#This Row],[Kor1]],$AI$3:$AK$105,3,FALSE)</f>
        <v>Misc. Expense</v>
      </c>
      <c r="X97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1"/>
      <c r="Z9731" t="s">
        <v>12</v>
      </c>
      <c r="AA9731" t="s">
        <v>237</v>
      </c>
      <c r="AB9731" t="s">
        <v>7</v>
      </c>
      <c r="AC9731" s="21">
        <v>53066.86</v>
      </c>
      <c r="AD9731" s="21" t="s">
        <v>368</v>
      </c>
      <c r="AE9731" t="str">
        <f>VLOOKUP(Table_Query_from_Actuarial___Production3[[#This Row],[Kor1]],$AI$3:$AK$105,3,FALSE)</f>
        <v>Premium Tax</v>
      </c>
      <c r="AF97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2" spans="18:32" x14ac:dyDescent="0.2">
      <c r="R9732" t="s">
        <v>47</v>
      </c>
      <c r="S9732" t="s">
        <v>267</v>
      </c>
      <c r="T9732" t="s">
        <v>9</v>
      </c>
      <c r="U9732" s="21">
        <v>172.71</v>
      </c>
      <c r="V9732" s="21" t="s">
        <v>368</v>
      </c>
      <c r="W9732" t="str">
        <f>VLOOKUP(Table_Query_from_Actuarial___Production[[#This Row],[Kor1]],$AI$3:$AK$105,3,FALSE)</f>
        <v>Investment Income</v>
      </c>
      <c r="X97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2"/>
      <c r="Z9732" t="s">
        <v>31</v>
      </c>
      <c r="AA9732" t="s">
        <v>236</v>
      </c>
      <c r="AB9732" t="s">
        <v>427</v>
      </c>
      <c r="AC9732" s="21">
        <v>1003.92</v>
      </c>
      <c r="AD9732" s="21" t="s">
        <v>368</v>
      </c>
      <c r="AE9732" t="str">
        <f>VLOOKUP(Table_Query_from_Actuarial___Production3[[#This Row],[Kor1]],$AI$3:$AK$105,3,FALSE)</f>
        <v>Misc. Expense</v>
      </c>
      <c r="AF97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3" spans="18:32" x14ac:dyDescent="0.2">
      <c r="R9733" t="s">
        <v>11</v>
      </c>
      <c r="S9733" t="s">
        <v>224</v>
      </c>
      <c r="T9733" t="s">
        <v>445</v>
      </c>
      <c r="U9733" s="21">
        <v>34423.24</v>
      </c>
      <c r="V9733" s="21" t="s">
        <v>368</v>
      </c>
      <c r="W9733" t="str">
        <f>VLOOKUP(Table_Query_from_Actuarial___Production[[#This Row],[Kor1]],$AI$3:$AK$105,3,FALSE)</f>
        <v>Losses Paid</v>
      </c>
      <c r="X97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733"/>
      <c r="Z9733" t="s">
        <v>13</v>
      </c>
      <c r="AA9733" t="s">
        <v>233</v>
      </c>
      <c r="AB9733" t="s">
        <v>442</v>
      </c>
      <c r="AC9733" s="21">
        <v>226217.79</v>
      </c>
      <c r="AD9733" s="21" t="s">
        <v>368</v>
      </c>
      <c r="AE9733" t="str">
        <f>VLOOKUP(Table_Query_from_Actuarial___Production3[[#This Row],[Kor1]],$AI$3:$AK$105,3,FALSE)</f>
        <v>Operating Service Fees</v>
      </c>
      <c r="AF97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4" spans="18:32" x14ac:dyDescent="0.2">
      <c r="R9734" t="s">
        <v>41</v>
      </c>
      <c r="S9734" t="s">
        <v>243</v>
      </c>
      <c r="T9734" t="s">
        <v>9</v>
      </c>
      <c r="U9734" s="21">
        <v>0.01</v>
      </c>
      <c r="V9734" s="21" t="s">
        <v>368</v>
      </c>
      <c r="W9734" t="str">
        <f>VLOOKUP(Table_Query_from_Actuarial___Production[[#This Row],[Kor1]],$AI$3:$AK$105,3,FALSE)</f>
        <v>Misc. Income</v>
      </c>
      <c r="X97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4"/>
      <c r="Z9734" t="s">
        <v>10</v>
      </c>
      <c r="AA9734" t="s">
        <v>248</v>
      </c>
      <c r="AB9734" t="s">
        <v>427</v>
      </c>
      <c r="AC9734" s="21">
        <v>20072.07</v>
      </c>
      <c r="AD9734" s="21" t="s">
        <v>368</v>
      </c>
      <c r="AE9734" t="str">
        <f>VLOOKUP(Table_Query_from_Actuarial___Production3[[#This Row],[Kor1]],$AI$3:$AK$105,3,FALSE)</f>
        <v>Commissions</v>
      </c>
      <c r="AF97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5" spans="18:32" x14ac:dyDescent="0.2">
      <c r="R9735" t="s">
        <v>41</v>
      </c>
      <c r="S9735" t="s">
        <v>245</v>
      </c>
      <c r="T9735" t="s">
        <v>351</v>
      </c>
      <c r="U9735" s="21">
        <v>200</v>
      </c>
      <c r="V9735" s="21" t="s">
        <v>368</v>
      </c>
      <c r="W9735" t="str">
        <f>VLOOKUP(Table_Query_from_Actuarial___Production[[#This Row],[Kor1]],$AI$3:$AK$105,3,FALSE)</f>
        <v>Misc. Income</v>
      </c>
      <c r="X97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5"/>
      <c r="Z9735" t="s">
        <v>31</v>
      </c>
      <c r="AA9735" t="s">
        <v>252</v>
      </c>
      <c r="AB9735" t="s">
        <v>6</v>
      </c>
      <c r="AC9735" s="21">
        <v>46.17</v>
      </c>
      <c r="AD9735" s="21" t="s">
        <v>368</v>
      </c>
      <c r="AE9735" t="str">
        <f>VLOOKUP(Table_Query_from_Actuarial___Production3[[#This Row],[Kor1]],$AI$3:$AK$105,3,FALSE)</f>
        <v>Misc. Expense</v>
      </c>
      <c r="AF97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6" spans="18:32" x14ac:dyDescent="0.2">
      <c r="R9736" t="s">
        <v>37</v>
      </c>
      <c r="S9736" t="s">
        <v>243</v>
      </c>
      <c r="T9736" t="s">
        <v>427</v>
      </c>
      <c r="U9736" s="21">
        <v>433.88</v>
      </c>
      <c r="V9736" s="21" t="s">
        <v>368</v>
      </c>
      <c r="W9736" t="str">
        <f>VLOOKUP(Table_Query_from_Actuarial___Production[[#This Row],[Kor1]],$AI$3:$AK$105,3,FALSE)</f>
        <v>Misc. Expense</v>
      </c>
      <c r="X97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6"/>
      <c r="Z9736" t="s">
        <v>47</v>
      </c>
      <c r="AA9736" t="s">
        <v>267</v>
      </c>
      <c r="AB9736" t="s">
        <v>9</v>
      </c>
      <c r="AC9736" s="21">
        <v>172.71</v>
      </c>
      <c r="AD9736" s="21" t="s">
        <v>368</v>
      </c>
      <c r="AE9736" t="str">
        <f>VLOOKUP(Table_Query_from_Actuarial___Production3[[#This Row],[Kor1]],$AI$3:$AK$105,3,FALSE)</f>
        <v>Investment Income</v>
      </c>
      <c r="AF97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7" spans="18:32" x14ac:dyDescent="0.2">
      <c r="R9737" t="s">
        <v>39</v>
      </c>
      <c r="S9737" t="s">
        <v>249</v>
      </c>
      <c r="T9737" t="s">
        <v>427</v>
      </c>
      <c r="U9737" s="21">
        <v>3057.3</v>
      </c>
      <c r="V9737" s="21" t="s">
        <v>368</v>
      </c>
      <c r="W9737" t="str">
        <f>VLOOKUP(Table_Query_from_Actuarial___Production[[#This Row],[Kor1]],$AI$3:$AK$105,3,FALSE)</f>
        <v>Misc. Income for Insolvent Companies</v>
      </c>
      <c r="X97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7"/>
      <c r="Z9737" t="s">
        <v>41</v>
      </c>
      <c r="AA9737" t="s">
        <v>243</v>
      </c>
      <c r="AB9737" t="s">
        <v>9</v>
      </c>
      <c r="AC9737" s="21">
        <v>0.01</v>
      </c>
      <c r="AD9737" s="21" t="s">
        <v>368</v>
      </c>
      <c r="AE9737" t="str">
        <f>VLOOKUP(Table_Query_from_Actuarial___Production3[[#This Row],[Kor1]],$AI$3:$AK$105,3,FALSE)</f>
        <v>Misc. Income</v>
      </c>
      <c r="AF97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8" spans="18:32" x14ac:dyDescent="0.2">
      <c r="R9738" t="s">
        <v>40</v>
      </c>
      <c r="S9738" t="s">
        <v>240</v>
      </c>
      <c r="T9738" t="s">
        <v>443</v>
      </c>
      <c r="U9738" s="21">
        <v>75.010000000000005</v>
      </c>
      <c r="V9738" s="21" t="s">
        <v>368</v>
      </c>
      <c r="W9738" t="str">
        <f>VLOOKUP(Table_Query_from_Actuarial___Production[[#This Row],[Kor1]],$AI$3:$AK$105,3,FALSE)</f>
        <v>Misc. Income</v>
      </c>
      <c r="X97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8"/>
      <c r="Z9738" t="s">
        <v>41</v>
      </c>
      <c r="AA9738" t="s">
        <v>245</v>
      </c>
      <c r="AB9738" t="s">
        <v>351</v>
      </c>
      <c r="AC9738" s="21">
        <v>200</v>
      </c>
      <c r="AD9738" s="21" t="s">
        <v>368</v>
      </c>
      <c r="AE9738" t="str">
        <f>VLOOKUP(Table_Query_from_Actuarial___Production3[[#This Row],[Kor1]],$AI$3:$AK$105,3,FALSE)</f>
        <v>Misc. Income</v>
      </c>
      <c r="AF97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39" spans="18:32" x14ac:dyDescent="0.2">
      <c r="R9739" t="s">
        <v>41</v>
      </c>
      <c r="S9739" t="s">
        <v>228</v>
      </c>
      <c r="T9739" t="s">
        <v>351</v>
      </c>
      <c r="U9739" s="21">
        <v>350</v>
      </c>
      <c r="V9739" s="21" t="s">
        <v>368</v>
      </c>
      <c r="W9739" t="str">
        <f>VLOOKUP(Table_Query_from_Actuarial___Production[[#This Row],[Kor1]],$AI$3:$AK$105,3,FALSE)</f>
        <v>Misc. Income</v>
      </c>
      <c r="X97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39"/>
      <c r="Z9739" t="s">
        <v>37</v>
      </c>
      <c r="AA9739" t="s">
        <v>243</v>
      </c>
      <c r="AB9739" t="s">
        <v>427</v>
      </c>
      <c r="AC9739" s="21">
        <v>433.88</v>
      </c>
      <c r="AD9739" s="21" t="s">
        <v>368</v>
      </c>
      <c r="AE9739" t="str">
        <f>VLOOKUP(Table_Query_from_Actuarial___Production3[[#This Row],[Kor1]],$AI$3:$AK$105,3,FALSE)</f>
        <v>Misc. Expense</v>
      </c>
      <c r="AF97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0" spans="18:32" x14ac:dyDescent="0.2">
      <c r="R9740" t="s">
        <v>15</v>
      </c>
      <c r="S9740" t="s">
        <v>238</v>
      </c>
      <c r="T9740" t="s">
        <v>445</v>
      </c>
      <c r="U9740" s="21">
        <v>1324659.1000000001</v>
      </c>
      <c r="V9740" s="21" t="s">
        <v>368</v>
      </c>
      <c r="W9740" t="str">
        <f>VLOOKUP(Table_Query_from_Actuarial___Production[[#This Row],[Kor1]],$AI$3:$AK$105,3,FALSE)</f>
        <v>Unearned Premiums</v>
      </c>
      <c r="X97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0"/>
      <c r="Z9740" t="s">
        <v>39</v>
      </c>
      <c r="AA9740" t="s">
        <v>249</v>
      </c>
      <c r="AB9740" t="s">
        <v>427</v>
      </c>
      <c r="AC9740" s="21">
        <v>3057.3</v>
      </c>
      <c r="AD9740" s="21" t="s">
        <v>368</v>
      </c>
      <c r="AE9740" t="str">
        <f>VLOOKUP(Table_Query_from_Actuarial___Production3[[#This Row],[Kor1]],$AI$3:$AK$105,3,FALSE)</f>
        <v>Misc. Income for Insolvent Companies</v>
      </c>
      <c r="AF97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1" spans="18:32" x14ac:dyDescent="0.2">
      <c r="R9741" t="s">
        <v>43</v>
      </c>
      <c r="S9741" t="s">
        <v>242</v>
      </c>
      <c r="T9741" t="s">
        <v>433</v>
      </c>
      <c r="U9741" s="21">
        <v>-272.44</v>
      </c>
      <c r="V9741" s="21" t="s">
        <v>368</v>
      </c>
      <c r="W9741" t="str">
        <f>VLOOKUP(Table_Query_from_Actuarial___Production[[#This Row],[Kor1]],$AI$3:$AK$105,3,FALSE)</f>
        <v>Charge-offs</v>
      </c>
      <c r="X97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1"/>
      <c r="Z9741" t="s">
        <v>41</v>
      </c>
      <c r="AA9741" t="s">
        <v>228</v>
      </c>
      <c r="AB9741" t="s">
        <v>351</v>
      </c>
      <c r="AC9741" s="21">
        <v>350</v>
      </c>
      <c r="AD9741" s="21" t="s">
        <v>368</v>
      </c>
      <c r="AE9741" t="str">
        <f>VLOOKUP(Table_Query_from_Actuarial___Production3[[#This Row],[Kor1]],$AI$3:$AK$105,3,FALSE)</f>
        <v>Misc. Income</v>
      </c>
      <c r="AF97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2" spans="18:32" x14ac:dyDescent="0.2">
      <c r="R9742" t="s">
        <v>3</v>
      </c>
      <c r="S9742" t="s">
        <v>237</v>
      </c>
      <c r="T9742" t="s">
        <v>8</v>
      </c>
      <c r="U9742" s="21">
        <v>9504128</v>
      </c>
      <c r="V9742" s="21" t="s">
        <v>368</v>
      </c>
      <c r="W9742" t="str">
        <f>VLOOKUP(Table_Query_from_Actuarial___Production[[#This Row],[Kor1]],$AI$3:$AK$105,3,FALSE)</f>
        <v>Premiums Written</v>
      </c>
      <c r="X97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2"/>
      <c r="Z9742" t="s">
        <v>15</v>
      </c>
      <c r="AA9742" t="s">
        <v>244</v>
      </c>
      <c r="AB9742" t="s">
        <v>442</v>
      </c>
      <c r="AC9742" s="21">
        <v>568217.46</v>
      </c>
      <c r="AD9742" s="21" t="s">
        <v>368</v>
      </c>
      <c r="AE9742" t="str">
        <f>VLOOKUP(Table_Query_from_Actuarial___Production3[[#This Row],[Kor1]],$AI$3:$AK$105,3,FALSE)</f>
        <v>Unearned Premiums</v>
      </c>
      <c r="AF97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3" spans="18:32" x14ac:dyDescent="0.2">
      <c r="R9743" t="s">
        <v>3</v>
      </c>
      <c r="S9743" t="s">
        <v>260</v>
      </c>
      <c r="T9743" t="s">
        <v>351</v>
      </c>
      <c r="U9743" s="21">
        <v>4187</v>
      </c>
      <c r="V9743" s="21" t="s">
        <v>368</v>
      </c>
      <c r="W9743" t="str">
        <f>VLOOKUP(Table_Query_from_Actuarial___Production[[#This Row],[Kor1]],$AI$3:$AK$105,3,FALSE)</f>
        <v>Premiums Written</v>
      </c>
      <c r="X97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3"/>
      <c r="Z9743" t="s">
        <v>43</v>
      </c>
      <c r="AA9743" t="s">
        <v>242</v>
      </c>
      <c r="AB9743" t="s">
        <v>433</v>
      </c>
      <c r="AC9743" s="21">
        <v>-272.44</v>
      </c>
      <c r="AD9743" s="21" t="s">
        <v>368</v>
      </c>
      <c r="AE9743" t="str">
        <f>VLOOKUP(Table_Query_from_Actuarial___Production3[[#This Row],[Kor1]],$AI$3:$AK$105,3,FALSE)</f>
        <v>Charge-offs</v>
      </c>
      <c r="AF97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4" spans="18:32" x14ac:dyDescent="0.2">
      <c r="R9744" t="s">
        <v>12</v>
      </c>
      <c r="S9744" t="s">
        <v>249</v>
      </c>
      <c r="T9744" t="s">
        <v>7</v>
      </c>
      <c r="U9744" s="21">
        <v>8829.4699999999993</v>
      </c>
      <c r="V9744" s="21" t="s">
        <v>368</v>
      </c>
      <c r="W9744" t="str">
        <f>VLOOKUP(Table_Query_from_Actuarial___Production[[#This Row],[Kor1]],$AI$3:$AK$105,3,FALSE)</f>
        <v>Premium Tax</v>
      </c>
      <c r="X97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4"/>
      <c r="Z9744" t="s">
        <v>3</v>
      </c>
      <c r="AA9744" t="s">
        <v>237</v>
      </c>
      <c r="AB9744" t="s">
        <v>8</v>
      </c>
      <c r="AC9744" s="21">
        <v>9504128</v>
      </c>
      <c r="AD9744" s="21" t="s">
        <v>368</v>
      </c>
      <c r="AE9744" t="str">
        <f>VLOOKUP(Table_Query_from_Actuarial___Production3[[#This Row],[Kor1]],$AI$3:$AK$105,3,FALSE)</f>
        <v>Premiums Written</v>
      </c>
      <c r="AF97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5" spans="18:32" x14ac:dyDescent="0.2">
      <c r="R9745" t="s">
        <v>34</v>
      </c>
      <c r="S9745" t="s">
        <v>238</v>
      </c>
      <c r="T9745" t="s">
        <v>442</v>
      </c>
      <c r="U9745" s="21">
        <v>29.67</v>
      </c>
      <c r="V9745" s="21" t="s">
        <v>368</v>
      </c>
      <c r="W9745" t="str">
        <f>VLOOKUP(Table_Query_from_Actuarial___Production[[#This Row],[Kor1]],$AI$3:$AK$105,3,FALSE)</f>
        <v>Misc. Expense</v>
      </c>
      <c r="X97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5"/>
      <c r="Z9745" t="s">
        <v>3</v>
      </c>
      <c r="AA9745" t="s">
        <v>260</v>
      </c>
      <c r="AB9745" t="s">
        <v>351</v>
      </c>
      <c r="AC9745" s="21">
        <v>4187</v>
      </c>
      <c r="AD9745" s="21" t="s">
        <v>368</v>
      </c>
      <c r="AE9745" t="str">
        <f>VLOOKUP(Table_Query_from_Actuarial___Production3[[#This Row],[Kor1]],$AI$3:$AK$105,3,FALSE)</f>
        <v>Premiums Written</v>
      </c>
      <c r="AF97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6" spans="18:32" x14ac:dyDescent="0.2">
      <c r="R9746" t="s">
        <v>37</v>
      </c>
      <c r="S9746" t="s">
        <v>228</v>
      </c>
      <c r="T9746" t="s">
        <v>356</v>
      </c>
      <c r="U9746" s="21">
        <v>-490.6</v>
      </c>
      <c r="V9746" s="21" t="s">
        <v>368</v>
      </c>
      <c r="W9746" t="str">
        <f>VLOOKUP(Table_Query_from_Actuarial___Production[[#This Row],[Kor1]],$AI$3:$AK$105,3,FALSE)</f>
        <v>Misc. Expense</v>
      </c>
      <c r="X97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6"/>
      <c r="Z9746" t="s">
        <v>12</v>
      </c>
      <c r="AA9746" t="s">
        <v>249</v>
      </c>
      <c r="AB9746" t="s">
        <v>7</v>
      </c>
      <c r="AC9746" s="21">
        <v>8829.4699999999993</v>
      </c>
      <c r="AD9746" s="21" t="s">
        <v>368</v>
      </c>
      <c r="AE9746" t="str">
        <f>VLOOKUP(Table_Query_from_Actuarial___Production3[[#This Row],[Kor1]],$AI$3:$AK$105,3,FALSE)</f>
        <v>Premium Tax</v>
      </c>
      <c r="AF97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7" spans="18:32" x14ac:dyDescent="0.2">
      <c r="R9747" t="s">
        <v>37</v>
      </c>
      <c r="S9747" t="s">
        <v>262</v>
      </c>
      <c r="T9747" t="s">
        <v>351</v>
      </c>
      <c r="U9747" s="21">
        <v>128.80000000000001</v>
      </c>
      <c r="V9747" s="21" t="s">
        <v>368</v>
      </c>
      <c r="W9747" t="str">
        <f>VLOOKUP(Table_Query_from_Actuarial___Production[[#This Row],[Kor1]],$AI$3:$AK$105,3,FALSE)</f>
        <v>Misc. Expense</v>
      </c>
      <c r="X97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7"/>
      <c r="Z9747" t="s">
        <v>15</v>
      </c>
      <c r="AA9747" t="s">
        <v>231</v>
      </c>
      <c r="AB9747" t="s">
        <v>442</v>
      </c>
      <c r="AC9747" s="21">
        <v>440629.05</v>
      </c>
      <c r="AD9747" s="21" t="s">
        <v>368</v>
      </c>
      <c r="AE9747" t="str">
        <f>VLOOKUP(Table_Query_from_Actuarial___Production3[[#This Row],[Kor1]],$AI$3:$AK$105,3,FALSE)</f>
        <v>Unearned Premiums</v>
      </c>
      <c r="AF97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8" spans="18:32" x14ac:dyDescent="0.2">
      <c r="R9748" t="s">
        <v>39</v>
      </c>
      <c r="S9748" t="s">
        <v>235</v>
      </c>
      <c r="T9748" t="s">
        <v>433</v>
      </c>
      <c r="U9748" s="21">
        <v>2282</v>
      </c>
      <c r="V9748" s="21" t="s">
        <v>368</v>
      </c>
      <c r="W9748" t="str">
        <f>VLOOKUP(Table_Query_from_Actuarial___Production[[#This Row],[Kor1]],$AI$3:$AK$105,3,FALSE)</f>
        <v>Misc. Income for Insolvent Companies</v>
      </c>
      <c r="X97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8"/>
      <c r="Z9748" t="s">
        <v>34</v>
      </c>
      <c r="AA9748" t="s">
        <v>238</v>
      </c>
      <c r="AB9748" t="s">
        <v>442</v>
      </c>
      <c r="AC9748" s="21">
        <v>29.67</v>
      </c>
      <c r="AD9748" s="21" t="s">
        <v>368</v>
      </c>
      <c r="AE9748" t="str">
        <f>VLOOKUP(Table_Query_from_Actuarial___Production3[[#This Row],[Kor1]],$AI$3:$AK$105,3,FALSE)</f>
        <v>Misc. Expense</v>
      </c>
      <c r="AF97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49" spans="18:32" x14ac:dyDescent="0.2">
      <c r="R9749" t="s">
        <v>3</v>
      </c>
      <c r="S9749" t="s">
        <v>256</v>
      </c>
      <c r="T9749" t="s">
        <v>443</v>
      </c>
      <c r="U9749" s="21">
        <v>30021</v>
      </c>
      <c r="V9749" s="21" t="s">
        <v>368</v>
      </c>
      <c r="W9749" t="str">
        <f>VLOOKUP(Table_Query_from_Actuarial___Production[[#This Row],[Kor1]],$AI$3:$AK$105,3,FALSE)</f>
        <v>Premiums Written</v>
      </c>
      <c r="X97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49"/>
      <c r="Z9749" t="s">
        <v>37</v>
      </c>
      <c r="AA9749" t="s">
        <v>228</v>
      </c>
      <c r="AB9749" t="s">
        <v>356</v>
      </c>
      <c r="AC9749" s="21">
        <v>-490.6</v>
      </c>
      <c r="AD9749" s="21" t="s">
        <v>368</v>
      </c>
      <c r="AE9749" t="str">
        <f>VLOOKUP(Table_Query_from_Actuarial___Production3[[#This Row],[Kor1]],$AI$3:$AK$105,3,FALSE)</f>
        <v>Misc. Expense</v>
      </c>
      <c r="AF97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0" spans="18:32" x14ac:dyDescent="0.2">
      <c r="R9750" t="s">
        <v>19</v>
      </c>
      <c r="S9750" t="s">
        <v>243</v>
      </c>
      <c r="T9750" t="s">
        <v>8</v>
      </c>
      <c r="U9750" s="21">
        <v>2043</v>
      </c>
      <c r="V9750" s="21" t="s">
        <v>368</v>
      </c>
      <c r="W9750" t="str">
        <f>VLOOKUP(Table_Query_from_Actuarial___Production[[#This Row],[Kor1]],$AI$3:$AK$105,3,FALSE)</f>
        <v>Misc. Expense for Insolvent Companies</v>
      </c>
      <c r="X97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0"/>
      <c r="Z9750" t="s">
        <v>37</v>
      </c>
      <c r="AA9750" t="s">
        <v>262</v>
      </c>
      <c r="AB9750" t="s">
        <v>351</v>
      </c>
      <c r="AC9750" s="21">
        <v>128.80000000000001</v>
      </c>
      <c r="AD9750" s="21" t="s">
        <v>368</v>
      </c>
      <c r="AE9750" t="str">
        <f>VLOOKUP(Table_Query_from_Actuarial___Production3[[#This Row],[Kor1]],$AI$3:$AK$105,3,FALSE)</f>
        <v>Misc. Expense</v>
      </c>
      <c r="AF97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1" spans="18:32" x14ac:dyDescent="0.2">
      <c r="R9751" t="s">
        <v>32</v>
      </c>
      <c r="S9751" t="s">
        <v>228</v>
      </c>
      <c r="T9751" t="s">
        <v>356</v>
      </c>
      <c r="U9751" s="21">
        <v>-6150.26</v>
      </c>
      <c r="V9751" s="21" t="s">
        <v>368</v>
      </c>
      <c r="W9751" t="str">
        <f>VLOOKUP(Table_Query_from_Actuarial___Production[[#This Row],[Kor1]],$AI$3:$AK$105,3,FALSE)</f>
        <v>Misc. Expense</v>
      </c>
      <c r="X97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1"/>
      <c r="Z9751" t="s">
        <v>39</v>
      </c>
      <c r="AA9751" t="s">
        <v>235</v>
      </c>
      <c r="AB9751" t="s">
        <v>433</v>
      </c>
      <c r="AC9751" s="21">
        <v>2282</v>
      </c>
      <c r="AD9751" s="21" t="s">
        <v>368</v>
      </c>
      <c r="AE9751" t="str">
        <f>VLOOKUP(Table_Query_from_Actuarial___Production3[[#This Row],[Kor1]],$AI$3:$AK$105,3,FALSE)</f>
        <v>Misc. Income for Insolvent Companies</v>
      </c>
      <c r="AF97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2" spans="18:32" x14ac:dyDescent="0.2">
      <c r="R9752" t="s">
        <v>10</v>
      </c>
      <c r="S9752" t="s">
        <v>229</v>
      </c>
      <c r="T9752" t="s">
        <v>356</v>
      </c>
      <c r="U9752" s="21">
        <v>15248.05</v>
      </c>
      <c r="V9752" s="21" t="s">
        <v>368</v>
      </c>
      <c r="W9752" t="str">
        <f>VLOOKUP(Table_Query_from_Actuarial___Production[[#This Row],[Kor1]],$AI$3:$AK$105,3,FALSE)</f>
        <v>Commissions</v>
      </c>
      <c r="X97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2"/>
      <c r="Z9752" t="s">
        <v>3</v>
      </c>
      <c r="AA9752" t="s">
        <v>256</v>
      </c>
      <c r="AB9752" t="s">
        <v>443</v>
      </c>
      <c r="AC9752" s="21">
        <v>28797</v>
      </c>
      <c r="AD9752" s="21" t="s">
        <v>368</v>
      </c>
      <c r="AE9752" t="str">
        <f>VLOOKUP(Table_Query_from_Actuarial___Production3[[#This Row],[Kor1]],$AI$3:$AK$105,3,FALSE)</f>
        <v>Premiums Written</v>
      </c>
      <c r="AF97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3" spans="18:32" x14ac:dyDescent="0.2">
      <c r="R9753" t="s">
        <v>11</v>
      </c>
      <c r="S9753" t="s">
        <v>354</v>
      </c>
      <c r="T9753" t="s">
        <v>427</v>
      </c>
      <c r="U9753" s="21">
        <v>78727676.739999995</v>
      </c>
      <c r="V9753" s="21" t="s">
        <v>368</v>
      </c>
      <c r="W9753" t="str">
        <f>VLOOKUP(Table_Query_from_Actuarial___Production[[#This Row],[Kor1]],$AI$3:$AK$105,3,FALSE)</f>
        <v>Losses Paid</v>
      </c>
      <c r="X97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753"/>
      <c r="Z9753" t="s">
        <v>19</v>
      </c>
      <c r="AA9753" t="s">
        <v>243</v>
      </c>
      <c r="AB9753" t="s">
        <v>8</v>
      </c>
      <c r="AC9753" s="21">
        <v>2043</v>
      </c>
      <c r="AD9753" s="21" t="s">
        <v>368</v>
      </c>
      <c r="AE9753" t="str">
        <f>VLOOKUP(Table_Query_from_Actuarial___Production3[[#This Row],[Kor1]],$AI$3:$AK$105,3,FALSE)</f>
        <v>Misc. Expense for Insolvent Companies</v>
      </c>
      <c r="AF97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4" spans="18:32" x14ac:dyDescent="0.2">
      <c r="R9754" t="s">
        <v>14</v>
      </c>
      <c r="S9754" t="s">
        <v>226</v>
      </c>
      <c r="T9754" t="s">
        <v>8</v>
      </c>
      <c r="U9754" s="21">
        <v>721792.35</v>
      </c>
      <c r="V9754" s="21" t="s">
        <v>368</v>
      </c>
      <c r="W9754" t="str">
        <f>VLOOKUP(Table_Query_from_Actuarial___Production[[#This Row],[Kor1]],$AI$3:$AK$105,3,FALSE)</f>
        <v>Claims Expense</v>
      </c>
      <c r="X97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754"/>
      <c r="Z9754" t="s">
        <v>32</v>
      </c>
      <c r="AA9754" t="s">
        <v>228</v>
      </c>
      <c r="AB9754" t="s">
        <v>356</v>
      </c>
      <c r="AC9754" s="21">
        <v>-6150.26</v>
      </c>
      <c r="AD9754" s="21" t="s">
        <v>368</v>
      </c>
      <c r="AE9754" t="str">
        <f>VLOOKUP(Table_Query_from_Actuarial___Production3[[#This Row],[Kor1]],$AI$3:$AK$105,3,FALSE)</f>
        <v>Misc. Expense</v>
      </c>
      <c r="AF97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5" spans="18:32" x14ac:dyDescent="0.2">
      <c r="R9755" t="s">
        <v>38</v>
      </c>
      <c r="S9755" t="s">
        <v>224</v>
      </c>
      <c r="T9755" t="s">
        <v>8</v>
      </c>
      <c r="U9755" s="21">
        <v>30309.69</v>
      </c>
      <c r="V9755" s="21" t="s">
        <v>425</v>
      </c>
      <c r="W9755" t="str">
        <f>VLOOKUP(Table_Query_from_Actuarial___Production[[#This Row],[Kor1]],$AI$3:$AK$105,3,FALSE)</f>
        <v>Misc. Income</v>
      </c>
      <c r="X97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755"/>
      <c r="Z9755" t="s">
        <v>10</v>
      </c>
      <c r="AA9755" t="s">
        <v>229</v>
      </c>
      <c r="AB9755" t="s">
        <v>356</v>
      </c>
      <c r="AC9755" s="21">
        <v>15248.05</v>
      </c>
      <c r="AD9755" s="21" t="s">
        <v>368</v>
      </c>
      <c r="AE9755" t="str">
        <f>VLOOKUP(Table_Query_from_Actuarial___Production3[[#This Row],[Kor1]],$AI$3:$AK$105,3,FALSE)</f>
        <v>Commissions</v>
      </c>
      <c r="AF97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56" spans="18:32" x14ac:dyDescent="0.2">
      <c r="R9756" t="s">
        <v>20</v>
      </c>
      <c r="S9756" t="s">
        <v>252</v>
      </c>
      <c r="T9756" t="s">
        <v>9</v>
      </c>
      <c r="U9756" s="21">
        <v>12683.17</v>
      </c>
      <c r="V9756" s="21" t="s">
        <v>368</v>
      </c>
      <c r="W9756" t="str">
        <f>VLOOKUP(Table_Query_from_Actuarial___Production[[#This Row],[Kor1]],$AI$3:$AK$105,3,FALSE)</f>
        <v>Misc. Expense</v>
      </c>
      <c r="X97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6"/>
      <c r="Z9756" t="s">
        <v>11</v>
      </c>
      <c r="AA9756" t="s">
        <v>354</v>
      </c>
      <c r="AB9756" t="s">
        <v>427</v>
      </c>
      <c r="AC9756" s="21">
        <v>69047518.909999996</v>
      </c>
      <c r="AD9756" s="21" t="s">
        <v>368</v>
      </c>
      <c r="AE9756" t="str">
        <f>VLOOKUP(Table_Query_from_Actuarial___Production3[[#This Row],[Kor1]],$AI$3:$AK$105,3,FALSE)</f>
        <v>Losses Paid</v>
      </c>
      <c r="AF97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757" spans="18:32" x14ac:dyDescent="0.2">
      <c r="R9757" t="s">
        <v>44</v>
      </c>
      <c r="S9757" t="s">
        <v>242</v>
      </c>
      <c r="T9757" t="s">
        <v>442</v>
      </c>
      <c r="U9757" s="21">
        <v>-13</v>
      </c>
      <c r="V9757" s="21" t="s">
        <v>368</v>
      </c>
      <c r="W9757" t="str">
        <f>VLOOKUP(Table_Query_from_Actuarial___Production[[#This Row],[Kor1]],$AI$3:$AK$105,3,FALSE)</f>
        <v>Charge-offs</v>
      </c>
      <c r="X97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7"/>
      <c r="Z9757" t="s">
        <v>14</v>
      </c>
      <c r="AA9757" t="s">
        <v>226</v>
      </c>
      <c r="AB9757" t="s">
        <v>8</v>
      </c>
      <c r="AC9757" s="21">
        <v>721792.35</v>
      </c>
      <c r="AD9757" s="21" t="s">
        <v>368</v>
      </c>
      <c r="AE9757" t="str">
        <f>VLOOKUP(Table_Query_from_Actuarial___Production3[[#This Row],[Kor1]],$AI$3:$AK$105,3,FALSE)</f>
        <v>Claims Expense</v>
      </c>
      <c r="AF97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758" spans="18:32" x14ac:dyDescent="0.2">
      <c r="R9758" t="s">
        <v>3</v>
      </c>
      <c r="S9758" t="s">
        <v>225</v>
      </c>
      <c r="T9758" t="s">
        <v>9</v>
      </c>
      <c r="U9758" s="21">
        <v>1198552.1599999999</v>
      </c>
      <c r="V9758" s="21" t="s">
        <v>369</v>
      </c>
      <c r="W9758" t="str">
        <f>VLOOKUP(Table_Query_from_Actuarial___Production[[#This Row],[Kor1]],$AI$3:$AK$105,3,FALSE)</f>
        <v>Premiums Written</v>
      </c>
      <c r="X97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758"/>
      <c r="Z9758" t="s">
        <v>16</v>
      </c>
      <c r="AA9758" t="s">
        <v>225</v>
      </c>
      <c r="AB9758" t="s">
        <v>427</v>
      </c>
      <c r="AC9758" s="21">
        <v>13577.37</v>
      </c>
      <c r="AD9758" s="21" t="s">
        <v>369</v>
      </c>
      <c r="AE9758" t="str">
        <f>VLOOKUP(Table_Query_from_Actuarial___Production3[[#This Row],[Kor1]],$AI$3:$AK$105,3,FALSE)</f>
        <v>Losses Outstanding</v>
      </c>
      <c r="AF97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759" spans="18:32" x14ac:dyDescent="0.2">
      <c r="R9759" t="s">
        <v>40</v>
      </c>
      <c r="S9759" t="s">
        <v>258</v>
      </c>
      <c r="T9759" t="s">
        <v>441</v>
      </c>
      <c r="U9759" s="21">
        <v>235.64</v>
      </c>
      <c r="V9759" s="21" t="s">
        <v>368</v>
      </c>
      <c r="W9759" t="str">
        <f>VLOOKUP(Table_Query_from_Actuarial___Production[[#This Row],[Kor1]],$AI$3:$AK$105,3,FALSE)</f>
        <v>Misc. Income</v>
      </c>
      <c r="X97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59"/>
      <c r="Z9759" t="s">
        <v>38</v>
      </c>
      <c r="AA9759" t="s">
        <v>224</v>
      </c>
      <c r="AB9759" t="s">
        <v>8</v>
      </c>
      <c r="AC9759" s="21">
        <v>30309.69</v>
      </c>
      <c r="AD9759" s="21" t="s">
        <v>425</v>
      </c>
      <c r="AE9759" t="str">
        <f>VLOOKUP(Table_Query_from_Actuarial___Production3[[#This Row],[Kor1]],$AI$3:$AK$105,3,FALSE)</f>
        <v>Misc. Income</v>
      </c>
      <c r="AF97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760" spans="18:32" x14ac:dyDescent="0.2">
      <c r="R9760" t="s">
        <v>47</v>
      </c>
      <c r="S9760" t="s">
        <v>240</v>
      </c>
      <c r="T9760" t="s">
        <v>433</v>
      </c>
      <c r="U9760" s="21">
        <v>3066.19</v>
      </c>
      <c r="V9760" s="21" t="s">
        <v>368</v>
      </c>
      <c r="W9760" t="str">
        <f>VLOOKUP(Table_Query_from_Actuarial___Production[[#This Row],[Kor1]],$AI$3:$AK$105,3,FALSE)</f>
        <v>Investment Income</v>
      </c>
      <c r="X97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0"/>
      <c r="Z9760" t="s">
        <v>20</v>
      </c>
      <c r="AA9760" t="s">
        <v>252</v>
      </c>
      <c r="AB9760" t="s">
        <v>9</v>
      </c>
      <c r="AC9760" s="21">
        <v>12683.17</v>
      </c>
      <c r="AD9760" s="21" t="s">
        <v>368</v>
      </c>
      <c r="AE9760" t="str">
        <f>VLOOKUP(Table_Query_from_Actuarial___Production3[[#This Row],[Kor1]],$AI$3:$AK$105,3,FALSE)</f>
        <v>Misc. Expense</v>
      </c>
      <c r="AF97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1" spans="18:32" x14ac:dyDescent="0.2">
      <c r="R9761" t="s">
        <v>31</v>
      </c>
      <c r="S9761" t="s">
        <v>239</v>
      </c>
      <c r="T9761" t="s">
        <v>6</v>
      </c>
      <c r="U9761" s="21">
        <v>2</v>
      </c>
      <c r="V9761" s="21" t="s">
        <v>368</v>
      </c>
      <c r="W9761" t="str">
        <f>VLOOKUP(Table_Query_from_Actuarial___Production[[#This Row],[Kor1]],$AI$3:$AK$105,3,FALSE)</f>
        <v>Misc. Expense</v>
      </c>
      <c r="X97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1"/>
      <c r="Z9761" t="s">
        <v>21</v>
      </c>
      <c r="AA9761" t="s">
        <v>247</v>
      </c>
      <c r="AB9761" t="s">
        <v>5</v>
      </c>
      <c r="AC9761" s="21">
        <v>809.49</v>
      </c>
      <c r="AD9761" s="21" t="s">
        <v>368</v>
      </c>
      <c r="AE9761" t="str">
        <f>VLOOKUP(Table_Query_from_Actuarial___Production3[[#This Row],[Kor1]],$AI$3:$AK$105,3,FALSE)</f>
        <v>Misc. Expense</v>
      </c>
      <c r="AF97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2" spans="18:32" x14ac:dyDescent="0.2">
      <c r="R9762" t="s">
        <v>12</v>
      </c>
      <c r="S9762" t="s">
        <v>241</v>
      </c>
      <c r="T9762" t="s">
        <v>7</v>
      </c>
      <c r="U9762" s="21">
        <v>16555.7</v>
      </c>
      <c r="V9762" s="21" t="s">
        <v>368</v>
      </c>
      <c r="W9762" t="str">
        <f>VLOOKUP(Table_Query_from_Actuarial___Production[[#This Row],[Kor1]],$AI$3:$AK$105,3,FALSE)</f>
        <v>Premium Tax</v>
      </c>
      <c r="X97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2"/>
      <c r="Z9762" t="s">
        <v>44</v>
      </c>
      <c r="AA9762" t="s">
        <v>242</v>
      </c>
      <c r="AB9762" t="s">
        <v>442</v>
      </c>
      <c r="AC9762" s="21">
        <v>-13</v>
      </c>
      <c r="AD9762" s="21" t="s">
        <v>368</v>
      </c>
      <c r="AE9762" t="str">
        <f>VLOOKUP(Table_Query_from_Actuarial___Production3[[#This Row],[Kor1]],$AI$3:$AK$105,3,FALSE)</f>
        <v>Charge-offs</v>
      </c>
      <c r="AF97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3" spans="18:32" x14ac:dyDescent="0.2">
      <c r="R9763" t="s">
        <v>34</v>
      </c>
      <c r="S9763" t="s">
        <v>244</v>
      </c>
      <c r="T9763" t="s">
        <v>356</v>
      </c>
      <c r="U9763" s="21">
        <v>1423.07</v>
      </c>
      <c r="V9763" s="21" t="s">
        <v>368</v>
      </c>
      <c r="W9763" t="str">
        <f>VLOOKUP(Table_Query_from_Actuarial___Production[[#This Row],[Kor1]],$AI$3:$AK$105,3,FALSE)</f>
        <v>Misc. Expense</v>
      </c>
      <c r="X97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3"/>
      <c r="Z9763" t="s">
        <v>3</v>
      </c>
      <c r="AA9763" t="s">
        <v>225</v>
      </c>
      <c r="AB9763" t="s">
        <v>9</v>
      </c>
      <c r="AC9763" s="21">
        <v>1198552.1599999999</v>
      </c>
      <c r="AD9763" s="21" t="s">
        <v>369</v>
      </c>
      <c r="AE9763" t="str">
        <f>VLOOKUP(Table_Query_from_Actuarial___Production3[[#This Row],[Kor1]],$AI$3:$AK$105,3,FALSE)</f>
        <v>Premiums Written</v>
      </c>
      <c r="AF97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764" spans="18:32" x14ac:dyDescent="0.2">
      <c r="R9764" t="s">
        <v>14</v>
      </c>
      <c r="S9764" t="s">
        <v>354</v>
      </c>
      <c r="T9764" t="s">
        <v>433</v>
      </c>
      <c r="U9764" s="21">
        <v>16228733.109999999</v>
      </c>
      <c r="V9764" s="21" t="s">
        <v>368</v>
      </c>
      <c r="W9764" t="str">
        <f>VLOOKUP(Table_Query_from_Actuarial___Production[[#This Row],[Kor1]],$AI$3:$AK$105,3,FALSE)</f>
        <v>Claims Expense</v>
      </c>
      <c r="X97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764"/>
      <c r="Z9764" t="s">
        <v>40</v>
      </c>
      <c r="AA9764" t="s">
        <v>258</v>
      </c>
      <c r="AB9764" t="s">
        <v>441</v>
      </c>
      <c r="AC9764" s="21">
        <v>235.64</v>
      </c>
      <c r="AD9764" s="21" t="s">
        <v>368</v>
      </c>
      <c r="AE9764" t="str">
        <f>VLOOKUP(Table_Query_from_Actuarial___Production3[[#This Row],[Kor1]],$AI$3:$AK$105,3,FALSE)</f>
        <v>Misc. Income</v>
      </c>
      <c r="AF97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5" spans="18:32" x14ac:dyDescent="0.2">
      <c r="R9765" t="s">
        <v>10</v>
      </c>
      <c r="S9765" t="s">
        <v>261</v>
      </c>
      <c r="T9765" t="s">
        <v>7</v>
      </c>
      <c r="U9765" s="21">
        <v>32886.75</v>
      </c>
      <c r="V9765" s="21" t="s">
        <v>368</v>
      </c>
      <c r="W9765" t="str">
        <f>VLOOKUP(Table_Query_from_Actuarial___Production[[#This Row],[Kor1]],$AI$3:$AK$105,3,FALSE)</f>
        <v>Commissions</v>
      </c>
      <c r="X97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5"/>
      <c r="Z9765" t="s">
        <v>47</v>
      </c>
      <c r="AA9765" t="s">
        <v>240</v>
      </c>
      <c r="AB9765" t="s">
        <v>433</v>
      </c>
      <c r="AC9765" s="21">
        <v>3066.19</v>
      </c>
      <c r="AD9765" s="21" t="s">
        <v>368</v>
      </c>
      <c r="AE9765" t="str">
        <f>VLOOKUP(Table_Query_from_Actuarial___Production3[[#This Row],[Kor1]],$AI$3:$AK$105,3,FALSE)</f>
        <v>Investment Income</v>
      </c>
      <c r="AF97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6" spans="18:32" x14ac:dyDescent="0.2">
      <c r="R9766" t="s">
        <v>11</v>
      </c>
      <c r="S9766" t="s">
        <v>231</v>
      </c>
      <c r="T9766" t="s">
        <v>443</v>
      </c>
      <c r="U9766" s="21">
        <v>294286.11</v>
      </c>
      <c r="V9766" s="21" t="s">
        <v>368</v>
      </c>
      <c r="W9766" t="str">
        <f>VLOOKUP(Table_Query_from_Actuarial___Production[[#This Row],[Kor1]],$AI$3:$AK$105,3,FALSE)</f>
        <v>Losses Paid</v>
      </c>
      <c r="X97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6"/>
      <c r="Z9766" t="s">
        <v>31</v>
      </c>
      <c r="AA9766" t="s">
        <v>239</v>
      </c>
      <c r="AB9766" t="s">
        <v>6</v>
      </c>
      <c r="AC9766" s="21">
        <v>2</v>
      </c>
      <c r="AD9766" s="21" t="s">
        <v>368</v>
      </c>
      <c r="AE9766" t="str">
        <f>VLOOKUP(Table_Query_from_Actuarial___Production3[[#This Row],[Kor1]],$AI$3:$AK$105,3,FALSE)</f>
        <v>Misc. Expense</v>
      </c>
      <c r="AF97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7" spans="18:32" x14ac:dyDescent="0.2">
      <c r="R9767" t="s">
        <v>19</v>
      </c>
      <c r="S9767" t="s">
        <v>267</v>
      </c>
      <c r="T9767" t="s">
        <v>9</v>
      </c>
      <c r="U9767" s="21">
        <v>221</v>
      </c>
      <c r="V9767" s="21" t="s">
        <v>368</v>
      </c>
      <c r="W9767" t="str">
        <f>VLOOKUP(Table_Query_from_Actuarial___Production[[#This Row],[Kor1]],$AI$3:$AK$105,3,FALSE)</f>
        <v>Misc. Expense for Insolvent Companies</v>
      </c>
      <c r="X97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7"/>
      <c r="Z9767" t="s">
        <v>12</v>
      </c>
      <c r="AA9767" t="s">
        <v>241</v>
      </c>
      <c r="AB9767" t="s">
        <v>7</v>
      </c>
      <c r="AC9767" s="21">
        <v>16555.7</v>
      </c>
      <c r="AD9767" s="21" t="s">
        <v>368</v>
      </c>
      <c r="AE9767" t="str">
        <f>VLOOKUP(Table_Query_from_Actuarial___Production3[[#This Row],[Kor1]],$AI$3:$AK$105,3,FALSE)</f>
        <v>Premium Tax</v>
      </c>
      <c r="AF97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8" spans="18:32" x14ac:dyDescent="0.2">
      <c r="R9768" t="s">
        <v>33</v>
      </c>
      <c r="S9768" t="s">
        <v>254</v>
      </c>
      <c r="T9768" t="s">
        <v>7</v>
      </c>
      <c r="U9768" s="21">
        <v>13503.73</v>
      </c>
      <c r="V9768" s="21" t="s">
        <v>368</v>
      </c>
      <c r="W9768" t="str">
        <f>VLOOKUP(Table_Query_from_Actuarial___Production[[#This Row],[Kor1]],$AI$3:$AK$105,3,FALSE)</f>
        <v>Misc. Expense</v>
      </c>
      <c r="X97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8"/>
      <c r="Z9768" t="s">
        <v>34</v>
      </c>
      <c r="AA9768" t="s">
        <v>244</v>
      </c>
      <c r="AB9768" t="s">
        <v>356</v>
      </c>
      <c r="AC9768" s="21">
        <v>1423.07</v>
      </c>
      <c r="AD9768" s="21" t="s">
        <v>368</v>
      </c>
      <c r="AE9768" t="str">
        <f>VLOOKUP(Table_Query_from_Actuarial___Production3[[#This Row],[Kor1]],$AI$3:$AK$105,3,FALSE)</f>
        <v>Misc. Expense</v>
      </c>
      <c r="AF97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69" spans="18:32" x14ac:dyDescent="0.2">
      <c r="R9769" t="s">
        <v>43</v>
      </c>
      <c r="S9769" t="s">
        <v>261</v>
      </c>
      <c r="T9769" t="s">
        <v>442</v>
      </c>
      <c r="U9769" s="21">
        <v>3.47</v>
      </c>
      <c r="V9769" s="21" t="s">
        <v>368</v>
      </c>
      <c r="W9769" t="str">
        <f>VLOOKUP(Table_Query_from_Actuarial___Production[[#This Row],[Kor1]],$AI$3:$AK$105,3,FALSE)</f>
        <v>Charge-offs</v>
      </c>
      <c r="X97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69"/>
      <c r="Z9769" t="s">
        <v>37</v>
      </c>
      <c r="AA9769" t="s">
        <v>250</v>
      </c>
      <c r="AB9769" t="s">
        <v>5</v>
      </c>
      <c r="AC9769" s="21">
        <v>1481.84</v>
      </c>
      <c r="AD9769" s="21" t="s">
        <v>368</v>
      </c>
      <c r="AE9769" t="str">
        <f>VLOOKUP(Table_Query_from_Actuarial___Production3[[#This Row],[Kor1]],$AI$3:$AK$105,3,FALSE)</f>
        <v>Misc. Expense</v>
      </c>
      <c r="AF97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0" spans="18:32" x14ac:dyDescent="0.2">
      <c r="R9770" t="s">
        <v>31</v>
      </c>
      <c r="S9770" t="s">
        <v>236</v>
      </c>
      <c r="T9770" t="s">
        <v>443</v>
      </c>
      <c r="U9770" s="21">
        <v>1021.62</v>
      </c>
      <c r="V9770" s="21" t="s">
        <v>368</v>
      </c>
      <c r="W9770" t="str">
        <f>VLOOKUP(Table_Query_from_Actuarial___Production[[#This Row],[Kor1]],$AI$3:$AK$105,3,FALSE)</f>
        <v>Misc. Expense</v>
      </c>
      <c r="X97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0"/>
      <c r="Z9770" t="s">
        <v>14</v>
      </c>
      <c r="AA9770" t="s">
        <v>354</v>
      </c>
      <c r="AB9770" t="s">
        <v>433</v>
      </c>
      <c r="AC9770" s="21">
        <v>16228669.810000001</v>
      </c>
      <c r="AD9770" s="21" t="s">
        <v>368</v>
      </c>
      <c r="AE9770" t="str">
        <f>VLOOKUP(Table_Query_from_Actuarial___Production3[[#This Row],[Kor1]],$AI$3:$AK$105,3,FALSE)</f>
        <v>Claims Expense</v>
      </c>
      <c r="AF97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771" spans="18:32" x14ac:dyDescent="0.2">
      <c r="R9771" t="s">
        <v>48</v>
      </c>
      <c r="S9771" t="s">
        <v>258</v>
      </c>
      <c r="T9771" t="s">
        <v>433</v>
      </c>
      <c r="U9771" s="21">
        <v>3889.61</v>
      </c>
      <c r="V9771" s="21" t="s">
        <v>368</v>
      </c>
      <c r="W9771" t="str">
        <f>VLOOKUP(Table_Query_from_Actuarial___Production[[#This Row],[Kor1]],$AI$3:$AK$105,3,FALSE)</f>
        <v>Anticipated Salvage</v>
      </c>
      <c r="X97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1"/>
      <c r="Z9771" t="s">
        <v>10</v>
      </c>
      <c r="AA9771" t="s">
        <v>261</v>
      </c>
      <c r="AB9771" t="s">
        <v>7</v>
      </c>
      <c r="AC9771" s="21">
        <v>32886.75</v>
      </c>
      <c r="AD9771" s="21" t="s">
        <v>368</v>
      </c>
      <c r="AE9771" t="str">
        <f>VLOOKUP(Table_Query_from_Actuarial___Production3[[#This Row],[Kor1]],$AI$3:$AK$105,3,FALSE)</f>
        <v>Commissions</v>
      </c>
      <c r="AF97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2" spans="18:32" x14ac:dyDescent="0.2">
      <c r="R9772" t="s">
        <v>439</v>
      </c>
      <c r="S9772" t="s">
        <v>254</v>
      </c>
      <c r="T9772" t="s">
        <v>433</v>
      </c>
      <c r="U9772" s="21">
        <v>192078</v>
      </c>
      <c r="V9772" s="21" t="s">
        <v>368</v>
      </c>
      <c r="W9772" t="str">
        <f>VLOOKUP(Table_Query_from_Actuarial___Production[[#This Row],[Kor1]],$AI$3:$AK$105,3,FALSE)</f>
        <v>Operating Service Fees</v>
      </c>
      <c r="X97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2"/>
      <c r="Z9772" t="s">
        <v>19</v>
      </c>
      <c r="AA9772" t="s">
        <v>267</v>
      </c>
      <c r="AB9772" t="s">
        <v>9</v>
      </c>
      <c r="AC9772" s="21">
        <v>221</v>
      </c>
      <c r="AD9772" s="21" t="s">
        <v>368</v>
      </c>
      <c r="AE9772" t="str">
        <f>VLOOKUP(Table_Query_from_Actuarial___Production3[[#This Row],[Kor1]],$AI$3:$AK$105,3,FALSE)</f>
        <v>Misc. Expense for Insolvent Companies</v>
      </c>
      <c r="AF97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3" spans="18:32" x14ac:dyDescent="0.2">
      <c r="R9773" t="s">
        <v>17</v>
      </c>
      <c r="S9773" t="s">
        <v>225</v>
      </c>
      <c r="T9773" t="s">
        <v>433</v>
      </c>
      <c r="U9773" s="21">
        <v>2467.4499999999998</v>
      </c>
      <c r="V9773" s="21" t="s">
        <v>369</v>
      </c>
      <c r="W9773" t="str">
        <f>VLOOKUP(Table_Query_from_Actuarial___Production[[#This Row],[Kor1]],$AI$3:$AK$105,3,FALSE)</f>
        <v>IBNR</v>
      </c>
      <c r="X97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773"/>
      <c r="Z9773" t="s">
        <v>33</v>
      </c>
      <c r="AA9773" t="s">
        <v>254</v>
      </c>
      <c r="AB9773" t="s">
        <v>7</v>
      </c>
      <c r="AC9773" s="21">
        <v>13503.73</v>
      </c>
      <c r="AD9773" s="21" t="s">
        <v>368</v>
      </c>
      <c r="AE9773" t="str">
        <f>VLOOKUP(Table_Query_from_Actuarial___Production3[[#This Row],[Kor1]],$AI$3:$AK$105,3,FALSE)</f>
        <v>Misc. Expense</v>
      </c>
      <c r="AF97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4" spans="18:32" x14ac:dyDescent="0.2">
      <c r="R9774" t="s">
        <v>12</v>
      </c>
      <c r="S9774" t="s">
        <v>241</v>
      </c>
      <c r="T9774" t="s">
        <v>443</v>
      </c>
      <c r="U9774" s="21">
        <v>25546.01</v>
      </c>
      <c r="V9774" s="21" t="s">
        <v>368</v>
      </c>
      <c r="W9774" t="str">
        <f>VLOOKUP(Table_Query_from_Actuarial___Production[[#This Row],[Kor1]],$AI$3:$AK$105,3,FALSE)</f>
        <v>Premium Tax</v>
      </c>
      <c r="X97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4"/>
      <c r="Z9774" t="s">
        <v>43</v>
      </c>
      <c r="AA9774" t="s">
        <v>261</v>
      </c>
      <c r="AB9774" t="s">
        <v>442</v>
      </c>
      <c r="AC9774" s="21">
        <v>3.47</v>
      </c>
      <c r="AD9774" s="21" t="s">
        <v>368</v>
      </c>
      <c r="AE9774" t="str">
        <f>VLOOKUP(Table_Query_from_Actuarial___Production3[[#This Row],[Kor1]],$AI$3:$AK$105,3,FALSE)</f>
        <v>Charge-offs</v>
      </c>
      <c r="AF97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5" spans="18:32" x14ac:dyDescent="0.2">
      <c r="R9775" t="s">
        <v>20</v>
      </c>
      <c r="S9775" t="s">
        <v>263</v>
      </c>
      <c r="T9775" t="s">
        <v>442</v>
      </c>
      <c r="U9775" s="21">
        <v>142.6</v>
      </c>
      <c r="V9775" s="21" t="s">
        <v>368</v>
      </c>
      <c r="W9775" t="str">
        <f>VLOOKUP(Table_Query_from_Actuarial___Production[[#This Row],[Kor1]],$AI$3:$AK$105,3,FALSE)</f>
        <v>Misc. Expense</v>
      </c>
      <c r="X97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5"/>
      <c r="Z9775" t="s">
        <v>31</v>
      </c>
      <c r="AA9775" t="s">
        <v>236</v>
      </c>
      <c r="AB9775" t="s">
        <v>443</v>
      </c>
      <c r="AC9775" s="21">
        <v>313.18</v>
      </c>
      <c r="AD9775" s="21" t="s">
        <v>368</v>
      </c>
      <c r="AE9775" t="str">
        <f>VLOOKUP(Table_Query_from_Actuarial___Production3[[#This Row],[Kor1]],$AI$3:$AK$105,3,FALSE)</f>
        <v>Misc. Expense</v>
      </c>
      <c r="AF97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6" spans="18:32" x14ac:dyDescent="0.2">
      <c r="R9776" t="s">
        <v>14</v>
      </c>
      <c r="S9776" t="s">
        <v>241</v>
      </c>
      <c r="T9776" t="s">
        <v>441</v>
      </c>
      <c r="U9776" s="21">
        <v>20491.490000000002</v>
      </c>
      <c r="V9776" s="21" t="s">
        <v>368</v>
      </c>
      <c r="W9776" t="str">
        <f>VLOOKUP(Table_Query_from_Actuarial___Production[[#This Row],[Kor1]],$AI$3:$AK$105,3,FALSE)</f>
        <v>Claims Expense</v>
      </c>
      <c r="X97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6"/>
      <c r="Z9776" t="s">
        <v>48</v>
      </c>
      <c r="AA9776" t="s">
        <v>258</v>
      </c>
      <c r="AB9776" t="s">
        <v>433</v>
      </c>
      <c r="AC9776" s="21">
        <v>15530.29</v>
      </c>
      <c r="AD9776" s="21" t="s">
        <v>368</v>
      </c>
      <c r="AE9776" t="str">
        <f>VLOOKUP(Table_Query_from_Actuarial___Production3[[#This Row],[Kor1]],$AI$3:$AK$105,3,FALSE)</f>
        <v>Anticipated Salvage</v>
      </c>
      <c r="AF97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7" spans="18:32" x14ac:dyDescent="0.2">
      <c r="R9777" t="s">
        <v>17</v>
      </c>
      <c r="S9777" t="s">
        <v>254</v>
      </c>
      <c r="T9777" t="s">
        <v>433</v>
      </c>
      <c r="U9777" s="21">
        <v>1682183.49</v>
      </c>
      <c r="V9777" s="21" t="s">
        <v>368</v>
      </c>
      <c r="W9777" t="str">
        <f>VLOOKUP(Table_Query_from_Actuarial___Production[[#This Row],[Kor1]],$AI$3:$AK$105,3,FALSE)</f>
        <v>IBNR</v>
      </c>
      <c r="X97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7"/>
      <c r="Z9777" t="s">
        <v>439</v>
      </c>
      <c r="AA9777" t="s">
        <v>254</v>
      </c>
      <c r="AB9777" t="s">
        <v>433</v>
      </c>
      <c r="AC9777" s="21">
        <v>192078</v>
      </c>
      <c r="AD9777" s="21" t="s">
        <v>368</v>
      </c>
      <c r="AE9777" t="str">
        <f>VLOOKUP(Table_Query_from_Actuarial___Production3[[#This Row],[Kor1]],$AI$3:$AK$105,3,FALSE)</f>
        <v>Operating Service Fees</v>
      </c>
      <c r="AF97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78" spans="18:32" x14ac:dyDescent="0.2">
      <c r="R9778" t="s">
        <v>12</v>
      </c>
      <c r="S9778" t="s">
        <v>4</v>
      </c>
      <c r="T9778" t="s">
        <v>443</v>
      </c>
      <c r="U9778" s="21">
        <v>789596.17</v>
      </c>
      <c r="V9778" s="21" t="s">
        <v>368</v>
      </c>
      <c r="W9778" t="str">
        <f>VLOOKUP(Table_Query_from_Actuarial___Production[[#This Row],[Kor1]],$AI$3:$AK$105,3,FALSE)</f>
        <v>Premium Tax</v>
      </c>
      <c r="X97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8"/>
      <c r="Z9778" t="s">
        <v>17</v>
      </c>
      <c r="AA9778" t="s">
        <v>225</v>
      </c>
      <c r="AB9778" t="s">
        <v>433</v>
      </c>
      <c r="AC9778" s="21">
        <v>21183.200000000001</v>
      </c>
      <c r="AD9778" s="21" t="s">
        <v>369</v>
      </c>
      <c r="AE9778" t="str">
        <f>VLOOKUP(Table_Query_from_Actuarial___Production3[[#This Row],[Kor1]],$AI$3:$AK$105,3,FALSE)</f>
        <v>IBNR</v>
      </c>
      <c r="AF97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779" spans="18:32" x14ac:dyDescent="0.2">
      <c r="R9779" t="s">
        <v>33</v>
      </c>
      <c r="S9779" t="s">
        <v>238</v>
      </c>
      <c r="T9779" t="s">
        <v>6</v>
      </c>
      <c r="U9779" s="21">
        <v>15343.12</v>
      </c>
      <c r="V9779" s="21" t="s">
        <v>368</v>
      </c>
      <c r="W9779" t="str">
        <f>VLOOKUP(Table_Query_from_Actuarial___Production[[#This Row],[Kor1]],$AI$3:$AK$105,3,FALSE)</f>
        <v>Misc. Expense</v>
      </c>
      <c r="X97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79"/>
      <c r="Z9779" t="s">
        <v>12</v>
      </c>
      <c r="AA9779" t="s">
        <v>241</v>
      </c>
      <c r="AB9779" t="s">
        <v>443</v>
      </c>
      <c r="AC9779" s="21">
        <v>8818.1299999999992</v>
      </c>
      <c r="AD9779" s="21" t="s">
        <v>368</v>
      </c>
      <c r="AE9779" t="str">
        <f>VLOOKUP(Table_Query_from_Actuarial___Production3[[#This Row],[Kor1]],$AI$3:$AK$105,3,FALSE)</f>
        <v>Premium Tax</v>
      </c>
      <c r="AF97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0" spans="18:32" x14ac:dyDescent="0.2">
      <c r="R9780" t="s">
        <v>3</v>
      </c>
      <c r="S9780" t="s">
        <v>256</v>
      </c>
      <c r="T9780" t="s">
        <v>427</v>
      </c>
      <c r="U9780" s="21">
        <v>50292</v>
      </c>
      <c r="V9780" s="21" t="s">
        <v>368</v>
      </c>
      <c r="W9780" t="str">
        <f>VLOOKUP(Table_Query_from_Actuarial___Production[[#This Row],[Kor1]],$AI$3:$AK$105,3,FALSE)</f>
        <v>Premiums Written</v>
      </c>
      <c r="X97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0"/>
      <c r="Z9780" t="s">
        <v>20</v>
      </c>
      <c r="AA9780" t="s">
        <v>263</v>
      </c>
      <c r="AB9780" t="s">
        <v>442</v>
      </c>
      <c r="AC9780" s="21">
        <v>142.6</v>
      </c>
      <c r="AD9780" s="21" t="s">
        <v>368</v>
      </c>
      <c r="AE9780" t="str">
        <f>VLOOKUP(Table_Query_from_Actuarial___Production3[[#This Row],[Kor1]],$AI$3:$AK$105,3,FALSE)</f>
        <v>Misc. Expense</v>
      </c>
      <c r="AF97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1" spans="18:32" x14ac:dyDescent="0.2">
      <c r="R9781" t="s">
        <v>12</v>
      </c>
      <c r="S9781" t="s">
        <v>265</v>
      </c>
      <c r="T9781" t="s">
        <v>442</v>
      </c>
      <c r="U9781" s="21">
        <v>22030.23</v>
      </c>
      <c r="V9781" s="21" t="s">
        <v>368</v>
      </c>
      <c r="W9781" t="str">
        <f>VLOOKUP(Table_Query_from_Actuarial___Production[[#This Row],[Kor1]],$AI$3:$AK$105,3,FALSE)</f>
        <v>Premium Tax</v>
      </c>
      <c r="X97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1"/>
      <c r="Z9781" t="s">
        <v>14</v>
      </c>
      <c r="AA9781" t="s">
        <v>241</v>
      </c>
      <c r="AB9781" t="s">
        <v>441</v>
      </c>
      <c r="AC9781" s="21">
        <v>20514.240000000002</v>
      </c>
      <c r="AD9781" s="21" t="s">
        <v>368</v>
      </c>
      <c r="AE9781" t="str">
        <f>VLOOKUP(Table_Query_from_Actuarial___Production3[[#This Row],[Kor1]],$AI$3:$AK$105,3,FALSE)</f>
        <v>Claims Expense</v>
      </c>
      <c r="AF97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2" spans="18:32" x14ac:dyDescent="0.2">
      <c r="R9782" t="s">
        <v>37</v>
      </c>
      <c r="S9782" t="s">
        <v>257</v>
      </c>
      <c r="T9782" t="s">
        <v>443</v>
      </c>
      <c r="U9782" s="21">
        <v>4179.1000000000004</v>
      </c>
      <c r="V9782" s="21" t="s">
        <v>368</v>
      </c>
      <c r="W9782" t="str">
        <f>VLOOKUP(Table_Query_from_Actuarial___Production[[#This Row],[Kor1]],$AI$3:$AK$105,3,FALSE)</f>
        <v>Misc. Expense</v>
      </c>
      <c r="X97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2"/>
      <c r="Z9782" t="s">
        <v>17</v>
      </c>
      <c r="AA9782" t="s">
        <v>254</v>
      </c>
      <c r="AB9782" t="s">
        <v>433</v>
      </c>
      <c r="AC9782" s="21">
        <v>1596100.05</v>
      </c>
      <c r="AD9782" s="21" t="s">
        <v>368</v>
      </c>
      <c r="AE9782" t="str">
        <f>VLOOKUP(Table_Query_from_Actuarial___Production3[[#This Row],[Kor1]],$AI$3:$AK$105,3,FALSE)</f>
        <v>IBNR</v>
      </c>
      <c r="AF97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3" spans="18:32" x14ac:dyDescent="0.2">
      <c r="R9783" t="s">
        <v>19</v>
      </c>
      <c r="S9783" t="s">
        <v>257</v>
      </c>
      <c r="T9783" t="s">
        <v>8</v>
      </c>
      <c r="U9783" s="21">
        <v>459</v>
      </c>
      <c r="V9783" s="21" t="s">
        <v>368</v>
      </c>
      <c r="W9783" t="str">
        <f>VLOOKUP(Table_Query_from_Actuarial___Production[[#This Row],[Kor1]],$AI$3:$AK$105,3,FALSE)</f>
        <v>Misc. Expense for Insolvent Companies</v>
      </c>
      <c r="X97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3"/>
      <c r="Z9783" t="s">
        <v>12</v>
      </c>
      <c r="AA9783" t="s">
        <v>4</v>
      </c>
      <c r="AB9783" t="s">
        <v>443</v>
      </c>
      <c r="AC9783" s="21">
        <v>304301.15999999997</v>
      </c>
      <c r="AD9783" s="21" t="s">
        <v>368</v>
      </c>
      <c r="AE9783" t="str">
        <f>VLOOKUP(Table_Query_from_Actuarial___Production3[[#This Row],[Kor1]],$AI$3:$AK$105,3,FALSE)</f>
        <v>Premium Tax</v>
      </c>
      <c r="AF97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4" spans="18:32" x14ac:dyDescent="0.2">
      <c r="R9784" t="s">
        <v>31</v>
      </c>
      <c r="S9784" t="s">
        <v>255</v>
      </c>
      <c r="T9784" t="s">
        <v>433</v>
      </c>
      <c r="U9784" s="21">
        <v>942.94</v>
      </c>
      <c r="V9784" s="21" t="s">
        <v>368</v>
      </c>
      <c r="W9784" t="str">
        <f>VLOOKUP(Table_Query_from_Actuarial___Production[[#This Row],[Kor1]],$AI$3:$AK$105,3,FALSE)</f>
        <v>Misc. Expense</v>
      </c>
      <c r="X97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4"/>
      <c r="Z9784" t="s">
        <v>33</v>
      </c>
      <c r="AA9784" t="s">
        <v>238</v>
      </c>
      <c r="AB9784" t="s">
        <v>6</v>
      </c>
      <c r="AC9784" s="21">
        <v>15343.12</v>
      </c>
      <c r="AD9784" s="21" t="s">
        <v>368</v>
      </c>
      <c r="AE9784" t="str">
        <f>VLOOKUP(Table_Query_from_Actuarial___Production3[[#This Row],[Kor1]],$AI$3:$AK$105,3,FALSE)</f>
        <v>Misc. Expense</v>
      </c>
      <c r="AF97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5" spans="18:32" x14ac:dyDescent="0.2">
      <c r="R9785" t="s">
        <v>33</v>
      </c>
      <c r="S9785" t="s">
        <v>4</v>
      </c>
      <c r="T9785" t="s">
        <v>9</v>
      </c>
      <c r="U9785" s="21">
        <v>131536.34</v>
      </c>
      <c r="V9785" s="21" t="s">
        <v>368</v>
      </c>
      <c r="W9785" t="str">
        <f>VLOOKUP(Table_Query_from_Actuarial___Production[[#This Row],[Kor1]],$AI$3:$AK$105,3,FALSE)</f>
        <v>Misc. Expense</v>
      </c>
      <c r="X97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5"/>
      <c r="Z9785" t="s">
        <v>3</v>
      </c>
      <c r="AA9785" t="s">
        <v>256</v>
      </c>
      <c r="AB9785" t="s">
        <v>427</v>
      </c>
      <c r="AC9785" s="21">
        <v>50292</v>
      </c>
      <c r="AD9785" s="21" t="s">
        <v>368</v>
      </c>
      <c r="AE9785" t="str">
        <f>VLOOKUP(Table_Query_from_Actuarial___Production3[[#This Row],[Kor1]],$AI$3:$AK$105,3,FALSE)</f>
        <v>Premiums Written</v>
      </c>
      <c r="AF97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6" spans="18:32" x14ac:dyDescent="0.2">
      <c r="R9786" t="s">
        <v>31</v>
      </c>
      <c r="S9786" t="s">
        <v>250</v>
      </c>
      <c r="T9786" t="s">
        <v>6</v>
      </c>
      <c r="U9786" s="21">
        <v>22.75</v>
      </c>
      <c r="V9786" s="21" t="s">
        <v>368</v>
      </c>
      <c r="W9786" t="str">
        <f>VLOOKUP(Table_Query_from_Actuarial___Production[[#This Row],[Kor1]],$AI$3:$AK$105,3,FALSE)</f>
        <v>Misc. Expense</v>
      </c>
      <c r="X97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6"/>
      <c r="Z9786" t="s">
        <v>12</v>
      </c>
      <c r="AA9786" t="s">
        <v>265</v>
      </c>
      <c r="AB9786" t="s">
        <v>442</v>
      </c>
      <c r="AC9786" s="21">
        <v>22476.83</v>
      </c>
      <c r="AD9786" s="21" t="s">
        <v>368</v>
      </c>
      <c r="AE9786" t="str">
        <f>VLOOKUP(Table_Query_from_Actuarial___Production3[[#This Row],[Kor1]],$AI$3:$AK$105,3,FALSE)</f>
        <v>Premium Tax</v>
      </c>
      <c r="AF97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7" spans="18:32" x14ac:dyDescent="0.2">
      <c r="R9787" t="s">
        <v>40</v>
      </c>
      <c r="S9787" t="s">
        <v>252</v>
      </c>
      <c r="T9787" t="s">
        <v>441</v>
      </c>
      <c r="U9787" s="21">
        <v>445.3</v>
      </c>
      <c r="V9787" s="21" t="s">
        <v>368</v>
      </c>
      <c r="W9787" t="str">
        <f>VLOOKUP(Table_Query_from_Actuarial___Production[[#This Row],[Kor1]],$AI$3:$AK$105,3,FALSE)</f>
        <v>Misc. Income</v>
      </c>
      <c r="X97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7"/>
      <c r="Z9787" t="s">
        <v>37</v>
      </c>
      <c r="AA9787" t="s">
        <v>257</v>
      </c>
      <c r="AB9787" t="s">
        <v>443</v>
      </c>
      <c r="AC9787" s="21">
        <v>516.34</v>
      </c>
      <c r="AD9787" s="21" t="s">
        <v>368</v>
      </c>
      <c r="AE9787" t="str">
        <f>VLOOKUP(Table_Query_from_Actuarial___Production3[[#This Row],[Kor1]],$AI$3:$AK$105,3,FALSE)</f>
        <v>Misc. Expense</v>
      </c>
      <c r="AF97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8" spans="18:32" x14ac:dyDescent="0.2">
      <c r="R9788" t="s">
        <v>41</v>
      </c>
      <c r="S9788" t="s">
        <v>241</v>
      </c>
      <c r="T9788" t="s">
        <v>6</v>
      </c>
      <c r="U9788" s="21">
        <v>49.99</v>
      </c>
      <c r="V9788" s="21" t="s">
        <v>368</v>
      </c>
      <c r="W9788" t="str">
        <f>VLOOKUP(Table_Query_from_Actuarial___Production[[#This Row],[Kor1]],$AI$3:$AK$105,3,FALSE)</f>
        <v>Misc. Income</v>
      </c>
      <c r="X97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8"/>
      <c r="Z9788" t="s">
        <v>19</v>
      </c>
      <c r="AA9788" t="s">
        <v>257</v>
      </c>
      <c r="AB9788" t="s">
        <v>8</v>
      </c>
      <c r="AC9788" s="21">
        <v>459</v>
      </c>
      <c r="AD9788" s="21" t="s">
        <v>368</v>
      </c>
      <c r="AE9788" t="str">
        <f>VLOOKUP(Table_Query_from_Actuarial___Production3[[#This Row],[Kor1]],$AI$3:$AK$105,3,FALSE)</f>
        <v>Misc. Expense for Insolvent Companies</v>
      </c>
      <c r="AF97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89" spans="18:32" x14ac:dyDescent="0.2">
      <c r="R9789" t="s">
        <v>20</v>
      </c>
      <c r="S9789" t="s">
        <v>265</v>
      </c>
      <c r="T9789" t="s">
        <v>356</v>
      </c>
      <c r="U9789" s="21">
        <v>96.91</v>
      </c>
      <c r="V9789" s="21" t="s">
        <v>368</v>
      </c>
      <c r="W9789" t="str">
        <f>VLOOKUP(Table_Query_from_Actuarial___Production[[#This Row],[Kor1]],$AI$3:$AK$105,3,FALSE)</f>
        <v>Misc. Expense</v>
      </c>
      <c r="X97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89"/>
      <c r="Z9789" t="s">
        <v>31</v>
      </c>
      <c r="AA9789" t="s">
        <v>255</v>
      </c>
      <c r="AB9789" t="s">
        <v>433</v>
      </c>
      <c r="AC9789" s="21">
        <v>942.94</v>
      </c>
      <c r="AD9789" s="21" t="s">
        <v>368</v>
      </c>
      <c r="AE9789" t="str">
        <f>VLOOKUP(Table_Query_from_Actuarial___Production3[[#This Row],[Kor1]],$AI$3:$AK$105,3,FALSE)</f>
        <v>Misc. Expense</v>
      </c>
      <c r="AF97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0" spans="18:32" x14ac:dyDescent="0.2">
      <c r="R9790" t="s">
        <v>23</v>
      </c>
      <c r="S9790" t="s">
        <v>259</v>
      </c>
      <c r="T9790" t="s">
        <v>427</v>
      </c>
      <c r="U9790" s="21">
        <v>6970.15</v>
      </c>
      <c r="V9790" s="21" t="s">
        <v>368</v>
      </c>
      <c r="W9790" t="str">
        <f>VLOOKUP(Table_Query_from_Actuarial___Production[[#This Row],[Kor1]],$AI$3:$AK$105,3,FALSE)</f>
        <v>Misc. Expense</v>
      </c>
      <c r="X97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0"/>
      <c r="Z9790" t="s">
        <v>33</v>
      </c>
      <c r="AA9790" t="s">
        <v>4</v>
      </c>
      <c r="AB9790" t="s">
        <v>9</v>
      </c>
      <c r="AC9790" s="21">
        <v>131536.34</v>
      </c>
      <c r="AD9790" s="21" t="s">
        <v>368</v>
      </c>
      <c r="AE9790" t="str">
        <f>VLOOKUP(Table_Query_from_Actuarial___Production3[[#This Row],[Kor1]],$AI$3:$AK$105,3,FALSE)</f>
        <v>Misc. Expense</v>
      </c>
      <c r="AF97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1" spans="18:32" x14ac:dyDescent="0.2">
      <c r="R9791" t="s">
        <v>41</v>
      </c>
      <c r="S9791" t="s">
        <v>248</v>
      </c>
      <c r="T9791" t="s">
        <v>433</v>
      </c>
      <c r="U9791" s="21">
        <v>250</v>
      </c>
      <c r="V9791" s="21" t="s">
        <v>368</v>
      </c>
      <c r="W9791" t="str">
        <f>VLOOKUP(Table_Query_from_Actuarial___Production[[#This Row],[Kor1]],$AI$3:$AK$105,3,FALSE)</f>
        <v>Misc. Income</v>
      </c>
      <c r="X97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1"/>
      <c r="Z9791" t="s">
        <v>31</v>
      </c>
      <c r="AA9791" t="s">
        <v>250</v>
      </c>
      <c r="AB9791" t="s">
        <v>6</v>
      </c>
      <c r="AC9791" s="21">
        <v>22.75</v>
      </c>
      <c r="AD9791" s="21" t="s">
        <v>368</v>
      </c>
      <c r="AE9791" t="str">
        <f>VLOOKUP(Table_Query_from_Actuarial___Production3[[#This Row],[Kor1]],$AI$3:$AK$105,3,FALSE)</f>
        <v>Misc. Expense</v>
      </c>
      <c r="AF97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2" spans="18:32" x14ac:dyDescent="0.2">
      <c r="R9792" t="s">
        <v>49</v>
      </c>
      <c r="S9792" t="s">
        <v>225</v>
      </c>
      <c r="T9792" t="s">
        <v>356</v>
      </c>
      <c r="U9792" s="21">
        <v>18647.2</v>
      </c>
      <c r="V9792" s="21" t="s">
        <v>369</v>
      </c>
      <c r="W9792" t="str">
        <f>VLOOKUP(Table_Query_from_Actuarial___Production[[#This Row],[Kor1]],$AI$3:$AK$105,3,FALSE)</f>
        <v>ALAE Paid</v>
      </c>
      <c r="X97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792"/>
      <c r="Z9792" t="s">
        <v>40</v>
      </c>
      <c r="AA9792" t="s">
        <v>252</v>
      </c>
      <c r="AB9792" t="s">
        <v>441</v>
      </c>
      <c r="AC9792" s="21">
        <v>445.3</v>
      </c>
      <c r="AD9792" s="21" t="s">
        <v>368</v>
      </c>
      <c r="AE9792" t="str">
        <f>VLOOKUP(Table_Query_from_Actuarial___Production3[[#This Row],[Kor1]],$AI$3:$AK$105,3,FALSE)</f>
        <v>Misc. Income</v>
      </c>
      <c r="AF97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3" spans="18:32" x14ac:dyDescent="0.2">
      <c r="R9793" t="s">
        <v>20</v>
      </c>
      <c r="S9793" t="s">
        <v>251</v>
      </c>
      <c r="T9793" t="s">
        <v>427</v>
      </c>
      <c r="U9793" s="21">
        <v>170.21</v>
      </c>
      <c r="V9793" s="21" t="s">
        <v>368</v>
      </c>
      <c r="W9793" t="str">
        <f>VLOOKUP(Table_Query_from_Actuarial___Production[[#This Row],[Kor1]],$AI$3:$AK$105,3,FALSE)</f>
        <v>Misc. Expense</v>
      </c>
      <c r="X97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3"/>
      <c r="Z9793" t="s">
        <v>41</v>
      </c>
      <c r="AA9793" t="s">
        <v>241</v>
      </c>
      <c r="AB9793" t="s">
        <v>6</v>
      </c>
      <c r="AC9793" s="21">
        <v>49.99</v>
      </c>
      <c r="AD9793" s="21" t="s">
        <v>368</v>
      </c>
      <c r="AE9793" t="str">
        <f>VLOOKUP(Table_Query_from_Actuarial___Production3[[#This Row],[Kor1]],$AI$3:$AK$105,3,FALSE)</f>
        <v>Misc. Income</v>
      </c>
      <c r="AF97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4" spans="18:32" x14ac:dyDescent="0.2">
      <c r="R9794" t="s">
        <v>39</v>
      </c>
      <c r="S9794" t="s">
        <v>241</v>
      </c>
      <c r="T9794" t="s">
        <v>443</v>
      </c>
      <c r="U9794" s="21">
        <v>148.19999999999999</v>
      </c>
      <c r="V9794" s="21" t="s">
        <v>368</v>
      </c>
      <c r="W9794" t="str">
        <f>VLOOKUP(Table_Query_from_Actuarial___Production[[#This Row],[Kor1]],$AI$3:$AK$105,3,FALSE)</f>
        <v>Misc. Income for Insolvent Companies</v>
      </c>
      <c r="X97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4"/>
      <c r="Z9794" t="s">
        <v>20</v>
      </c>
      <c r="AA9794" t="s">
        <v>265</v>
      </c>
      <c r="AB9794" t="s">
        <v>356</v>
      </c>
      <c r="AC9794" s="21">
        <v>96.91</v>
      </c>
      <c r="AD9794" s="21" t="s">
        <v>368</v>
      </c>
      <c r="AE9794" t="str">
        <f>VLOOKUP(Table_Query_from_Actuarial___Production3[[#This Row],[Kor1]],$AI$3:$AK$105,3,FALSE)</f>
        <v>Misc. Expense</v>
      </c>
      <c r="AF97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5" spans="18:32" x14ac:dyDescent="0.2">
      <c r="R9795" t="s">
        <v>10</v>
      </c>
      <c r="S9795" t="s">
        <v>239</v>
      </c>
      <c r="T9795" t="s">
        <v>7</v>
      </c>
      <c r="U9795" s="21">
        <v>11932.35</v>
      </c>
      <c r="V9795" s="21" t="s">
        <v>368</v>
      </c>
      <c r="W9795" t="str">
        <f>VLOOKUP(Table_Query_from_Actuarial___Production[[#This Row],[Kor1]],$AI$3:$AK$105,3,FALSE)</f>
        <v>Commissions</v>
      </c>
      <c r="X97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5"/>
      <c r="Z9795" t="s">
        <v>23</v>
      </c>
      <c r="AA9795" t="s">
        <v>259</v>
      </c>
      <c r="AB9795" t="s">
        <v>427</v>
      </c>
      <c r="AC9795" s="21">
        <v>6970.15</v>
      </c>
      <c r="AD9795" s="21" t="s">
        <v>368</v>
      </c>
      <c r="AE9795" t="str">
        <f>VLOOKUP(Table_Query_from_Actuarial___Production3[[#This Row],[Kor1]],$AI$3:$AK$105,3,FALSE)</f>
        <v>Misc. Expense</v>
      </c>
      <c r="AF97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6" spans="18:32" x14ac:dyDescent="0.2">
      <c r="R9796" t="s">
        <v>16</v>
      </c>
      <c r="S9796" t="s">
        <v>4</v>
      </c>
      <c r="T9796" t="s">
        <v>351</v>
      </c>
      <c r="U9796" s="21">
        <v>647087.05000000005</v>
      </c>
      <c r="V9796" s="21" t="s">
        <v>368</v>
      </c>
      <c r="W9796" t="str">
        <f>VLOOKUP(Table_Query_from_Actuarial___Production[[#This Row],[Kor1]],$AI$3:$AK$105,3,FALSE)</f>
        <v>Losses Outstanding</v>
      </c>
      <c r="X97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6"/>
      <c r="Z9796" t="s">
        <v>41</v>
      </c>
      <c r="AA9796" t="s">
        <v>248</v>
      </c>
      <c r="AB9796" t="s">
        <v>433</v>
      </c>
      <c r="AC9796" s="21">
        <v>250</v>
      </c>
      <c r="AD9796" s="21" t="s">
        <v>368</v>
      </c>
      <c r="AE9796" t="str">
        <f>VLOOKUP(Table_Query_from_Actuarial___Production3[[#This Row],[Kor1]],$AI$3:$AK$105,3,FALSE)</f>
        <v>Misc. Income</v>
      </c>
      <c r="AF97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7" spans="18:32" x14ac:dyDescent="0.2">
      <c r="R9797" t="s">
        <v>32</v>
      </c>
      <c r="S9797" t="s">
        <v>232</v>
      </c>
      <c r="T9797" t="s">
        <v>433</v>
      </c>
      <c r="U9797" s="21">
        <v>307110.67</v>
      </c>
      <c r="V9797" s="21" t="s">
        <v>368</v>
      </c>
      <c r="W9797" t="str">
        <f>VLOOKUP(Table_Query_from_Actuarial___Production[[#This Row],[Kor1]],$AI$3:$AK$105,3,FALSE)</f>
        <v>Misc. Expense</v>
      </c>
      <c r="X97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7"/>
      <c r="Z9797" t="s">
        <v>49</v>
      </c>
      <c r="AA9797" t="s">
        <v>225</v>
      </c>
      <c r="AB9797" t="s">
        <v>356</v>
      </c>
      <c r="AC9797" s="21">
        <v>16697.400000000001</v>
      </c>
      <c r="AD9797" s="21" t="s">
        <v>369</v>
      </c>
      <c r="AE9797" t="str">
        <f>VLOOKUP(Table_Query_from_Actuarial___Production3[[#This Row],[Kor1]],$AI$3:$AK$105,3,FALSE)</f>
        <v>ALAE Paid</v>
      </c>
      <c r="AF97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798" spans="18:32" x14ac:dyDescent="0.2">
      <c r="R9798" t="s">
        <v>37</v>
      </c>
      <c r="S9798" t="s">
        <v>243</v>
      </c>
      <c r="T9798" t="s">
        <v>9</v>
      </c>
      <c r="U9798" s="21">
        <v>0.04</v>
      </c>
      <c r="V9798" s="21" t="s">
        <v>368</v>
      </c>
      <c r="W9798" t="str">
        <f>VLOOKUP(Table_Query_from_Actuarial___Production[[#This Row],[Kor1]],$AI$3:$AK$105,3,FALSE)</f>
        <v>Misc. Expense</v>
      </c>
      <c r="X97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8"/>
      <c r="Z9798" t="s">
        <v>20</v>
      </c>
      <c r="AA9798" t="s">
        <v>251</v>
      </c>
      <c r="AB9798" t="s">
        <v>427</v>
      </c>
      <c r="AC9798" s="21">
        <v>170.21</v>
      </c>
      <c r="AD9798" s="21" t="s">
        <v>368</v>
      </c>
      <c r="AE9798" t="str">
        <f>VLOOKUP(Table_Query_from_Actuarial___Production3[[#This Row],[Kor1]],$AI$3:$AK$105,3,FALSE)</f>
        <v>Misc. Expense</v>
      </c>
      <c r="AF97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799" spans="18:32" x14ac:dyDescent="0.2">
      <c r="R9799" t="s">
        <v>50</v>
      </c>
      <c r="S9799" t="s">
        <v>252</v>
      </c>
      <c r="T9799" t="s">
        <v>441</v>
      </c>
      <c r="U9799" s="21">
        <v>3608005.28</v>
      </c>
      <c r="V9799" s="21" t="s">
        <v>368</v>
      </c>
      <c r="W9799" t="str">
        <f>VLOOKUP(Table_Query_from_Actuarial___Production[[#This Row],[Kor1]],$AI$3:$AK$105,3,FALSE)</f>
        <v>ALAE Reserve</v>
      </c>
      <c r="X97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799"/>
      <c r="Z9799" t="s">
        <v>39</v>
      </c>
      <c r="AA9799" t="s">
        <v>241</v>
      </c>
      <c r="AB9799" t="s">
        <v>443</v>
      </c>
      <c r="AC9799" s="21">
        <v>148.19999999999999</v>
      </c>
      <c r="AD9799" s="21" t="s">
        <v>368</v>
      </c>
      <c r="AE9799" t="str">
        <f>VLOOKUP(Table_Query_from_Actuarial___Production3[[#This Row],[Kor1]],$AI$3:$AK$105,3,FALSE)</f>
        <v>Misc. Income for Insolvent Companies</v>
      </c>
      <c r="AF97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0" spans="18:32" x14ac:dyDescent="0.2">
      <c r="R9800" t="s">
        <v>47</v>
      </c>
      <c r="S9800" t="s">
        <v>253</v>
      </c>
      <c r="T9800" t="s">
        <v>433</v>
      </c>
      <c r="U9800" s="21">
        <v>191.3</v>
      </c>
      <c r="V9800" s="21" t="s">
        <v>368</v>
      </c>
      <c r="W9800" t="str">
        <f>VLOOKUP(Table_Query_from_Actuarial___Production[[#This Row],[Kor1]],$AI$3:$AK$105,3,FALSE)</f>
        <v>Investment Income</v>
      </c>
      <c r="X98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0"/>
      <c r="Z9800" t="s">
        <v>10</v>
      </c>
      <c r="AA9800" t="s">
        <v>239</v>
      </c>
      <c r="AB9800" t="s">
        <v>7</v>
      </c>
      <c r="AC9800" s="21">
        <v>11932.35</v>
      </c>
      <c r="AD9800" s="21" t="s">
        <v>368</v>
      </c>
      <c r="AE9800" t="str">
        <f>VLOOKUP(Table_Query_from_Actuarial___Production3[[#This Row],[Kor1]],$AI$3:$AK$105,3,FALSE)</f>
        <v>Commissions</v>
      </c>
      <c r="AF98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1" spans="18:32" x14ac:dyDescent="0.2">
      <c r="R9801" t="s">
        <v>16</v>
      </c>
      <c r="S9801" t="s">
        <v>354</v>
      </c>
      <c r="T9801" t="s">
        <v>7</v>
      </c>
      <c r="U9801" s="21">
        <v>117835.49</v>
      </c>
      <c r="V9801" s="21" t="s">
        <v>369</v>
      </c>
      <c r="W9801" t="str">
        <f>VLOOKUP(Table_Query_from_Actuarial___Production[[#This Row],[Kor1]],$AI$3:$AK$105,3,FALSE)</f>
        <v>Losses Outstanding</v>
      </c>
      <c r="X98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01"/>
      <c r="Z9801" t="s">
        <v>16</v>
      </c>
      <c r="AA9801" t="s">
        <v>4</v>
      </c>
      <c r="AB9801" t="s">
        <v>351</v>
      </c>
      <c r="AC9801" s="21">
        <v>3196031.37</v>
      </c>
      <c r="AD9801" s="21" t="s">
        <v>368</v>
      </c>
      <c r="AE9801" t="str">
        <f>VLOOKUP(Table_Query_from_Actuarial___Production3[[#This Row],[Kor1]],$AI$3:$AK$105,3,FALSE)</f>
        <v>Losses Outstanding</v>
      </c>
      <c r="AF98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2" spans="18:32" x14ac:dyDescent="0.2">
      <c r="R9802" t="s">
        <v>14</v>
      </c>
      <c r="S9802" t="s">
        <v>251</v>
      </c>
      <c r="T9802" t="s">
        <v>356</v>
      </c>
      <c r="U9802" s="21">
        <v>47537.95</v>
      </c>
      <c r="V9802" s="21" t="s">
        <v>368</v>
      </c>
      <c r="W9802" t="str">
        <f>VLOOKUP(Table_Query_from_Actuarial___Production[[#This Row],[Kor1]],$AI$3:$AK$105,3,FALSE)</f>
        <v>Claims Expense</v>
      </c>
      <c r="X98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2"/>
      <c r="Z9802" t="s">
        <v>32</v>
      </c>
      <c r="AA9802" t="s">
        <v>232</v>
      </c>
      <c r="AB9802" t="s">
        <v>433</v>
      </c>
      <c r="AC9802" s="21">
        <v>307110.67</v>
      </c>
      <c r="AD9802" s="21" t="s">
        <v>368</v>
      </c>
      <c r="AE9802" t="str">
        <f>VLOOKUP(Table_Query_from_Actuarial___Production3[[#This Row],[Kor1]],$AI$3:$AK$105,3,FALSE)</f>
        <v>Misc. Expense</v>
      </c>
      <c r="AF98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3" spans="18:32" x14ac:dyDescent="0.2">
      <c r="R9803" t="s">
        <v>12</v>
      </c>
      <c r="S9803" t="s">
        <v>263</v>
      </c>
      <c r="T9803" t="s">
        <v>6</v>
      </c>
      <c r="U9803" s="21">
        <v>7968.7</v>
      </c>
      <c r="V9803" s="21" t="s">
        <v>368</v>
      </c>
      <c r="W9803" t="str">
        <f>VLOOKUP(Table_Query_from_Actuarial___Production[[#This Row],[Kor1]],$AI$3:$AK$105,3,FALSE)</f>
        <v>Premium Tax</v>
      </c>
      <c r="X98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3"/>
      <c r="Z9803" t="s">
        <v>37</v>
      </c>
      <c r="AA9803" t="s">
        <v>243</v>
      </c>
      <c r="AB9803" t="s">
        <v>9</v>
      </c>
      <c r="AC9803" s="21">
        <v>0.04</v>
      </c>
      <c r="AD9803" s="21" t="s">
        <v>368</v>
      </c>
      <c r="AE9803" t="str">
        <f>VLOOKUP(Table_Query_from_Actuarial___Production3[[#This Row],[Kor1]],$AI$3:$AK$105,3,FALSE)</f>
        <v>Misc. Expense</v>
      </c>
      <c r="AF98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4" spans="18:32" x14ac:dyDescent="0.2">
      <c r="R9804" t="s">
        <v>41</v>
      </c>
      <c r="S9804" t="s">
        <v>245</v>
      </c>
      <c r="T9804" t="s">
        <v>433</v>
      </c>
      <c r="U9804" s="21">
        <v>50</v>
      </c>
      <c r="V9804" s="21" t="s">
        <v>368</v>
      </c>
      <c r="W9804" t="str">
        <f>VLOOKUP(Table_Query_from_Actuarial___Production[[#This Row],[Kor1]],$AI$3:$AK$105,3,FALSE)</f>
        <v>Misc. Income</v>
      </c>
      <c r="X98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4"/>
      <c r="Z9804" t="s">
        <v>50</v>
      </c>
      <c r="AA9804" t="s">
        <v>252</v>
      </c>
      <c r="AB9804" t="s">
        <v>441</v>
      </c>
      <c r="AC9804" s="21">
        <v>3318818.03</v>
      </c>
      <c r="AD9804" s="21" t="s">
        <v>368</v>
      </c>
      <c r="AE9804" t="str">
        <f>VLOOKUP(Table_Query_from_Actuarial___Production3[[#This Row],[Kor1]],$AI$3:$AK$105,3,FALSE)</f>
        <v>ALAE Reserve</v>
      </c>
      <c r="AF98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5" spans="18:32" x14ac:dyDescent="0.2">
      <c r="R9805" t="s">
        <v>41</v>
      </c>
      <c r="S9805" t="s">
        <v>247</v>
      </c>
      <c r="T9805" t="s">
        <v>356</v>
      </c>
      <c r="U9805" s="21">
        <v>150</v>
      </c>
      <c r="V9805" s="21" t="s">
        <v>368</v>
      </c>
      <c r="W9805" t="str">
        <f>VLOOKUP(Table_Query_from_Actuarial___Production[[#This Row],[Kor1]],$AI$3:$AK$105,3,FALSE)</f>
        <v>Misc. Income</v>
      </c>
      <c r="X98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5"/>
      <c r="Z9805" t="s">
        <v>47</v>
      </c>
      <c r="AA9805" t="s">
        <v>253</v>
      </c>
      <c r="AB9805" t="s">
        <v>433</v>
      </c>
      <c r="AC9805" s="21">
        <v>191.3</v>
      </c>
      <c r="AD9805" s="21" t="s">
        <v>368</v>
      </c>
      <c r="AE9805" t="str">
        <f>VLOOKUP(Table_Query_from_Actuarial___Production3[[#This Row],[Kor1]],$AI$3:$AK$105,3,FALSE)</f>
        <v>Investment Income</v>
      </c>
      <c r="AF98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6" spans="18:32" x14ac:dyDescent="0.2">
      <c r="R9806" t="s">
        <v>43</v>
      </c>
      <c r="S9806" t="s">
        <v>244</v>
      </c>
      <c r="T9806" t="s">
        <v>441</v>
      </c>
      <c r="U9806" s="21">
        <v>514.71</v>
      </c>
      <c r="V9806" s="21" t="s">
        <v>368</v>
      </c>
      <c r="W9806" t="str">
        <f>VLOOKUP(Table_Query_from_Actuarial___Production[[#This Row],[Kor1]],$AI$3:$AK$105,3,FALSE)</f>
        <v>Charge-offs</v>
      </c>
      <c r="X98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6"/>
      <c r="Z9806" t="s">
        <v>16</v>
      </c>
      <c r="AA9806" t="s">
        <v>354</v>
      </c>
      <c r="AB9806" t="s">
        <v>7</v>
      </c>
      <c r="AC9806" s="21">
        <v>332993.53000000003</v>
      </c>
      <c r="AD9806" s="21" t="s">
        <v>369</v>
      </c>
      <c r="AE9806" t="str">
        <f>VLOOKUP(Table_Query_from_Actuarial___Production3[[#This Row],[Kor1]],$AI$3:$AK$105,3,FALSE)</f>
        <v>Losses Outstanding</v>
      </c>
      <c r="AF98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807" spans="18:32" x14ac:dyDescent="0.2">
      <c r="R9807" t="s">
        <v>47</v>
      </c>
      <c r="S9807" t="s">
        <v>236</v>
      </c>
      <c r="T9807" t="s">
        <v>8</v>
      </c>
      <c r="U9807" s="21">
        <v>0.05</v>
      </c>
      <c r="V9807" s="21" t="s">
        <v>368</v>
      </c>
      <c r="W9807" t="str">
        <f>VLOOKUP(Table_Query_from_Actuarial___Production[[#This Row],[Kor1]],$AI$3:$AK$105,3,FALSE)</f>
        <v>Investment Income</v>
      </c>
      <c r="X98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7"/>
      <c r="Z9807" t="s">
        <v>14</v>
      </c>
      <c r="AA9807" t="s">
        <v>251</v>
      </c>
      <c r="AB9807" t="s">
        <v>356</v>
      </c>
      <c r="AC9807" s="21">
        <v>47537.95</v>
      </c>
      <c r="AD9807" s="21" t="s">
        <v>368</v>
      </c>
      <c r="AE9807" t="str">
        <f>VLOOKUP(Table_Query_from_Actuarial___Production3[[#This Row],[Kor1]],$AI$3:$AK$105,3,FALSE)</f>
        <v>Claims Expense</v>
      </c>
      <c r="AF98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8" spans="18:32" x14ac:dyDescent="0.2">
      <c r="R9808" t="s">
        <v>49</v>
      </c>
      <c r="S9808" t="s">
        <v>235</v>
      </c>
      <c r="T9808" t="s">
        <v>6</v>
      </c>
      <c r="U9808" s="21">
        <v>42763.9</v>
      </c>
      <c r="V9808" s="21" t="s">
        <v>368</v>
      </c>
      <c r="W9808" t="str">
        <f>VLOOKUP(Table_Query_from_Actuarial___Production[[#This Row],[Kor1]],$AI$3:$AK$105,3,FALSE)</f>
        <v>ALAE Paid</v>
      </c>
      <c r="X98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08"/>
      <c r="Z9808" t="s">
        <v>12</v>
      </c>
      <c r="AA9808" t="s">
        <v>263</v>
      </c>
      <c r="AB9808" t="s">
        <v>6</v>
      </c>
      <c r="AC9808" s="21">
        <v>7968.7</v>
      </c>
      <c r="AD9808" s="21" t="s">
        <v>368</v>
      </c>
      <c r="AE9808" t="str">
        <f>VLOOKUP(Table_Query_from_Actuarial___Production3[[#This Row],[Kor1]],$AI$3:$AK$105,3,FALSE)</f>
        <v>Premium Tax</v>
      </c>
      <c r="AF98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09" spans="18:32" x14ac:dyDescent="0.2">
      <c r="R9809" t="s">
        <v>46</v>
      </c>
      <c r="S9809" t="s">
        <v>224</v>
      </c>
      <c r="T9809" t="s">
        <v>433</v>
      </c>
      <c r="U9809" s="21">
        <v>7618.29</v>
      </c>
      <c r="V9809" s="21" t="s">
        <v>370</v>
      </c>
      <c r="W9809" t="str">
        <f>VLOOKUP(Table_Query_from_Actuarial___Production[[#This Row],[Kor1]],$AI$3:$AK$105,3,FALSE)</f>
        <v>Investment Income</v>
      </c>
      <c r="X98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809"/>
      <c r="Z9809" t="s">
        <v>40</v>
      </c>
      <c r="AA9809" t="s">
        <v>250</v>
      </c>
      <c r="AB9809" t="s">
        <v>5</v>
      </c>
      <c r="AC9809" s="21">
        <v>103</v>
      </c>
      <c r="AD9809" s="21" t="s">
        <v>368</v>
      </c>
      <c r="AE9809" t="str">
        <f>VLOOKUP(Table_Query_from_Actuarial___Production3[[#This Row],[Kor1]],$AI$3:$AK$105,3,FALSE)</f>
        <v>Misc. Income</v>
      </c>
      <c r="AF98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0" spans="18:32" x14ac:dyDescent="0.2">
      <c r="R9810" t="s">
        <v>14</v>
      </c>
      <c r="S9810" t="s">
        <v>354</v>
      </c>
      <c r="T9810" t="s">
        <v>351</v>
      </c>
      <c r="U9810" s="21">
        <v>14583522.109999999</v>
      </c>
      <c r="V9810" s="21" t="s">
        <v>368</v>
      </c>
      <c r="W9810" t="str">
        <f>VLOOKUP(Table_Query_from_Actuarial___Production[[#This Row],[Kor1]],$AI$3:$AK$105,3,FALSE)</f>
        <v>Claims Expense</v>
      </c>
      <c r="X98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810"/>
      <c r="Z9810" t="s">
        <v>41</v>
      </c>
      <c r="AA9810" t="s">
        <v>245</v>
      </c>
      <c r="AB9810" t="s">
        <v>433</v>
      </c>
      <c r="AC9810" s="21">
        <v>50</v>
      </c>
      <c r="AD9810" s="21" t="s">
        <v>368</v>
      </c>
      <c r="AE9810" t="str">
        <f>VLOOKUP(Table_Query_from_Actuarial___Production3[[#This Row],[Kor1]],$AI$3:$AK$105,3,FALSE)</f>
        <v>Misc. Income</v>
      </c>
      <c r="AF98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1" spans="18:32" x14ac:dyDescent="0.2">
      <c r="R9811" t="s">
        <v>12</v>
      </c>
      <c r="S9811" t="s">
        <v>241</v>
      </c>
      <c r="T9811" t="s">
        <v>427</v>
      </c>
      <c r="U9811" s="21">
        <v>15871.6</v>
      </c>
      <c r="V9811" s="21" t="s">
        <v>368</v>
      </c>
      <c r="W9811" t="str">
        <f>VLOOKUP(Table_Query_from_Actuarial___Production[[#This Row],[Kor1]],$AI$3:$AK$105,3,FALSE)</f>
        <v>Premium Tax</v>
      </c>
      <c r="X98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1"/>
      <c r="Z9811" t="s">
        <v>50</v>
      </c>
      <c r="AA9811" t="s">
        <v>236</v>
      </c>
      <c r="AB9811" t="s">
        <v>427</v>
      </c>
      <c r="AC9811" s="21">
        <v>193.82</v>
      </c>
      <c r="AD9811" s="21" t="s">
        <v>368</v>
      </c>
      <c r="AE9811" t="str">
        <f>VLOOKUP(Table_Query_from_Actuarial___Production3[[#This Row],[Kor1]],$AI$3:$AK$105,3,FALSE)</f>
        <v>ALAE Reserve</v>
      </c>
      <c r="AF98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2" spans="18:32" x14ac:dyDescent="0.2">
      <c r="R9812" t="s">
        <v>31</v>
      </c>
      <c r="S9812" t="s">
        <v>262</v>
      </c>
      <c r="T9812" t="s">
        <v>8</v>
      </c>
      <c r="U9812" s="21">
        <v>264.29000000000002</v>
      </c>
      <c r="V9812" s="21" t="s">
        <v>368</v>
      </c>
      <c r="W9812" t="str">
        <f>VLOOKUP(Table_Query_from_Actuarial___Production[[#This Row],[Kor1]],$AI$3:$AK$105,3,FALSE)</f>
        <v>Misc. Expense</v>
      </c>
      <c r="X98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2"/>
      <c r="Z9812" t="s">
        <v>41</v>
      </c>
      <c r="AA9812" t="s">
        <v>247</v>
      </c>
      <c r="AB9812" t="s">
        <v>356</v>
      </c>
      <c r="AC9812" s="21">
        <v>150</v>
      </c>
      <c r="AD9812" s="21" t="s">
        <v>368</v>
      </c>
      <c r="AE9812" t="str">
        <f>VLOOKUP(Table_Query_from_Actuarial___Production3[[#This Row],[Kor1]],$AI$3:$AK$105,3,FALSE)</f>
        <v>Misc. Income</v>
      </c>
      <c r="AF98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3" spans="18:32" x14ac:dyDescent="0.2">
      <c r="R9813" t="s">
        <v>29</v>
      </c>
      <c r="S9813" t="s">
        <v>259</v>
      </c>
      <c r="T9813" t="s">
        <v>433</v>
      </c>
      <c r="U9813" s="21">
        <v>680</v>
      </c>
      <c r="V9813" s="21" t="s">
        <v>368</v>
      </c>
      <c r="W9813" t="str">
        <f>VLOOKUP(Table_Query_from_Actuarial___Production[[#This Row],[Kor1]],$AI$3:$AK$105,3,FALSE)</f>
        <v>Misc. Expense</v>
      </c>
      <c r="X98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3"/>
      <c r="Z9813" t="s">
        <v>43</v>
      </c>
      <c r="AA9813" t="s">
        <v>244</v>
      </c>
      <c r="AB9813" t="s">
        <v>441</v>
      </c>
      <c r="AC9813" s="21">
        <v>514.71</v>
      </c>
      <c r="AD9813" s="21" t="s">
        <v>368</v>
      </c>
      <c r="AE9813" t="str">
        <f>VLOOKUP(Table_Query_from_Actuarial___Production3[[#This Row],[Kor1]],$AI$3:$AK$105,3,FALSE)</f>
        <v>Charge-offs</v>
      </c>
      <c r="AF98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4" spans="18:32" x14ac:dyDescent="0.2">
      <c r="R9814" t="s">
        <v>11</v>
      </c>
      <c r="S9814" t="s">
        <v>231</v>
      </c>
      <c r="T9814" t="s">
        <v>427</v>
      </c>
      <c r="U9814" s="21">
        <v>957645.43</v>
      </c>
      <c r="V9814" s="21" t="s">
        <v>368</v>
      </c>
      <c r="W9814" t="str">
        <f>VLOOKUP(Table_Query_from_Actuarial___Production[[#This Row],[Kor1]],$AI$3:$AK$105,3,FALSE)</f>
        <v>Losses Paid</v>
      </c>
      <c r="X98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4"/>
      <c r="Z9814" t="s">
        <v>47</v>
      </c>
      <c r="AA9814" t="s">
        <v>236</v>
      </c>
      <c r="AB9814" t="s">
        <v>8</v>
      </c>
      <c r="AC9814" s="21">
        <v>0.05</v>
      </c>
      <c r="AD9814" s="21" t="s">
        <v>368</v>
      </c>
      <c r="AE9814" t="str">
        <f>VLOOKUP(Table_Query_from_Actuarial___Production3[[#This Row],[Kor1]],$AI$3:$AK$105,3,FALSE)</f>
        <v>Investment Income</v>
      </c>
      <c r="AF98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5" spans="18:32" x14ac:dyDescent="0.2">
      <c r="R9815" t="s">
        <v>20</v>
      </c>
      <c r="S9815" t="s">
        <v>252</v>
      </c>
      <c r="T9815" t="s">
        <v>427</v>
      </c>
      <c r="U9815" s="21">
        <v>5801.97</v>
      </c>
      <c r="V9815" s="21" t="s">
        <v>368</v>
      </c>
      <c r="W9815" t="str">
        <f>VLOOKUP(Table_Query_from_Actuarial___Production[[#This Row],[Kor1]],$AI$3:$AK$105,3,FALSE)</f>
        <v>Misc. Expense</v>
      </c>
      <c r="X98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5"/>
      <c r="Z9815" t="s">
        <v>49</v>
      </c>
      <c r="AA9815" t="s">
        <v>235</v>
      </c>
      <c r="AB9815" t="s">
        <v>6</v>
      </c>
      <c r="AC9815" s="21">
        <v>42763.9</v>
      </c>
      <c r="AD9815" s="21" t="s">
        <v>368</v>
      </c>
      <c r="AE9815" t="str">
        <f>VLOOKUP(Table_Query_from_Actuarial___Production3[[#This Row],[Kor1]],$AI$3:$AK$105,3,FALSE)</f>
        <v>ALAE Paid</v>
      </c>
      <c r="AF98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6" spans="18:32" x14ac:dyDescent="0.2">
      <c r="R9816" t="s">
        <v>38</v>
      </c>
      <c r="S9816" t="s">
        <v>354</v>
      </c>
      <c r="T9816" t="s">
        <v>7</v>
      </c>
      <c r="U9816" s="21">
        <v>167940.82</v>
      </c>
      <c r="V9816" s="21" t="s">
        <v>369</v>
      </c>
      <c r="W9816" t="str">
        <f>VLOOKUP(Table_Query_from_Actuarial___Production[[#This Row],[Kor1]],$AI$3:$AK$105,3,FALSE)</f>
        <v>Misc. Income</v>
      </c>
      <c r="X98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16"/>
      <c r="Z9816" t="s">
        <v>46</v>
      </c>
      <c r="AA9816" t="s">
        <v>224</v>
      </c>
      <c r="AB9816" t="s">
        <v>433</v>
      </c>
      <c r="AC9816" s="21">
        <v>7618.29</v>
      </c>
      <c r="AD9816" s="21" t="s">
        <v>370</v>
      </c>
      <c r="AE9816" t="str">
        <f>VLOOKUP(Table_Query_from_Actuarial___Production3[[#This Row],[Kor1]],$AI$3:$AK$105,3,FALSE)</f>
        <v>Investment Income</v>
      </c>
      <c r="AF98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817" spans="18:32" x14ac:dyDescent="0.2">
      <c r="R9817" t="s">
        <v>33</v>
      </c>
      <c r="S9817" t="s">
        <v>234</v>
      </c>
      <c r="T9817" t="s">
        <v>443</v>
      </c>
      <c r="U9817" s="21">
        <v>18237.11</v>
      </c>
      <c r="V9817" s="21" t="s">
        <v>368</v>
      </c>
      <c r="W9817" t="str">
        <f>VLOOKUP(Table_Query_from_Actuarial___Production[[#This Row],[Kor1]],$AI$3:$AK$105,3,FALSE)</f>
        <v>Misc. Expense</v>
      </c>
      <c r="X98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7"/>
      <c r="Z9817" t="s">
        <v>12</v>
      </c>
      <c r="AA9817" t="s">
        <v>231</v>
      </c>
      <c r="AB9817" t="s">
        <v>5</v>
      </c>
      <c r="AC9817" s="21">
        <v>693.38</v>
      </c>
      <c r="AD9817" s="21" t="s">
        <v>368</v>
      </c>
      <c r="AE9817" t="str">
        <f>VLOOKUP(Table_Query_from_Actuarial___Production3[[#This Row],[Kor1]],$AI$3:$AK$105,3,FALSE)</f>
        <v>Premium Tax</v>
      </c>
      <c r="AF98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18" spans="18:32" x14ac:dyDescent="0.2">
      <c r="R9818" t="s">
        <v>37</v>
      </c>
      <c r="S9818" t="s">
        <v>257</v>
      </c>
      <c r="T9818" t="s">
        <v>427</v>
      </c>
      <c r="U9818" s="21">
        <v>24415.03</v>
      </c>
      <c r="V9818" s="21" t="s">
        <v>368</v>
      </c>
      <c r="W9818" t="str">
        <f>VLOOKUP(Table_Query_from_Actuarial___Production[[#This Row],[Kor1]],$AI$3:$AK$105,3,FALSE)</f>
        <v>Misc. Expense</v>
      </c>
      <c r="X98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8"/>
      <c r="Z9818" t="s">
        <v>14</v>
      </c>
      <c r="AA9818" t="s">
        <v>354</v>
      </c>
      <c r="AB9818" t="s">
        <v>351</v>
      </c>
      <c r="AC9818" s="21">
        <v>14583879.77</v>
      </c>
      <c r="AD9818" s="21" t="s">
        <v>368</v>
      </c>
      <c r="AE9818" t="str">
        <f>VLOOKUP(Table_Query_from_Actuarial___Production3[[#This Row],[Kor1]],$AI$3:$AK$105,3,FALSE)</f>
        <v>Claims Expense</v>
      </c>
      <c r="AF98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819" spans="18:32" x14ac:dyDescent="0.2">
      <c r="R9819" t="s">
        <v>48</v>
      </c>
      <c r="S9819" t="s">
        <v>262</v>
      </c>
      <c r="T9819" t="s">
        <v>443</v>
      </c>
      <c r="U9819" s="21">
        <v>352.53</v>
      </c>
      <c r="V9819" s="21" t="s">
        <v>368</v>
      </c>
      <c r="W9819" t="str">
        <f>VLOOKUP(Table_Query_from_Actuarial___Production[[#This Row],[Kor1]],$AI$3:$AK$105,3,FALSE)</f>
        <v>Anticipated Salvage</v>
      </c>
      <c r="X98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19"/>
      <c r="Z9819" t="s">
        <v>12</v>
      </c>
      <c r="AA9819" t="s">
        <v>241</v>
      </c>
      <c r="AB9819" t="s">
        <v>427</v>
      </c>
      <c r="AC9819" s="21">
        <v>15871.6</v>
      </c>
      <c r="AD9819" s="21" t="s">
        <v>368</v>
      </c>
      <c r="AE9819" t="str">
        <f>VLOOKUP(Table_Query_from_Actuarial___Production3[[#This Row],[Kor1]],$AI$3:$AK$105,3,FALSE)</f>
        <v>Premium Tax</v>
      </c>
      <c r="AF98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0" spans="18:32" x14ac:dyDescent="0.2">
      <c r="R9820" t="s">
        <v>12</v>
      </c>
      <c r="S9820" t="s">
        <v>248</v>
      </c>
      <c r="T9820" t="s">
        <v>433</v>
      </c>
      <c r="U9820" s="21">
        <v>9809.98</v>
      </c>
      <c r="V9820" s="21" t="s">
        <v>368</v>
      </c>
      <c r="W9820" t="str">
        <f>VLOOKUP(Table_Query_from_Actuarial___Production[[#This Row],[Kor1]],$AI$3:$AK$105,3,FALSE)</f>
        <v>Premium Tax</v>
      </c>
      <c r="X98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0"/>
      <c r="Z9820" t="s">
        <v>31</v>
      </c>
      <c r="AA9820" t="s">
        <v>262</v>
      </c>
      <c r="AB9820" t="s">
        <v>8</v>
      </c>
      <c r="AC9820" s="21">
        <v>264.29000000000002</v>
      </c>
      <c r="AD9820" s="21" t="s">
        <v>368</v>
      </c>
      <c r="AE9820" t="str">
        <f>VLOOKUP(Table_Query_from_Actuarial___Production3[[#This Row],[Kor1]],$AI$3:$AK$105,3,FALSE)</f>
        <v>Misc. Expense</v>
      </c>
      <c r="AF98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1" spans="18:32" x14ac:dyDescent="0.2">
      <c r="R9821" t="s">
        <v>44</v>
      </c>
      <c r="S9821" t="s">
        <v>229</v>
      </c>
      <c r="T9821" t="s">
        <v>7</v>
      </c>
      <c r="U9821" s="21">
        <v>-4</v>
      </c>
      <c r="V9821" s="21" t="s">
        <v>368</v>
      </c>
      <c r="W9821" t="str">
        <f>VLOOKUP(Table_Query_from_Actuarial___Production[[#This Row],[Kor1]],$AI$3:$AK$105,3,FALSE)</f>
        <v>Charge-offs</v>
      </c>
      <c r="X98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1"/>
      <c r="Z9821" t="s">
        <v>21</v>
      </c>
      <c r="AA9821" t="s">
        <v>252</v>
      </c>
      <c r="AB9821" t="s">
        <v>5</v>
      </c>
      <c r="AC9821" s="21">
        <v>8040.09</v>
      </c>
      <c r="AD9821" s="21" t="s">
        <v>368</v>
      </c>
      <c r="AE9821" t="str">
        <f>VLOOKUP(Table_Query_from_Actuarial___Production3[[#This Row],[Kor1]],$AI$3:$AK$105,3,FALSE)</f>
        <v>Misc. Expense</v>
      </c>
      <c r="AF98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2" spans="18:32" x14ac:dyDescent="0.2">
      <c r="R9822" t="s">
        <v>44</v>
      </c>
      <c r="S9822" t="s">
        <v>226</v>
      </c>
      <c r="T9822" t="s">
        <v>442</v>
      </c>
      <c r="U9822" s="21">
        <v>35700.21</v>
      </c>
      <c r="V9822" s="21" t="s">
        <v>368</v>
      </c>
      <c r="W9822" t="str">
        <f>VLOOKUP(Table_Query_from_Actuarial___Production[[#This Row],[Kor1]],$AI$3:$AK$105,3,FALSE)</f>
        <v>Charge-offs</v>
      </c>
      <c r="X98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822"/>
      <c r="Z9822" t="s">
        <v>29</v>
      </c>
      <c r="AA9822" t="s">
        <v>259</v>
      </c>
      <c r="AB9822" t="s">
        <v>433</v>
      </c>
      <c r="AC9822" s="21">
        <v>680</v>
      </c>
      <c r="AD9822" s="21" t="s">
        <v>368</v>
      </c>
      <c r="AE9822" t="str">
        <f>VLOOKUP(Table_Query_from_Actuarial___Production3[[#This Row],[Kor1]],$AI$3:$AK$105,3,FALSE)</f>
        <v>Misc. Expense</v>
      </c>
      <c r="AF98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3" spans="18:32" x14ac:dyDescent="0.2">
      <c r="R9823" t="s">
        <v>39</v>
      </c>
      <c r="S9823" t="s">
        <v>241</v>
      </c>
      <c r="T9823" t="s">
        <v>8</v>
      </c>
      <c r="U9823" s="21">
        <v>514</v>
      </c>
      <c r="V9823" s="21" t="s">
        <v>368</v>
      </c>
      <c r="W9823" t="str">
        <f>VLOOKUP(Table_Query_from_Actuarial___Production[[#This Row],[Kor1]],$AI$3:$AK$105,3,FALSE)</f>
        <v>Misc. Income for Insolvent Companies</v>
      </c>
      <c r="X98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3"/>
      <c r="Z9823" t="s">
        <v>11</v>
      </c>
      <c r="AA9823" t="s">
        <v>231</v>
      </c>
      <c r="AB9823" t="s">
        <v>427</v>
      </c>
      <c r="AC9823" s="21">
        <v>924502.43</v>
      </c>
      <c r="AD9823" s="21" t="s">
        <v>368</v>
      </c>
      <c r="AE9823" t="str">
        <f>VLOOKUP(Table_Query_from_Actuarial___Production3[[#This Row],[Kor1]],$AI$3:$AK$105,3,FALSE)</f>
        <v>Losses Paid</v>
      </c>
      <c r="AF98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4" spans="18:32" x14ac:dyDescent="0.2">
      <c r="R9824" t="s">
        <v>43</v>
      </c>
      <c r="S9824" t="s">
        <v>248</v>
      </c>
      <c r="T9824" t="s">
        <v>8</v>
      </c>
      <c r="U9824" s="21">
        <v>1.04</v>
      </c>
      <c r="V9824" s="21" t="s">
        <v>368</v>
      </c>
      <c r="W9824" t="str">
        <f>VLOOKUP(Table_Query_from_Actuarial___Production[[#This Row],[Kor1]],$AI$3:$AK$105,3,FALSE)</f>
        <v>Charge-offs</v>
      </c>
      <c r="X98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4"/>
      <c r="Z9824" t="s">
        <v>31</v>
      </c>
      <c r="AA9824" t="s">
        <v>264</v>
      </c>
      <c r="AB9824" t="s">
        <v>5</v>
      </c>
      <c r="AC9824" s="21">
        <v>28920.87</v>
      </c>
      <c r="AD9824" s="21" t="s">
        <v>368</v>
      </c>
      <c r="AE9824" t="str">
        <f>VLOOKUP(Table_Query_from_Actuarial___Production3[[#This Row],[Kor1]],$AI$3:$AK$105,3,FALSE)</f>
        <v>Misc. Expense</v>
      </c>
      <c r="AF98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5" spans="18:32" x14ac:dyDescent="0.2">
      <c r="R9825" t="s">
        <v>37</v>
      </c>
      <c r="S9825" t="s">
        <v>264</v>
      </c>
      <c r="T9825" t="s">
        <v>351</v>
      </c>
      <c r="U9825" s="21">
        <v>1366.17</v>
      </c>
      <c r="V9825" s="21" t="s">
        <v>368</v>
      </c>
      <c r="W9825" t="str">
        <f>VLOOKUP(Table_Query_from_Actuarial___Production[[#This Row],[Kor1]],$AI$3:$AK$105,3,FALSE)</f>
        <v>Misc. Expense</v>
      </c>
      <c r="X98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5"/>
      <c r="Z9825" t="s">
        <v>20</v>
      </c>
      <c r="AA9825" t="s">
        <v>252</v>
      </c>
      <c r="AB9825" t="s">
        <v>427</v>
      </c>
      <c r="AC9825" s="21">
        <v>5801.97</v>
      </c>
      <c r="AD9825" s="21" t="s">
        <v>368</v>
      </c>
      <c r="AE9825" t="str">
        <f>VLOOKUP(Table_Query_from_Actuarial___Production3[[#This Row],[Kor1]],$AI$3:$AK$105,3,FALSE)</f>
        <v>Misc. Expense</v>
      </c>
      <c r="AF98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6" spans="18:32" x14ac:dyDescent="0.2">
      <c r="R9826" t="s">
        <v>10</v>
      </c>
      <c r="S9826" t="s">
        <v>252</v>
      </c>
      <c r="T9826" t="s">
        <v>433</v>
      </c>
      <c r="U9826" s="21">
        <v>2372372.0099999998</v>
      </c>
      <c r="V9826" s="21" t="s">
        <v>368</v>
      </c>
      <c r="W9826" t="str">
        <f>VLOOKUP(Table_Query_from_Actuarial___Production[[#This Row],[Kor1]],$AI$3:$AK$105,3,FALSE)</f>
        <v>Commissions</v>
      </c>
      <c r="X98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6"/>
      <c r="Z9826" t="s">
        <v>38</v>
      </c>
      <c r="AA9826" t="s">
        <v>354</v>
      </c>
      <c r="AB9826" t="s">
        <v>7</v>
      </c>
      <c r="AC9826" s="21">
        <v>167940.82</v>
      </c>
      <c r="AD9826" s="21" t="s">
        <v>369</v>
      </c>
      <c r="AE9826" t="str">
        <f>VLOOKUP(Table_Query_from_Actuarial___Production3[[#This Row],[Kor1]],$AI$3:$AK$105,3,FALSE)</f>
        <v>Misc. Income</v>
      </c>
      <c r="AF98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827" spans="18:32" x14ac:dyDescent="0.2">
      <c r="R9827" t="s">
        <v>50</v>
      </c>
      <c r="S9827" t="s">
        <v>252</v>
      </c>
      <c r="T9827" t="s">
        <v>351</v>
      </c>
      <c r="U9827" s="21">
        <v>143599.04999999999</v>
      </c>
      <c r="V9827" s="21" t="s">
        <v>368</v>
      </c>
      <c r="W9827" t="str">
        <f>VLOOKUP(Table_Query_from_Actuarial___Production[[#This Row],[Kor1]],$AI$3:$AK$105,3,FALSE)</f>
        <v>ALAE Reserve</v>
      </c>
      <c r="X98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7"/>
      <c r="Z9827" t="s">
        <v>33</v>
      </c>
      <c r="AA9827" t="s">
        <v>234</v>
      </c>
      <c r="AB9827" t="s">
        <v>443</v>
      </c>
      <c r="AC9827" s="21">
        <v>9318</v>
      </c>
      <c r="AD9827" s="21" t="s">
        <v>368</v>
      </c>
      <c r="AE9827" t="str">
        <f>VLOOKUP(Table_Query_from_Actuarial___Production3[[#This Row],[Kor1]],$AI$3:$AK$105,3,FALSE)</f>
        <v>Misc. Expense</v>
      </c>
      <c r="AF98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8" spans="18:32" x14ac:dyDescent="0.2">
      <c r="R9828" t="s">
        <v>10</v>
      </c>
      <c r="S9828" t="s">
        <v>267</v>
      </c>
      <c r="T9828" t="s">
        <v>8</v>
      </c>
      <c r="U9828" s="21">
        <v>11963.44</v>
      </c>
      <c r="V9828" s="21" t="s">
        <v>368</v>
      </c>
      <c r="W9828" t="str">
        <f>VLOOKUP(Table_Query_from_Actuarial___Production[[#This Row],[Kor1]],$AI$3:$AK$105,3,FALSE)</f>
        <v>Commissions</v>
      </c>
      <c r="X98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8"/>
      <c r="Z9828" t="s">
        <v>37</v>
      </c>
      <c r="AA9828" t="s">
        <v>257</v>
      </c>
      <c r="AB9828" t="s">
        <v>427</v>
      </c>
      <c r="AC9828" s="21">
        <v>24415.03</v>
      </c>
      <c r="AD9828" s="21" t="s">
        <v>368</v>
      </c>
      <c r="AE9828" t="str">
        <f>VLOOKUP(Table_Query_from_Actuarial___Production3[[#This Row],[Kor1]],$AI$3:$AK$105,3,FALSE)</f>
        <v>Misc. Expense</v>
      </c>
      <c r="AF98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29" spans="18:32" x14ac:dyDescent="0.2">
      <c r="R9829" t="s">
        <v>12</v>
      </c>
      <c r="S9829" t="s">
        <v>230</v>
      </c>
      <c r="T9829" t="s">
        <v>442</v>
      </c>
      <c r="U9829" s="21">
        <v>297967.55</v>
      </c>
      <c r="V9829" s="21" t="s">
        <v>368</v>
      </c>
      <c r="W9829" t="str">
        <f>VLOOKUP(Table_Query_from_Actuarial___Production[[#This Row],[Kor1]],$AI$3:$AK$105,3,FALSE)</f>
        <v>Premium Tax</v>
      </c>
      <c r="X98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29"/>
      <c r="Z9829" t="s">
        <v>48</v>
      </c>
      <c r="AA9829" t="s">
        <v>262</v>
      </c>
      <c r="AB9829" t="s">
        <v>443</v>
      </c>
      <c r="AC9829" s="21">
        <v>86.32</v>
      </c>
      <c r="AD9829" s="21" t="s">
        <v>368</v>
      </c>
      <c r="AE9829" t="str">
        <f>VLOOKUP(Table_Query_from_Actuarial___Production3[[#This Row],[Kor1]],$AI$3:$AK$105,3,FALSE)</f>
        <v>Anticipated Salvage</v>
      </c>
      <c r="AF98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0" spans="18:32" x14ac:dyDescent="0.2">
      <c r="R9830" t="s">
        <v>43</v>
      </c>
      <c r="S9830" t="s">
        <v>267</v>
      </c>
      <c r="T9830" t="s">
        <v>442</v>
      </c>
      <c r="U9830" s="21">
        <v>18.5</v>
      </c>
      <c r="V9830" s="21" t="s">
        <v>368</v>
      </c>
      <c r="W9830" t="str">
        <f>VLOOKUP(Table_Query_from_Actuarial___Production[[#This Row],[Kor1]],$AI$3:$AK$105,3,FALSE)</f>
        <v>Charge-offs</v>
      </c>
      <c r="X98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0"/>
      <c r="Z9830" t="s">
        <v>12</v>
      </c>
      <c r="AA9830" t="s">
        <v>248</v>
      </c>
      <c r="AB9830" t="s">
        <v>433</v>
      </c>
      <c r="AC9830" s="21">
        <v>9809.98</v>
      </c>
      <c r="AD9830" s="21" t="s">
        <v>368</v>
      </c>
      <c r="AE9830" t="str">
        <f>VLOOKUP(Table_Query_from_Actuarial___Production3[[#This Row],[Kor1]],$AI$3:$AK$105,3,FALSE)</f>
        <v>Premium Tax</v>
      </c>
      <c r="AF98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1" spans="18:32" x14ac:dyDescent="0.2">
      <c r="R9831" t="s">
        <v>14</v>
      </c>
      <c r="S9831" t="s">
        <v>224</v>
      </c>
      <c r="T9831" t="s">
        <v>356</v>
      </c>
      <c r="U9831" s="21">
        <v>12819.95</v>
      </c>
      <c r="V9831" s="21" t="s">
        <v>369</v>
      </c>
      <c r="W9831" t="str">
        <f>VLOOKUP(Table_Query_from_Actuarial___Production[[#This Row],[Kor1]],$AI$3:$AK$105,3,FALSE)</f>
        <v>Claims Expense</v>
      </c>
      <c r="X98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831"/>
      <c r="Z9831" t="s">
        <v>44</v>
      </c>
      <c r="AA9831" t="s">
        <v>229</v>
      </c>
      <c r="AB9831" t="s">
        <v>7</v>
      </c>
      <c r="AC9831" s="21">
        <v>-4</v>
      </c>
      <c r="AD9831" s="21" t="s">
        <v>368</v>
      </c>
      <c r="AE9831" t="str">
        <f>VLOOKUP(Table_Query_from_Actuarial___Production3[[#This Row],[Kor1]],$AI$3:$AK$105,3,FALSE)</f>
        <v>Charge-offs</v>
      </c>
      <c r="AF98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2" spans="18:32" x14ac:dyDescent="0.2">
      <c r="R9832" t="s">
        <v>44</v>
      </c>
      <c r="S9832" t="s">
        <v>251</v>
      </c>
      <c r="T9832" t="s">
        <v>427</v>
      </c>
      <c r="U9832" s="21">
        <v>7713</v>
      </c>
      <c r="V9832" s="21" t="s">
        <v>368</v>
      </c>
      <c r="W9832" t="str">
        <f>VLOOKUP(Table_Query_from_Actuarial___Production[[#This Row],[Kor1]],$AI$3:$AK$105,3,FALSE)</f>
        <v>Charge-offs</v>
      </c>
      <c r="X98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2"/>
      <c r="Z9832" t="s">
        <v>44</v>
      </c>
      <c r="AA9832" t="s">
        <v>226</v>
      </c>
      <c r="AB9832" t="s">
        <v>442</v>
      </c>
      <c r="AC9832" s="21">
        <v>35700.21</v>
      </c>
      <c r="AD9832" s="21" t="s">
        <v>368</v>
      </c>
      <c r="AE9832" t="str">
        <f>VLOOKUP(Table_Query_from_Actuarial___Production3[[#This Row],[Kor1]],$AI$3:$AK$105,3,FALSE)</f>
        <v>Charge-offs</v>
      </c>
      <c r="AF98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833" spans="18:32" x14ac:dyDescent="0.2">
      <c r="R9833" t="s">
        <v>46</v>
      </c>
      <c r="S9833" t="s">
        <v>224</v>
      </c>
      <c r="T9833" t="s">
        <v>445</v>
      </c>
      <c r="U9833" s="21">
        <v>25209.53</v>
      </c>
      <c r="V9833" s="21" t="s">
        <v>368</v>
      </c>
      <c r="W9833" t="str">
        <f>VLOOKUP(Table_Query_from_Actuarial___Production[[#This Row],[Kor1]],$AI$3:$AK$105,3,FALSE)</f>
        <v>Investment Income</v>
      </c>
      <c r="X98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833"/>
      <c r="Z9833" t="s">
        <v>39</v>
      </c>
      <c r="AA9833" t="s">
        <v>241</v>
      </c>
      <c r="AB9833" t="s">
        <v>8</v>
      </c>
      <c r="AC9833" s="21">
        <v>514</v>
      </c>
      <c r="AD9833" s="21" t="s">
        <v>368</v>
      </c>
      <c r="AE9833" t="str">
        <f>VLOOKUP(Table_Query_from_Actuarial___Production3[[#This Row],[Kor1]],$AI$3:$AK$105,3,FALSE)</f>
        <v>Misc. Income for Insolvent Companies</v>
      </c>
      <c r="AF98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4" spans="18:32" x14ac:dyDescent="0.2">
      <c r="R9834" t="s">
        <v>37</v>
      </c>
      <c r="S9834" t="s">
        <v>234</v>
      </c>
      <c r="T9834" t="s">
        <v>8</v>
      </c>
      <c r="U9834" s="21">
        <v>259.33</v>
      </c>
      <c r="V9834" s="21" t="s">
        <v>368</v>
      </c>
      <c r="W9834" t="str">
        <f>VLOOKUP(Table_Query_from_Actuarial___Production[[#This Row],[Kor1]],$AI$3:$AK$105,3,FALSE)</f>
        <v>Misc. Expense</v>
      </c>
      <c r="X98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4"/>
      <c r="Z9834" t="s">
        <v>43</v>
      </c>
      <c r="AA9834" t="s">
        <v>248</v>
      </c>
      <c r="AB9834" t="s">
        <v>8</v>
      </c>
      <c r="AC9834" s="21">
        <v>1.04</v>
      </c>
      <c r="AD9834" s="21" t="s">
        <v>368</v>
      </c>
      <c r="AE9834" t="str">
        <f>VLOOKUP(Table_Query_from_Actuarial___Production3[[#This Row],[Kor1]],$AI$3:$AK$105,3,FALSE)</f>
        <v>Charge-offs</v>
      </c>
      <c r="AF98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5" spans="18:32" x14ac:dyDescent="0.2">
      <c r="R9835" t="s">
        <v>27</v>
      </c>
      <c r="S9835" t="s">
        <v>259</v>
      </c>
      <c r="T9835" t="s">
        <v>9</v>
      </c>
      <c r="U9835" s="21">
        <v>913.65</v>
      </c>
      <c r="V9835" s="21" t="s">
        <v>368</v>
      </c>
      <c r="W9835" t="str">
        <f>VLOOKUP(Table_Query_from_Actuarial___Production[[#This Row],[Kor1]],$AI$3:$AK$105,3,FALSE)</f>
        <v>Misc. Expense</v>
      </c>
      <c r="X98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5"/>
      <c r="Z9835" t="s">
        <v>37</v>
      </c>
      <c r="AA9835" t="s">
        <v>264</v>
      </c>
      <c r="AB9835" t="s">
        <v>351</v>
      </c>
      <c r="AC9835" s="21">
        <v>1366.17</v>
      </c>
      <c r="AD9835" s="21" t="s">
        <v>368</v>
      </c>
      <c r="AE9835" t="str">
        <f>VLOOKUP(Table_Query_from_Actuarial___Production3[[#This Row],[Kor1]],$AI$3:$AK$105,3,FALSE)</f>
        <v>Misc. Expense</v>
      </c>
      <c r="AF98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6" spans="18:32" x14ac:dyDescent="0.2">
      <c r="R9836" t="s">
        <v>31</v>
      </c>
      <c r="S9836" t="s">
        <v>239</v>
      </c>
      <c r="T9836" t="s">
        <v>445</v>
      </c>
      <c r="U9836" s="21">
        <v>2951.52</v>
      </c>
      <c r="V9836" s="21" t="s">
        <v>368</v>
      </c>
      <c r="W9836" t="str">
        <f>VLOOKUP(Table_Query_from_Actuarial___Production[[#This Row],[Kor1]],$AI$3:$AK$105,3,FALSE)</f>
        <v>Misc. Expense</v>
      </c>
      <c r="X98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6"/>
      <c r="Z9836" t="s">
        <v>10</v>
      </c>
      <c r="AA9836" t="s">
        <v>252</v>
      </c>
      <c r="AB9836" t="s">
        <v>433</v>
      </c>
      <c r="AC9836" s="21">
        <v>2369665.7400000002</v>
      </c>
      <c r="AD9836" s="21" t="s">
        <v>368</v>
      </c>
      <c r="AE9836" t="str">
        <f>VLOOKUP(Table_Query_from_Actuarial___Production3[[#This Row],[Kor1]],$AI$3:$AK$105,3,FALSE)</f>
        <v>Commissions</v>
      </c>
      <c r="AF98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7" spans="18:32" x14ac:dyDescent="0.2">
      <c r="R9837" t="s">
        <v>31</v>
      </c>
      <c r="S9837" t="s">
        <v>259</v>
      </c>
      <c r="T9837" t="s">
        <v>427</v>
      </c>
      <c r="U9837" s="21">
        <v>451.99</v>
      </c>
      <c r="V9837" s="21" t="s">
        <v>368</v>
      </c>
      <c r="W9837" t="str">
        <f>VLOOKUP(Table_Query_from_Actuarial___Production[[#This Row],[Kor1]],$AI$3:$AK$105,3,FALSE)</f>
        <v>Misc. Expense</v>
      </c>
      <c r="X98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7"/>
      <c r="Z9837" t="s">
        <v>50</v>
      </c>
      <c r="AA9837" t="s">
        <v>252</v>
      </c>
      <c r="AB9837" t="s">
        <v>351</v>
      </c>
      <c r="AC9837" s="21">
        <v>269281.86</v>
      </c>
      <c r="AD9837" s="21" t="s">
        <v>368</v>
      </c>
      <c r="AE9837" t="str">
        <f>VLOOKUP(Table_Query_from_Actuarial___Production3[[#This Row],[Kor1]],$AI$3:$AK$105,3,FALSE)</f>
        <v>ALAE Reserve</v>
      </c>
      <c r="AF98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8" spans="18:32" x14ac:dyDescent="0.2">
      <c r="R9838" t="s">
        <v>49</v>
      </c>
      <c r="S9838" t="s">
        <v>264</v>
      </c>
      <c r="T9838" t="s">
        <v>351</v>
      </c>
      <c r="U9838" s="21">
        <v>17832.37</v>
      </c>
      <c r="V9838" s="21" t="s">
        <v>368</v>
      </c>
      <c r="W9838" t="str">
        <f>VLOOKUP(Table_Query_from_Actuarial___Production[[#This Row],[Kor1]],$AI$3:$AK$105,3,FALSE)</f>
        <v>ALAE Paid</v>
      </c>
      <c r="X98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8"/>
      <c r="Z9838" t="s">
        <v>10</v>
      </c>
      <c r="AA9838" t="s">
        <v>267</v>
      </c>
      <c r="AB9838" t="s">
        <v>8</v>
      </c>
      <c r="AC9838" s="21">
        <v>11963.44</v>
      </c>
      <c r="AD9838" s="21" t="s">
        <v>368</v>
      </c>
      <c r="AE9838" t="str">
        <f>VLOOKUP(Table_Query_from_Actuarial___Production3[[#This Row],[Kor1]],$AI$3:$AK$105,3,FALSE)</f>
        <v>Commissions</v>
      </c>
      <c r="AF98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39" spans="18:32" x14ac:dyDescent="0.2">
      <c r="R9839" t="s">
        <v>11</v>
      </c>
      <c r="S9839" t="s">
        <v>258</v>
      </c>
      <c r="T9839" t="s">
        <v>8</v>
      </c>
      <c r="U9839" s="21">
        <v>2088061.47</v>
      </c>
      <c r="V9839" s="21" t="s">
        <v>368</v>
      </c>
      <c r="W9839" t="str">
        <f>VLOOKUP(Table_Query_from_Actuarial___Production[[#This Row],[Kor1]],$AI$3:$AK$105,3,FALSE)</f>
        <v>Losses Paid</v>
      </c>
      <c r="X98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39"/>
      <c r="Z9839" t="s">
        <v>12</v>
      </c>
      <c r="AA9839" t="s">
        <v>230</v>
      </c>
      <c r="AB9839" t="s">
        <v>442</v>
      </c>
      <c r="AC9839" s="21">
        <v>293134.86</v>
      </c>
      <c r="AD9839" s="21" t="s">
        <v>368</v>
      </c>
      <c r="AE9839" t="str">
        <f>VLOOKUP(Table_Query_from_Actuarial___Production3[[#This Row],[Kor1]],$AI$3:$AK$105,3,FALSE)</f>
        <v>Premium Tax</v>
      </c>
      <c r="AF98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0" spans="18:32" x14ac:dyDescent="0.2">
      <c r="R9840" t="s">
        <v>12</v>
      </c>
      <c r="S9840" t="s">
        <v>249</v>
      </c>
      <c r="T9840" t="s">
        <v>427</v>
      </c>
      <c r="U9840" s="21">
        <v>17244.419999999998</v>
      </c>
      <c r="V9840" s="21" t="s">
        <v>368</v>
      </c>
      <c r="W9840" t="str">
        <f>VLOOKUP(Table_Query_from_Actuarial___Production[[#This Row],[Kor1]],$AI$3:$AK$105,3,FALSE)</f>
        <v>Premium Tax</v>
      </c>
      <c r="X98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0"/>
      <c r="Z9840" t="s">
        <v>31</v>
      </c>
      <c r="AA9840" t="s">
        <v>235</v>
      </c>
      <c r="AB9840" t="s">
        <v>5</v>
      </c>
      <c r="AC9840" s="21">
        <v>2329</v>
      </c>
      <c r="AD9840" s="21" t="s">
        <v>368</v>
      </c>
      <c r="AE9840" t="str">
        <f>VLOOKUP(Table_Query_from_Actuarial___Production3[[#This Row],[Kor1]],$AI$3:$AK$105,3,FALSE)</f>
        <v>Misc. Expense</v>
      </c>
      <c r="AF98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1" spans="18:32" x14ac:dyDescent="0.2">
      <c r="R9841" t="s">
        <v>31</v>
      </c>
      <c r="S9841" t="s">
        <v>247</v>
      </c>
      <c r="T9841" t="s">
        <v>6</v>
      </c>
      <c r="U9841" s="21">
        <v>630.25</v>
      </c>
      <c r="V9841" s="21" t="s">
        <v>368</v>
      </c>
      <c r="W9841" t="str">
        <f>VLOOKUP(Table_Query_from_Actuarial___Production[[#This Row],[Kor1]],$AI$3:$AK$105,3,FALSE)</f>
        <v>Misc. Expense</v>
      </c>
      <c r="X98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1"/>
      <c r="Z9841" t="s">
        <v>43</v>
      </c>
      <c r="AA9841" t="s">
        <v>267</v>
      </c>
      <c r="AB9841" t="s">
        <v>442</v>
      </c>
      <c r="AC9841" s="21">
        <v>-53.8</v>
      </c>
      <c r="AD9841" s="21" t="s">
        <v>368</v>
      </c>
      <c r="AE9841" t="str">
        <f>VLOOKUP(Table_Query_from_Actuarial___Production3[[#This Row],[Kor1]],$AI$3:$AK$105,3,FALSE)</f>
        <v>Charge-offs</v>
      </c>
      <c r="AF98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2" spans="18:32" x14ac:dyDescent="0.2">
      <c r="R9842" t="s">
        <v>33</v>
      </c>
      <c r="S9842" t="s">
        <v>260</v>
      </c>
      <c r="T9842" t="s">
        <v>9</v>
      </c>
      <c r="U9842" s="21">
        <v>15740.34</v>
      </c>
      <c r="V9842" s="21" t="s">
        <v>368</v>
      </c>
      <c r="W9842" t="str">
        <f>VLOOKUP(Table_Query_from_Actuarial___Production[[#This Row],[Kor1]],$AI$3:$AK$105,3,FALSE)</f>
        <v>Misc. Expense</v>
      </c>
      <c r="X98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2"/>
      <c r="Z9842" t="s">
        <v>14</v>
      </c>
      <c r="AA9842" t="s">
        <v>224</v>
      </c>
      <c r="AB9842" t="s">
        <v>356</v>
      </c>
      <c r="AC9842" s="21">
        <v>13010.21</v>
      </c>
      <c r="AD9842" s="21" t="s">
        <v>369</v>
      </c>
      <c r="AE9842" t="str">
        <f>VLOOKUP(Table_Query_from_Actuarial___Production3[[#This Row],[Kor1]],$AI$3:$AK$105,3,FALSE)</f>
        <v>Claims Expense</v>
      </c>
      <c r="AF98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843" spans="18:32" x14ac:dyDescent="0.2">
      <c r="R9843" t="s">
        <v>3</v>
      </c>
      <c r="S9843" t="s">
        <v>260</v>
      </c>
      <c r="T9843" t="s">
        <v>7</v>
      </c>
      <c r="U9843" s="21">
        <v>32611</v>
      </c>
      <c r="V9843" s="21" t="s">
        <v>368</v>
      </c>
      <c r="W9843" t="str">
        <f>VLOOKUP(Table_Query_from_Actuarial___Production[[#This Row],[Kor1]],$AI$3:$AK$105,3,FALSE)</f>
        <v>Premiums Written</v>
      </c>
      <c r="X98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3"/>
      <c r="Z9843" t="s">
        <v>13</v>
      </c>
      <c r="AA9843" t="s">
        <v>245</v>
      </c>
      <c r="AB9843" t="s">
        <v>5</v>
      </c>
      <c r="AC9843" s="21">
        <v>5724.58</v>
      </c>
      <c r="AD9843" s="21" t="s">
        <v>368</v>
      </c>
      <c r="AE9843" t="str">
        <f>VLOOKUP(Table_Query_from_Actuarial___Production3[[#This Row],[Kor1]],$AI$3:$AK$105,3,FALSE)</f>
        <v>Operating Service Fees</v>
      </c>
      <c r="AF98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4" spans="18:32" x14ac:dyDescent="0.2">
      <c r="R9844" t="s">
        <v>44</v>
      </c>
      <c r="S9844" t="s">
        <v>267</v>
      </c>
      <c r="T9844" t="s">
        <v>442</v>
      </c>
      <c r="U9844" s="21">
        <v>-3</v>
      </c>
      <c r="V9844" s="21" t="s">
        <v>368</v>
      </c>
      <c r="W9844" t="str">
        <f>VLOOKUP(Table_Query_from_Actuarial___Production[[#This Row],[Kor1]],$AI$3:$AK$105,3,FALSE)</f>
        <v>Charge-offs</v>
      </c>
      <c r="X98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4"/>
      <c r="Z9844" t="s">
        <v>44</v>
      </c>
      <c r="AA9844" t="s">
        <v>251</v>
      </c>
      <c r="AB9844" t="s">
        <v>427</v>
      </c>
      <c r="AC9844" s="21">
        <v>7713</v>
      </c>
      <c r="AD9844" s="21" t="s">
        <v>368</v>
      </c>
      <c r="AE9844" t="str">
        <f>VLOOKUP(Table_Query_from_Actuarial___Production3[[#This Row],[Kor1]],$AI$3:$AK$105,3,FALSE)</f>
        <v>Charge-offs</v>
      </c>
      <c r="AF98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5" spans="18:32" x14ac:dyDescent="0.2">
      <c r="R9845" t="s">
        <v>10</v>
      </c>
      <c r="S9845" t="s">
        <v>264</v>
      </c>
      <c r="T9845" t="s">
        <v>9</v>
      </c>
      <c r="U9845" s="21">
        <v>151543.45000000001</v>
      </c>
      <c r="V9845" s="21" t="s">
        <v>368</v>
      </c>
      <c r="W9845" t="str">
        <f>VLOOKUP(Table_Query_from_Actuarial___Production[[#This Row],[Kor1]],$AI$3:$AK$105,3,FALSE)</f>
        <v>Commissions</v>
      </c>
      <c r="X98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5"/>
      <c r="Z9845" t="s">
        <v>37</v>
      </c>
      <c r="AA9845" t="s">
        <v>234</v>
      </c>
      <c r="AB9845" t="s">
        <v>8</v>
      </c>
      <c r="AC9845" s="21">
        <v>259.33</v>
      </c>
      <c r="AD9845" s="21" t="s">
        <v>368</v>
      </c>
      <c r="AE9845" t="str">
        <f>VLOOKUP(Table_Query_from_Actuarial___Production3[[#This Row],[Kor1]],$AI$3:$AK$105,3,FALSE)</f>
        <v>Misc. Expense</v>
      </c>
      <c r="AF98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6" spans="18:32" x14ac:dyDescent="0.2">
      <c r="R9846" t="s">
        <v>41</v>
      </c>
      <c r="S9846" t="s">
        <v>233</v>
      </c>
      <c r="T9846" t="s">
        <v>6</v>
      </c>
      <c r="U9846" s="21">
        <v>99.99</v>
      </c>
      <c r="V9846" s="21" t="s">
        <v>368</v>
      </c>
      <c r="W9846" t="str">
        <f>VLOOKUP(Table_Query_from_Actuarial___Production[[#This Row],[Kor1]],$AI$3:$AK$105,3,FALSE)</f>
        <v>Misc. Income</v>
      </c>
      <c r="X98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6"/>
      <c r="Z9846" t="s">
        <v>27</v>
      </c>
      <c r="AA9846" t="s">
        <v>259</v>
      </c>
      <c r="AB9846" t="s">
        <v>9</v>
      </c>
      <c r="AC9846" s="21">
        <v>913.65</v>
      </c>
      <c r="AD9846" s="21" t="s">
        <v>368</v>
      </c>
      <c r="AE9846" t="str">
        <f>VLOOKUP(Table_Query_from_Actuarial___Production3[[#This Row],[Kor1]],$AI$3:$AK$105,3,FALSE)</f>
        <v>Misc. Expense</v>
      </c>
      <c r="AF98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7" spans="18:32" x14ac:dyDescent="0.2">
      <c r="R9847" t="s">
        <v>43</v>
      </c>
      <c r="S9847" t="s">
        <v>259</v>
      </c>
      <c r="T9847" t="s">
        <v>441</v>
      </c>
      <c r="U9847" s="21">
        <v>-4386.7700000000004</v>
      </c>
      <c r="V9847" s="21" t="s">
        <v>368</v>
      </c>
      <c r="W9847" t="str">
        <f>VLOOKUP(Table_Query_from_Actuarial___Production[[#This Row],[Kor1]],$AI$3:$AK$105,3,FALSE)</f>
        <v>Charge-offs</v>
      </c>
      <c r="X98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7"/>
      <c r="Z9847" t="s">
        <v>31</v>
      </c>
      <c r="AA9847" t="s">
        <v>259</v>
      </c>
      <c r="AB9847" t="s">
        <v>427</v>
      </c>
      <c r="AC9847" s="21">
        <v>451.99</v>
      </c>
      <c r="AD9847" s="21" t="s">
        <v>368</v>
      </c>
      <c r="AE9847" t="str">
        <f>VLOOKUP(Table_Query_from_Actuarial___Production3[[#This Row],[Kor1]],$AI$3:$AK$105,3,FALSE)</f>
        <v>Misc. Expense</v>
      </c>
      <c r="AF98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8" spans="18:32" x14ac:dyDescent="0.2">
      <c r="R9848" t="s">
        <v>14</v>
      </c>
      <c r="S9848" t="s">
        <v>227</v>
      </c>
      <c r="T9848" t="s">
        <v>356</v>
      </c>
      <c r="U9848" s="21">
        <v>3978.25</v>
      </c>
      <c r="V9848" s="21" t="s">
        <v>368</v>
      </c>
      <c r="W9848" t="str">
        <f>VLOOKUP(Table_Query_from_Actuarial___Production[[#This Row],[Kor1]],$AI$3:$AK$105,3,FALSE)</f>
        <v>Claims Expense</v>
      </c>
      <c r="X98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8"/>
      <c r="Z9848" t="s">
        <v>49</v>
      </c>
      <c r="AA9848" t="s">
        <v>264</v>
      </c>
      <c r="AB9848" t="s">
        <v>351</v>
      </c>
      <c r="AC9848" s="21">
        <v>17832.37</v>
      </c>
      <c r="AD9848" s="21" t="s">
        <v>368</v>
      </c>
      <c r="AE9848" t="str">
        <f>VLOOKUP(Table_Query_from_Actuarial___Production3[[#This Row],[Kor1]],$AI$3:$AK$105,3,FALSE)</f>
        <v>ALAE Paid</v>
      </c>
      <c r="AF98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49" spans="18:32" x14ac:dyDescent="0.2">
      <c r="R9849" t="s">
        <v>16</v>
      </c>
      <c r="S9849" t="s">
        <v>265</v>
      </c>
      <c r="T9849" t="s">
        <v>433</v>
      </c>
      <c r="U9849" s="21">
        <v>207426.41</v>
      </c>
      <c r="V9849" s="21" t="s">
        <v>368</v>
      </c>
      <c r="W9849" t="str">
        <f>VLOOKUP(Table_Query_from_Actuarial___Production[[#This Row],[Kor1]],$AI$3:$AK$105,3,FALSE)</f>
        <v>Losses Outstanding</v>
      </c>
      <c r="X98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49"/>
      <c r="Z9849" t="s">
        <v>11</v>
      </c>
      <c r="AA9849" t="s">
        <v>258</v>
      </c>
      <c r="AB9849" t="s">
        <v>8</v>
      </c>
      <c r="AC9849" s="21">
        <v>2089268.08</v>
      </c>
      <c r="AD9849" s="21" t="s">
        <v>368</v>
      </c>
      <c r="AE9849" t="str">
        <f>VLOOKUP(Table_Query_from_Actuarial___Production3[[#This Row],[Kor1]],$AI$3:$AK$105,3,FALSE)</f>
        <v>Losses Paid</v>
      </c>
      <c r="AF98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0" spans="18:32" x14ac:dyDescent="0.2">
      <c r="R9850" t="s">
        <v>43</v>
      </c>
      <c r="S9850" t="s">
        <v>244</v>
      </c>
      <c r="T9850" t="s">
        <v>351</v>
      </c>
      <c r="U9850" s="21">
        <v>0.12</v>
      </c>
      <c r="V9850" s="21" t="s">
        <v>368</v>
      </c>
      <c r="W9850" t="str">
        <f>VLOOKUP(Table_Query_from_Actuarial___Production[[#This Row],[Kor1]],$AI$3:$AK$105,3,FALSE)</f>
        <v>Charge-offs</v>
      </c>
      <c r="X98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0"/>
      <c r="Z9850" t="s">
        <v>12</v>
      </c>
      <c r="AA9850" t="s">
        <v>249</v>
      </c>
      <c r="AB9850" t="s">
        <v>427</v>
      </c>
      <c r="AC9850" s="21">
        <v>17244.419999999998</v>
      </c>
      <c r="AD9850" s="21" t="s">
        <v>368</v>
      </c>
      <c r="AE9850" t="str">
        <f>VLOOKUP(Table_Query_from_Actuarial___Production3[[#This Row],[Kor1]],$AI$3:$AK$105,3,FALSE)</f>
        <v>Premium Tax</v>
      </c>
      <c r="AF98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1" spans="18:32" x14ac:dyDescent="0.2">
      <c r="R9851" t="s">
        <v>34</v>
      </c>
      <c r="S9851" t="s">
        <v>235</v>
      </c>
      <c r="T9851" t="s">
        <v>351</v>
      </c>
      <c r="U9851" s="21">
        <v>1197.3699999999999</v>
      </c>
      <c r="V9851" s="21" t="s">
        <v>368</v>
      </c>
      <c r="W9851" t="str">
        <f>VLOOKUP(Table_Query_from_Actuarial___Production[[#This Row],[Kor1]],$AI$3:$AK$105,3,FALSE)</f>
        <v>Misc. Expense</v>
      </c>
      <c r="X98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1"/>
      <c r="Z9851" t="s">
        <v>31</v>
      </c>
      <c r="AA9851" t="s">
        <v>247</v>
      </c>
      <c r="AB9851" t="s">
        <v>6</v>
      </c>
      <c r="AC9851" s="21">
        <v>630.25</v>
      </c>
      <c r="AD9851" s="21" t="s">
        <v>368</v>
      </c>
      <c r="AE9851" t="str">
        <f>VLOOKUP(Table_Query_from_Actuarial___Production3[[#This Row],[Kor1]],$AI$3:$AK$105,3,FALSE)</f>
        <v>Misc. Expense</v>
      </c>
      <c r="AF98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2" spans="18:32" x14ac:dyDescent="0.2">
      <c r="R9852" t="s">
        <v>48</v>
      </c>
      <c r="S9852" t="s">
        <v>247</v>
      </c>
      <c r="T9852" t="s">
        <v>443</v>
      </c>
      <c r="U9852" s="21">
        <v>7.46</v>
      </c>
      <c r="V9852" s="21" t="s">
        <v>368</v>
      </c>
      <c r="W9852" t="str">
        <f>VLOOKUP(Table_Query_from_Actuarial___Production[[#This Row],[Kor1]],$AI$3:$AK$105,3,FALSE)</f>
        <v>Anticipated Salvage</v>
      </c>
      <c r="X98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2"/>
      <c r="Z9852" t="s">
        <v>33</v>
      </c>
      <c r="AA9852" t="s">
        <v>260</v>
      </c>
      <c r="AB9852" t="s">
        <v>9</v>
      </c>
      <c r="AC9852" s="21">
        <v>15740.34</v>
      </c>
      <c r="AD9852" s="21" t="s">
        <v>368</v>
      </c>
      <c r="AE9852" t="str">
        <f>VLOOKUP(Table_Query_from_Actuarial___Production3[[#This Row],[Kor1]],$AI$3:$AK$105,3,FALSE)</f>
        <v>Misc. Expense</v>
      </c>
      <c r="AF98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3" spans="18:32" x14ac:dyDescent="0.2">
      <c r="R9853" t="s">
        <v>16</v>
      </c>
      <c r="S9853" t="s">
        <v>237</v>
      </c>
      <c r="T9853" t="s">
        <v>442</v>
      </c>
      <c r="U9853" s="21">
        <v>36090198.539999999</v>
      </c>
      <c r="V9853" s="21" t="s">
        <v>368</v>
      </c>
      <c r="W9853" t="str">
        <f>VLOOKUP(Table_Query_from_Actuarial___Production[[#This Row],[Kor1]],$AI$3:$AK$105,3,FALSE)</f>
        <v>Losses Outstanding</v>
      </c>
      <c r="X98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3"/>
      <c r="Z9853" t="s">
        <v>3</v>
      </c>
      <c r="AA9853" t="s">
        <v>260</v>
      </c>
      <c r="AB9853" t="s">
        <v>7</v>
      </c>
      <c r="AC9853" s="21">
        <v>32611</v>
      </c>
      <c r="AD9853" s="21" t="s">
        <v>368</v>
      </c>
      <c r="AE9853" t="str">
        <f>VLOOKUP(Table_Query_from_Actuarial___Production3[[#This Row],[Kor1]],$AI$3:$AK$105,3,FALSE)</f>
        <v>Premiums Written</v>
      </c>
      <c r="AF98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4" spans="18:32" x14ac:dyDescent="0.2">
      <c r="R9854" t="s">
        <v>41</v>
      </c>
      <c r="S9854" t="s">
        <v>257</v>
      </c>
      <c r="T9854" t="s">
        <v>441</v>
      </c>
      <c r="U9854" s="21">
        <v>486.71</v>
      </c>
      <c r="V9854" s="21" t="s">
        <v>368</v>
      </c>
      <c r="W9854" t="str">
        <f>VLOOKUP(Table_Query_from_Actuarial___Production[[#This Row],[Kor1]],$AI$3:$AK$105,3,FALSE)</f>
        <v>Misc. Income</v>
      </c>
      <c r="X98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4"/>
      <c r="Z9854" t="s">
        <v>44</v>
      </c>
      <c r="AA9854" t="s">
        <v>267</v>
      </c>
      <c r="AB9854" t="s">
        <v>442</v>
      </c>
      <c r="AC9854" s="21">
        <v>-4</v>
      </c>
      <c r="AD9854" s="21" t="s">
        <v>368</v>
      </c>
      <c r="AE9854" t="str">
        <f>VLOOKUP(Table_Query_from_Actuarial___Production3[[#This Row],[Kor1]],$AI$3:$AK$105,3,FALSE)</f>
        <v>Charge-offs</v>
      </c>
      <c r="AF98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5" spans="18:32" x14ac:dyDescent="0.2">
      <c r="R9855" t="s">
        <v>40</v>
      </c>
      <c r="S9855" t="s">
        <v>245</v>
      </c>
      <c r="T9855" t="s">
        <v>433</v>
      </c>
      <c r="U9855" s="21">
        <v>37</v>
      </c>
      <c r="V9855" s="21" t="s">
        <v>368</v>
      </c>
      <c r="W9855" t="str">
        <f>VLOOKUP(Table_Query_from_Actuarial___Production[[#This Row],[Kor1]],$AI$3:$AK$105,3,FALSE)</f>
        <v>Misc. Income</v>
      </c>
      <c r="X98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5"/>
      <c r="Z9855" t="s">
        <v>10</v>
      </c>
      <c r="AA9855" t="s">
        <v>264</v>
      </c>
      <c r="AB9855" t="s">
        <v>9</v>
      </c>
      <c r="AC9855" s="21">
        <v>151543.45000000001</v>
      </c>
      <c r="AD9855" s="21" t="s">
        <v>368</v>
      </c>
      <c r="AE9855" t="str">
        <f>VLOOKUP(Table_Query_from_Actuarial___Production3[[#This Row],[Kor1]],$AI$3:$AK$105,3,FALSE)</f>
        <v>Commissions</v>
      </c>
      <c r="AF98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6" spans="18:32" x14ac:dyDescent="0.2">
      <c r="R9856" t="s">
        <v>11</v>
      </c>
      <c r="S9856" t="s">
        <v>354</v>
      </c>
      <c r="T9856" t="s">
        <v>9</v>
      </c>
      <c r="U9856" s="21">
        <v>95075312.890000001</v>
      </c>
      <c r="V9856" s="21" t="s">
        <v>368</v>
      </c>
      <c r="W9856" t="str">
        <f>VLOOKUP(Table_Query_from_Actuarial___Production[[#This Row],[Kor1]],$AI$3:$AK$105,3,FALSE)</f>
        <v>Losses Paid</v>
      </c>
      <c r="X98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856"/>
      <c r="Z9856" t="s">
        <v>13</v>
      </c>
      <c r="AA9856" t="s">
        <v>248</v>
      </c>
      <c r="AB9856" t="s">
        <v>5</v>
      </c>
      <c r="AC9856" s="21">
        <v>6293.29</v>
      </c>
      <c r="AD9856" s="21" t="s">
        <v>368</v>
      </c>
      <c r="AE9856" t="str">
        <f>VLOOKUP(Table_Query_from_Actuarial___Production3[[#This Row],[Kor1]],$AI$3:$AK$105,3,FALSE)</f>
        <v>Operating Service Fees</v>
      </c>
      <c r="AF98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7" spans="18:32" x14ac:dyDescent="0.2">
      <c r="R9857" t="s">
        <v>19</v>
      </c>
      <c r="S9857" t="s">
        <v>227</v>
      </c>
      <c r="T9857" t="s">
        <v>9</v>
      </c>
      <c r="U9857" s="21">
        <v>293</v>
      </c>
      <c r="V9857" s="21" t="s">
        <v>368</v>
      </c>
      <c r="W9857" t="str">
        <f>VLOOKUP(Table_Query_from_Actuarial___Production[[#This Row],[Kor1]],$AI$3:$AK$105,3,FALSE)</f>
        <v>Misc. Expense for Insolvent Companies</v>
      </c>
      <c r="X98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7"/>
      <c r="Z9857" t="s">
        <v>41</v>
      </c>
      <c r="AA9857" t="s">
        <v>233</v>
      </c>
      <c r="AB9857" t="s">
        <v>6</v>
      </c>
      <c r="AC9857" s="21">
        <v>99.99</v>
      </c>
      <c r="AD9857" s="21" t="s">
        <v>368</v>
      </c>
      <c r="AE9857" t="str">
        <f>VLOOKUP(Table_Query_from_Actuarial___Production3[[#This Row],[Kor1]],$AI$3:$AK$105,3,FALSE)</f>
        <v>Misc. Income</v>
      </c>
      <c r="AF98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8" spans="18:32" x14ac:dyDescent="0.2">
      <c r="R9858" t="s">
        <v>14</v>
      </c>
      <c r="S9858" t="s">
        <v>354</v>
      </c>
      <c r="T9858" t="s">
        <v>441</v>
      </c>
      <c r="U9858" s="21">
        <v>20070324.41</v>
      </c>
      <c r="V9858" s="21" t="s">
        <v>368</v>
      </c>
      <c r="W9858" t="str">
        <f>VLOOKUP(Table_Query_from_Actuarial___Production[[#This Row],[Kor1]],$AI$3:$AK$105,3,FALSE)</f>
        <v>Claims Expense</v>
      </c>
      <c r="X98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858"/>
      <c r="Z9858" t="s">
        <v>43</v>
      </c>
      <c r="AA9858" t="s">
        <v>259</v>
      </c>
      <c r="AB9858" t="s">
        <v>441</v>
      </c>
      <c r="AC9858" s="21">
        <v>-4386.7700000000004</v>
      </c>
      <c r="AD9858" s="21" t="s">
        <v>368</v>
      </c>
      <c r="AE9858" t="str">
        <f>VLOOKUP(Table_Query_from_Actuarial___Production3[[#This Row],[Kor1]],$AI$3:$AK$105,3,FALSE)</f>
        <v>Charge-offs</v>
      </c>
      <c r="AF98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59" spans="18:32" x14ac:dyDescent="0.2">
      <c r="R9859" t="s">
        <v>31</v>
      </c>
      <c r="S9859" t="s">
        <v>229</v>
      </c>
      <c r="T9859" t="s">
        <v>9</v>
      </c>
      <c r="U9859" s="21">
        <v>706.94</v>
      </c>
      <c r="V9859" s="21" t="s">
        <v>368</v>
      </c>
      <c r="W9859" t="str">
        <f>VLOOKUP(Table_Query_from_Actuarial___Production[[#This Row],[Kor1]],$AI$3:$AK$105,3,FALSE)</f>
        <v>Misc. Expense</v>
      </c>
      <c r="X98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59"/>
      <c r="Z9859" t="s">
        <v>14</v>
      </c>
      <c r="AA9859" t="s">
        <v>227</v>
      </c>
      <c r="AB9859" t="s">
        <v>356</v>
      </c>
      <c r="AC9859" s="21">
        <v>3978.25</v>
      </c>
      <c r="AD9859" s="21" t="s">
        <v>368</v>
      </c>
      <c r="AE9859" t="str">
        <f>VLOOKUP(Table_Query_from_Actuarial___Production3[[#This Row],[Kor1]],$AI$3:$AK$105,3,FALSE)</f>
        <v>Claims Expense</v>
      </c>
      <c r="AF98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0" spans="18:32" x14ac:dyDescent="0.2">
      <c r="R9860" t="s">
        <v>33</v>
      </c>
      <c r="S9860" t="s">
        <v>265</v>
      </c>
      <c r="T9860" t="s">
        <v>441</v>
      </c>
      <c r="U9860" s="21">
        <v>14587.37</v>
      </c>
      <c r="V9860" s="21" t="s">
        <v>368</v>
      </c>
      <c r="W9860" t="str">
        <f>VLOOKUP(Table_Query_from_Actuarial___Production[[#This Row],[Kor1]],$AI$3:$AK$105,3,FALSE)</f>
        <v>Misc. Expense</v>
      </c>
      <c r="X98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0"/>
      <c r="Z9860" t="s">
        <v>16</v>
      </c>
      <c r="AA9860" t="s">
        <v>265</v>
      </c>
      <c r="AB9860" t="s">
        <v>433</v>
      </c>
      <c r="AC9860" s="21">
        <v>664155.66</v>
      </c>
      <c r="AD9860" s="21" t="s">
        <v>368</v>
      </c>
      <c r="AE9860" t="str">
        <f>VLOOKUP(Table_Query_from_Actuarial___Production3[[#This Row],[Kor1]],$AI$3:$AK$105,3,FALSE)</f>
        <v>Losses Outstanding</v>
      </c>
      <c r="AF98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1" spans="18:32" x14ac:dyDescent="0.2">
      <c r="R9861" t="s">
        <v>38</v>
      </c>
      <c r="S9861" t="s">
        <v>352</v>
      </c>
      <c r="T9861" t="s">
        <v>9</v>
      </c>
      <c r="U9861" s="21">
        <v>15960.95</v>
      </c>
      <c r="V9861" s="21" t="s">
        <v>369</v>
      </c>
      <c r="W9861" t="str">
        <f>VLOOKUP(Table_Query_from_Actuarial___Production[[#This Row],[Kor1]],$AI$3:$AK$105,3,FALSE)</f>
        <v>Misc. Income</v>
      </c>
      <c r="X98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861"/>
      <c r="Z9861" t="s">
        <v>43</v>
      </c>
      <c r="AA9861" t="s">
        <v>244</v>
      </c>
      <c r="AB9861" t="s">
        <v>351</v>
      </c>
      <c r="AC9861" s="21">
        <v>0.12</v>
      </c>
      <c r="AD9861" s="21" t="s">
        <v>368</v>
      </c>
      <c r="AE9861" t="str">
        <f>VLOOKUP(Table_Query_from_Actuarial___Production3[[#This Row],[Kor1]],$AI$3:$AK$105,3,FALSE)</f>
        <v>Charge-offs</v>
      </c>
      <c r="AF98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2" spans="18:32" x14ac:dyDescent="0.2">
      <c r="R9862" t="s">
        <v>14</v>
      </c>
      <c r="S9862" t="s">
        <v>253</v>
      </c>
      <c r="T9862" t="s">
        <v>442</v>
      </c>
      <c r="U9862" s="21">
        <v>404.93</v>
      </c>
      <c r="V9862" s="21" t="s">
        <v>368</v>
      </c>
      <c r="W9862" t="str">
        <f>VLOOKUP(Table_Query_from_Actuarial___Production[[#This Row],[Kor1]],$AI$3:$AK$105,3,FALSE)</f>
        <v>Claims Expense</v>
      </c>
      <c r="X98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2"/>
      <c r="Z9862" t="s">
        <v>34</v>
      </c>
      <c r="AA9862" t="s">
        <v>235</v>
      </c>
      <c r="AB9862" t="s">
        <v>351</v>
      </c>
      <c r="AC9862" s="21">
        <v>1197.3699999999999</v>
      </c>
      <c r="AD9862" s="21" t="s">
        <v>368</v>
      </c>
      <c r="AE9862" t="str">
        <f>VLOOKUP(Table_Query_from_Actuarial___Production3[[#This Row],[Kor1]],$AI$3:$AK$105,3,FALSE)</f>
        <v>Misc. Expense</v>
      </c>
      <c r="AF98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3" spans="18:32" x14ac:dyDescent="0.2">
      <c r="R9863" t="s">
        <v>3</v>
      </c>
      <c r="S9863" t="s">
        <v>242</v>
      </c>
      <c r="T9863" t="s">
        <v>9</v>
      </c>
      <c r="U9863" s="21">
        <v>319290</v>
      </c>
      <c r="V9863" s="21" t="s">
        <v>368</v>
      </c>
      <c r="W9863" t="str">
        <f>VLOOKUP(Table_Query_from_Actuarial___Production[[#This Row],[Kor1]],$AI$3:$AK$105,3,FALSE)</f>
        <v>Premiums Written</v>
      </c>
      <c r="X98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3"/>
      <c r="Z9863" t="s">
        <v>16</v>
      </c>
      <c r="AA9863" t="s">
        <v>237</v>
      </c>
      <c r="AB9863" t="s">
        <v>442</v>
      </c>
      <c r="AC9863" s="21">
        <v>35526362.079999998</v>
      </c>
      <c r="AD9863" s="21" t="s">
        <v>368</v>
      </c>
      <c r="AE9863" t="str">
        <f>VLOOKUP(Table_Query_from_Actuarial___Production3[[#This Row],[Kor1]],$AI$3:$AK$105,3,FALSE)</f>
        <v>Losses Outstanding</v>
      </c>
      <c r="AF98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4" spans="18:32" x14ac:dyDescent="0.2">
      <c r="R9864" t="s">
        <v>19</v>
      </c>
      <c r="S9864" t="s">
        <v>231</v>
      </c>
      <c r="T9864" t="s">
        <v>427</v>
      </c>
      <c r="U9864" s="21">
        <v>3412</v>
      </c>
      <c r="V9864" s="21" t="s">
        <v>368</v>
      </c>
      <c r="W9864" t="str">
        <f>VLOOKUP(Table_Query_from_Actuarial___Production[[#This Row],[Kor1]],$AI$3:$AK$105,3,FALSE)</f>
        <v>Misc. Expense for Insolvent Companies</v>
      </c>
      <c r="X98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4"/>
      <c r="Z9864" t="s">
        <v>41</v>
      </c>
      <c r="AA9864" t="s">
        <v>257</v>
      </c>
      <c r="AB9864" t="s">
        <v>441</v>
      </c>
      <c r="AC9864" s="21">
        <v>486.71</v>
      </c>
      <c r="AD9864" s="21" t="s">
        <v>368</v>
      </c>
      <c r="AE9864" t="str">
        <f>VLOOKUP(Table_Query_from_Actuarial___Production3[[#This Row],[Kor1]],$AI$3:$AK$105,3,FALSE)</f>
        <v>Misc. Income</v>
      </c>
      <c r="AF98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5" spans="18:32" x14ac:dyDescent="0.2">
      <c r="R9865" t="s">
        <v>3</v>
      </c>
      <c r="S9865" t="s">
        <v>225</v>
      </c>
      <c r="T9865" t="s">
        <v>427</v>
      </c>
      <c r="U9865" s="21">
        <v>713903</v>
      </c>
      <c r="V9865" s="21" t="s">
        <v>369</v>
      </c>
      <c r="W9865" t="str">
        <f>VLOOKUP(Table_Query_from_Actuarial___Production[[#This Row],[Kor1]],$AI$3:$AK$105,3,FALSE)</f>
        <v>Premiums Written</v>
      </c>
      <c r="X98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9865"/>
      <c r="Z9865" t="s">
        <v>40</v>
      </c>
      <c r="AA9865" t="s">
        <v>245</v>
      </c>
      <c r="AB9865" t="s">
        <v>433</v>
      </c>
      <c r="AC9865" s="21">
        <v>37</v>
      </c>
      <c r="AD9865" s="21" t="s">
        <v>368</v>
      </c>
      <c r="AE9865" t="str">
        <f>VLOOKUP(Table_Query_from_Actuarial___Production3[[#This Row],[Kor1]],$AI$3:$AK$105,3,FALSE)</f>
        <v>Misc. Income</v>
      </c>
      <c r="AF98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6" spans="18:32" x14ac:dyDescent="0.2">
      <c r="R9866" t="s">
        <v>44</v>
      </c>
      <c r="S9866" t="s">
        <v>250</v>
      </c>
      <c r="T9866" t="s">
        <v>351</v>
      </c>
      <c r="U9866" s="21">
        <v>-1</v>
      </c>
      <c r="V9866" s="21" t="s">
        <v>368</v>
      </c>
      <c r="W9866" t="str">
        <f>VLOOKUP(Table_Query_from_Actuarial___Production[[#This Row],[Kor1]],$AI$3:$AK$105,3,FALSE)</f>
        <v>Charge-offs</v>
      </c>
      <c r="X98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6"/>
      <c r="Z9866" t="s">
        <v>11</v>
      </c>
      <c r="AA9866" t="s">
        <v>354</v>
      </c>
      <c r="AB9866" t="s">
        <v>9</v>
      </c>
      <c r="AC9866" s="21">
        <v>92946267.469999999</v>
      </c>
      <c r="AD9866" s="21" t="s">
        <v>368</v>
      </c>
      <c r="AE9866" t="str">
        <f>VLOOKUP(Table_Query_from_Actuarial___Production3[[#This Row],[Kor1]],$AI$3:$AK$105,3,FALSE)</f>
        <v>Losses Paid</v>
      </c>
      <c r="AF98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867" spans="18:32" x14ac:dyDescent="0.2">
      <c r="R9867" t="s">
        <v>3</v>
      </c>
      <c r="S9867" t="s">
        <v>246</v>
      </c>
      <c r="T9867" t="s">
        <v>427</v>
      </c>
      <c r="U9867" s="21">
        <v>2532173</v>
      </c>
      <c r="V9867" s="21" t="s">
        <v>368</v>
      </c>
      <c r="W9867" t="str">
        <f>VLOOKUP(Table_Query_from_Actuarial___Production[[#This Row],[Kor1]],$AI$3:$AK$105,3,FALSE)</f>
        <v>Premiums Written</v>
      </c>
      <c r="X98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7"/>
      <c r="Z9867" t="s">
        <v>19</v>
      </c>
      <c r="AA9867" t="s">
        <v>227</v>
      </c>
      <c r="AB9867" t="s">
        <v>9</v>
      </c>
      <c r="AC9867" s="21">
        <v>293</v>
      </c>
      <c r="AD9867" s="21" t="s">
        <v>368</v>
      </c>
      <c r="AE9867" t="str">
        <f>VLOOKUP(Table_Query_from_Actuarial___Production3[[#This Row],[Kor1]],$AI$3:$AK$105,3,FALSE)</f>
        <v>Misc. Expense for Insolvent Companies</v>
      </c>
      <c r="AF98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68" spans="18:32" x14ac:dyDescent="0.2">
      <c r="R9868" t="s">
        <v>33</v>
      </c>
      <c r="S9868" t="s">
        <v>234</v>
      </c>
      <c r="T9868" t="s">
        <v>427</v>
      </c>
      <c r="U9868" s="21">
        <v>13199.3</v>
      </c>
      <c r="V9868" s="21" t="s">
        <v>368</v>
      </c>
      <c r="W9868" t="str">
        <f>VLOOKUP(Table_Query_from_Actuarial___Production[[#This Row],[Kor1]],$AI$3:$AK$105,3,FALSE)</f>
        <v>Misc. Expense</v>
      </c>
      <c r="X98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8"/>
      <c r="Z9868" t="s">
        <v>14</v>
      </c>
      <c r="AA9868" t="s">
        <v>354</v>
      </c>
      <c r="AB9868" t="s">
        <v>441</v>
      </c>
      <c r="AC9868" s="21">
        <v>20067602.66</v>
      </c>
      <c r="AD9868" s="21" t="s">
        <v>368</v>
      </c>
      <c r="AE9868" t="str">
        <f>VLOOKUP(Table_Query_from_Actuarial___Production3[[#This Row],[Kor1]],$AI$3:$AK$105,3,FALSE)</f>
        <v>Claims Expense</v>
      </c>
      <c r="AF98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869" spans="18:32" x14ac:dyDescent="0.2">
      <c r="R9869" t="s">
        <v>21</v>
      </c>
      <c r="S9869" t="s">
        <v>243</v>
      </c>
      <c r="T9869" t="s">
        <v>6</v>
      </c>
      <c r="U9869" s="21">
        <v>175.99</v>
      </c>
      <c r="V9869" s="21" t="s">
        <v>368</v>
      </c>
      <c r="W9869" t="str">
        <f>VLOOKUP(Table_Query_from_Actuarial___Production[[#This Row],[Kor1]],$AI$3:$AK$105,3,FALSE)</f>
        <v>Misc. Expense</v>
      </c>
      <c r="X98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69"/>
      <c r="Z9869" t="s">
        <v>31</v>
      </c>
      <c r="AA9869" t="s">
        <v>229</v>
      </c>
      <c r="AB9869" t="s">
        <v>9</v>
      </c>
      <c r="AC9869" s="21">
        <v>706.94</v>
      </c>
      <c r="AD9869" s="21" t="s">
        <v>368</v>
      </c>
      <c r="AE9869" t="str">
        <f>VLOOKUP(Table_Query_from_Actuarial___Production3[[#This Row],[Kor1]],$AI$3:$AK$105,3,FALSE)</f>
        <v>Misc. Expense</v>
      </c>
      <c r="AF98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0" spans="18:32" x14ac:dyDescent="0.2">
      <c r="R9870" t="s">
        <v>31</v>
      </c>
      <c r="S9870" t="s">
        <v>236</v>
      </c>
      <c r="T9870" t="s">
        <v>7</v>
      </c>
      <c r="U9870" s="21">
        <v>1043.7</v>
      </c>
      <c r="V9870" s="21" t="s">
        <v>368</v>
      </c>
      <c r="W9870" t="str">
        <f>VLOOKUP(Table_Query_from_Actuarial___Production[[#This Row],[Kor1]],$AI$3:$AK$105,3,FALSE)</f>
        <v>Misc. Expense</v>
      </c>
      <c r="X98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0"/>
      <c r="Z9870" t="s">
        <v>33</v>
      </c>
      <c r="AA9870" t="s">
        <v>265</v>
      </c>
      <c r="AB9870" t="s">
        <v>441</v>
      </c>
      <c r="AC9870" s="21">
        <v>14587.37</v>
      </c>
      <c r="AD9870" s="21" t="s">
        <v>368</v>
      </c>
      <c r="AE9870" t="str">
        <f>VLOOKUP(Table_Query_from_Actuarial___Production3[[#This Row],[Kor1]],$AI$3:$AK$105,3,FALSE)</f>
        <v>Misc. Expense</v>
      </c>
      <c r="AF98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1" spans="18:32" x14ac:dyDescent="0.2">
      <c r="R9871" t="s">
        <v>33</v>
      </c>
      <c r="S9871" t="s">
        <v>244</v>
      </c>
      <c r="T9871" t="s">
        <v>443</v>
      </c>
      <c r="U9871" s="21">
        <v>17326.84</v>
      </c>
      <c r="V9871" s="21" t="s">
        <v>368</v>
      </c>
      <c r="W9871" t="str">
        <f>VLOOKUP(Table_Query_from_Actuarial___Production[[#This Row],[Kor1]],$AI$3:$AK$105,3,FALSE)</f>
        <v>Misc. Expense</v>
      </c>
      <c r="X98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1"/>
      <c r="Z9871" t="s">
        <v>38</v>
      </c>
      <c r="AA9871" t="s">
        <v>352</v>
      </c>
      <c r="AB9871" t="s">
        <v>9</v>
      </c>
      <c r="AC9871" s="21">
        <v>15960.95</v>
      </c>
      <c r="AD9871" s="21" t="s">
        <v>369</v>
      </c>
      <c r="AE9871" t="str">
        <f>VLOOKUP(Table_Query_from_Actuarial___Production3[[#This Row],[Kor1]],$AI$3:$AK$105,3,FALSE)</f>
        <v>Misc. Income</v>
      </c>
      <c r="AF98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872" spans="18:32" x14ac:dyDescent="0.2">
      <c r="R9872" t="s">
        <v>44</v>
      </c>
      <c r="S9872" t="s">
        <v>228</v>
      </c>
      <c r="T9872" t="s">
        <v>427</v>
      </c>
      <c r="U9872" s="21">
        <v>12922</v>
      </c>
      <c r="V9872" s="21" t="s">
        <v>368</v>
      </c>
      <c r="W9872" t="str">
        <f>VLOOKUP(Table_Query_from_Actuarial___Production[[#This Row],[Kor1]],$AI$3:$AK$105,3,FALSE)</f>
        <v>Charge-offs</v>
      </c>
      <c r="X98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2"/>
      <c r="Z9872" t="s">
        <v>14</v>
      </c>
      <c r="AA9872" t="s">
        <v>253</v>
      </c>
      <c r="AB9872" t="s">
        <v>442</v>
      </c>
      <c r="AC9872" s="21">
        <v>334.67</v>
      </c>
      <c r="AD9872" s="21" t="s">
        <v>368</v>
      </c>
      <c r="AE9872" t="str">
        <f>VLOOKUP(Table_Query_from_Actuarial___Production3[[#This Row],[Kor1]],$AI$3:$AK$105,3,FALSE)</f>
        <v>Claims Expense</v>
      </c>
      <c r="AF98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3" spans="18:32" x14ac:dyDescent="0.2">
      <c r="R9873" t="s">
        <v>33</v>
      </c>
      <c r="S9873" t="s">
        <v>264</v>
      </c>
      <c r="T9873" t="s">
        <v>7</v>
      </c>
      <c r="U9873" s="21">
        <v>13428.96</v>
      </c>
      <c r="V9873" s="21" t="s">
        <v>368</v>
      </c>
      <c r="W9873" t="str">
        <f>VLOOKUP(Table_Query_from_Actuarial___Production[[#This Row],[Kor1]],$AI$3:$AK$105,3,FALSE)</f>
        <v>Misc. Expense</v>
      </c>
      <c r="X98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3"/>
      <c r="Z9873" t="s">
        <v>3</v>
      </c>
      <c r="AA9873" t="s">
        <v>242</v>
      </c>
      <c r="AB9873" t="s">
        <v>9</v>
      </c>
      <c r="AC9873" s="21">
        <v>319290</v>
      </c>
      <c r="AD9873" s="21" t="s">
        <v>368</v>
      </c>
      <c r="AE9873" t="str">
        <f>VLOOKUP(Table_Query_from_Actuarial___Production3[[#This Row],[Kor1]],$AI$3:$AK$105,3,FALSE)</f>
        <v>Premiums Written</v>
      </c>
      <c r="AF98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4" spans="18:32" x14ac:dyDescent="0.2">
      <c r="R9874" t="s">
        <v>13</v>
      </c>
      <c r="S9874" t="s">
        <v>266</v>
      </c>
      <c r="T9874" t="s">
        <v>9</v>
      </c>
      <c r="U9874" s="21">
        <v>108063.3</v>
      </c>
      <c r="V9874" s="21" t="s">
        <v>368</v>
      </c>
      <c r="W9874" t="str">
        <f>VLOOKUP(Table_Query_from_Actuarial___Production[[#This Row],[Kor1]],$AI$3:$AK$105,3,FALSE)</f>
        <v>Operating Service Fees</v>
      </c>
      <c r="X98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4"/>
      <c r="Z9874" t="s">
        <v>19</v>
      </c>
      <c r="AA9874" t="s">
        <v>231</v>
      </c>
      <c r="AB9874" t="s">
        <v>427</v>
      </c>
      <c r="AC9874" s="21">
        <v>3412</v>
      </c>
      <c r="AD9874" s="21" t="s">
        <v>368</v>
      </c>
      <c r="AE9874" t="str">
        <f>VLOOKUP(Table_Query_from_Actuarial___Production3[[#This Row],[Kor1]],$AI$3:$AK$105,3,FALSE)</f>
        <v>Misc. Expense for Insolvent Companies</v>
      </c>
      <c r="AF98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5" spans="18:32" x14ac:dyDescent="0.2">
      <c r="R9875" t="s">
        <v>19</v>
      </c>
      <c r="S9875" t="s">
        <v>253</v>
      </c>
      <c r="T9875" t="s">
        <v>356</v>
      </c>
      <c r="U9875" s="21">
        <v>4</v>
      </c>
      <c r="V9875" s="21" t="s">
        <v>368</v>
      </c>
      <c r="W9875" t="str">
        <f>VLOOKUP(Table_Query_from_Actuarial___Production[[#This Row],[Kor1]],$AI$3:$AK$105,3,FALSE)</f>
        <v>Misc. Expense for Insolvent Companies</v>
      </c>
      <c r="X98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5"/>
      <c r="Z9875" t="s">
        <v>3</v>
      </c>
      <c r="AA9875" t="s">
        <v>225</v>
      </c>
      <c r="AB9875" t="s">
        <v>427</v>
      </c>
      <c r="AC9875" s="21">
        <v>713968</v>
      </c>
      <c r="AD9875" s="21" t="s">
        <v>369</v>
      </c>
      <c r="AE9875" t="str">
        <f>VLOOKUP(Table_Query_from_Actuarial___Production3[[#This Row],[Kor1]],$AI$3:$AK$105,3,FALSE)</f>
        <v>Premiums Written</v>
      </c>
      <c r="AF98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9876" spans="18:32" x14ac:dyDescent="0.2">
      <c r="R9876" t="s">
        <v>13</v>
      </c>
      <c r="S9876" t="s">
        <v>354</v>
      </c>
      <c r="T9876" t="s">
        <v>442</v>
      </c>
      <c r="U9876" s="21">
        <v>38029398.259999998</v>
      </c>
      <c r="V9876" s="21" t="s">
        <v>368</v>
      </c>
      <c r="W9876" t="str">
        <f>VLOOKUP(Table_Query_from_Actuarial___Production[[#This Row],[Kor1]],$AI$3:$AK$105,3,FALSE)</f>
        <v>Operating Service Fees</v>
      </c>
      <c r="X98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876"/>
      <c r="Z9876" t="s">
        <v>44</v>
      </c>
      <c r="AA9876" t="s">
        <v>250</v>
      </c>
      <c r="AB9876" t="s">
        <v>351</v>
      </c>
      <c r="AC9876" s="21">
        <v>-1</v>
      </c>
      <c r="AD9876" s="21" t="s">
        <v>368</v>
      </c>
      <c r="AE9876" t="str">
        <f>VLOOKUP(Table_Query_from_Actuarial___Production3[[#This Row],[Kor1]],$AI$3:$AK$105,3,FALSE)</f>
        <v>Charge-offs</v>
      </c>
      <c r="AF98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7" spans="18:32" x14ac:dyDescent="0.2">
      <c r="R9877" t="s">
        <v>13</v>
      </c>
      <c r="S9877" t="s">
        <v>228</v>
      </c>
      <c r="T9877" t="s">
        <v>8</v>
      </c>
      <c r="U9877" s="21">
        <v>20213.400000000001</v>
      </c>
      <c r="V9877" s="21" t="s">
        <v>368</v>
      </c>
      <c r="W9877" t="str">
        <f>VLOOKUP(Table_Query_from_Actuarial___Production[[#This Row],[Kor1]],$AI$3:$AK$105,3,FALSE)</f>
        <v>Operating Service Fees</v>
      </c>
      <c r="X98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7"/>
      <c r="Z9877" t="s">
        <v>3</v>
      </c>
      <c r="AA9877" t="s">
        <v>246</v>
      </c>
      <c r="AB9877" t="s">
        <v>427</v>
      </c>
      <c r="AC9877" s="21">
        <v>2532173</v>
      </c>
      <c r="AD9877" s="21" t="s">
        <v>368</v>
      </c>
      <c r="AE9877" t="str">
        <f>VLOOKUP(Table_Query_from_Actuarial___Production3[[#This Row],[Kor1]],$AI$3:$AK$105,3,FALSE)</f>
        <v>Premiums Written</v>
      </c>
      <c r="AF98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8" spans="18:32" x14ac:dyDescent="0.2">
      <c r="R9878" t="s">
        <v>10</v>
      </c>
      <c r="S9878" t="s">
        <v>254</v>
      </c>
      <c r="T9878" t="s">
        <v>443</v>
      </c>
      <c r="U9878" s="21">
        <v>1546101</v>
      </c>
      <c r="V9878" s="21" t="s">
        <v>368</v>
      </c>
      <c r="W9878" t="str">
        <f>VLOOKUP(Table_Query_from_Actuarial___Production[[#This Row],[Kor1]],$AI$3:$AK$105,3,FALSE)</f>
        <v>Commissions</v>
      </c>
      <c r="X98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78"/>
      <c r="Z9878" t="s">
        <v>33</v>
      </c>
      <c r="AA9878" t="s">
        <v>234</v>
      </c>
      <c r="AB9878" t="s">
        <v>427</v>
      </c>
      <c r="AC9878" s="21">
        <v>13199.3</v>
      </c>
      <c r="AD9878" s="21" t="s">
        <v>368</v>
      </c>
      <c r="AE9878" t="str">
        <f>VLOOKUP(Table_Query_from_Actuarial___Production3[[#This Row],[Kor1]],$AI$3:$AK$105,3,FALSE)</f>
        <v>Misc. Expense</v>
      </c>
      <c r="AF98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79" spans="18:32" x14ac:dyDescent="0.2">
      <c r="R9879" t="s">
        <v>38</v>
      </c>
      <c r="S9879" t="s">
        <v>354</v>
      </c>
      <c r="T9879" t="s">
        <v>351</v>
      </c>
      <c r="U9879" s="21">
        <v>224974.6</v>
      </c>
      <c r="V9879" s="21" t="s">
        <v>369</v>
      </c>
      <c r="W9879" t="str">
        <f>VLOOKUP(Table_Query_from_Actuarial___Production[[#This Row],[Kor1]],$AI$3:$AK$105,3,FALSE)</f>
        <v>Misc. Income</v>
      </c>
      <c r="X98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879"/>
      <c r="Z9879" t="s">
        <v>21</v>
      </c>
      <c r="AA9879" t="s">
        <v>243</v>
      </c>
      <c r="AB9879" t="s">
        <v>6</v>
      </c>
      <c r="AC9879" s="21">
        <v>175.99</v>
      </c>
      <c r="AD9879" s="21" t="s">
        <v>368</v>
      </c>
      <c r="AE9879" t="str">
        <f>VLOOKUP(Table_Query_from_Actuarial___Production3[[#This Row],[Kor1]],$AI$3:$AK$105,3,FALSE)</f>
        <v>Misc. Expense</v>
      </c>
      <c r="AF98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0" spans="18:32" x14ac:dyDescent="0.2">
      <c r="R9880" t="s">
        <v>37</v>
      </c>
      <c r="S9880" t="s">
        <v>261</v>
      </c>
      <c r="T9880" t="s">
        <v>351</v>
      </c>
      <c r="U9880" s="21">
        <v>133.80000000000001</v>
      </c>
      <c r="V9880" s="21" t="s">
        <v>368</v>
      </c>
      <c r="W9880" t="str">
        <f>VLOOKUP(Table_Query_from_Actuarial___Production[[#This Row],[Kor1]],$AI$3:$AK$105,3,FALSE)</f>
        <v>Misc. Expense</v>
      </c>
      <c r="X98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0"/>
      <c r="Z9880" t="s">
        <v>31</v>
      </c>
      <c r="AA9880" t="s">
        <v>236</v>
      </c>
      <c r="AB9880" t="s">
        <v>7</v>
      </c>
      <c r="AC9880" s="21">
        <v>1043.7</v>
      </c>
      <c r="AD9880" s="21" t="s">
        <v>368</v>
      </c>
      <c r="AE9880" t="str">
        <f>VLOOKUP(Table_Query_from_Actuarial___Production3[[#This Row],[Kor1]],$AI$3:$AK$105,3,FALSE)</f>
        <v>Misc. Expense</v>
      </c>
      <c r="AF98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1" spans="18:32" x14ac:dyDescent="0.2">
      <c r="R9881" t="s">
        <v>11</v>
      </c>
      <c r="S9881" t="s">
        <v>244</v>
      </c>
      <c r="T9881" t="s">
        <v>445</v>
      </c>
      <c r="U9881" s="21">
        <v>14433.16</v>
      </c>
      <c r="V9881" s="21" t="s">
        <v>368</v>
      </c>
      <c r="W9881" t="str">
        <f>VLOOKUP(Table_Query_from_Actuarial___Production[[#This Row],[Kor1]],$AI$3:$AK$105,3,FALSE)</f>
        <v>Losses Paid</v>
      </c>
      <c r="X98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1"/>
      <c r="Z9881" t="s">
        <v>33</v>
      </c>
      <c r="AA9881" t="s">
        <v>244</v>
      </c>
      <c r="AB9881" t="s">
        <v>443</v>
      </c>
      <c r="AC9881" s="21">
        <v>9369.7900000000009</v>
      </c>
      <c r="AD9881" s="21" t="s">
        <v>368</v>
      </c>
      <c r="AE9881" t="str">
        <f>VLOOKUP(Table_Query_from_Actuarial___Production3[[#This Row],[Kor1]],$AI$3:$AK$105,3,FALSE)</f>
        <v>Misc. Expense</v>
      </c>
      <c r="AF98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2" spans="18:32" x14ac:dyDescent="0.2">
      <c r="R9882" t="s">
        <v>48</v>
      </c>
      <c r="S9882" t="s">
        <v>257</v>
      </c>
      <c r="T9882" t="s">
        <v>445</v>
      </c>
      <c r="U9882" s="21">
        <v>2605.9499999999998</v>
      </c>
      <c r="V9882" s="21" t="s">
        <v>368</v>
      </c>
      <c r="W9882" t="str">
        <f>VLOOKUP(Table_Query_from_Actuarial___Production[[#This Row],[Kor1]],$AI$3:$AK$105,3,FALSE)</f>
        <v>Anticipated Salvage</v>
      </c>
      <c r="X98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2"/>
      <c r="Z9882" t="s">
        <v>44</v>
      </c>
      <c r="AA9882" t="s">
        <v>228</v>
      </c>
      <c r="AB9882" t="s">
        <v>427</v>
      </c>
      <c r="AC9882" s="21">
        <v>12922</v>
      </c>
      <c r="AD9882" s="21" t="s">
        <v>368</v>
      </c>
      <c r="AE9882" t="str">
        <f>VLOOKUP(Table_Query_from_Actuarial___Production3[[#This Row],[Kor1]],$AI$3:$AK$105,3,FALSE)</f>
        <v>Charge-offs</v>
      </c>
      <c r="AF98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3" spans="18:32" x14ac:dyDescent="0.2">
      <c r="R9883" t="s">
        <v>39</v>
      </c>
      <c r="S9883" t="s">
        <v>231</v>
      </c>
      <c r="T9883" t="s">
        <v>351</v>
      </c>
      <c r="U9883" s="21">
        <v>304.99</v>
      </c>
      <c r="V9883" s="21" t="s">
        <v>368</v>
      </c>
      <c r="W9883" t="str">
        <f>VLOOKUP(Table_Query_from_Actuarial___Production[[#This Row],[Kor1]],$AI$3:$AK$105,3,FALSE)</f>
        <v>Misc. Income for Insolvent Companies</v>
      </c>
      <c r="X98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3"/>
      <c r="Z9883" t="s">
        <v>50</v>
      </c>
      <c r="AA9883" t="s">
        <v>255</v>
      </c>
      <c r="AB9883" t="s">
        <v>427</v>
      </c>
      <c r="AC9883" s="21">
        <v>2626.05</v>
      </c>
      <c r="AD9883" s="21" t="s">
        <v>368</v>
      </c>
      <c r="AE9883" t="str">
        <f>VLOOKUP(Table_Query_from_Actuarial___Production3[[#This Row],[Kor1]],$AI$3:$AK$105,3,FALSE)</f>
        <v>ALAE Reserve</v>
      </c>
      <c r="AF98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4" spans="18:32" x14ac:dyDescent="0.2">
      <c r="R9884" t="s">
        <v>48</v>
      </c>
      <c r="S9884" t="s">
        <v>250</v>
      </c>
      <c r="T9884" t="s">
        <v>427</v>
      </c>
      <c r="U9884" s="21">
        <v>2476</v>
      </c>
      <c r="V9884" s="21" t="s">
        <v>368</v>
      </c>
      <c r="W9884" t="str">
        <f>VLOOKUP(Table_Query_from_Actuarial___Production[[#This Row],[Kor1]],$AI$3:$AK$105,3,FALSE)</f>
        <v>Anticipated Salvage</v>
      </c>
      <c r="X98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4"/>
      <c r="Z9884" t="s">
        <v>33</v>
      </c>
      <c r="AA9884" t="s">
        <v>264</v>
      </c>
      <c r="AB9884" t="s">
        <v>7</v>
      </c>
      <c r="AC9884" s="21">
        <v>13428.96</v>
      </c>
      <c r="AD9884" s="21" t="s">
        <v>368</v>
      </c>
      <c r="AE9884" t="str">
        <f>VLOOKUP(Table_Query_from_Actuarial___Production3[[#This Row],[Kor1]],$AI$3:$AK$105,3,FALSE)</f>
        <v>Misc. Expense</v>
      </c>
      <c r="AF98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5" spans="18:32" x14ac:dyDescent="0.2">
      <c r="R9885" t="s">
        <v>17</v>
      </c>
      <c r="S9885" t="s">
        <v>258</v>
      </c>
      <c r="T9885" t="s">
        <v>443</v>
      </c>
      <c r="U9885" s="21">
        <v>1157983.08</v>
      </c>
      <c r="V9885" s="21" t="s">
        <v>368</v>
      </c>
      <c r="W9885" t="str">
        <f>VLOOKUP(Table_Query_from_Actuarial___Production[[#This Row],[Kor1]],$AI$3:$AK$105,3,FALSE)</f>
        <v>IBNR</v>
      </c>
      <c r="X98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5"/>
      <c r="Z9885" t="s">
        <v>13</v>
      </c>
      <c r="AA9885" t="s">
        <v>266</v>
      </c>
      <c r="AB9885" t="s">
        <v>9</v>
      </c>
      <c r="AC9885" s="21">
        <v>108063.3</v>
      </c>
      <c r="AD9885" s="21" t="s">
        <v>368</v>
      </c>
      <c r="AE9885" t="str">
        <f>VLOOKUP(Table_Query_from_Actuarial___Production3[[#This Row],[Kor1]],$AI$3:$AK$105,3,FALSE)</f>
        <v>Operating Service Fees</v>
      </c>
      <c r="AF98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6" spans="18:32" x14ac:dyDescent="0.2">
      <c r="R9886" t="s">
        <v>44</v>
      </c>
      <c r="S9886" t="s">
        <v>240</v>
      </c>
      <c r="T9886" t="s">
        <v>427</v>
      </c>
      <c r="U9886" s="21">
        <v>83114.83</v>
      </c>
      <c r="V9886" s="21" t="s">
        <v>368</v>
      </c>
      <c r="W9886" t="str">
        <f>VLOOKUP(Table_Query_from_Actuarial___Production[[#This Row],[Kor1]],$AI$3:$AK$105,3,FALSE)</f>
        <v>Charge-offs</v>
      </c>
      <c r="X98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6"/>
      <c r="Z9886" t="s">
        <v>17</v>
      </c>
      <c r="AA9886" t="s">
        <v>243</v>
      </c>
      <c r="AB9886" t="s">
        <v>427</v>
      </c>
      <c r="AC9886" s="21">
        <v>67188.28</v>
      </c>
      <c r="AD9886" s="21" t="s">
        <v>368</v>
      </c>
      <c r="AE9886" t="str">
        <f>VLOOKUP(Table_Query_from_Actuarial___Production3[[#This Row],[Kor1]],$AI$3:$AK$105,3,FALSE)</f>
        <v>IBNR</v>
      </c>
      <c r="AF98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7" spans="18:32" x14ac:dyDescent="0.2">
      <c r="R9887" t="s">
        <v>37</v>
      </c>
      <c r="S9887" t="s">
        <v>262</v>
      </c>
      <c r="T9887" t="s">
        <v>433</v>
      </c>
      <c r="U9887" s="21">
        <v>1248.4000000000001</v>
      </c>
      <c r="V9887" s="21" t="s">
        <v>368</v>
      </c>
      <c r="W9887" t="str">
        <f>VLOOKUP(Table_Query_from_Actuarial___Production[[#This Row],[Kor1]],$AI$3:$AK$105,3,FALSE)</f>
        <v>Misc. Expense</v>
      </c>
      <c r="X98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7"/>
      <c r="Z9887" t="s">
        <v>19</v>
      </c>
      <c r="AA9887" t="s">
        <v>253</v>
      </c>
      <c r="AB9887" t="s">
        <v>356</v>
      </c>
      <c r="AC9887" s="21">
        <v>4</v>
      </c>
      <c r="AD9887" s="21" t="s">
        <v>368</v>
      </c>
      <c r="AE9887" t="str">
        <f>VLOOKUP(Table_Query_from_Actuarial___Production3[[#This Row],[Kor1]],$AI$3:$AK$105,3,FALSE)</f>
        <v>Misc. Expense for Insolvent Companies</v>
      </c>
      <c r="AF98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8" spans="18:32" x14ac:dyDescent="0.2">
      <c r="R9888" t="s">
        <v>48</v>
      </c>
      <c r="S9888" t="s">
        <v>251</v>
      </c>
      <c r="T9888" t="s">
        <v>445</v>
      </c>
      <c r="U9888" s="21">
        <v>464.95</v>
      </c>
      <c r="V9888" s="21" t="s">
        <v>368</v>
      </c>
      <c r="W9888" t="str">
        <f>VLOOKUP(Table_Query_from_Actuarial___Production[[#This Row],[Kor1]],$AI$3:$AK$105,3,FALSE)</f>
        <v>Anticipated Salvage</v>
      </c>
      <c r="X98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8"/>
      <c r="Z9888" t="s">
        <v>29</v>
      </c>
      <c r="AA9888" t="s">
        <v>4</v>
      </c>
      <c r="AB9888" t="s">
        <v>5</v>
      </c>
      <c r="AC9888" s="21">
        <v>1767.14</v>
      </c>
      <c r="AD9888" s="21" t="s">
        <v>368</v>
      </c>
      <c r="AE9888" t="str">
        <f>VLOOKUP(Table_Query_from_Actuarial___Production3[[#This Row],[Kor1]],$AI$3:$AK$105,3,FALSE)</f>
        <v>Misc. Expense</v>
      </c>
      <c r="AF98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89" spans="18:32" x14ac:dyDescent="0.2">
      <c r="R9889" t="s">
        <v>33</v>
      </c>
      <c r="S9889" t="s">
        <v>239</v>
      </c>
      <c r="T9889" t="s">
        <v>7</v>
      </c>
      <c r="U9889" s="21">
        <v>13479.48</v>
      </c>
      <c r="V9889" s="21" t="s">
        <v>368</v>
      </c>
      <c r="W9889" t="str">
        <f>VLOOKUP(Table_Query_from_Actuarial___Production[[#This Row],[Kor1]],$AI$3:$AK$105,3,FALSE)</f>
        <v>Misc. Expense</v>
      </c>
      <c r="X98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89"/>
      <c r="Z9889" t="s">
        <v>13</v>
      </c>
      <c r="AA9889" t="s">
        <v>354</v>
      </c>
      <c r="AB9889" t="s">
        <v>442</v>
      </c>
      <c r="AC9889" s="21">
        <v>38189880.93</v>
      </c>
      <c r="AD9889" s="21" t="s">
        <v>368</v>
      </c>
      <c r="AE9889" t="str">
        <f>VLOOKUP(Table_Query_from_Actuarial___Production3[[#This Row],[Kor1]],$AI$3:$AK$105,3,FALSE)</f>
        <v>Operating Service Fees</v>
      </c>
      <c r="AF98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890" spans="18:32" x14ac:dyDescent="0.2">
      <c r="R9890" t="s">
        <v>17</v>
      </c>
      <c r="S9890" t="s">
        <v>225</v>
      </c>
      <c r="T9890" t="s">
        <v>356</v>
      </c>
      <c r="U9890" s="21">
        <v>2091</v>
      </c>
      <c r="V9890" s="21" t="s">
        <v>368</v>
      </c>
      <c r="W9890" t="str">
        <f>VLOOKUP(Table_Query_from_Actuarial___Production[[#This Row],[Kor1]],$AI$3:$AK$105,3,FALSE)</f>
        <v>IBNR</v>
      </c>
      <c r="X98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890"/>
      <c r="Z9890" t="s">
        <v>13</v>
      </c>
      <c r="AA9890" t="s">
        <v>228</v>
      </c>
      <c r="AB9890" t="s">
        <v>8</v>
      </c>
      <c r="AC9890" s="21">
        <v>20213.400000000001</v>
      </c>
      <c r="AD9890" s="21" t="s">
        <v>368</v>
      </c>
      <c r="AE9890" t="str">
        <f>VLOOKUP(Table_Query_from_Actuarial___Production3[[#This Row],[Kor1]],$AI$3:$AK$105,3,FALSE)</f>
        <v>Operating Service Fees</v>
      </c>
      <c r="AF98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1" spans="18:32" x14ac:dyDescent="0.2">
      <c r="R9891" t="s">
        <v>17</v>
      </c>
      <c r="S9891" t="s">
        <v>240</v>
      </c>
      <c r="T9891" t="s">
        <v>442</v>
      </c>
      <c r="U9891" s="21">
        <v>718993.75</v>
      </c>
      <c r="V9891" s="21" t="s">
        <v>368</v>
      </c>
      <c r="W9891" t="str">
        <f>VLOOKUP(Table_Query_from_Actuarial___Production[[#This Row],[Kor1]],$AI$3:$AK$105,3,FALSE)</f>
        <v>IBNR</v>
      </c>
      <c r="X98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1"/>
      <c r="Z9891" t="s">
        <v>48</v>
      </c>
      <c r="AA9891" t="s">
        <v>243</v>
      </c>
      <c r="AB9891" t="s">
        <v>356</v>
      </c>
      <c r="AC9891" s="21">
        <v>19</v>
      </c>
      <c r="AD9891" s="21" t="s">
        <v>368</v>
      </c>
      <c r="AE9891" t="str">
        <f>VLOOKUP(Table_Query_from_Actuarial___Production3[[#This Row],[Kor1]],$AI$3:$AK$105,3,FALSE)</f>
        <v>Anticipated Salvage</v>
      </c>
      <c r="AF98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2" spans="18:32" x14ac:dyDescent="0.2">
      <c r="R9892" t="s">
        <v>19</v>
      </c>
      <c r="S9892" t="s">
        <v>251</v>
      </c>
      <c r="T9892" t="s">
        <v>6</v>
      </c>
      <c r="U9892" s="21">
        <v>408</v>
      </c>
      <c r="V9892" s="21" t="s">
        <v>368</v>
      </c>
      <c r="W9892" t="str">
        <f>VLOOKUP(Table_Query_from_Actuarial___Production[[#This Row],[Kor1]],$AI$3:$AK$105,3,FALSE)</f>
        <v>Misc. Expense for Insolvent Companies</v>
      </c>
      <c r="X98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2"/>
      <c r="Z9892" t="s">
        <v>10</v>
      </c>
      <c r="AA9892" t="s">
        <v>254</v>
      </c>
      <c r="AB9892" t="s">
        <v>443</v>
      </c>
      <c r="AC9892" s="21">
        <v>430817.05</v>
      </c>
      <c r="AD9892" s="21" t="s">
        <v>368</v>
      </c>
      <c r="AE9892" t="str">
        <f>VLOOKUP(Table_Query_from_Actuarial___Production3[[#This Row],[Kor1]],$AI$3:$AK$105,3,FALSE)</f>
        <v>Commissions</v>
      </c>
      <c r="AF98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3" spans="18:32" x14ac:dyDescent="0.2">
      <c r="R9893" t="s">
        <v>47</v>
      </c>
      <c r="S9893" t="s">
        <v>252</v>
      </c>
      <c r="T9893" t="s">
        <v>9</v>
      </c>
      <c r="U9893" s="21">
        <v>4594.34</v>
      </c>
      <c r="V9893" s="21" t="s">
        <v>368</v>
      </c>
      <c r="W9893" t="str">
        <f>VLOOKUP(Table_Query_from_Actuarial___Production[[#This Row],[Kor1]],$AI$3:$AK$105,3,FALSE)</f>
        <v>Investment Income</v>
      </c>
      <c r="X98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3"/>
      <c r="Z9893" t="s">
        <v>38</v>
      </c>
      <c r="AA9893" t="s">
        <v>354</v>
      </c>
      <c r="AB9893" t="s">
        <v>351</v>
      </c>
      <c r="AC9893" s="21">
        <v>224974.6</v>
      </c>
      <c r="AD9893" s="21" t="s">
        <v>369</v>
      </c>
      <c r="AE9893" t="str">
        <f>VLOOKUP(Table_Query_from_Actuarial___Production3[[#This Row],[Kor1]],$AI$3:$AK$105,3,FALSE)</f>
        <v>Misc. Income</v>
      </c>
      <c r="AF98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894" spans="18:32" x14ac:dyDescent="0.2">
      <c r="R9894" t="s">
        <v>41</v>
      </c>
      <c r="S9894" t="s">
        <v>240</v>
      </c>
      <c r="T9894" t="s">
        <v>7</v>
      </c>
      <c r="U9894" s="21">
        <v>500.01</v>
      </c>
      <c r="V9894" s="21" t="s">
        <v>368</v>
      </c>
      <c r="W9894" t="str">
        <f>VLOOKUP(Table_Query_from_Actuarial___Production[[#This Row],[Kor1]],$AI$3:$AK$105,3,FALSE)</f>
        <v>Misc. Income</v>
      </c>
      <c r="X98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4"/>
      <c r="Z9894" t="s">
        <v>37</v>
      </c>
      <c r="AA9894" t="s">
        <v>261</v>
      </c>
      <c r="AB9894" t="s">
        <v>351</v>
      </c>
      <c r="AC9894" s="21">
        <v>133.80000000000001</v>
      </c>
      <c r="AD9894" s="21" t="s">
        <v>368</v>
      </c>
      <c r="AE9894" t="str">
        <f>VLOOKUP(Table_Query_from_Actuarial___Production3[[#This Row],[Kor1]],$AI$3:$AK$105,3,FALSE)</f>
        <v>Misc. Expense</v>
      </c>
      <c r="AF98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5" spans="18:32" x14ac:dyDescent="0.2">
      <c r="R9895" t="s">
        <v>47</v>
      </c>
      <c r="S9895" t="s">
        <v>257</v>
      </c>
      <c r="T9895" t="s">
        <v>9</v>
      </c>
      <c r="U9895" s="21">
        <v>9113.02</v>
      </c>
      <c r="V9895" s="21" t="s">
        <v>368</v>
      </c>
      <c r="W9895" t="str">
        <f>VLOOKUP(Table_Query_from_Actuarial___Production[[#This Row],[Kor1]],$AI$3:$AK$105,3,FALSE)</f>
        <v>Investment Income</v>
      </c>
      <c r="X98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5"/>
      <c r="Z9895" t="s">
        <v>77</v>
      </c>
      <c r="AA9895" t="s">
        <v>242</v>
      </c>
      <c r="AB9895" t="s">
        <v>442</v>
      </c>
      <c r="AC9895" s="21">
        <v>84129</v>
      </c>
      <c r="AD9895" s="21" t="s">
        <v>368</v>
      </c>
      <c r="AE9895" t="str">
        <f>VLOOKUP(Table_Query_from_Actuarial___Production3[[#This Row],[Kor1]],$AI$3:$AK$105,3,FALSE)</f>
        <v>PDR</v>
      </c>
      <c r="AF98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6" spans="18:32" x14ac:dyDescent="0.2">
      <c r="R9896" t="s">
        <v>3</v>
      </c>
      <c r="S9896" t="s">
        <v>264</v>
      </c>
      <c r="T9896" t="s">
        <v>441</v>
      </c>
      <c r="U9896" s="21">
        <v>4307440</v>
      </c>
      <c r="V9896" s="21" t="s">
        <v>368</v>
      </c>
      <c r="W9896" t="str">
        <f>VLOOKUP(Table_Query_from_Actuarial___Production[[#This Row],[Kor1]],$AI$3:$AK$105,3,FALSE)</f>
        <v>Premiums Written</v>
      </c>
      <c r="X98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6"/>
      <c r="Z9896" t="s">
        <v>13</v>
      </c>
      <c r="AA9896" t="s">
        <v>231</v>
      </c>
      <c r="AB9896" t="s">
        <v>5</v>
      </c>
      <c r="AC9896" s="21">
        <v>6852.21</v>
      </c>
      <c r="AD9896" s="21" t="s">
        <v>368</v>
      </c>
      <c r="AE9896" t="str">
        <f>VLOOKUP(Table_Query_from_Actuarial___Production3[[#This Row],[Kor1]],$AI$3:$AK$105,3,FALSE)</f>
        <v>Operating Service Fees</v>
      </c>
      <c r="AF98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7" spans="18:32" x14ac:dyDescent="0.2">
      <c r="R9897" t="s">
        <v>33</v>
      </c>
      <c r="S9897" t="s">
        <v>230</v>
      </c>
      <c r="T9897" t="s">
        <v>6</v>
      </c>
      <c r="U9897" s="21">
        <v>33994.06</v>
      </c>
      <c r="V9897" s="21" t="s">
        <v>368</v>
      </c>
      <c r="W9897" t="str">
        <f>VLOOKUP(Table_Query_from_Actuarial___Production[[#This Row],[Kor1]],$AI$3:$AK$105,3,FALSE)</f>
        <v>Misc. Expense</v>
      </c>
      <c r="X98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7"/>
      <c r="Z9897" t="s">
        <v>39</v>
      </c>
      <c r="AA9897" t="s">
        <v>231</v>
      </c>
      <c r="AB9897" t="s">
        <v>351</v>
      </c>
      <c r="AC9897" s="21">
        <v>304.99</v>
      </c>
      <c r="AD9897" s="21" t="s">
        <v>368</v>
      </c>
      <c r="AE9897" t="str">
        <f>VLOOKUP(Table_Query_from_Actuarial___Production3[[#This Row],[Kor1]],$AI$3:$AK$105,3,FALSE)</f>
        <v>Misc. Income for Insolvent Companies</v>
      </c>
      <c r="AF98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8" spans="18:32" x14ac:dyDescent="0.2">
      <c r="R9898" t="s">
        <v>33</v>
      </c>
      <c r="S9898" t="s">
        <v>249</v>
      </c>
      <c r="T9898" t="s">
        <v>442</v>
      </c>
      <c r="U9898" s="21">
        <v>12552.54</v>
      </c>
      <c r="V9898" s="21" t="s">
        <v>368</v>
      </c>
      <c r="W9898" t="str">
        <f>VLOOKUP(Table_Query_from_Actuarial___Production[[#This Row],[Kor1]],$AI$3:$AK$105,3,FALSE)</f>
        <v>Misc. Expense</v>
      </c>
      <c r="X98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8"/>
      <c r="Z9898" t="s">
        <v>48</v>
      </c>
      <c r="AA9898" t="s">
        <v>250</v>
      </c>
      <c r="AB9898" t="s">
        <v>427</v>
      </c>
      <c r="AC9898" s="21">
        <v>3479.57</v>
      </c>
      <c r="AD9898" s="21" t="s">
        <v>368</v>
      </c>
      <c r="AE9898" t="str">
        <f>VLOOKUP(Table_Query_from_Actuarial___Production3[[#This Row],[Kor1]],$AI$3:$AK$105,3,FALSE)</f>
        <v>Anticipated Salvage</v>
      </c>
      <c r="AF98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899" spans="18:32" x14ac:dyDescent="0.2">
      <c r="R9899" t="s">
        <v>14</v>
      </c>
      <c r="S9899" t="s">
        <v>256</v>
      </c>
      <c r="T9899" t="s">
        <v>433</v>
      </c>
      <c r="U9899" s="21">
        <v>20729.34</v>
      </c>
      <c r="V9899" s="21" t="s">
        <v>368</v>
      </c>
      <c r="W9899" t="str">
        <f>VLOOKUP(Table_Query_from_Actuarial___Production[[#This Row],[Kor1]],$AI$3:$AK$105,3,FALSE)</f>
        <v>Claims Expense</v>
      </c>
      <c r="X98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899"/>
      <c r="Z9899" t="s">
        <v>17</v>
      </c>
      <c r="AA9899" t="s">
        <v>258</v>
      </c>
      <c r="AB9899" t="s">
        <v>443</v>
      </c>
      <c r="AC9899" s="21">
        <v>166425.49</v>
      </c>
      <c r="AD9899" s="21" t="s">
        <v>368</v>
      </c>
      <c r="AE9899" t="str">
        <f>VLOOKUP(Table_Query_from_Actuarial___Production3[[#This Row],[Kor1]],$AI$3:$AK$105,3,FALSE)</f>
        <v>IBNR</v>
      </c>
      <c r="AF98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0" spans="18:32" x14ac:dyDescent="0.2">
      <c r="R9900" t="s">
        <v>33</v>
      </c>
      <c r="S9900" t="s">
        <v>244</v>
      </c>
      <c r="T9900" t="s">
        <v>427</v>
      </c>
      <c r="U9900" s="21">
        <v>13851.83</v>
      </c>
      <c r="V9900" s="21" t="s">
        <v>368</v>
      </c>
      <c r="W9900" t="str">
        <f>VLOOKUP(Table_Query_from_Actuarial___Production[[#This Row],[Kor1]],$AI$3:$AK$105,3,FALSE)</f>
        <v>Misc. Expense</v>
      </c>
      <c r="X99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0"/>
      <c r="Z9900" t="s">
        <v>43</v>
      </c>
      <c r="AA9900" t="s">
        <v>244</v>
      </c>
      <c r="AB9900" t="s">
        <v>5</v>
      </c>
      <c r="AC9900" s="21">
        <v>5.19</v>
      </c>
      <c r="AD9900" s="21" t="s">
        <v>368</v>
      </c>
      <c r="AE9900" t="str">
        <f>VLOOKUP(Table_Query_from_Actuarial___Production3[[#This Row],[Kor1]],$AI$3:$AK$105,3,FALSE)</f>
        <v>Charge-offs</v>
      </c>
      <c r="AF99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1" spans="18:32" x14ac:dyDescent="0.2">
      <c r="R9901" t="s">
        <v>33</v>
      </c>
      <c r="S9901" t="s">
        <v>235</v>
      </c>
      <c r="T9901" t="s">
        <v>9</v>
      </c>
      <c r="U9901" s="21">
        <v>16382.7</v>
      </c>
      <c r="V9901" s="21" t="s">
        <v>368</v>
      </c>
      <c r="W9901" t="str">
        <f>VLOOKUP(Table_Query_from_Actuarial___Production[[#This Row],[Kor1]],$AI$3:$AK$105,3,FALSE)</f>
        <v>Misc. Expense</v>
      </c>
      <c r="X99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1"/>
      <c r="Z9901" t="s">
        <v>44</v>
      </c>
      <c r="AA9901" t="s">
        <v>240</v>
      </c>
      <c r="AB9901" t="s">
        <v>427</v>
      </c>
      <c r="AC9901" s="21">
        <v>83114.83</v>
      </c>
      <c r="AD9901" s="21" t="s">
        <v>368</v>
      </c>
      <c r="AE9901" t="str">
        <f>VLOOKUP(Table_Query_from_Actuarial___Production3[[#This Row],[Kor1]],$AI$3:$AK$105,3,FALSE)</f>
        <v>Charge-offs</v>
      </c>
      <c r="AF99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2" spans="18:32" x14ac:dyDescent="0.2">
      <c r="R9902" t="s">
        <v>44</v>
      </c>
      <c r="S9902" t="s">
        <v>228</v>
      </c>
      <c r="T9902" t="s">
        <v>443</v>
      </c>
      <c r="U9902" s="21">
        <v>82623.039999999994</v>
      </c>
      <c r="V9902" s="21" t="s">
        <v>368</v>
      </c>
      <c r="W9902" t="str">
        <f>VLOOKUP(Table_Query_from_Actuarial___Production[[#This Row],[Kor1]],$AI$3:$AK$105,3,FALSE)</f>
        <v>Charge-offs</v>
      </c>
      <c r="X99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2"/>
      <c r="Z9902" t="s">
        <v>37</v>
      </c>
      <c r="AA9902" t="s">
        <v>262</v>
      </c>
      <c r="AB9902" t="s">
        <v>433</v>
      </c>
      <c r="AC9902" s="21">
        <v>1248.4000000000001</v>
      </c>
      <c r="AD9902" s="21" t="s">
        <v>368</v>
      </c>
      <c r="AE9902" t="str">
        <f>VLOOKUP(Table_Query_from_Actuarial___Production3[[#This Row],[Kor1]],$AI$3:$AK$105,3,FALSE)</f>
        <v>Misc. Expense</v>
      </c>
      <c r="AF99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3" spans="18:32" x14ac:dyDescent="0.2">
      <c r="R9903" t="s">
        <v>34</v>
      </c>
      <c r="S9903" t="s">
        <v>265</v>
      </c>
      <c r="T9903" t="s">
        <v>445</v>
      </c>
      <c r="U9903" s="21">
        <v>6811.19</v>
      </c>
      <c r="V9903" s="21" t="s">
        <v>368</v>
      </c>
      <c r="W9903" t="str">
        <f>VLOOKUP(Table_Query_from_Actuarial___Production[[#This Row],[Kor1]],$AI$3:$AK$105,3,FALSE)</f>
        <v>Misc. Expense</v>
      </c>
      <c r="X99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3"/>
      <c r="Z9903" t="s">
        <v>33</v>
      </c>
      <c r="AA9903" t="s">
        <v>239</v>
      </c>
      <c r="AB9903" t="s">
        <v>7</v>
      </c>
      <c r="AC9903" s="21">
        <v>13479.48</v>
      </c>
      <c r="AD9903" s="21" t="s">
        <v>368</v>
      </c>
      <c r="AE9903" t="str">
        <f>VLOOKUP(Table_Query_from_Actuarial___Production3[[#This Row],[Kor1]],$AI$3:$AK$105,3,FALSE)</f>
        <v>Misc. Expense</v>
      </c>
      <c r="AF99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4" spans="18:32" x14ac:dyDescent="0.2">
      <c r="R9904" t="s">
        <v>14</v>
      </c>
      <c r="S9904" t="s">
        <v>232</v>
      </c>
      <c r="T9904" t="s">
        <v>8</v>
      </c>
      <c r="U9904" s="21">
        <v>66922.789999999994</v>
      </c>
      <c r="V9904" s="21" t="s">
        <v>368</v>
      </c>
      <c r="W9904" t="str">
        <f>VLOOKUP(Table_Query_from_Actuarial___Production[[#This Row],[Kor1]],$AI$3:$AK$105,3,FALSE)</f>
        <v>Claims Expense</v>
      </c>
      <c r="X99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4"/>
      <c r="Z9904" t="s">
        <v>17</v>
      </c>
      <c r="AA9904" t="s">
        <v>225</v>
      </c>
      <c r="AB9904" t="s">
        <v>356</v>
      </c>
      <c r="AC9904" s="21">
        <v>44556.14</v>
      </c>
      <c r="AD9904" s="21" t="s">
        <v>368</v>
      </c>
      <c r="AE9904" t="str">
        <f>VLOOKUP(Table_Query_from_Actuarial___Production3[[#This Row],[Kor1]],$AI$3:$AK$105,3,FALSE)</f>
        <v>IBNR</v>
      </c>
      <c r="AF99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905" spans="18:32" x14ac:dyDescent="0.2">
      <c r="R9905" t="s">
        <v>31</v>
      </c>
      <c r="S9905" t="s">
        <v>267</v>
      </c>
      <c r="T9905" t="s">
        <v>6</v>
      </c>
      <c r="U9905" s="21">
        <v>16</v>
      </c>
      <c r="V9905" s="21" t="s">
        <v>368</v>
      </c>
      <c r="W9905" t="str">
        <f>VLOOKUP(Table_Query_from_Actuarial___Production[[#This Row],[Kor1]],$AI$3:$AK$105,3,FALSE)</f>
        <v>Misc. Expense</v>
      </c>
      <c r="X99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5"/>
      <c r="Z9905" t="s">
        <v>17</v>
      </c>
      <c r="AA9905" t="s">
        <v>240</v>
      </c>
      <c r="AB9905" t="s">
        <v>442</v>
      </c>
      <c r="AC9905" s="21">
        <v>546373.34</v>
      </c>
      <c r="AD9905" s="21" t="s">
        <v>368</v>
      </c>
      <c r="AE9905" t="str">
        <f>VLOOKUP(Table_Query_from_Actuarial___Production3[[#This Row],[Kor1]],$AI$3:$AK$105,3,FALSE)</f>
        <v>IBNR</v>
      </c>
      <c r="AF99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6" spans="18:32" x14ac:dyDescent="0.2">
      <c r="R9906" t="s">
        <v>36</v>
      </c>
      <c r="S9906" t="s">
        <v>228</v>
      </c>
      <c r="T9906" t="s">
        <v>443</v>
      </c>
      <c r="U9906" s="21">
        <v>130</v>
      </c>
      <c r="V9906" s="21" t="s">
        <v>368</v>
      </c>
      <c r="W9906" t="str">
        <f>VLOOKUP(Table_Query_from_Actuarial___Production[[#This Row],[Kor1]],$AI$3:$AK$105,3,FALSE)</f>
        <v>Misc. Expense</v>
      </c>
      <c r="X99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6"/>
      <c r="Z9906" t="s">
        <v>49</v>
      </c>
      <c r="AA9906" t="s">
        <v>234</v>
      </c>
      <c r="AB9906" t="s">
        <v>5</v>
      </c>
      <c r="AC9906" s="21">
        <v>767</v>
      </c>
      <c r="AD9906" s="21" t="s">
        <v>368</v>
      </c>
      <c r="AE9906" t="str">
        <f>VLOOKUP(Table_Query_from_Actuarial___Production3[[#This Row],[Kor1]],$AI$3:$AK$105,3,FALSE)</f>
        <v>ALAE Paid</v>
      </c>
      <c r="AF99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7" spans="18:32" x14ac:dyDescent="0.2">
      <c r="R9907" t="s">
        <v>49</v>
      </c>
      <c r="S9907" t="s">
        <v>229</v>
      </c>
      <c r="T9907" t="s">
        <v>427</v>
      </c>
      <c r="U9907" s="21">
        <v>11486.19</v>
      </c>
      <c r="V9907" s="21" t="s">
        <v>368</v>
      </c>
      <c r="W9907" t="str">
        <f>VLOOKUP(Table_Query_from_Actuarial___Production[[#This Row],[Kor1]],$AI$3:$AK$105,3,FALSE)</f>
        <v>ALAE Paid</v>
      </c>
      <c r="X99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7"/>
      <c r="Z9907" t="s">
        <v>43</v>
      </c>
      <c r="AA9907" t="s">
        <v>234</v>
      </c>
      <c r="AB9907" t="s">
        <v>5</v>
      </c>
      <c r="AC9907" s="21">
        <v>118.9</v>
      </c>
      <c r="AD9907" s="21" t="s">
        <v>368</v>
      </c>
      <c r="AE9907" t="str">
        <f>VLOOKUP(Table_Query_from_Actuarial___Production3[[#This Row],[Kor1]],$AI$3:$AK$105,3,FALSE)</f>
        <v>Charge-offs</v>
      </c>
      <c r="AF99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8" spans="18:32" x14ac:dyDescent="0.2">
      <c r="R9908" t="s">
        <v>14</v>
      </c>
      <c r="S9908" t="s">
        <v>247</v>
      </c>
      <c r="T9908" t="s">
        <v>427</v>
      </c>
      <c r="U9908" s="21">
        <v>545.92999999999995</v>
      </c>
      <c r="V9908" s="21" t="s">
        <v>368</v>
      </c>
      <c r="W9908" t="str">
        <f>VLOOKUP(Table_Query_from_Actuarial___Production[[#This Row],[Kor1]],$AI$3:$AK$105,3,FALSE)</f>
        <v>Claims Expense</v>
      </c>
      <c r="X99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8"/>
      <c r="Z9908" t="s">
        <v>19</v>
      </c>
      <c r="AA9908" t="s">
        <v>251</v>
      </c>
      <c r="AB9908" t="s">
        <v>6</v>
      </c>
      <c r="AC9908" s="21">
        <v>408</v>
      </c>
      <c r="AD9908" s="21" t="s">
        <v>368</v>
      </c>
      <c r="AE9908" t="str">
        <f>VLOOKUP(Table_Query_from_Actuarial___Production3[[#This Row],[Kor1]],$AI$3:$AK$105,3,FALSE)</f>
        <v>Misc. Expense for Insolvent Companies</v>
      </c>
      <c r="AF99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09" spans="18:32" x14ac:dyDescent="0.2">
      <c r="R9909" t="s">
        <v>3</v>
      </c>
      <c r="S9909" t="s">
        <v>246</v>
      </c>
      <c r="T9909" t="s">
        <v>443</v>
      </c>
      <c r="U9909" s="21">
        <v>1514565</v>
      </c>
      <c r="V9909" s="21" t="s">
        <v>368</v>
      </c>
      <c r="W9909" t="str">
        <f>VLOOKUP(Table_Query_from_Actuarial___Production[[#This Row],[Kor1]],$AI$3:$AK$105,3,FALSE)</f>
        <v>Premiums Written</v>
      </c>
      <c r="X99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09"/>
      <c r="Z9909" t="s">
        <v>47</v>
      </c>
      <c r="AA9909" t="s">
        <v>252</v>
      </c>
      <c r="AB9909" t="s">
        <v>9</v>
      </c>
      <c r="AC9909" s="21">
        <v>4594.34</v>
      </c>
      <c r="AD9909" s="21" t="s">
        <v>368</v>
      </c>
      <c r="AE9909" t="str">
        <f>VLOOKUP(Table_Query_from_Actuarial___Production3[[#This Row],[Kor1]],$AI$3:$AK$105,3,FALSE)</f>
        <v>Investment Income</v>
      </c>
      <c r="AF99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0" spans="18:32" x14ac:dyDescent="0.2">
      <c r="R9910" t="s">
        <v>15</v>
      </c>
      <c r="S9910" t="s">
        <v>253</v>
      </c>
      <c r="T9910" t="s">
        <v>445</v>
      </c>
      <c r="U9910" s="21">
        <v>16255.27</v>
      </c>
      <c r="V9910" s="21" t="s">
        <v>368</v>
      </c>
      <c r="W9910" t="str">
        <f>VLOOKUP(Table_Query_from_Actuarial___Production[[#This Row],[Kor1]],$AI$3:$AK$105,3,FALSE)</f>
        <v>Unearned Premiums</v>
      </c>
      <c r="X99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0"/>
      <c r="Z9910" t="s">
        <v>41</v>
      </c>
      <c r="AA9910" t="s">
        <v>240</v>
      </c>
      <c r="AB9910" t="s">
        <v>7</v>
      </c>
      <c r="AC9910" s="21">
        <v>500.01</v>
      </c>
      <c r="AD9910" s="21" t="s">
        <v>368</v>
      </c>
      <c r="AE9910" t="str">
        <f>VLOOKUP(Table_Query_from_Actuarial___Production3[[#This Row],[Kor1]],$AI$3:$AK$105,3,FALSE)</f>
        <v>Misc. Income</v>
      </c>
      <c r="AF99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1" spans="18:32" x14ac:dyDescent="0.2">
      <c r="R9911" t="s">
        <v>19</v>
      </c>
      <c r="S9911" t="s">
        <v>267</v>
      </c>
      <c r="T9911" t="s">
        <v>427</v>
      </c>
      <c r="U9911" s="21">
        <v>1376</v>
      </c>
      <c r="V9911" s="21" t="s">
        <v>368</v>
      </c>
      <c r="W9911" t="str">
        <f>VLOOKUP(Table_Query_from_Actuarial___Production[[#This Row],[Kor1]],$AI$3:$AK$105,3,FALSE)</f>
        <v>Misc. Expense for Insolvent Companies</v>
      </c>
      <c r="X99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1"/>
      <c r="Z9911" t="s">
        <v>47</v>
      </c>
      <c r="AA9911" t="s">
        <v>257</v>
      </c>
      <c r="AB9911" t="s">
        <v>9</v>
      </c>
      <c r="AC9911" s="21">
        <v>9113.02</v>
      </c>
      <c r="AD9911" s="21" t="s">
        <v>368</v>
      </c>
      <c r="AE9911" t="str">
        <f>VLOOKUP(Table_Query_from_Actuarial___Production3[[#This Row],[Kor1]],$AI$3:$AK$105,3,FALSE)</f>
        <v>Investment Income</v>
      </c>
      <c r="AF99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2" spans="18:32" x14ac:dyDescent="0.2">
      <c r="R9912" t="s">
        <v>43</v>
      </c>
      <c r="S9912" t="s">
        <v>242</v>
      </c>
      <c r="T9912" t="s">
        <v>441</v>
      </c>
      <c r="U9912" s="21">
        <v>-1205.4000000000001</v>
      </c>
      <c r="V9912" s="21" t="s">
        <v>368</v>
      </c>
      <c r="W9912" t="str">
        <f>VLOOKUP(Table_Query_from_Actuarial___Production[[#This Row],[Kor1]],$AI$3:$AK$105,3,FALSE)</f>
        <v>Charge-offs</v>
      </c>
      <c r="X99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2"/>
      <c r="Z9912" t="s">
        <v>3</v>
      </c>
      <c r="AA9912" t="s">
        <v>264</v>
      </c>
      <c r="AB9912" t="s">
        <v>441</v>
      </c>
      <c r="AC9912" s="21">
        <v>4307440</v>
      </c>
      <c r="AD9912" s="21" t="s">
        <v>368</v>
      </c>
      <c r="AE9912" t="str">
        <f>VLOOKUP(Table_Query_from_Actuarial___Production3[[#This Row],[Kor1]],$AI$3:$AK$105,3,FALSE)</f>
        <v>Premiums Written</v>
      </c>
      <c r="AF99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3" spans="18:32" x14ac:dyDescent="0.2">
      <c r="R9913" t="s">
        <v>33</v>
      </c>
      <c r="S9913" t="s">
        <v>238</v>
      </c>
      <c r="T9913" t="s">
        <v>445</v>
      </c>
      <c r="U9913" s="21">
        <v>8833.5499999999993</v>
      </c>
      <c r="V9913" s="21" t="s">
        <v>368</v>
      </c>
      <c r="W9913" t="str">
        <f>VLOOKUP(Table_Query_from_Actuarial___Production[[#This Row],[Kor1]],$AI$3:$AK$105,3,FALSE)</f>
        <v>Misc. Expense</v>
      </c>
      <c r="X99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3"/>
      <c r="Z9913" t="s">
        <v>33</v>
      </c>
      <c r="AA9913" t="s">
        <v>230</v>
      </c>
      <c r="AB9913" t="s">
        <v>6</v>
      </c>
      <c r="AC9913" s="21">
        <v>33994.06</v>
      </c>
      <c r="AD9913" s="21" t="s">
        <v>368</v>
      </c>
      <c r="AE9913" t="str">
        <f>VLOOKUP(Table_Query_from_Actuarial___Production3[[#This Row],[Kor1]],$AI$3:$AK$105,3,FALSE)</f>
        <v>Misc. Expense</v>
      </c>
      <c r="AF99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4" spans="18:32" x14ac:dyDescent="0.2">
      <c r="R9914" t="s">
        <v>13</v>
      </c>
      <c r="S9914" t="s">
        <v>352</v>
      </c>
      <c r="T9914" t="s">
        <v>441</v>
      </c>
      <c r="U9914" s="21">
        <v>13351.95</v>
      </c>
      <c r="V9914" s="21" t="s">
        <v>369</v>
      </c>
      <c r="W9914" t="str">
        <f>VLOOKUP(Table_Query_from_Actuarial___Production[[#This Row],[Kor1]],$AI$3:$AK$105,3,FALSE)</f>
        <v>Operating Service Fees</v>
      </c>
      <c r="X99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914"/>
      <c r="Z9914" t="s">
        <v>33</v>
      </c>
      <c r="AA9914" t="s">
        <v>249</v>
      </c>
      <c r="AB9914" t="s">
        <v>442</v>
      </c>
      <c r="AC9914" s="21">
        <v>12552.54</v>
      </c>
      <c r="AD9914" s="21" t="s">
        <v>368</v>
      </c>
      <c r="AE9914" t="str">
        <f>VLOOKUP(Table_Query_from_Actuarial___Production3[[#This Row],[Kor1]],$AI$3:$AK$105,3,FALSE)</f>
        <v>Misc. Expense</v>
      </c>
      <c r="AF99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5" spans="18:32" x14ac:dyDescent="0.2">
      <c r="R9915" t="s">
        <v>40</v>
      </c>
      <c r="S9915" t="s">
        <v>251</v>
      </c>
      <c r="T9915" t="s">
        <v>443</v>
      </c>
      <c r="U9915" s="21">
        <v>60.01</v>
      </c>
      <c r="V9915" s="21" t="s">
        <v>368</v>
      </c>
      <c r="W9915" t="str">
        <f>VLOOKUP(Table_Query_from_Actuarial___Production[[#This Row],[Kor1]],$AI$3:$AK$105,3,FALSE)</f>
        <v>Misc. Income</v>
      </c>
      <c r="X99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5"/>
      <c r="Z9915" t="s">
        <v>14</v>
      </c>
      <c r="AA9915" t="s">
        <v>256</v>
      </c>
      <c r="AB9915" t="s">
        <v>433</v>
      </c>
      <c r="AC9915" s="21">
        <v>20729.34</v>
      </c>
      <c r="AD9915" s="21" t="s">
        <v>368</v>
      </c>
      <c r="AE9915" t="str">
        <f>VLOOKUP(Table_Query_from_Actuarial___Production3[[#This Row],[Kor1]],$AI$3:$AK$105,3,FALSE)</f>
        <v>Claims Expense</v>
      </c>
      <c r="AF99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6" spans="18:32" x14ac:dyDescent="0.2">
      <c r="R9916" t="s">
        <v>144</v>
      </c>
      <c r="S9916" t="s">
        <v>224</v>
      </c>
      <c r="T9916" t="s">
        <v>442</v>
      </c>
      <c r="U9916" s="21">
        <v>-33000</v>
      </c>
      <c r="V9916" s="21" t="s">
        <v>368</v>
      </c>
      <c r="W9916" t="str">
        <f>VLOOKUP(Table_Query_from_Actuarial___Production[[#This Row],[Kor1]],$AI$3:$AK$105,3,FALSE)</f>
        <v>Claims Expense</v>
      </c>
      <c r="X99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916"/>
      <c r="Z9916" t="s">
        <v>33</v>
      </c>
      <c r="AA9916" t="s">
        <v>244</v>
      </c>
      <c r="AB9916" t="s">
        <v>427</v>
      </c>
      <c r="AC9916" s="21">
        <v>13851.83</v>
      </c>
      <c r="AD9916" s="21" t="s">
        <v>368</v>
      </c>
      <c r="AE9916" t="str">
        <f>VLOOKUP(Table_Query_from_Actuarial___Production3[[#This Row],[Kor1]],$AI$3:$AK$105,3,FALSE)</f>
        <v>Misc. Expense</v>
      </c>
      <c r="AF99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7" spans="18:32" x14ac:dyDescent="0.2">
      <c r="R9917" t="s">
        <v>13</v>
      </c>
      <c r="S9917" t="s">
        <v>224</v>
      </c>
      <c r="T9917" t="s">
        <v>9</v>
      </c>
      <c r="U9917" s="21">
        <v>7558.6</v>
      </c>
      <c r="V9917" s="21" t="s">
        <v>425</v>
      </c>
      <c r="W9917" t="str">
        <f>VLOOKUP(Table_Query_from_Actuarial___Production[[#This Row],[Kor1]],$AI$3:$AK$105,3,FALSE)</f>
        <v>Operating Service Fees</v>
      </c>
      <c r="X99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917"/>
      <c r="Z9917" t="s">
        <v>33</v>
      </c>
      <c r="AA9917" t="s">
        <v>235</v>
      </c>
      <c r="AB9917" t="s">
        <v>9</v>
      </c>
      <c r="AC9917" s="21">
        <v>16382.7</v>
      </c>
      <c r="AD9917" s="21" t="s">
        <v>368</v>
      </c>
      <c r="AE9917" t="str">
        <f>VLOOKUP(Table_Query_from_Actuarial___Production3[[#This Row],[Kor1]],$AI$3:$AK$105,3,FALSE)</f>
        <v>Misc. Expense</v>
      </c>
      <c r="AF99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8" spans="18:32" x14ac:dyDescent="0.2">
      <c r="R9918" t="s">
        <v>44</v>
      </c>
      <c r="S9918" t="s">
        <v>255</v>
      </c>
      <c r="T9918" t="s">
        <v>8</v>
      </c>
      <c r="U9918" s="21">
        <v>-4</v>
      </c>
      <c r="V9918" s="21" t="s">
        <v>368</v>
      </c>
      <c r="W9918" t="str">
        <f>VLOOKUP(Table_Query_from_Actuarial___Production[[#This Row],[Kor1]],$AI$3:$AK$105,3,FALSE)</f>
        <v>Charge-offs</v>
      </c>
      <c r="X99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8"/>
      <c r="Z9918" t="s">
        <v>14</v>
      </c>
      <c r="AA9918" t="s">
        <v>232</v>
      </c>
      <c r="AB9918" t="s">
        <v>8</v>
      </c>
      <c r="AC9918" s="21">
        <v>66922.789999999994</v>
      </c>
      <c r="AD9918" s="21" t="s">
        <v>368</v>
      </c>
      <c r="AE9918" t="str">
        <f>VLOOKUP(Table_Query_from_Actuarial___Production3[[#This Row],[Kor1]],$AI$3:$AK$105,3,FALSE)</f>
        <v>Claims Expense</v>
      </c>
      <c r="AF99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19" spans="18:32" x14ac:dyDescent="0.2">
      <c r="R9919" t="s">
        <v>439</v>
      </c>
      <c r="S9919" t="s">
        <v>249</v>
      </c>
      <c r="T9919" t="s">
        <v>443</v>
      </c>
      <c r="U9919" s="21">
        <v>-16389.91</v>
      </c>
      <c r="V9919" s="21" t="s">
        <v>368</v>
      </c>
      <c r="W9919" t="str">
        <f>VLOOKUP(Table_Query_from_Actuarial___Production[[#This Row],[Kor1]],$AI$3:$AK$105,3,FALSE)</f>
        <v>Operating Service Fees</v>
      </c>
      <c r="X99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19"/>
      <c r="Z9919" t="s">
        <v>31</v>
      </c>
      <c r="AA9919" t="s">
        <v>267</v>
      </c>
      <c r="AB9919" t="s">
        <v>6</v>
      </c>
      <c r="AC9919" s="21">
        <v>16</v>
      </c>
      <c r="AD9919" s="21" t="s">
        <v>368</v>
      </c>
      <c r="AE9919" t="str">
        <f>VLOOKUP(Table_Query_from_Actuarial___Production3[[#This Row],[Kor1]],$AI$3:$AK$105,3,FALSE)</f>
        <v>Misc. Expense</v>
      </c>
      <c r="AF99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0" spans="18:32" x14ac:dyDescent="0.2">
      <c r="R9920" t="s">
        <v>47</v>
      </c>
      <c r="S9920" t="s">
        <v>266</v>
      </c>
      <c r="T9920" t="s">
        <v>8</v>
      </c>
      <c r="U9920" s="21">
        <v>7.0000000000000007E-2</v>
      </c>
      <c r="V9920" s="21" t="s">
        <v>368</v>
      </c>
      <c r="W9920" t="str">
        <f>VLOOKUP(Table_Query_from_Actuarial___Production[[#This Row],[Kor1]],$AI$3:$AK$105,3,FALSE)</f>
        <v>Investment Income</v>
      </c>
      <c r="X99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0"/>
      <c r="Z9920" t="s">
        <v>49</v>
      </c>
      <c r="AA9920" t="s">
        <v>229</v>
      </c>
      <c r="AB9920" t="s">
        <v>427</v>
      </c>
      <c r="AC9920" s="21">
        <v>11486.19</v>
      </c>
      <c r="AD9920" s="21" t="s">
        <v>368</v>
      </c>
      <c r="AE9920" t="str">
        <f>VLOOKUP(Table_Query_from_Actuarial___Production3[[#This Row],[Kor1]],$AI$3:$AK$105,3,FALSE)</f>
        <v>ALAE Paid</v>
      </c>
      <c r="AF99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1" spans="18:32" x14ac:dyDescent="0.2">
      <c r="R9921" t="s">
        <v>19</v>
      </c>
      <c r="S9921" t="s">
        <v>268</v>
      </c>
      <c r="T9921" t="s">
        <v>443</v>
      </c>
      <c r="U9921" s="21">
        <v>15</v>
      </c>
      <c r="V9921" s="21" t="s">
        <v>368</v>
      </c>
      <c r="W9921" t="str">
        <f>VLOOKUP(Table_Query_from_Actuarial___Production[[#This Row],[Kor1]],$AI$3:$AK$105,3,FALSE)</f>
        <v>Misc. Expense for Insolvent Companies</v>
      </c>
      <c r="X99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1"/>
      <c r="Z9921" t="s">
        <v>14</v>
      </c>
      <c r="AA9921" t="s">
        <v>247</v>
      </c>
      <c r="AB9921" t="s">
        <v>427</v>
      </c>
      <c r="AC9921" s="21">
        <v>545.92999999999995</v>
      </c>
      <c r="AD9921" s="21" t="s">
        <v>368</v>
      </c>
      <c r="AE9921" t="str">
        <f>VLOOKUP(Table_Query_from_Actuarial___Production3[[#This Row],[Kor1]],$AI$3:$AK$105,3,FALSE)</f>
        <v>Claims Expense</v>
      </c>
      <c r="AF99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2" spans="18:32" x14ac:dyDescent="0.2">
      <c r="R9922" t="s">
        <v>13</v>
      </c>
      <c r="S9922" t="s">
        <v>354</v>
      </c>
      <c r="T9922" t="s">
        <v>443</v>
      </c>
      <c r="U9922" s="21">
        <v>292938572.93000001</v>
      </c>
      <c r="V9922" s="21" t="s">
        <v>369</v>
      </c>
      <c r="W9922" t="str">
        <f>VLOOKUP(Table_Query_from_Actuarial___Production[[#This Row],[Kor1]],$AI$3:$AK$105,3,FALSE)</f>
        <v>Operating Service Fees</v>
      </c>
      <c r="X99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922"/>
      <c r="Z9922" t="s">
        <v>3</v>
      </c>
      <c r="AA9922" t="s">
        <v>246</v>
      </c>
      <c r="AB9922" t="s">
        <v>443</v>
      </c>
      <c r="AC9922" s="21">
        <v>503193</v>
      </c>
      <c r="AD9922" s="21" t="s">
        <v>368</v>
      </c>
      <c r="AE9922" t="str">
        <f>VLOOKUP(Table_Query_from_Actuarial___Production3[[#This Row],[Kor1]],$AI$3:$AK$105,3,FALSE)</f>
        <v>Premiums Written</v>
      </c>
      <c r="AF99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3" spans="18:32" x14ac:dyDescent="0.2">
      <c r="R9923" t="s">
        <v>10</v>
      </c>
      <c r="S9923" t="s">
        <v>230</v>
      </c>
      <c r="T9923" t="s">
        <v>443</v>
      </c>
      <c r="U9923" s="21">
        <v>927241.15</v>
      </c>
      <c r="V9923" s="21" t="s">
        <v>368</v>
      </c>
      <c r="W9923" t="str">
        <f>VLOOKUP(Table_Query_from_Actuarial___Production[[#This Row],[Kor1]],$AI$3:$AK$105,3,FALSE)</f>
        <v>Commissions</v>
      </c>
      <c r="X99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3"/>
      <c r="Z9923" t="s">
        <v>19</v>
      </c>
      <c r="AA9923" t="s">
        <v>267</v>
      </c>
      <c r="AB9923" t="s">
        <v>427</v>
      </c>
      <c r="AC9923" s="21">
        <v>1056</v>
      </c>
      <c r="AD9923" s="21" t="s">
        <v>368</v>
      </c>
      <c r="AE9923" t="str">
        <f>VLOOKUP(Table_Query_from_Actuarial___Production3[[#This Row],[Kor1]],$AI$3:$AK$105,3,FALSE)</f>
        <v>Misc. Expense for Insolvent Companies</v>
      </c>
      <c r="AF99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4" spans="18:32" x14ac:dyDescent="0.2">
      <c r="R9924" t="s">
        <v>34</v>
      </c>
      <c r="S9924" t="s">
        <v>239</v>
      </c>
      <c r="T9924" t="s">
        <v>8</v>
      </c>
      <c r="U9924" s="21">
        <v>1.38</v>
      </c>
      <c r="V9924" s="21" t="s">
        <v>368</v>
      </c>
      <c r="W9924" t="str">
        <f>VLOOKUP(Table_Query_from_Actuarial___Production[[#This Row],[Kor1]],$AI$3:$AK$105,3,FALSE)</f>
        <v>Misc. Expense</v>
      </c>
      <c r="X99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4"/>
      <c r="Z9924" t="s">
        <v>43</v>
      </c>
      <c r="AA9924" t="s">
        <v>242</v>
      </c>
      <c r="AB9924" t="s">
        <v>441</v>
      </c>
      <c r="AC9924" s="21">
        <v>-1205.4000000000001</v>
      </c>
      <c r="AD9924" s="21" t="s">
        <v>368</v>
      </c>
      <c r="AE9924" t="str">
        <f>VLOOKUP(Table_Query_from_Actuarial___Production3[[#This Row],[Kor1]],$AI$3:$AK$105,3,FALSE)</f>
        <v>Charge-offs</v>
      </c>
      <c r="AF99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5" spans="18:32" x14ac:dyDescent="0.2">
      <c r="R9925" t="s">
        <v>10</v>
      </c>
      <c r="S9925" t="s">
        <v>246</v>
      </c>
      <c r="T9925" t="s">
        <v>427</v>
      </c>
      <c r="U9925" s="21">
        <v>133999.6</v>
      </c>
      <c r="V9925" s="21" t="s">
        <v>368</v>
      </c>
      <c r="W9925" t="str">
        <f>VLOOKUP(Table_Query_from_Actuarial___Production[[#This Row],[Kor1]],$AI$3:$AK$105,3,FALSE)</f>
        <v>Commissions</v>
      </c>
      <c r="X99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5"/>
      <c r="Z9925" t="s">
        <v>13</v>
      </c>
      <c r="AA9925" t="s">
        <v>352</v>
      </c>
      <c r="AB9925" t="s">
        <v>441</v>
      </c>
      <c r="AC9925" s="21">
        <v>13317.15</v>
      </c>
      <c r="AD9925" s="21" t="s">
        <v>369</v>
      </c>
      <c r="AE9925" t="str">
        <f>VLOOKUP(Table_Query_from_Actuarial___Production3[[#This Row],[Kor1]],$AI$3:$AK$105,3,FALSE)</f>
        <v>Operating Service Fees</v>
      </c>
      <c r="AF99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926" spans="18:32" x14ac:dyDescent="0.2">
      <c r="R9926" t="s">
        <v>10</v>
      </c>
      <c r="S9926" t="s">
        <v>256</v>
      </c>
      <c r="T9926" t="s">
        <v>9</v>
      </c>
      <c r="U9926" s="21">
        <v>10945.55</v>
      </c>
      <c r="V9926" s="21" t="s">
        <v>368</v>
      </c>
      <c r="W9926" t="str">
        <f>VLOOKUP(Table_Query_from_Actuarial___Production[[#This Row],[Kor1]],$AI$3:$AK$105,3,FALSE)</f>
        <v>Commissions</v>
      </c>
      <c r="X99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6"/>
      <c r="Z9926" t="s">
        <v>144</v>
      </c>
      <c r="AA9926" t="s">
        <v>224</v>
      </c>
      <c r="AB9926" t="s">
        <v>442</v>
      </c>
      <c r="AC9926" s="21">
        <v>-30200</v>
      </c>
      <c r="AD9926" s="21" t="s">
        <v>368</v>
      </c>
      <c r="AE9926" t="str">
        <f>VLOOKUP(Table_Query_from_Actuarial___Production3[[#This Row],[Kor1]],$AI$3:$AK$105,3,FALSE)</f>
        <v>Claims Expense</v>
      </c>
      <c r="AF99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927" spans="18:32" x14ac:dyDescent="0.2">
      <c r="R9927" t="s">
        <v>47</v>
      </c>
      <c r="S9927" t="s">
        <v>255</v>
      </c>
      <c r="T9927" t="s">
        <v>356</v>
      </c>
      <c r="U9927" s="21">
        <v>739.47</v>
      </c>
      <c r="V9927" s="21" t="s">
        <v>368</v>
      </c>
      <c r="W9927" t="str">
        <f>VLOOKUP(Table_Query_from_Actuarial___Production[[#This Row],[Kor1]],$AI$3:$AK$105,3,FALSE)</f>
        <v>Investment Income</v>
      </c>
      <c r="X99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7"/>
      <c r="Z9927" t="s">
        <v>13</v>
      </c>
      <c r="AA9927" t="s">
        <v>224</v>
      </c>
      <c r="AB9927" t="s">
        <v>9</v>
      </c>
      <c r="AC9927" s="21">
        <v>7547.78</v>
      </c>
      <c r="AD9927" s="21" t="s">
        <v>425</v>
      </c>
      <c r="AE9927" t="str">
        <f>VLOOKUP(Table_Query_from_Actuarial___Production3[[#This Row],[Kor1]],$AI$3:$AK$105,3,FALSE)</f>
        <v>Operating Service Fees</v>
      </c>
      <c r="AF99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928" spans="18:32" x14ac:dyDescent="0.2">
      <c r="R9928" t="s">
        <v>33</v>
      </c>
      <c r="S9928" t="s">
        <v>264</v>
      </c>
      <c r="T9928" t="s">
        <v>351</v>
      </c>
      <c r="U9928" s="21">
        <v>16496.88</v>
      </c>
      <c r="V9928" s="21" t="s">
        <v>368</v>
      </c>
      <c r="W9928" t="str">
        <f>VLOOKUP(Table_Query_from_Actuarial___Production[[#This Row],[Kor1]],$AI$3:$AK$105,3,FALSE)</f>
        <v>Misc. Expense</v>
      </c>
      <c r="X99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8"/>
      <c r="Z9928" t="s">
        <v>44</v>
      </c>
      <c r="AA9928" t="s">
        <v>255</v>
      </c>
      <c r="AB9928" t="s">
        <v>8</v>
      </c>
      <c r="AC9928" s="21">
        <v>-4</v>
      </c>
      <c r="AD9928" s="21" t="s">
        <v>368</v>
      </c>
      <c r="AE9928" t="str">
        <f>VLOOKUP(Table_Query_from_Actuarial___Production3[[#This Row],[Kor1]],$AI$3:$AK$105,3,FALSE)</f>
        <v>Charge-offs</v>
      </c>
      <c r="AF99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29" spans="18:32" x14ac:dyDescent="0.2">
      <c r="R9929" t="s">
        <v>41</v>
      </c>
      <c r="S9929" t="s">
        <v>245</v>
      </c>
      <c r="T9929" t="s">
        <v>441</v>
      </c>
      <c r="U9929" s="21">
        <v>450</v>
      </c>
      <c r="V9929" s="21" t="s">
        <v>368</v>
      </c>
      <c r="W9929" t="str">
        <f>VLOOKUP(Table_Query_from_Actuarial___Production[[#This Row],[Kor1]],$AI$3:$AK$105,3,FALSE)</f>
        <v>Misc. Income</v>
      </c>
      <c r="X99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29"/>
      <c r="Z9929" t="s">
        <v>41</v>
      </c>
      <c r="AA9929" t="s">
        <v>257</v>
      </c>
      <c r="AB9929" t="s">
        <v>5</v>
      </c>
      <c r="AC9929" s="21">
        <v>1102.53</v>
      </c>
      <c r="AD9929" s="21" t="s">
        <v>368</v>
      </c>
      <c r="AE9929" t="str">
        <f>VLOOKUP(Table_Query_from_Actuarial___Production3[[#This Row],[Kor1]],$AI$3:$AK$105,3,FALSE)</f>
        <v>Misc. Income</v>
      </c>
      <c r="AF99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0" spans="18:32" x14ac:dyDescent="0.2">
      <c r="R9930" t="s">
        <v>10</v>
      </c>
      <c r="S9930" t="s">
        <v>260</v>
      </c>
      <c r="T9930" t="s">
        <v>427</v>
      </c>
      <c r="U9930" s="21">
        <v>482.05</v>
      </c>
      <c r="V9930" s="21" t="s">
        <v>368</v>
      </c>
      <c r="W9930" t="str">
        <f>VLOOKUP(Table_Query_from_Actuarial___Production[[#This Row],[Kor1]],$AI$3:$AK$105,3,FALSE)</f>
        <v>Commissions</v>
      </c>
      <c r="X99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0"/>
      <c r="Z9930" t="s">
        <v>439</v>
      </c>
      <c r="AA9930" t="s">
        <v>249</v>
      </c>
      <c r="AB9930" t="s">
        <v>443</v>
      </c>
      <c r="AC9930" s="21">
        <v>-16389.91</v>
      </c>
      <c r="AD9930" s="21" t="s">
        <v>368</v>
      </c>
      <c r="AE9930" t="str">
        <f>VLOOKUP(Table_Query_from_Actuarial___Production3[[#This Row],[Kor1]],$AI$3:$AK$105,3,FALSE)</f>
        <v>Operating Service Fees</v>
      </c>
      <c r="AF99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1" spans="18:32" x14ac:dyDescent="0.2">
      <c r="R9931" t="s">
        <v>40</v>
      </c>
      <c r="S9931" t="s">
        <v>252</v>
      </c>
      <c r="T9931" t="s">
        <v>8</v>
      </c>
      <c r="U9931" s="21">
        <v>524.41999999999996</v>
      </c>
      <c r="V9931" s="21" t="s">
        <v>368</v>
      </c>
      <c r="W9931" t="str">
        <f>VLOOKUP(Table_Query_from_Actuarial___Production[[#This Row],[Kor1]],$AI$3:$AK$105,3,FALSE)</f>
        <v>Misc. Income</v>
      </c>
      <c r="X99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1"/>
      <c r="Z9931" t="s">
        <v>47</v>
      </c>
      <c r="AA9931" t="s">
        <v>266</v>
      </c>
      <c r="AB9931" t="s">
        <v>8</v>
      </c>
      <c r="AC9931" s="21">
        <v>7.0000000000000007E-2</v>
      </c>
      <c r="AD9931" s="21" t="s">
        <v>368</v>
      </c>
      <c r="AE9931" t="str">
        <f>VLOOKUP(Table_Query_from_Actuarial___Production3[[#This Row],[Kor1]],$AI$3:$AK$105,3,FALSE)</f>
        <v>Investment Income</v>
      </c>
      <c r="AF99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2" spans="18:32" x14ac:dyDescent="0.2">
      <c r="R9932" t="s">
        <v>43</v>
      </c>
      <c r="S9932" t="s">
        <v>234</v>
      </c>
      <c r="T9932" t="s">
        <v>351</v>
      </c>
      <c r="U9932" s="21">
        <v>817.54</v>
      </c>
      <c r="V9932" s="21" t="s">
        <v>368</v>
      </c>
      <c r="W9932" t="str">
        <f>VLOOKUP(Table_Query_from_Actuarial___Production[[#This Row],[Kor1]],$AI$3:$AK$105,3,FALSE)</f>
        <v>Charge-offs</v>
      </c>
      <c r="X99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2"/>
      <c r="Z9932" t="s">
        <v>48</v>
      </c>
      <c r="AA9932" t="s">
        <v>247</v>
      </c>
      <c r="AB9932" t="s">
        <v>427</v>
      </c>
      <c r="AC9932" s="21">
        <v>0.95</v>
      </c>
      <c r="AD9932" s="21" t="s">
        <v>368</v>
      </c>
      <c r="AE9932" t="str">
        <f>VLOOKUP(Table_Query_from_Actuarial___Production3[[#This Row],[Kor1]],$AI$3:$AK$105,3,FALSE)</f>
        <v>Anticipated Salvage</v>
      </c>
      <c r="AF99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3" spans="18:32" x14ac:dyDescent="0.2">
      <c r="R9933" t="s">
        <v>44</v>
      </c>
      <c r="S9933" t="s">
        <v>267</v>
      </c>
      <c r="T9933" t="s">
        <v>356</v>
      </c>
      <c r="U9933" s="21">
        <v>48946</v>
      </c>
      <c r="V9933" s="21" t="s">
        <v>368</v>
      </c>
      <c r="W9933" t="str">
        <f>VLOOKUP(Table_Query_from_Actuarial___Production[[#This Row],[Kor1]],$AI$3:$AK$105,3,FALSE)</f>
        <v>Charge-offs</v>
      </c>
      <c r="X99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3"/>
      <c r="Z9933" t="s">
        <v>19</v>
      </c>
      <c r="AA9933" t="s">
        <v>268</v>
      </c>
      <c r="AB9933" t="s">
        <v>443</v>
      </c>
      <c r="AC9933" s="21">
        <v>15</v>
      </c>
      <c r="AD9933" s="21" t="s">
        <v>368</v>
      </c>
      <c r="AE9933" t="str">
        <f>VLOOKUP(Table_Query_from_Actuarial___Production3[[#This Row],[Kor1]],$AI$3:$AK$105,3,FALSE)</f>
        <v>Misc. Expense for Insolvent Companies</v>
      </c>
      <c r="AF99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4" spans="18:32" x14ac:dyDescent="0.2">
      <c r="R9934" t="s">
        <v>14</v>
      </c>
      <c r="S9934" t="s">
        <v>249</v>
      </c>
      <c r="T9934" t="s">
        <v>356</v>
      </c>
      <c r="U9934" s="21">
        <v>31101.87</v>
      </c>
      <c r="V9934" s="21" t="s">
        <v>368</v>
      </c>
      <c r="W9934" t="str">
        <f>VLOOKUP(Table_Query_from_Actuarial___Production[[#This Row],[Kor1]],$AI$3:$AK$105,3,FALSE)</f>
        <v>Claims Expense</v>
      </c>
      <c r="X99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4"/>
      <c r="Z9934" t="s">
        <v>13</v>
      </c>
      <c r="AA9934" t="s">
        <v>354</v>
      </c>
      <c r="AB9934" t="s">
        <v>443</v>
      </c>
      <c r="AC9934" s="21">
        <v>144966138.34</v>
      </c>
      <c r="AD9934" s="21" t="s">
        <v>369</v>
      </c>
      <c r="AE9934" t="str">
        <f>VLOOKUP(Table_Query_from_Actuarial___Production3[[#This Row],[Kor1]],$AI$3:$AK$105,3,FALSE)</f>
        <v>Operating Service Fees</v>
      </c>
      <c r="AF99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935" spans="18:32" x14ac:dyDescent="0.2">
      <c r="R9935" t="s">
        <v>39</v>
      </c>
      <c r="S9935" t="s">
        <v>237</v>
      </c>
      <c r="T9935" t="s">
        <v>445</v>
      </c>
      <c r="U9935" s="21">
        <v>39664.120000000003</v>
      </c>
      <c r="V9935" s="21" t="s">
        <v>368</v>
      </c>
      <c r="W9935" t="str">
        <f>VLOOKUP(Table_Query_from_Actuarial___Production[[#This Row],[Kor1]],$AI$3:$AK$105,3,FALSE)</f>
        <v>Misc. Income for Insolvent Companies</v>
      </c>
      <c r="X99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5"/>
      <c r="Z9935" t="s">
        <v>10</v>
      </c>
      <c r="AA9935" t="s">
        <v>230</v>
      </c>
      <c r="AB9935" t="s">
        <v>443</v>
      </c>
      <c r="AC9935" s="21">
        <v>430435.17</v>
      </c>
      <c r="AD9935" s="21" t="s">
        <v>368</v>
      </c>
      <c r="AE9935" t="str">
        <f>VLOOKUP(Table_Query_from_Actuarial___Production3[[#This Row],[Kor1]],$AI$3:$AK$105,3,FALSE)</f>
        <v>Commissions</v>
      </c>
      <c r="AF99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6" spans="18:32" x14ac:dyDescent="0.2">
      <c r="R9936" t="s">
        <v>13</v>
      </c>
      <c r="S9936" t="s">
        <v>253</v>
      </c>
      <c r="T9936" t="s">
        <v>427</v>
      </c>
      <c r="U9936" s="21">
        <v>441.97</v>
      </c>
      <c r="V9936" s="21" t="s">
        <v>368</v>
      </c>
      <c r="W9936" t="str">
        <f>VLOOKUP(Table_Query_from_Actuarial___Production[[#This Row],[Kor1]],$AI$3:$AK$105,3,FALSE)</f>
        <v>Operating Service Fees</v>
      </c>
      <c r="X99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6"/>
      <c r="Z9936" t="s">
        <v>34</v>
      </c>
      <c r="AA9936" t="s">
        <v>239</v>
      </c>
      <c r="AB9936" t="s">
        <v>8</v>
      </c>
      <c r="AC9936" s="21">
        <v>1.38</v>
      </c>
      <c r="AD9936" s="21" t="s">
        <v>368</v>
      </c>
      <c r="AE9936" t="str">
        <f>VLOOKUP(Table_Query_from_Actuarial___Production3[[#This Row],[Kor1]],$AI$3:$AK$105,3,FALSE)</f>
        <v>Misc. Expense</v>
      </c>
      <c r="AF99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7" spans="18:32" x14ac:dyDescent="0.2">
      <c r="R9937" t="s">
        <v>34</v>
      </c>
      <c r="S9937" t="s">
        <v>229</v>
      </c>
      <c r="T9937" t="s">
        <v>427</v>
      </c>
      <c r="U9937" s="21">
        <v>3387.18</v>
      </c>
      <c r="V9937" s="21" t="s">
        <v>368</v>
      </c>
      <c r="W9937" t="str">
        <f>VLOOKUP(Table_Query_from_Actuarial___Production[[#This Row],[Kor1]],$AI$3:$AK$105,3,FALSE)</f>
        <v>Misc. Expense</v>
      </c>
      <c r="X99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7"/>
      <c r="Z9937" t="s">
        <v>10</v>
      </c>
      <c r="AA9937" t="s">
        <v>246</v>
      </c>
      <c r="AB9937" t="s">
        <v>427</v>
      </c>
      <c r="AC9937" s="21">
        <v>133999.6</v>
      </c>
      <c r="AD9937" s="21" t="s">
        <v>368</v>
      </c>
      <c r="AE9937" t="str">
        <f>VLOOKUP(Table_Query_from_Actuarial___Production3[[#This Row],[Kor1]],$AI$3:$AK$105,3,FALSE)</f>
        <v>Commissions</v>
      </c>
      <c r="AF99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8" spans="18:32" x14ac:dyDescent="0.2">
      <c r="R9938" t="s">
        <v>17</v>
      </c>
      <c r="S9938" t="s">
        <v>251</v>
      </c>
      <c r="T9938" t="s">
        <v>442</v>
      </c>
      <c r="U9938" s="21">
        <v>124578.79</v>
      </c>
      <c r="V9938" s="21" t="s">
        <v>368</v>
      </c>
      <c r="W9938" t="str">
        <f>VLOOKUP(Table_Query_from_Actuarial___Production[[#This Row],[Kor1]],$AI$3:$AK$105,3,FALSE)</f>
        <v>IBNR</v>
      </c>
      <c r="X99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8"/>
      <c r="Z9938" t="s">
        <v>10</v>
      </c>
      <c r="AA9938" t="s">
        <v>256</v>
      </c>
      <c r="AB9938" t="s">
        <v>9</v>
      </c>
      <c r="AC9938" s="21">
        <v>10945.55</v>
      </c>
      <c r="AD9938" s="21" t="s">
        <v>368</v>
      </c>
      <c r="AE9938" t="str">
        <f>VLOOKUP(Table_Query_from_Actuarial___Production3[[#This Row],[Kor1]],$AI$3:$AK$105,3,FALSE)</f>
        <v>Commissions</v>
      </c>
      <c r="AF99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39" spans="18:32" x14ac:dyDescent="0.2">
      <c r="R9939" t="s">
        <v>31</v>
      </c>
      <c r="S9939" t="s">
        <v>259</v>
      </c>
      <c r="T9939" t="s">
        <v>7</v>
      </c>
      <c r="U9939" s="21">
        <v>1072.27</v>
      </c>
      <c r="V9939" s="21" t="s">
        <v>368</v>
      </c>
      <c r="W9939" t="str">
        <f>VLOOKUP(Table_Query_from_Actuarial___Production[[#This Row],[Kor1]],$AI$3:$AK$105,3,FALSE)</f>
        <v>Misc. Expense</v>
      </c>
      <c r="X99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39"/>
      <c r="Z9939" t="s">
        <v>47</v>
      </c>
      <c r="AA9939" t="s">
        <v>255</v>
      </c>
      <c r="AB9939" t="s">
        <v>356</v>
      </c>
      <c r="AC9939" s="21">
        <v>739.47</v>
      </c>
      <c r="AD9939" s="21" t="s">
        <v>368</v>
      </c>
      <c r="AE9939" t="str">
        <f>VLOOKUP(Table_Query_from_Actuarial___Production3[[#This Row],[Kor1]],$AI$3:$AK$105,3,FALSE)</f>
        <v>Investment Income</v>
      </c>
      <c r="AF99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0" spans="18:32" x14ac:dyDescent="0.2">
      <c r="R9940" t="s">
        <v>39</v>
      </c>
      <c r="S9940" t="s">
        <v>249</v>
      </c>
      <c r="T9940" t="s">
        <v>7</v>
      </c>
      <c r="U9940" s="21">
        <v>524</v>
      </c>
      <c r="V9940" s="21" t="s">
        <v>368</v>
      </c>
      <c r="W9940" t="str">
        <f>VLOOKUP(Table_Query_from_Actuarial___Production[[#This Row],[Kor1]],$AI$3:$AK$105,3,FALSE)</f>
        <v>Misc. Income for Insolvent Companies</v>
      </c>
      <c r="X99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0"/>
      <c r="Z9940" t="s">
        <v>33</v>
      </c>
      <c r="AA9940" t="s">
        <v>264</v>
      </c>
      <c r="AB9940" t="s">
        <v>351</v>
      </c>
      <c r="AC9940" s="21">
        <v>16496.88</v>
      </c>
      <c r="AD9940" s="21" t="s">
        <v>368</v>
      </c>
      <c r="AE9940" t="str">
        <f>VLOOKUP(Table_Query_from_Actuarial___Production3[[#This Row],[Kor1]],$AI$3:$AK$105,3,FALSE)</f>
        <v>Misc. Expense</v>
      </c>
      <c r="AF99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1" spans="18:32" x14ac:dyDescent="0.2">
      <c r="R9941" t="s">
        <v>48</v>
      </c>
      <c r="S9941" t="s">
        <v>224</v>
      </c>
      <c r="T9941" t="s">
        <v>443</v>
      </c>
      <c r="U9941" s="21">
        <v>6240.36</v>
      </c>
      <c r="V9941" s="21" t="s">
        <v>370</v>
      </c>
      <c r="W9941" t="str">
        <f>VLOOKUP(Table_Query_from_Actuarial___Production[[#This Row],[Kor1]],$AI$3:$AK$105,3,FALSE)</f>
        <v>Anticipated Salvage</v>
      </c>
      <c r="X99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9941"/>
      <c r="Z9941" t="s">
        <v>41</v>
      </c>
      <c r="AA9941" t="s">
        <v>245</v>
      </c>
      <c r="AB9941" t="s">
        <v>441</v>
      </c>
      <c r="AC9941" s="21">
        <v>450</v>
      </c>
      <c r="AD9941" s="21" t="s">
        <v>368</v>
      </c>
      <c r="AE9941" t="str">
        <f>VLOOKUP(Table_Query_from_Actuarial___Production3[[#This Row],[Kor1]],$AI$3:$AK$105,3,FALSE)</f>
        <v>Misc. Income</v>
      </c>
      <c r="AF99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2" spans="18:32" x14ac:dyDescent="0.2">
      <c r="R9942" t="s">
        <v>50</v>
      </c>
      <c r="S9942" t="s">
        <v>226</v>
      </c>
      <c r="T9942" t="s">
        <v>433</v>
      </c>
      <c r="U9942" s="21">
        <v>115455</v>
      </c>
      <c r="V9942" s="21" t="s">
        <v>368</v>
      </c>
      <c r="W9942" t="str">
        <f>VLOOKUP(Table_Query_from_Actuarial___Production[[#This Row],[Kor1]],$AI$3:$AK$105,3,FALSE)</f>
        <v>ALAE Reserve</v>
      </c>
      <c r="X99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9942"/>
      <c r="Z9942" t="s">
        <v>10</v>
      </c>
      <c r="AA9942" t="s">
        <v>260</v>
      </c>
      <c r="AB9942" t="s">
        <v>427</v>
      </c>
      <c r="AC9942" s="21">
        <v>482.05</v>
      </c>
      <c r="AD9942" s="21" t="s">
        <v>368</v>
      </c>
      <c r="AE9942" t="str">
        <f>VLOOKUP(Table_Query_from_Actuarial___Production3[[#This Row],[Kor1]],$AI$3:$AK$105,3,FALSE)</f>
        <v>Commissions</v>
      </c>
      <c r="AF99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3" spans="18:32" x14ac:dyDescent="0.2">
      <c r="R9943" t="s">
        <v>13</v>
      </c>
      <c r="S9943" t="s">
        <v>232</v>
      </c>
      <c r="T9943" t="s">
        <v>442</v>
      </c>
      <c r="U9943" s="21">
        <v>261164.63</v>
      </c>
      <c r="V9943" s="21" t="s">
        <v>368</v>
      </c>
      <c r="W9943" t="str">
        <f>VLOOKUP(Table_Query_from_Actuarial___Production[[#This Row],[Kor1]],$AI$3:$AK$105,3,FALSE)</f>
        <v>Operating Service Fees</v>
      </c>
      <c r="X99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3"/>
      <c r="Z9943" t="s">
        <v>40</v>
      </c>
      <c r="AA9943" t="s">
        <v>252</v>
      </c>
      <c r="AB9943" t="s">
        <v>8</v>
      </c>
      <c r="AC9943" s="21">
        <v>524.41999999999996</v>
      </c>
      <c r="AD9943" s="21" t="s">
        <v>368</v>
      </c>
      <c r="AE9943" t="str">
        <f>VLOOKUP(Table_Query_from_Actuarial___Production3[[#This Row],[Kor1]],$AI$3:$AK$105,3,FALSE)</f>
        <v>Misc. Income</v>
      </c>
      <c r="AF99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4" spans="18:32" x14ac:dyDescent="0.2">
      <c r="R9944" t="s">
        <v>40</v>
      </c>
      <c r="S9944" t="s">
        <v>257</v>
      </c>
      <c r="T9944" t="s">
        <v>433</v>
      </c>
      <c r="U9944" s="21">
        <v>681.86</v>
      </c>
      <c r="V9944" s="21" t="s">
        <v>368</v>
      </c>
      <c r="W9944" t="str">
        <f>VLOOKUP(Table_Query_from_Actuarial___Production[[#This Row],[Kor1]],$AI$3:$AK$105,3,FALSE)</f>
        <v>Misc. Income</v>
      </c>
      <c r="X99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4"/>
      <c r="Z9944" t="s">
        <v>43</v>
      </c>
      <c r="AA9944" t="s">
        <v>234</v>
      </c>
      <c r="AB9944" t="s">
        <v>351</v>
      </c>
      <c r="AC9944" s="21">
        <v>817.54</v>
      </c>
      <c r="AD9944" s="21" t="s">
        <v>368</v>
      </c>
      <c r="AE9944" t="str">
        <f>VLOOKUP(Table_Query_from_Actuarial___Production3[[#This Row],[Kor1]],$AI$3:$AK$105,3,FALSE)</f>
        <v>Charge-offs</v>
      </c>
      <c r="AF99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5" spans="18:32" x14ac:dyDescent="0.2">
      <c r="R9945" t="s">
        <v>41</v>
      </c>
      <c r="S9945" t="s">
        <v>232</v>
      </c>
      <c r="T9945" t="s">
        <v>442</v>
      </c>
      <c r="U9945" s="21">
        <v>710.59</v>
      </c>
      <c r="V9945" s="21" t="s">
        <v>368</v>
      </c>
      <c r="W9945" t="str">
        <f>VLOOKUP(Table_Query_from_Actuarial___Production[[#This Row],[Kor1]],$AI$3:$AK$105,3,FALSE)</f>
        <v>Misc. Income</v>
      </c>
      <c r="X99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5"/>
      <c r="Z9945" t="s">
        <v>44</v>
      </c>
      <c r="AA9945" t="s">
        <v>267</v>
      </c>
      <c r="AB9945" t="s">
        <v>356</v>
      </c>
      <c r="AC9945" s="21">
        <v>48946</v>
      </c>
      <c r="AD9945" s="21" t="s">
        <v>368</v>
      </c>
      <c r="AE9945" t="str">
        <f>VLOOKUP(Table_Query_from_Actuarial___Production3[[#This Row],[Kor1]],$AI$3:$AK$105,3,FALSE)</f>
        <v>Charge-offs</v>
      </c>
      <c r="AF99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6" spans="18:32" x14ac:dyDescent="0.2">
      <c r="R9946" t="s">
        <v>144</v>
      </c>
      <c r="S9946" t="s">
        <v>224</v>
      </c>
      <c r="T9946" t="s">
        <v>443</v>
      </c>
      <c r="U9946" s="21">
        <v>-1000</v>
      </c>
      <c r="V9946" s="21" t="s">
        <v>369</v>
      </c>
      <c r="W9946" t="str">
        <f>VLOOKUP(Table_Query_from_Actuarial___Production[[#This Row],[Kor1]],$AI$3:$AK$105,3,FALSE)</f>
        <v>Claims Expense</v>
      </c>
      <c r="X99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946"/>
      <c r="Z9946" t="s">
        <v>14</v>
      </c>
      <c r="AA9946" t="s">
        <v>249</v>
      </c>
      <c r="AB9946" t="s">
        <v>356</v>
      </c>
      <c r="AC9946" s="21">
        <v>31101.87</v>
      </c>
      <c r="AD9946" s="21" t="s">
        <v>368</v>
      </c>
      <c r="AE9946" t="str">
        <f>VLOOKUP(Table_Query_from_Actuarial___Production3[[#This Row],[Kor1]],$AI$3:$AK$105,3,FALSE)</f>
        <v>Claims Expense</v>
      </c>
      <c r="AF99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7" spans="18:32" x14ac:dyDescent="0.2">
      <c r="R9947" t="s">
        <v>15</v>
      </c>
      <c r="S9947" t="s">
        <v>354</v>
      </c>
      <c r="T9947" t="s">
        <v>445</v>
      </c>
      <c r="U9947" s="21">
        <v>433822932.44</v>
      </c>
      <c r="V9947" s="21" t="s">
        <v>369</v>
      </c>
      <c r="W9947" t="str">
        <f>VLOOKUP(Table_Query_from_Actuarial___Production[[#This Row],[Kor1]],$AI$3:$AK$105,3,FALSE)</f>
        <v>Unearned Premiums</v>
      </c>
      <c r="X99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947"/>
      <c r="Z9947" t="s">
        <v>13</v>
      </c>
      <c r="AA9947" t="s">
        <v>253</v>
      </c>
      <c r="AB9947" t="s">
        <v>427</v>
      </c>
      <c r="AC9947" s="21">
        <v>441.97</v>
      </c>
      <c r="AD9947" s="21" t="s">
        <v>368</v>
      </c>
      <c r="AE9947" t="str">
        <f>VLOOKUP(Table_Query_from_Actuarial___Production3[[#This Row],[Kor1]],$AI$3:$AK$105,3,FALSE)</f>
        <v>Operating Service Fees</v>
      </c>
      <c r="AF99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8" spans="18:32" x14ac:dyDescent="0.2">
      <c r="R9948" t="s">
        <v>3</v>
      </c>
      <c r="S9948" t="s">
        <v>235</v>
      </c>
      <c r="T9948" t="s">
        <v>9</v>
      </c>
      <c r="U9948" s="21">
        <v>469874</v>
      </c>
      <c r="V9948" s="21" t="s">
        <v>368</v>
      </c>
      <c r="W9948" t="str">
        <f>VLOOKUP(Table_Query_from_Actuarial___Production[[#This Row],[Kor1]],$AI$3:$AK$105,3,FALSE)</f>
        <v>Premiums Written</v>
      </c>
      <c r="X99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8"/>
      <c r="Z9948" t="s">
        <v>34</v>
      </c>
      <c r="AA9948" t="s">
        <v>229</v>
      </c>
      <c r="AB9948" t="s">
        <v>427</v>
      </c>
      <c r="AC9948" s="21">
        <v>3387.18</v>
      </c>
      <c r="AD9948" s="21" t="s">
        <v>368</v>
      </c>
      <c r="AE9948" t="str">
        <f>VLOOKUP(Table_Query_from_Actuarial___Production3[[#This Row],[Kor1]],$AI$3:$AK$105,3,FALSE)</f>
        <v>Misc. Expense</v>
      </c>
      <c r="AF99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49" spans="18:32" x14ac:dyDescent="0.2">
      <c r="R9949" t="s">
        <v>12</v>
      </c>
      <c r="S9949" t="s">
        <v>244</v>
      </c>
      <c r="T9949" t="s">
        <v>443</v>
      </c>
      <c r="U9949" s="21">
        <v>95575.38</v>
      </c>
      <c r="V9949" s="21" t="s">
        <v>368</v>
      </c>
      <c r="W9949" t="str">
        <f>VLOOKUP(Table_Query_from_Actuarial___Production[[#This Row],[Kor1]],$AI$3:$AK$105,3,FALSE)</f>
        <v>Premium Tax</v>
      </c>
      <c r="X99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49"/>
      <c r="Z9949" t="s">
        <v>17</v>
      </c>
      <c r="AA9949" t="s">
        <v>251</v>
      </c>
      <c r="AB9949" t="s">
        <v>442</v>
      </c>
      <c r="AC9949" s="21">
        <v>180002.2</v>
      </c>
      <c r="AD9949" s="21" t="s">
        <v>368</v>
      </c>
      <c r="AE9949" t="str">
        <f>VLOOKUP(Table_Query_from_Actuarial___Production3[[#This Row],[Kor1]],$AI$3:$AK$105,3,FALSE)</f>
        <v>IBNR</v>
      </c>
      <c r="AF99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0" spans="18:32" x14ac:dyDescent="0.2">
      <c r="R9950" t="s">
        <v>33</v>
      </c>
      <c r="S9950" t="s">
        <v>239</v>
      </c>
      <c r="T9950" t="s">
        <v>351</v>
      </c>
      <c r="U9950" s="21">
        <v>16170.01</v>
      </c>
      <c r="V9950" s="21" t="s">
        <v>368</v>
      </c>
      <c r="W9950" t="str">
        <f>VLOOKUP(Table_Query_from_Actuarial___Production[[#This Row],[Kor1]],$AI$3:$AK$105,3,FALSE)</f>
        <v>Misc. Expense</v>
      </c>
      <c r="X99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0"/>
      <c r="Z9950" t="s">
        <v>15</v>
      </c>
      <c r="AA9950" t="s">
        <v>249</v>
      </c>
      <c r="AB9950" t="s">
        <v>442</v>
      </c>
      <c r="AC9950" s="21">
        <v>160613.96</v>
      </c>
      <c r="AD9950" s="21" t="s">
        <v>368</v>
      </c>
      <c r="AE9950" t="str">
        <f>VLOOKUP(Table_Query_from_Actuarial___Production3[[#This Row],[Kor1]],$AI$3:$AK$105,3,FALSE)</f>
        <v>Unearned Premiums</v>
      </c>
      <c r="AF99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1" spans="18:32" x14ac:dyDescent="0.2">
      <c r="R9951" t="s">
        <v>3</v>
      </c>
      <c r="S9951" t="s">
        <v>239</v>
      </c>
      <c r="T9951" t="s">
        <v>351</v>
      </c>
      <c r="U9951" s="21">
        <v>476072</v>
      </c>
      <c r="V9951" s="21" t="s">
        <v>368</v>
      </c>
      <c r="W9951" t="str">
        <f>VLOOKUP(Table_Query_from_Actuarial___Production[[#This Row],[Kor1]],$AI$3:$AK$105,3,FALSE)</f>
        <v>Premiums Written</v>
      </c>
      <c r="X99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1"/>
      <c r="Z9951" t="s">
        <v>31</v>
      </c>
      <c r="AA9951" t="s">
        <v>259</v>
      </c>
      <c r="AB9951" t="s">
        <v>7</v>
      </c>
      <c r="AC9951" s="21">
        <v>1072.27</v>
      </c>
      <c r="AD9951" s="21" t="s">
        <v>368</v>
      </c>
      <c r="AE9951" t="str">
        <f>VLOOKUP(Table_Query_from_Actuarial___Production3[[#This Row],[Kor1]],$AI$3:$AK$105,3,FALSE)</f>
        <v>Misc. Expense</v>
      </c>
      <c r="AF99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2" spans="18:32" x14ac:dyDescent="0.2">
      <c r="R9952" t="s">
        <v>49</v>
      </c>
      <c r="S9952" t="s">
        <v>4</v>
      </c>
      <c r="T9952" t="s">
        <v>356</v>
      </c>
      <c r="U9952" s="21">
        <v>2516762.31</v>
      </c>
      <c r="V9952" s="21" t="s">
        <v>368</v>
      </c>
      <c r="W9952" t="str">
        <f>VLOOKUP(Table_Query_from_Actuarial___Production[[#This Row],[Kor1]],$AI$3:$AK$105,3,FALSE)</f>
        <v>ALAE Paid</v>
      </c>
      <c r="X99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2"/>
      <c r="Z9952" t="s">
        <v>39</v>
      </c>
      <c r="AA9952" t="s">
        <v>249</v>
      </c>
      <c r="AB9952" t="s">
        <v>7</v>
      </c>
      <c r="AC9952" s="21">
        <v>524</v>
      </c>
      <c r="AD9952" s="21" t="s">
        <v>368</v>
      </c>
      <c r="AE9952" t="str">
        <f>VLOOKUP(Table_Query_from_Actuarial___Production3[[#This Row],[Kor1]],$AI$3:$AK$105,3,FALSE)</f>
        <v>Misc. Income for Insolvent Companies</v>
      </c>
      <c r="AF99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3" spans="18:32" x14ac:dyDescent="0.2">
      <c r="R9953" t="s">
        <v>11</v>
      </c>
      <c r="S9953" t="s">
        <v>232</v>
      </c>
      <c r="T9953" t="s">
        <v>445</v>
      </c>
      <c r="U9953" s="21">
        <v>14798.28</v>
      </c>
      <c r="V9953" s="21" t="s">
        <v>368</v>
      </c>
      <c r="W9953" t="str">
        <f>VLOOKUP(Table_Query_from_Actuarial___Production[[#This Row],[Kor1]],$AI$3:$AK$105,3,FALSE)</f>
        <v>Losses Paid</v>
      </c>
      <c r="X99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3"/>
      <c r="Z9953" t="s">
        <v>48</v>
      </c>
      <c r="AA9953" t="s">
        <v>224</v>
      </c>
      <c r="AB9953" t="s">
        <v>443</v>
      </c>
      <c r="AC9953" s="21">
        <v>422.86</v>
      </c>
      <c r="AD9953" s="21" t="s">
        <v>370</v>
      </c>
      <c r="AE9953" t="str">
        <f>VLOOKUP(Table_Query_from_Actuarial___Production3[[#This Row],[Kor1]],$AI$3:$AK$105,3,FALSE)</f>
        <v>Anticipated Salvage</v>
      </c>
      <c r="AF99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954" spans="18:32" x14ac:dyDescent="0.2">
      <c r="R9954" t="s">
        <v>41</v>
      </c>
      <c r="S9954" t="s">
        <v>227</v>
      </c>
      <c r="T9954" t="s">
        <v>7</v>
      </c>
      <c r="U9954" s="21">
        <v>693.47</v>
      </c>
      <c r="V9954" s="21" t="s">
        <v>368</v>
      </c>
      <c r="W9954" t="str">
        <f>VLOOKUP(Table_Query_from_Actuarial___Production[[#This Row],[Kor1]],$AI$3:$AK$105,3,FALSE)</f>
        <v>Misc. Income</v>
      </c>
      <c r="X99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4"/>
      <c r="Z9954" t="s">
        <v>50</v>
      </c>
      <c r="AA9954" t="s">
        <v>226</v>
      </c>
      <c r="AB9954" t="s">
        <v>433</v>
      </c>
      <c r="AC9954" s="21">
        <v>300855</v>
      </c>
      <c r="AD9954" s="21" t="s">
        <v>368</v>
      </c>
      <c r="AE9954" t="str">
        <f>VLOOKUP(Table_Query_from_Actuarial___Production3[[#This Row],[Kor1]],$AI$3:$AK$105,3,FALSE)</f>
        <v>ALAE Reserve</v>
      </c>
      <c r="AF99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9955" spans="18:32" x14ac:dyDescent="0.2">
      <c r="R9955" t="s">
        <v>13</v>
      </c>
      <c r="S9955" t="s">
        <v>352</v>
      </c>
      <c r="T9955" t="s">
        <v>351</v>
      </c>
      <c r="U9955" s="21">
        <v>28028.66</v>
      </c>
      <c r="V9955" s="21" t="s">
        <v>369</v>
      </c>
      <c r="W9955" t="str">
        <f>VLOOKUP(Table_Query_from_Actuarial___Production[[#This Row],[Kor1]],$AI$3:$AK$105,3,FALSE)</f>
        <v>Operating Service Fees</v>
      </c>
      <c r="X99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9955"/>
      <c r="Z9955" t="s">
        <v>13</v>
      </c>
      <c r="AA9955" t="s">
        <v>232</v>
      </c>
      <c r="AB9955" t="s">
        <v>442</v>
      </c>
      <c r="AC9955" s="21">
        <v>264290.19</v>
      </c>
      <c r="AD9955" s="21" t="s">
        <v>368</v>
      </c>
      <c r="AE9955" t="str">
        <f>VLOOKUP(Table_Query_from_Actuarial___Production3[[#This Row],[Kor1]],$AI$3:$AK$105,3,FALSE)</f>
        <v>Operating Service Fees</v>
      </c>
      <c r="AF99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6" spans="18:32" x14ac:dyDescent="0.2">
      <c r="R9956" t="s">
        <v>12</v>
      </c>
      <c r="S9956" t="s">
        <v>248</v>
      </c>
      <c r="T9956" t="s">
        <v>351</v>
      </c>
      <c r="U9956" s="21">
        <v>1341.66</v>
      </c>
      <c r="V9956" s="21" t="s">
        <v>368</v>
      </c>
      <c r="W9956" t="str">
        <f>VLOOKUP(Table_Query_from_Actuarial___Production[[#This Row],[Kor1]],$AI$3:$AK$105,3,FALSE)</f>
        <v>Premium Tax</v>
      </c>
      <c r="X99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6"/>
      <c r="Z9956" t="s">
        <v>40</v>
      </c>
      <c r="AA9956" t="s">
        <v>257</v>
      </c>
      <c r="AB9956" t="s">
        <v>433</v>
      </c>
      <c r="AC9956" s="21">
        <v>681.86</v>
      </c>
      <c r="AD9956" s="21" t="s">
        <v>368</v>
      </c>
      <c r="AE9956" t="str">
        <f>VLOOKUP(Table_Query_from_Actuarial___Production3[[#This Row],[Kor1]],$AI$3:$AK$105,3,FALSE)</f>
        <v>Misc. Income</v>
      </c>
      <c r="AF99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7" spans="18:32" x14ac:dyDescent="0.2">
      <c r="R9957" t="s">
        <v>29</v>
      </c>
      <c r="S9957" t="s">
        <v>244</v>
      </c>
      <c r="T9957" t="s">
        <v>441</v>
      </c>
      <c r="U9957" s="21">
        <v>47778.19</v>
      </c>
      <c r="V9957" s="21" t="s">
        <v>368</v>
      </c>
      <c r="W9957" t="str">
        <f>VLOOKUP(Table_Query_from_Actuarial___Production[[#This Row],[Kor1]],$AI$3:$AK$105,3,FALSE)</f>
        <v>Misc. Expense</v>
      </c>
      <c r="X99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7"/>
      <c r="Z9957" t="s">
        <v>37</v>
      </c>
      <c r="AA9957" t="s">
        <v>264</v>
      </c>
      <c r="AB9957" t="s">
        <v>5</v>
      </c>
      <c r="AC9957" s="21">
        <v>1397.36</v>
      </c>
      <c r="AD9957" s="21" t="s">
        <v>368</v>
      </c>
      <c r="AE9957" t="str">
        <f>VLOOKUP(Table_Query_from_Actuarial___Production3[[#This Row],[Kor1]],$AI$3:$AK$105,3,FALSE)</f>
        <v>Misc. Expense</v>
      </c>
      <c r="AF99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8" spans="18:32" x14ac:dyDescent="0.2">
      <c r="R9958" t="s">
        <v>43</v>
      </c>
      <c r="S9958" t="s">
        <v>230</v>
      </c>
      <c r="T9958" t="s">
        <v>356</v>
      </c>
      <c r="U9958" s="21">
        <v>32320.94</v>
      </c>
      <c r="V9958" s="21" t="s">
        <v>368</v>
      </c>
      <c r="W9958" t="str">
        <f>VLOOKUP(Table_Query_from_Actuarial___Production[[#This Row],[Kor1]],$AI$3:$AK$105,3,FALSE)</f>
        <v>Charge-offs</v>
      </c>
      <c r="X99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8"/>
      <c r="Z9958" t="s">
        <v>41</v>
      </c>
      <c r="AA9958" t="s">
        <v>232</v>
      </c>
      <c r="AB9958" t="s">
        <v>442</v>
      </c>
      <c r="AC9958" s="21">
        <v>710.59</v>
      </c>
      <c r="AD9958" s="21" t="s">
        <v>368</v>
      </c>
      <c r="AE9958" t="str">
        <f>VLOOKUP(Table_Query_from_Actuarial___Production3[[#This Row],[Kor1]],$AI$3:$AK$105,3,FALSE)</f>
        <v>Misc. Income</v>
      </c>
      <c r="AF99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59" spans="18:32" x14ac:dyDescent="0.2">
      <c r="R9959" t="s">
        <v>41</v>
      </c>
      <c r="S9959" t="s">
        <v>228</v>
      </c>
      <c r="T9959" t="s">
        <v>441</v>
      </c>
      <c r="U9959" s="21">
        <v>1000</v>
      </c>
      <c r="V9959" s="21" t="s">
        <v>368</v>
      </c>
      <c r="W9959" t="str">
        <f>VLOOKUP(Table_Query_from_Actuarial___Production[[#This Row],[Kor1]],$AI$3:$AK$105,3,FALSE)</f>
        <v>Misc. Income</v>
      </c>
      <c r="X99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59"/>
      <c r="Z9959" t="s">
        <v>3</v>
      </c>
      <c r="AA9959" t="s">
        <v>235</v>
      </c>
      <c r="AB9959" t="s">
        <v>9</v>
      </c>
      <c r="AC9959" s="21">
        <v>469874</v>
      </c>
      <c r="AD9959" s="21" t="s">
        <v>368</v>
      </c>
      <c r="AE9959" t="str">
        <f>VLOOKUP(Table_Query_from_Actuarial___Production3[[#This Row],[Kor1]],$AI$3:$AK$105,3,FALSE)</f>
        <v>Premiums Written</v>
      </c>
      <c r="AF99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0" spans="18:32" x14ac:dyDescent="0.2">
      <c r="R9960" t="s">
        <v>13</v>
      </c>
      <c r="S9960" t="s">
        <v>225</v>
      </c>
      <c r="T9960" t="s">
        <v>8</v>
      </c>
      <c r="U9960" s="21">
        <v>162068.01999999999</v>
      </c>
      <c r="V9960" s="21" t="s">
        <v>368</v>
      </c>
      <c r="W9960" t="str">
        <f>VLOOKUP(Table_Query_from_Actuarial___Production[[#This Row],[Kor1]],$AI$3:$AK$105,3,FALSE)</f>
        <v>Operating Service Fees</v>
      </c>
      <c r="X99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9960"/>
      <c r="Z9960" t="s">
        <v>14</v>
      </c>
      <c r="AA9960" t="s">
        <v>354</v>
      </c>
      <c r="AB9960" t="s">
        <v>5</v>
      </c>
      <c r="AC9960" s="21">
        <v>5502080.8399999999</v>
      </c>
      <c r="AD9960" s="21" t="s">
        <v>368</v>
      </c>
      <c r="AE9960" t="str">
        <f>VLOOKUP(Table_Query_from_Actuarial___Production3[[#This Row],[Kor1]],$AI$3:$AK$105,3,FALSE)</f>
        <v>Claims Expense</v>
      </c>
      <c r="AF99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961" spans="18:32" x14ac:dyDescent="0.2">
      <c r="R9961" t="s">
        <v>15</v>
      </c>
      <c r="S9961" t="s">
        <v>241</v>
      </c>
      <c r="T9961" t="s">
        <v>443</v>
      </c>
      <c r="U9961" s="21">
        <v>54215.69</v>
      </c>
      <c r="V9961" s="21" t="s">
        <v>368</v>
      </c>
      <c r="W9961" t="str">
        <f>VLOOKUP(Table_Query_from_Actuarial___Production[[#This Row],[Kor1]],$AI$3:$AK$105,3,FALSE)</f>
        <v>Unearned Premiums</v>
      </c>
      <c r="X99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1"/>
      <c r="Z9961" t="s">
        <v>12</v>
      </c>
      <c r="AA9961" t="s">
        <v>244</v>
      </c>
      <c r="AB9961" t="s">
        <v>443</v>
      </c>
      <c r="AC9961" s="21">
        <v>22399.95</v>
      </c>
      <c r="AD9961" s="21" t="s">
        <v>368</v>
      </c>
      <c r="AE9961" t="str">
        <f>VLOOKUP(Table_Query_from_Actuarial___Production3[[#This Row],[Kor1]],$AI$3:$AK$105,3,FALSE)</f>
        <v>Premium Tax</v>
      </c>
      <c r="AF99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2" spans="18:32" x14ac:dyDescent="0.2">
      <c r="R9962" t="s">
        <v>167</v>
      </c>
      <c r="S9962" t="s">
        <v>354</v>
      </c>
      <c r="T9962" t="s">
        <v>8</v>
      </c>
      <c r="U9962" s="21">
        <v>138447016</v>
      </c>
      <c r="V9962" s="21" t="s">
        <v>369</v>
      </c>
      <c r="W9962" t="str">
        <f>VLOOKUP(Table_Query_from_Actuarial___Production[[#This Row],[Kor1]],$AI$3:$AK$105,3,FALSE)</f>
        <v>Recoupment</v>
      </c>
      <c r="X99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9962"/>
      <c r="Z9962" t="s">
        <v>33</v>
      </c>
      <c r="AA9962" t="s">
        <v>239</v>
      </c>
      <c r="AB9962" t="s">
        <v>351</v>
      </c>
      <c r="AC9962" s="21">
        <v>16170.01</v>
      </c>
      <c r="AD9962" s="21" t="s">
        <v>368</v>
      </c>
      <c r="AE9962" t="str">
        <f>VLOOKUP(Table_Query_from_Actuarial___Production3[[#This Row],[Kor1]],$AI$3:$AK$105,3,FALSE)</f>
        <v>Misc. Expense</v>
      </c>
      <c r="AF99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3" spans="18:32" x14ac:dyDescent="0.2">
      <c r="R9963" t="s">
        <v>11</v>
      </c>
      <c r="S9963" t="s">
        <v>224</v>
      </c>
      <c r="T9963" t="s">
        <v>9</v>
      </c>
      <c r="U9963" s="21">
        <v>40371.57</v>
      </c>
      <c r="V9963" s="21" t="s">
        <v>369</v>
      </c>
      <c r="W9963" t="str">
        <f>VLOOKUP(Table_Query_from_Actuarial___Production[[#This Row],[Kor1]],$AI$3:$AK$105,3,FALSE)</f>
        <v>Losses Paid</v>
      </c>
      <c r="X99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963"/>
      <c r="Z9963" t="s">
        <v>3</v>
      </c>
      <c r="AA9963" t="s">
        <v>239</v>
      </c>
      <c r="AB9963" t="s">
        <v>351</v>
      </c>
      <c r="AC9963" s="21">
        <v>476072</v>
      </c>
      <c r="AD9963" s="21" t="s">
        <v>368</v>
      </c>
      <c r="AE9963" t="str">
        <f>VLOOKUP(Table_Query_from_Actuarial___Production3[[#This Row],[Kor1]],$AI$3:$AK$105,3,FALSE)</f>
        <v>Premiums Written</v>
      </c>
      <c r="AF99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4" spans="18:32" x14ac:dyDescent="0.2">
      <c r="R9964" t="s">
        <v>31</v>
      </c>
      <c r="S9964" t="s">
        <v>243</v>
      </c>
      <c r="T9964" t="s">
        <v>9</v>
      </c>
      <c r="U9964" s="21">
        <v>548.6</v>
      </c>
      <c r="V9964" s="21" t="s">
        <v>368</v>
      </c>
      <c r="W9964" t="str">
        <f>VLOOKUP(Table_Query_from_Actuarial___Production[[#This Row],[Kor1]],$AI$3:$AK$105,3,FALSE)</f>
        <v>Misc. Expense</v>
      </c>
      <c r="X99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4"/>
      <c r="Z9964" t="s">
        <v>49</v>
      </c>
      <c r="AA9964" t="s">
        <v>4</v>
      </c>
      <c r="AB9964" t="s">
        <v>356</v>
      </c>
      <c r="AC9964" s="21">
        <v>2227692.0499999998</v>
      </c>
      <c r="AD9964" s="21" t="s">
        <v>368</v>
      </c>
      <c r="AE9964" t="str">
        <f>VLOOKUP(Table_Query_from_Actuarial___Production3[[#This Row],[Kor1]],$AI$3:$AK$105,3,FALSE)</f>
        <v>ALAE Paid</v>
      </c>
      <c r="AF99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5" spans="18:32" x14ac:dyDescent="0.2">
      <c r="R9965" t="s">
        <v>10</v>
      </c>
      <c r="S9965" t="s">
        <v>254</v>
      </c>
      <c r="T9965" t="s">
        <v>7</v>
      </c>
      <c r="U9965" s="21">
        <v>19130.849999999999</v>
      </c>
      <c r="V9965" s="21" t="s">
        <v>368</v>
      </c>
      <c r="W9965" t="str">
        <f>VLOOKUP(Table_Query_from_Actuarial___Production[[#This Row],[Kor1]],$AI$3:$AK$105,3,FALSE)</f>
        <v>Commissions</v>
      </c>
      <c r="X99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5"/>
      <c r="Z9965" t="s">
        <v>41</v>
      </c>
      <c r="AA9965" t="s">
        <v>227</v>
      </c>
      <c r="AB9965" t="s">
        <v>7</v>
      </c>
      <c r="AC9965" s="21">
        <v>693.47</v>
      </c>
      <c r="AD9965" s="21" t="s">
        <v>368</v>
      </c>
      <c r="AE9965" t="str">
        <f>VLOOKUP(Table_Query_from_Actuarial___Production3[[#This Row],[Kor1]],$AI$3:$AK$105,3,FALSE)</f>
        <v>Misc. Income</v>
      </c>
      <c r="AF99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6" spans="18:32" x14ac:dyDescent="0.2">
      <c r="R9966" t="s">
        <v>50</v>
      </c>
      <c r="S9966" t="s">
        <v>252</v>
      </c>
      <c r="T9966" t="s">
        <v>433</v>
      </c>
      <c r="U9966" s="21">
        <v>2428818.67</v>
      </c>
      <c r="V9966" s="21" t="s">
        <v>368</v>
      </c>
      <c r="W9966" t="str">
        <f>VLOOKUP(Table_Query_from_Actuarial___Production[[#This Row],[Kor1]],$AI$3:$AK$105,3,FALSE)</f>
        <v>ALAE Reserve</v>
      </c>
      <c r="X99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6"/>
      <c r="Z9966" t="s">
        <v>13</v>
      </c>
      <c r="AA9966" t="s">
        <v>352</v>
      </c>
      <c r="AB9966" t="s">
        <v>351</v>
      </c>
      <c r="AC9966" s="21">
        <v>28028.66</v>
      </c>
      <c r="AD9966" s="21" t="s">
        <v>369</v>
      </c>
      <c r="AE9966" t="str">
        <f>VLOOKUP(Table_Query_from_Actuarial___Production3[[#This Row],[Kor1]],$AI$3:$AK$105,3,FALSE)</f>
        <v>Operating Service Fees</v>
      </c>
      <c r="AF99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9967" spans="18:32" x14ac:dyDescent="0.2">
      <c r="R9967" t="s">
        <v>14</v>
      </c>
      <c r="S9967" t="s">
        <v>228</v>
      </c>
      <c r="T9967" t="s">
        <v>445</v>
      </c>
      <c r="U9967" s="21">
        <v>47.28</v>
      </c>
      <c r="V9967" s="21" t="s">
        <v>368</v>
      </c>
      <c r="W9967" t="str">
        <f>VLOOKUP(Table_Query_from_Actuarial___Production[[#This Row],[Kor1]],$AI$3:$AK$105,3,FALSE)</f>
        <v>Claims Expense</v>
      </c>
      <c r="X99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7"/>
      <c r="Z9967" t="s">
        <v>12</v>
      </c>
      <c r="AA9967" t="s">
        <v>248</v>
      </c>
      <c r="AB9967" t="s">
        <v>351</v>
      </c>
      <c r="AC9967" s="21">
        <v>1341.66</v>
      </c>
      <c r="AD9967" s="21" t="s">
        <v>368</v>
      </c>
      <c r="AE9967" t="str">
        <f>VLOOKUP(Table_Query_from_Actuarial___Production3[[#This Row],[Kor1]],$AI$3:$AK$105,3,FALSE)</f>
        <v>Premium Tax</v>
      </c>
      <c r="AF99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8" spans="18:32" x14ac:dyDescent="0.2">
      <c r="R9968" t="s">
        <v>3</v>
      </c>
      <c r="S9968" t="s">
        <v>234</v>
      </c>
      <c r="T9968" t="s">
        <v>445</v>
      </c>
      <c r="U9968" s="21">
        <v>379155</v>
      </c>
      <c r="V9968" s="21" t="s">
        <v>368</v>
      </c>
      <c r="W9968" t="str">
        <f>VLOOKUP(Table_Query_from_Actuarial___Production[[#This Row],[Kor1]],$AI$3:$AK$105,3,FALSE)</f>
        <v>Premiums Written</v>
      </c>
      <c r="X99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8"/>
      <c r="Z9968" t="s">
        <v>29</v>
      </c>
      <c r="AA9968" t="s">
        <v>244</v>
      </c>
      <c r="AB9968" t="s">
        <v>441</v>
      </c>
      <c r="AC9968" s="21">
        <v>47778.19</v>
      </c>
      <c r="AD9968" s="21" t="s">
        <v>368</v>
      </c>
      <c r="AE9968" t="str">
        <f>VLOOKUP(Table_Query_from_Actuarial___Production3[[#This Row],[Kor1]],$AI$3:$AK$105,3,FALSE)</f>
        <v>Misc. Expense</v>
      </c>
      <c r="AF99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69" spans="18:32" x14ac:dyDescent="0.2">
      <c r="R9969" t="s">
        <v>10</v>
      </c>
      <c r="S9969" t="s">
        <v>234</v>
      </c>
      <c r="T9969" t="s">
        <v>9</v>
      </c>
      <c r="U9969" s="21">
        <v>47958.75</v>
      </c>
      <c r="V9969" s="21" t="s">
        <v>368</v>
      </c>
      <c r="W9969" t="str">
        <f>VLOOKUP(Table_Query_from_Actuarial___Production[[#This Row],[Kor1]],$AI$3:$AK$105,3,FALSE)</f>
        <v>Commissions</v>
      </c>
      <c r="X99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69"/>
      <c r="Z9969" t="s">
        <v>43</v>
      </c>
      <c r="AA9969" t="s">
        <v>230</v>
      </c>
      <c r="AB9969" t="s">
        <v>356</v>
      </c>
      <c r="AC9969" s="21">
        <v>32320.94</v>
      </c>
      <c r="AD9969" s="21" t="s">
        <v>368</v>
      </c>
      <c r="AE9969" t="str">
        <f>VLOOKUP(Table_Query_from_Actuarial___Production3[[#This Row],[Kor1]],$AI$3:$AK$105,3,FALSE)</f>
        <v>Charge-offs</v>
      </c>
      <c r="AF99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0" spans="18:32" x14ac:dyDescent="0.2">
      <c r="R9970" t="s">
        <v>10</v>
      </c>
      <c r="S9970" t="s">
        <v>246</v>
      </c>
      <c r="T9970" t="s">
        <v>443</v>
      </c>
      <c r="U9970" s="21">
        <v>92996.9</v>
      </c>
      <c r="V9970" s="21" t="s">
        <v>368</v>
      </c>
      <c r="W9970" t="str">
        <f>VLOOKUP(Table_Query_from_Actuarial___Production[[#This Row],[Kor1]],$AI$3:$AK$105,3,FALSE)</f>
        <v>Commissions</v>
      </c>
      <c r="X99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0"/>
      <c r="Z9970" t="s">
        <v>41</v>
      </c>
      <c r="AA9970" t="s">
        <v>228</v>
      </c>
      <c r="AB9970" t="s">
        <v>441</v>
      </c>
      <c r="AC9970" s="21">
        <v>1000</v>
      </c>
      <c r="AD9970" s="21" t="s">
        <v>368</v>
      </c>
      <c r="AE9970" t="str">
        <f>VLOOKUP(Table_Query_from_Actuarial___Production3[[#This Row],[Kor1]],$AI$3:$AK$105,3,FALSE)</f>
        <v>Misc. Income</v>
      </c>
      <c r="AF99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1" spans="18:32" x14ac:dyDescent="0.2">
      <c r="R9971" t="s">
        <v>34</v>
      </c>
      <c r="S9971" t="s">
        <v>234</v>
      </c>
      <c r="T9971" t="s">
        <v>356</v>
      </c>
      <c r="U9971" s="21">
        <v>1768.03</v>
      </c>
      <c r="V9971" s="21" t="s">
        <v>368</v>
      </c>
      <c r="W9971" t="str">
        <f>VLOOKUP(Table_Query_from_Actuarial___Production[[#This Row],[Kor1]],$AI$3:$AK$105,3,FALSE)</f>
        <v>Misc. Expense</v>
      </c>
      <c r="X99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1"/>
      <c r="Z9971" t="s">
        <v>13</v>
      </c>
      <c r="AA9971" t="s">
        <v>225</v>
      </c>
      <c r="AB9971" t="s">
        <v>8</v>
      </c>
      <c r="AC9971" s="21">
        <v>162068.01999999999</v>
      </c>
      <c r="AD9971" s="21" t="s">
        <v>368</v>
      </c>
      <c r="AE9971" t="str">
        <f>VLOOKUP(Table_Query_from_Actuarial___Production3[[#This Row],[Kor1]],$AI$3:$AK$105,3,FALSE)</f>
        <v>Operating Service Fees</v>
      </c>
      <c r="AF99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9972" spans="18:32" x14ac:dyDescent="0.2">
      <c r="R9972" t="s">
        <v>41</v>
      </c>
      <c r="S9972" t="s">
        <v>257</v>
      </c>
      <c r="T9972" t="s">
        <v>351</v>
      </c>
      <c r="U9972" s="21">
        <v>1149.99</v>
      </c>
      <c r="V9972" s="21" t="s">
        <v>368</v>
      </c>
      <c r="W9972" t="str">
        <f>VLOOKUP(Table_Query_from_Actuarial___Production[[#This Row],[Kor1]],$AI$3:$AK$105,3,FALSE)</f>
        <v>Misc. Income</v>
      </c>
      <c r="X99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2"/>
      <c r="Z9972" t="s">
        <v>15</v>
      </c>
      <c r="AA9972" t="s">
        <v>241</v>
      </c>
      <c r="AB9972" t="s">
        <v>443</v>
      </c>
      <c r="AC9972" s="21">
        <v>91071.6</v>
      </c>
      <c r="AD9972" s="21" t="s">
        <v>368</v>
      </c>
      <c r="AE9972" t="str">
        <f>VLOOKUP(Table_Query_from_Actuarial___Production3[[#This Row],[Kor1]],$AI$3:$AK$105,3,FALSE)</f>
        <v>Unearned Premiums</v>
      </c>
      <c r="AF99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3" spans="18:32" x14ac:dyDescent="0.2">
      <c r="R9973" t="s">
        <v>19</v>
      </c>
      <c r="S9973" t="s">
        <v>258</v>
      </c>
      <c r="T9973" t="s">
        <v>8</v>
      </c>
      <c r="U9973" s="21">
        <v>664</v>
      </c>
      <c r="V9973" s="21" t="s">
        <v>368</v>
      </c>
      <c r="W9973" t="str">
        <f>VLOOKUP(Table_Query_from_Actuarial___Production[[#This Row],[Kor1]],$AI$3:$AK$105,3,FALSE)</f>
        <v>Misc. Expense for Insolvent Companies</v>
      </c>
      <c r="X99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3"/>
      <c r="Z9973" t="s">
        <v>167</v>
      </c>
      <c r="AA9973" t="s">
        <v>354</v>
      </c>
      <c r="AB9973" t="s">
        <v>8</v>
      </c>
      <c r="AC9973" s="21">
        <v>138424647</v>
      </c>
      <c r="AD9973" s="21" t="s">
        <v>369</v>
      </c>
      <c r="AE9973" t="str">
        <f>VLOOKUP(Table_Query_from_Actuarial___Production3[[#This Row],[Kor1]],$AI$3:$AK$105,3,FALSE)</f>
        <v>Recoupment</v>
      </c>
      <c r="AF99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9974" spans="18:32" x14ac:dyDescent="0.2">
      <c r="R9974" t="s">
        <v>10</v>
      </c>
      <c r="S9974" t="s">
        <v>260</v>
      </c>
      <c r="T9974" t="s">
        <v>443</v>
      </c>
      <c r="U9974" s="21">
        <v>10419.6</v>
      </c>
      <c r="V9974" s="21" t="s">
        <v>368</v>
      </c>
      <c r="W9974" t="str">
        <f>VLOOKUP(Table_Query_from_Actuarial___Production[[#This Row],[Kor1]],$AI$3:$AK$105,3,FALSE)</f>
        <v>Commissions</v>
      </c>
      <c r="X99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4"/>
      <c r="Z9974" t="s">
        <v>11</v>
      </c>
      <c r="AA9974" t="s">
        <v>224</v>
      </c>
      <c r="AB9974" t="s">
        <v>9</v>
      </c>
      <c r="AC9974" s="21">
        <v>40371.57</v>
      </c>
      <c r="AD9974" s="21" t="s">
        <v>369</v>
      </c>
      <c r="AE9974" t="str">
        <f>VLOOKUP(Table_Query_from_Actuarial___Production3[[#This Row],[Kor1]],$AI$3:$AK$105,3,FALSE)</f>
        <v>Losses Paid</v>
      </c>
      <c r="AF99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975" spans="18:32" x14ac:dyDescent="0.2">
      <c r="R9975" t="s">
        <v>43</v>
      </c>
      <c r="S9975" t="s">
        <v>234</v>
      </c>
      <c r="T9975" t="s">
        <v>441</v>
      </c>
      <c r="U9975" s="21">
        <v>1328.64</v>
      </c>
      <c r="V9975" s="21" t="s">
        <v>368</v>
      </c>
      <c r="W9975" t="str">
        <f>VLOOKUP(Table_Query_from_Actuarial___Production[[#This Row],[Kor1]],$AI$3:$AK$105,3,FALSE)</f>
        <v>Charge-offs</v>
      </c>
      <c r="X99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5"/>
      <c r="Z9975" t="s">
        <v>31</v>
      </c>
      <c r="AA9975" t="s">
        <v>243</v>
      </c>
      <c r="AB9975" t="s">
        <v>9</v>
      </c>
      <c r="AC9975" s="21">
        <v>548.6</v>
      </c>
      <c r="AD9975" s="21" t="s">
        <v>368</v>
      </c>
      <c r="AE9975" t="str">
        <f>VLOOKUP(Table_Query_from_Actuarial___Production3[[#This Row],[Kor1]],$AI$3:$AK$105,3,FALSE)</f>
        <v>Misc. Expense</v>
      </c>
      <c r="AF99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6" spans="18:32" x14ac:dyDescent="0.2">
      <c r="R9976" t="s">
        <v>36</v>
      </c>
      <c r="S9976" t="s">
        <v>252</v>
      </c>
      <c r="T9976" t="s">
        <v>445</v>
      </c>
      <c r="U9976" s="21">
        <v>133728.81</v>
      </c>
      <c r="V9976" s="21" t="s">
        <v>368</v>
      </c>
      <c r="W9976" t="str">
        <f>VLOOKUP(Table_Query_from_Actuarial___Production[[#This Row],[Kor1]],$AI$3:$AK$105,3,FALSE)</f>
        <v>Misc. Expense</v>
      </c>
      <c r="X99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6"/>
      <c r="Z9976" t="s">
        <v>10</v>
      </c>
      <c r="AA9976" t="s">
        <v>254</v>
      </c>
      <c r="AB9976" t="s">
        <v>7</v>
      </c>
      <c r="AC9976" s="21">
        <v>19130.849999999999</v>
      </c>
      <c r="AD9976" s="21" t="s">
        <v>368</v>
      </c>
      <c r="AE9976" t="str">
        <f>VLOOKUP(Table_Query_from_Actuarial___Production3[[#This Row],[Kor1]],$AI$3:$AK$105,3,FALSE)</f>
        <v>Commissions</v>
      </c>
      <c r="AF99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7" spans="18:32" x14ac:dyDescent="0.2">
      <c r="R9977" t="s">
        <v>44</v>
      </c>
      <c r="S9977" t="s">
        <v>224</v>
      </c>
      <c r="T9977" t="s">
        <v>9</v>
      </c>
      <c r="U9977" s="21">
        <v>5623.56</v>
      </c>
      <c r="V9977" s="21" t="s">
        <v>368</v>
      </c>
      <c r="W9977" t="str">
        <f>VLOOKUP(Table_Query_from_Actuarial___Production[[#This Row],[Kor1]],$AI$3:$AK$105,3,FALSE)</f>
        <v>Charge-offs</v>
      </c>
      <c r="X99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9977"/>
      <c r="Z9977" t="s">
        <v>50</v>
      </c>
      <c r="AA9977" t="s">
        <v>252</v>
      </c>
      <c r="AB9977" t="s">
        <v>433</v>
      </c>
      <c r="AC9977" s="21">
        <v>2651483.54</v>
      </c>
      <c r="AD9977" s="21" t="s">
        <v>368</v>
      </c>
      <c r="AE9977" t="str">
        <f>VLOOKUP(Table_Query_from_Actuarial___Production3[[#This Row],[Kor1]],$AI$3:$AK$105,3,FALSE)</f>
        <v>ALAE Reserve</v>
      </c>
      <c r="AF99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8" spans="18:32" x14ac:dyDescent="0.2">
      <c r="R9978" t="s">
        <v>31</v>
      </c>
      <c r="S9978" t="s">
        <v>262</v>
      </c>
      <c r="T9978" t="s">
        <v>441</v>
      </c>
      <c r="U9978" s="21">
        <v>982.46</v>
      </c>
      <c r="V9978" s="21" t="s">
        <v>368</v>
      </c>
      <c r="W9978" t="str">
        <f>VLOOKUP(Table_Query_from_Actuarial___Production[[#This Row],[Kor1]],$AI$3:$AK$105,3,FALSE)</f>
        <v>Misc. Expense</v>
      </c>
      <c r="X99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8"/>
      <c r="Z9978" t="s">
        <v>10</v>
      </c>
      <c r="AA9978" t="s">
        <v>234</v>
      </c>
      <c r="AB9978" t="s">
        <v>9</v>
      </c>
      <c r="AC9978" s="21">
        <v>47958.75</v>
      </c>
      <c r="AD9978" s="21" t="s">
        <v>368</v>
      </c>
      <c r="AE9978" t="str">
        <f>VLOOKUP(Table_Query_from_Actuarial___Production3[[#This Row],[Kor1]],$AI$3:$AK$105,3,FALSE)</f>
        <v>Commissions</v>
      </c>
      <c r="AF99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79" spans="18:32" x14ac:dyDescent="0.2">
      <c r="R9979" t="s">
        <v>40</v>
      </c>
      <c r="S9979" t="s">
        <v>240</v>
      </c>
      <c r="T9979" t="s">
        <v>7</v>
      </c>
      <c r="U9979" s="21">
        <v>165</v>
      </c>
      <c r="V9979" s="21" t="s">
        <v>368</v>
      </c>
      <c r="W9979" t="str">
        <f>VLOOKUP(Table_Query_from_Actuarial___Production[[#This Row],[Kor1]],$AI$3:$AK$105,3,FALSE)</f>
        <v>Misc. Income</v>
      </c>
      <c r="X99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79"/>
      <c r="Z9979" t="s">
        <v>10</v>
      </c>
      <c r="AA9979" t="s">
        <v>246</v>
      </c>
      <c r="AB9979" t="s">
        <v>443</v>
      </c>
      <c r="AC9979" s="21">
        <v>25173.75</v>
      </c>
      <c r="AD9979" s="21" t="s">
        <v>368</v>
      </c>
      <c r="AE9979" t="str">
        <f>VLOOKUP(Table_Query_from_Actuarial___Production3[[#This Row],[Kor1]],$AI$3:$AK$105,3,FALSE)</f>
        <v>Commissions</v>
      </c>
      <c r="AF99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0" spans="18:32" x14ac:dyDescent="0.2">
      <c r="R9980" t="s">
        <v>10</v>
      </c>
      <c r="S9980" t="s">
        <v>4</v>
      </c>
      <c r="T9980" t="s">
        <v>6</v>
      </c>
      <c r="U9980" s="21">
        <v>441368.1</v>
      </c>
      <c r="V9980" s="21" t="s">
        <v>368</v>
      </c>
      <c r="W9980" t="str">
        <f>VLOOKUP(Table_Query_from_Actuarial___Production[[#This Row],[Kor1]],$AI$3:$AK$105,3,FALSE)</f>
        <v>Commissions</v>
      </c>
      <c r="X99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0"/>
      <c r="Z9980" t="s">
        <v>34</v>
      </c>
      <c r="AA9980" t="s">
        <v>234</v>
      </c>
      <c r="AB9980" t="s">
        <v>356</v>
      </c>
      <c r="AC9980" s="21">
        <v>1768.03</v>
      </c>
      <c r="AD9980" s="21" t="s">
        <v>368</v>
      </c>
      <c r="AE9980" t="str">
        <f>VLOOKUP(Table_Query_from_Actuarial___Production3[[#This Row],[Kor1]],$AI$3:$AK$105,3,FALSE)</f>
        <v>Misc. Expense</v>
      </c>
      <c r="AF99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1" spans="18:32" x14ac:dyDescent="0.2">
      <c r="R9981" t="s">
        <v>37</v>
      </c>
      <c r="S9981" t="s">
        <v>250</v>
      </c>
      <c r="T9981" t="s">
        <v>433</v>
      </c>
      <c r="U9981" s="21">
        <v>218.27</v>
      </c>
      <c r="V9981" s="21" t="s">
        <v>368</v>
      </c>
      <c r="W9981" t="str">
        <f>VLOOKUP(Table_Query_from_Actuarial___Production[[#This Row],[Kor1]],$AI$3:$AK$105,3,FALSE)</f>
        <v>Misc. Expense</v>
      </c>
      <c r="X99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1"/>
      <c r="Z9981" t="s">
        <v>41</v>
      </c>
      <c r="AA9981" t="s">
        <v>257</v>
      </c>
      <c r="AB9981" t="s">
        <v>351</v>
      </c>
      <c r="AC9981" s="21">
        <v>1149.99</v>
      </c>
      <c r="AD9981" s="21" t="s">
        <v>368</v>
      </c>
      <c r="AE9981" t="str">
        <f>VLOOKUP(Table_Query_from_Actuarial___Production3[[#This Row],[Kor1]],$AI$3:$AK$105,3,FALSE)</f>
        <v>Misc. Income</v>
      </c>
      <c r="AF99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2" spans="18:32" x14ac:dyDescent="0.2">
      <c r="R9982" t="s">
        <v>40</v>
      </c>
      <c r="S9982" t="s">
        <v>228</v>
      </c>
      <c r="T9982" t="s">
        <v>351</v>
      </c>
      <c r="U9982" s="21">
        <v>250</v>
      </c>
      <c r="V9982" s="21" t="s">
        <v>368</v>
      </c>
      <c r="W9982" t="str">
        <f>VLOOKUP(Table_Query_from_Actuarial___Production[[#This Row],[Kor1]],$AI$3:$AK$105,3,FALSE)</f>
        <v>Misc. Income</v>
      </c>
      <c r="X99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2"/>
      <c r="Z9982" t="s">
        <v>19</v>
      </c>
      <c r="AA9982" t="s">
        <v>258</v>
      </c>
      <c r="AB9982" t="s">
        <v>8</v>
      </c>
      <c r="AC9982" s="21">
        <v>664</v>
      </c>
      <c r="AD9982" s="21" t="s">
        <v>368</v>
      </c>
      <c r="AE9982" t="str">
        <f>VLOOKUP(Table_Query_from_Actuarial___Production3[[#This Row],[Kor1]],$AI$3:$AK$105,3,FALSE)</f>
        <v>Misc. Expense for Insolvent Companies</v>
      </c>
      <c r="AF99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3" spans="18:32" x14ac:dyDescent="0.2">
      <c r="R9983" t="s">
        <v>18</v>
      </c>
      <c r="S9983" t="s">
        <v>354</v>
      </c>
      <c r="T9983" t="s">
        <v>442</v>
      </c>
      <c r="U9983" s="21">
        <v>948732.62</v>
      </c>
      <c r="V9983" s="21" t="s">
        <v>368</v>
      </c>
      <c r="W9983" t="str">
        <f>VLOOKUP(Table_Query_from_Actuarial___Production[[#This Row],[Kor1]],$AI$3:$AK$105,3,FALSE)</f>
        <v>Misc. Expense</v>
      </c>
      <c r="X99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9983"/>
      <c r="Z9983" t="s">
        <v>48</v>
      </c>
      <c r="AA9983" t="s">
        <v>224</v>
      </c>
      <c r="AB9983" t="s">
        <v>427</v>
      </c>
      <c r="AC9983" s="21">
        <v>610.19000000000005</v>
      </c>
      <c r="AD9983" s="21" t="s">
        <v>370</v>
      </c>
      <c r="AE9983" t="str">
        <f>VLOOKUP(Table_Query_from_Actuarial___Production3[[#This Row],[Kor1]],$AI$3:$AK$105,3,FALSE)</f>
        <v>Anticipated Salvage</v>
      </c>
      <c r="AF99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9984" spans="18:32" x14ac:dyDescent="0.2">
      <c r="R9984" t="s">
        <v>20</v>
      </c>
      <c r="S9984" t="s">
        <v>251</v>
      </c>
      <c r="T9984" t="s">
        <v>7</v>
      </c>
      <c r="U9984" s="21">
        <v>113.37</v>
      </c>
      <c r="V9984" s="21" t="s">
        <v>368</v>
      </c>
      <c r="W9984" t="str">
        <f>VLOOKUP(Table_Query_from_Actuarial___Production[[#This Row],[Kor1]],$AI$3:$AK$105,3,FALSE)</f>
        <v>Misc. Expense</v>
      </c>
      <c r="X99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4"/>
      <c r="Z9984" t="s">
        <v>10</v>
      </c>
      <c r="AA9984" t="s">
        <v>260</v>
      </c>
      <c r="AB9984" t="s">
        <v>443</v>
      </c>
      <c r="AC9984" s="21">
        <v>5033.7</v>
      </c>
      <c r="AD9984" s="21" t="s">
        <v>368</v>
      </c>
      <c r="AE9984" t="str">
        <f>VLOOKUP(Table_Query_from_Actuarial___Production3[[#This Row],[Kor1]],$AI$3:$AK$105,3,FALSE)</f>
        <v>Commissions</v>
      </c>
      <c r="AF99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5" spans="18:32" x14ac:dyDescent="0.2">
      <c r="R9985" t="s">
        <v>33</v>
      </c>
      <c r="S9985" t="s">
        <v>229</v>
      </c>
      <c r="T9985" t="s">
        <v>356</v>
      </c>
      <c r="U9985" s="21">
        <v>14884.63</v>
      </c>
      <c r="V9985" s="21" t="s">
        <v>368</v>
      </c>
      <c r="W9985" t="str">
        <f>VLOOKUP(Table_Query_from_Actuarial___Production[[#This Row],[Kor1]],$AI$3:$AK$105,3,FALSE)</f>
        <v>Misc. Expense</v>
      </c>
      <c r="X99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5"/>
      <c r="Z9985" t="s">
        <v>16</v>
      </c>
      <c r="AA9985" t="s">
        <v>265</v>
      </c>
      <c r="AB9985" t="s">
        <v>441</v>
      </c>
      <c r="AC9985" s="21">
        <v>172268.06</v>
      </c>
      <c r="AD9985" s="21" t="s">
        <v>368</v>
      </c>
      <c r="AE9985" t="str">
        <f>VLOOKUP(Table_Query_from_Actuarial___Production3[[#This Row],[Kor1]],$AI$3:$AK$105,3,FALSE)</f>
        <v>Losses Outstanding</v>
      </c>
      <c r="AF99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6" spans="18:32" x14ac:dyDescent="0.2">
      <c r="R9986" t="s">
        <v>14</v>
      </c>
      <c r="S9986" t="s">
        <v>231</v>
      </c>
      <c r="T9986" t="s">
        <v>9</v>
      </c>
      <c r="U9986" s="21">
        <v>17583.97</v>
      </c>
      <c r="V9986" s="21" t="s">
        <v>368</v>
      </c>
      <c r="W9986" t="str">
        <f>VLOOKUP(Table_Query_from_Actuarial___Production[[#This Row],[Kor1]],$AI$3:$AK$105,3,FALSE)</f>
        <v>Claims Expense</v>
      </c>
      <c r="X99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6"/>
      <c r="Z9986" t="s">
        <v>43</v>
      </c>
      <c r="AA9986" t="s">
        <v>234</v>
      </c>
      <c r="AB9986" t="s">
        <v>441</v>
      </c>
      <c r="AC9986" s="21">
        <v>1328.64</v>
      </c>
      <c r="AD9986" s="21" t="s">
        <v>368</v>
      </c>
      <c r="AE9986" t="str">
        <f>VLOOKUP(Table_Query_from_Actuarial___Production3[[#This Row],[Kor1]],$AI$3:$AK$105,3,FALSE)</f>
        <v>Charge-offs</v>
      </c>
      <c r="AF99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7" spans="18:32" x14ac:dyDescent="0.2">
      <c r="R9987" t="s">
        <v>12</v>
      </c>
      <c r="S9987" t="s">
        <v>248</v>
      </c>
      <c r="T9987" t="s">
        <v>441</v>
      </c>
      <c r="U9987" s="21">
        <v>12259.92</v>
      </c>
      <c r="V9987" s="21" t="s">
        <v>368</v>
      </c>
      <c r="W9987" t="str">
        <f>VLOOKUP(Table_Query_from_Actuarial___Production[[#This Row],[Kor1]],$AI$3:$AK$105,3,FALSE)</f>
        <v>Premium Tax</v>
      </c>
      <c r="X99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7"/>
      <c r="Z9987" t="s">
        <v>44</v>
      </c>
      <c r="AA9987" t="s">
        <v>224</v>
      </c>
      <c r="AB9987" t="s">
        <v>9</v>
      </c>
      <c r="AC9987" s="21">
        <v>5623.56</v>
      </c>
      <c r="AD9987" s="21" t="s">
        <v>368</v>
      </c>
      <c r="AE9987" t="str">
        <f>VLOOKUP(Table_Query_from_Actuarial___Production3[[#This Row],[Kor1]],$AI$3:$AK$105,3,FALSE)</f>
        <v>Charge-offs</v>
      </c>
      <c r="AF99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9988" spans="18:32" x14ac:dyDescent="0.2">
      <c r="R9988" t="s">
        <v>17</v>
      </c>
      <c r="S9988" t="s">
        <v>224</v>
      </c>
      <c r="T9988" t="s">
        <v>443</v>
      </c>
      <c r="U9988" s="21">
        <v>19596.509999999998</v>
      </c>
      <c r="V9988" s="21" t="s">
        <v>369</v>
      </c>
      <c r="W9988" t="str">
        <f>VLOOKUP(Table_Query_from_Actuarial___Production[[#This Row],[Kor1]],$AI$3:$AK$105,3,FALSE)</f>
        <v>IBNR</v>
      </c>
      <c r="X99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9988"/>
      <c r="Z9988" t="s">
        <v>31</v>
      </c>
      <c r="AA9988" t="s">
        <v>262</v>
      </c>
      <c r="AB9988" t="s">
        <v>441</v>
      </c>
      <c r="AC9988" s="21">
        <v>982.46</v>
      </c>
      <c r="AD9988" s="21" t="s">
        <v>368</v>
      </c>
      <c r="AE9988" t="str">
        <f>VLOOKUP(Table_Query_from_Actuarial___Production3[[#This Row],[Kor1]],$AI$3:$AK$105,3,FALSE)</f>
        <v>Misc. Expense</v>
      </c>
      <c r="AF99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89" spans="18:32" x14ac:dyDescent="0.2">
      <c r="R9989" t="s">
        <v>13</v>
      </c>
      <c r="S9989" t="s">
        <v>241</v>
      </c>
      <c r="T9989" t="s">
        <v>7</v>
      </c>
      <c r="U9989" s="21">
        <v>173617.1</v>
      </c>
      <c r="V9989" s="21" t="s">
        <v>368</v>
      </c>
      <c r="W9989" t="str">
        <f>VLOOKUP(Table_Query_from_Actuarial___Production[[#This Row],[Kor1]],$AI$3:$AK$105,3,FALSE)</f>
        <v>Operating Service Fees</v>
      </c>
      <c r="X99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89"/>
      <c r="Z9989" t="s">
        <v>40</v>
      </c>
      <c r="AA9989" t="s">
        <v>240</v>
      </c>
      <c r="AB9989" t="s">
        <v>7</v>
      </c>
      <c r="AC9989" s="21">
        <v>165</v>
      </c>
      <c r="AD9989" s="21" t="s">
        <v>368</v>
      </c>
      <c r="AE9989" t="str">
        <f>VLOOKUP(Table_Query_from_Actuarial___Production3[[#This Row],[Kor1]],$AI$3:$AK$105,3,FALSE)</f>
        <v>Misc. Income</v>
      </c>
      <c r="AF99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0" spans="18:32" x14ac:dyDescent="0.2">
      <c r="R9990" t="s">
        <v>17</v>
      </c>
      <c r="S9990" t="s">
        <v>243</v>
      </c>
      <c r="T9990" t="s">
        <v>443</v>
      </c>
      <c r="U9990" s="21">
        <v>84788.5</v>
      </c>
      <c r="V9990" s="21" t="s">
        <v>368</v>
      </c>
      <c r="W9990" t="str">
        <f>VLOOKUP(Table_Query_from_Actuarial___Production[[#This Row],[Kor1]],$AI$3:$AK$105,3,FALSE)</f>
        <v>IBNR</v>
      </c>
      <c r="X99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0"/>
      <c r="Z9990" t="s">
        <v>10</v>
      </c>
      <c r="AA9990" t="s">
        <v>4</v>
      </c>
      <c r="AB9990" t="s">
        <v>6</v>
      </c>
      <c r="AC9990" s="21">
        <v>441368.1</v>
      </c>
      <c r="AD9990" s="21" t="s">
        <v>368</v>
      </c>
      <c r="AE9990" t="str">
        <f>VLOOKUP(Table_Query_from_Actuarial___Production3[[#This Row],[Kor1]],$AI$3:$AK$105,3,FALSE)</f>
        <v>Commissions</v>
      </c>
      <c r="AF99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1" spans="18:32" x14ac:dyDescent="0.2">
      <c r="R9991" t="s">
        <v>34</v>
      </c>
      <c r="S9991" t="s">
        <v>242</v>
      </c>
      <c r="T9991" t="s">
        <v>433</v>
      </c>
      <c r="U9991" s="21">
        <v>1551.66</v>
      </c>
      <c r="V9991" s="21" t="s">
        <v>368</v>
      </c>
      <c r="W9991" t="str">
        <f>VLOOKUP(Table_Query_from_Actuarial___Production[[#This Row],[Kor1]],$AI$3:$AK$105,3,FALSE)</f>
        <v>Misc. Expense</v>
      </c>
      <c r="X99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1"/>
      <c r="Z9991" t="s">
        <v>37</v>
      </c>
      <c r="AA9991" t="s">
        <v>250</v>
      </c>
      <c r="AB9991" t="s">
        <v>433</v>
      </c>
      <c r="AC9991" s="21">
        <v>218.27</v>
      </c>
      <c r="AD9991" s="21" t="s">
        <v>368</v>
      </c>
      <c r="AE9991" t="str">
        <f>VLOOKUP(Table_Query_from_Actuarial___Production3[[#This Row],[Kor1]],$AI$3:$AK$105,3,FALSE)</f>
        <v>Misc. Expense</v>
      </c>
      <c r="AF99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2" spans="18:32" x14ac:dyDescent="0.2">
      <c r="R9992" t="s">
        <v>39</v>
      </c>
      <c r="S9992" t="s">
        <v>239</v>
      </c>
      <c r="T9992" t="s">
        <v>433</v>
      </c>
      <c r="U9992" s="21">
        <v>6561</v>
      </c>
      <c r="V9992" s="21" t="s">
        <v>368</v>
      </c>
      <c r="W9992" t="str">
        <f>VLOOKUP(Table_Query_from_Actuarial___Production[[#This Row],[Kor1]],$AI$3:$AK$105,3,FALSE)</f>
        <v>Misc. Income for Insolvent Companies</v>
      </c>
      <c r="X99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2"/>
      <c r="Z9992" t="s">
        <v>40</v>
      </c>
      <c r="AA9992" t="s">
        <v>228</v>
      </c>
      <c r="AB9992" t="s">
        <v>351</v>
      </c>
      <c r="AC9992" s="21">
        <v>250</v>
      </c>
      <c r="AD9992" s="21" t="s">
        <v>368</v>
      </c>
      <c r="AE9992" t="str">
        <f>VLOOKUP(Table_Query_from_Actuarial___Production3[[#This Row],[Kor1]],$AI$3:$AK$105,3,FALSE)</f>
        <v>Misc. Income</v>
      </c>
      <c r="AF99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3" spans="18:32" x14ac:dyDescent="0.2">
      <c r="R9993" t="s">
        <v>39</v>
      </c>
      <c r="S9993" t="s">
        <v>265</v>
      </c>
      <c r="T9993" t="s">
        <v>9</v>
      </c>
      <c r="U9993" s="21">
        <v>449</v>
      </c>
      <c r="V9993" s="21" t="s">
        <v>368</v>
      </c>
      <c r="W9993" t="str">
        <f>VLOOKUP(Table_Query_from_Actuarial___Production[[#This Row],[Kor1]],$AI$3:$AK$105,3,FALSE)</f>
        <v>Misc. Income for Insolvent Companies</v>
      </c>
      <c r="X99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3"/>
      <c r="Z9993" t="s">
        <v>18</v>
      </c>
      <c r="AA9993" t="s">
        <v>354</v>
      </c>
      <c r="AB9993" t="s">
        <v>442</v>
      </c>
      <c r="AC9993" s="21">
        <v>948732.62</v>
      </c>
      <c r="AD9993" s="21" t="s">
        <v>368</v>
      </c>
      <c r="AE9993" t="str">
        <f>VLOOKUP(Table_Query_from_Actuarial___Production3[[#This Row],[Kor1]],$AI$3:$AK$105,3,FALSE)</f>
        <v>Misc. Expense</v>
      </c>
      <c r="AF99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9994" spans="18:32" x14ac:dyDescent="0.2">
      <c r="R9994" t="s">
        <v>39</v>
      </c>
      <c r="S9994" t="s">
        <v>266</v>
      </c>
      <c r="T9994" t="s">
        <v>441</v>
      </c>
      <c r="U9994" s="21">
        <v>286.51</v>
      </c>
      <c r="V9994" s="21" t="s">
        <v>368</v>
      </c>
      <c r="W9994" t="str">
        <f>VLOOKUP(Table_Query_from_Actuarial___Production[[#This Row],[Kor1]],$AI$3:$AK$105,3,FALSE)</f>
        <v>Misc. Income for Insolvent Companies</v>
      </c>
      <c r="X99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4"/>
      <c r="Z9994" t="s">
        <v>20</v>
      </c>
      <c r="AA9994" t="s">
        <v>251</v>
      </c>
      <c r="AB9994" t="s">
        <v>7</v>
      </c>
      <c r="AC9994" s="21">
        <v>113.37</v>
      </c>
      <c r="AD9994" s="21" t="s">
        <v>368</v>
      </c>
      <c r="AE9994" t="str">
        <f>VLOOKUP(Table_Query_from_Actuarial___Production3[[#This Row],[Kor1]],$AI$3:$AK$105,3,FALSE)</f>
        <v>Misc. Expense</v>
      </c>
      <c r="AF99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5" spans="18:32" x14ac:dyDescent="0.2">
      <c r="R9995" t="s">
        <v>47</v>
      </c>
      <c r="S9995" t="s">
        <v>243</v>
      </c>
      <c r="T9995" t="s">
        <v>442</v>
      </c>
      <c r="U9995" s="21">
        <v>984.85</v>
      </c>
      <c r="V9995" s="21" t="s">
        <v>368</v>
      </c>
      <c r="W9995" t="str">
        <f>VLOOKUP(Table_Query_from_Actuarial___Production[[#This Row],[Kor1]],$AI$3:$AK$105,3,FALSE)</f>
        <v>Investment Income</v>
      </c>
      <c r="X99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5"/>
      <c r="Z9995" t="s">
        <v>33</v>
      </c>
      <c r="AA9995" t="s">
        <v>229</v>
      </c>
      <c r="AB9995" t="s">
        <v>356</v>
      </c>
      <c r="AC9995" s="21">
        <v>14884.63</v>
      </c>
      <c r="AD9995" s="21" t="s">
        <v>368</v>
      </c>
      <c r="AE9995" t="str">
        <f>VLOOKUP(Table_Query_from_Actuarial___Production3[[#This Row],[Kor1]],$AI$3:$AK$105,3,FALSE)</f>
        <v>Misc. Expense</v>
      </c>
      <c r="AF99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6" spans="18:32" x14ac:dyDescent="0.2">
      <c r="R9996" t="s">
        <v>20</v>
      </c>
      <c r="S9996" t="s">
        <v>266</v>
      </c>
      <c r="T9996" t="s">
        <v>427</v>
      </c>
      <c r="U9996" s="21">
        <v>255.31</v>
      </c>
      <c r="V9996" s="21" t="s">
        <v>368</v>
      </c>
      <c r="W9996" t="str">
        <f>VLOOKUP(Table_Query_from_Actuarial___Production[[#This Row],[Kor1]],$AI$3:$AK$105,3,FALSE)</f>
        <v>Misc. Expense</v>
      </c>
      <c r="X99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6"/>
      <c r="Z9996" t="s">
        <v>14</v>
      </c>
      <c r="AA9996" t="s">
        <v>231</v>
      </c>
      <c r="AB9996" t="s">
        <v>9</v>
      </c>
      <c r="AC9996" s="21">
        <v>17583.97</v>
      </c>
      <c r="AD9996" s="21" t="s">
        <v>368</v>
      </c>
      <c r="AE9996" t="str">
        <f>VLOOKUP(Table_Query_from_Actuarial___Production3[[#This Row],[Kor1]],$AI$3:$AK$105,3,FALSE)</f>
        <v>Claims Expense</v>
      </c>
      <c r="AF99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7" spans="18:32" x14ac:dyDescent="0.2">
      <c r="R9997" t="s">
        <v>49</v>
      </c>
      <c r="S9997" t="s">
        <v>230</v>
      </c>
      <c r="T9997" t="s">
        <v>356</v>
      </c>
      <c r="U9997" s="21">
        <v>1014459.35</v>
      </c>
      <c r="V9997" s="21" t="s">
        <v>368</v>
      </c>
      <c r="W9997" t="str">
        <f>VLOOKUP(Table_Query_from_Actuarial___Production[[#This Row],[Kor1]],$AI$3:$AK$105,3,FALSE)</f>
        <v>ALAE Paid</v>
      </c>
      <c r="X99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7"/>
      <c r="Z9997" t="s">
        <v>12</v>
      </c>
      <c r="AA9997" t="s">
        <v>248</v>
      </c>
      <c r="AB9997" t="s">
        <v>441</v>
      </c>
      <c r="AC9997" s="21">
        <v>12259.92</v>
      </c>
      <c r="AD9997" s="21" t="s">
        <v>368</v>
      </c>
      <c r="AE9997" t="str">
        <f>VLOOKUP(Table_Query_from_Actuarial___Production3[[#This Row],[Kor1]],$AI$3:$AK$105,3,FALSE)</f>
        <v>Premium Tax</v>
      </c>
      <c r="AF99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9998" spans="18:32" x14ac:dyDescent="0.2">
      <c r="R9998" t="s">
        <v>18</v>
      </c>
      <c r="S9998" t="s">
        <v>352</v>
      </c>
      <c r="T9998" t="s">
        <v>8</v>
      </c>
      <c r="U9998" s="21">
        <v>3715.06</v>
      </c>
      <c r="V9998" s="21" t="s">
        <v>368</v>
      </c>
      <c r="W9998" t="str">
        <f>VLOOKUP(Table_Query_from_Actuarial___Production[[#This Row],[Kor1]],$AI$3:$AK$105,3,FALSE)</f>
        <v>Misc. Expense</v>
      </c>
      <c r="X99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9998"/>
      <c r="Z9998" t="s">
        <v>17</v>
      </c>
      <c r="AA9998" t="s">
        <v>224</v>
      </c>
      <c r="AB9998" t="s">
        <v>443</v>
      </c>
      <c r="AC9998" s="21">
        <v>2929.68</v>
      </c>
      <c r="AD9998" s="21" t="s">
        <v>369</v>
      </c>
      <c r="AE9998" t="str">
        <f>VLOOKUP(Table_Query_from_Actuarial___Production3[[#This Row],[Kor1]],$AI$3:$AK$105,3,FALSE)</f>
        <v>IBNR</v>
      </c>
      <c r="AF99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9999" spans="18:32" x14ac:dyDescent="0.2">
      <c r="R9999" t="s">
        <v>13</v>
      </c>
      <c r="S9999" t="s">
        <v>253</v>
      </c>
      <c r="T9999" t="s">
        <v>443</v>
      </c>
      <c r="U9999" s="21">
        <v>180.9</v>
      </c>
      <c r="V9999" s="21" t="s">
        <v>368</v>
      </c>
      <c r="W9999" t="str">
        <f>VLOOKUP(Table_Query_from_Actuarial___Production[[#This Row],[Kor1]],$AI$3:$AK$105,3,FALSE)</f>
        <v>Operating Service Fees</v>
      </c>
      <c r="X99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9999"/>
      <c r="Z9999" t="s">
        <v>13</v>
      </c>
      <c r="AA9999" t="s">
        <v>241</v>
      </c>
      <c r="AB9999" t="s">
        <v>7</v>
      </c>
      <c r="AC9999" s="21">
        <v>173617.1</v>
      </c>
      <c r="AD9999" s="21" t="s">
        <v>368</v>
      </c>
      <c r="AE9999" t="str">
        <f>VLOOKUP(Table_Query_from_Actuarial___Production3[[#This Row],[Kor1]],$AI$3:$AK$105,3,FALSE)</f>
        <v>Operating Service Fees</v>
      </c>
      <c r="AF99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0" spans="18:32" x14ac:dyDescent="0.2">
      <c r="R10000" t="s">
        <v>3</v>
      </c>
      <c r="S10000" t="s">
        <v>261</v>
      </c>
      <c r="T10000" t="s">
        <v>351</v>
      </c>
      <c r="U10000" s="21">
        <v>681040</v>
      </c>
      <c r="V10000" s="21" t="s">
        <v>368</v>
      </c>
      <c r="W10000" t="str">
        <f>VLOOKUP(Table_Query_from_Actuarial___Production[[#This Row],[Kor1]],$AI$3:$AK$105,3,FALSE)</f>
        <v>Premiums Written</v>
      </c>
      <c r="X100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0"/>
      <c r="Z10000" t="s">
        <v>17</v>
      </c>
      <c r="AA10000" t="s">
        <v>243</v>
      </c>
      <c r="AB10000" t="s">
        <v>443</v>
      </c>
      <c r="AC10000" s="21">
        <v>18674.990000000002</v>
      </c>
      <c r="AD10000" s="21" t="s">
        <v>368</v>
      </c>
      <c r="AE10000" t="str">
        <f>VLOOKUP(Table_Query_from_Actuarial___Production3[[#This Row],[Kor1]],$AI$3:$AK$105,3,FALSE)</f>
        <v>IBNR</v>
      </c>
      <c r="AF100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1" spans="18:32" x14ac:dyDescent="0.2">
      <c r="R10001" t="s">
        <v>16</v>
      </c>
      <c r="S10001" t="s">
        <v>249</v>
      </c>
      <c r="T10001" t="s">
        <v>442</v>
      </c>
      <c r="U10001" s="21">
        <v>119457.33</v>
      </c>
      <c r="V10001" s="21" t="s">
        <v>368</v>
      </c>
      <c r="W10001" t="str">
        <f>VLOOKUP(Table_Query_from_Actuarial___Production[[#This Row],[Kor1]],$AI$3:$AK$105,3,FALSE)</f>
        <v>Losses Outstanding</v>
      </c>
      <c r="X100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1"/>
      <c r="Z10001" t="s">
        <v>34</v>
      </c>
      <c r="AA10001" t="s">
        <v>242</v>
      </c>
      <c r="AB10001" t="s">
        <v>433</v>
      </c>
      <c r="AC10001" s="21">
        <v>1551.66</v>
      </c>
      <c r="AD10001" s="21" t="s">
        <v>368</v>
      </c>
      <c r="AE10001" t="str">
        <f>VLOOKUP(Table_Query_from_Actuarial___Production3[[#This Row],[Kor1]],$AI$3:$AK$105,3,FALSE)</f>
        <v>Misc. Expense</v>
      </c>
      <c r="AF100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2" spans="18:32" x14ac:dyDescent="0.2">
      <c r="R10002" t="s">
        <v>10</v>
      </c>
      <c r="S10002" t="s">
        <v>230</v>
      </c>
      <c r="T10002" t="s">
        <v>6</v>
      </c>
      <c r="U10002" s="21">
        <v>760705.63</v>
      </c>
      <c r="V10002" s="21" t="s">
        <v>368</v>
      </c>
      <c r="W10002" t="str">
        <f>VLOOKUP(Table_Query_from_Actuarial___Production[[#This Row],[Kor1]],$AI$3:$AK$105,3,FALSE)</f>
        <v>Commissions</v>
      </c>
      <c r="X100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2"/>
      <c r="Z10002" t="s">
        <v>39</v>
      </c>
      <c r="AA10002" t="s">
        <v>239</v>
      </c>
      <c r="AB10002" t="s">
        <v>433</v>
      </c>
      <c r="AC10002" s="21">
        <v>3805</v>
      </c>
      <c r="AD10002" s="21" t="s">
        <v>368</v>
      </c>
      <c r="AE10002" t="str">
        <f>VLOOKUP(Table_Query_from_Actuarial___Production3[[#This Row],[Kor1]],$AI$3:$AK$105,3,FALSE)</f>
        <v>Misc. Income for Insolvent Companies</v>
      </c>
      <c r="AF100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3" spans="18:32" x14ac:dyDescent="0.2">
      <c r="R10003" t="s">
        <v>439</v>
      </c>
      <c r="S10003" t="s">
        <v>227</v>
      </c>
      <c r="T10003" t="s">
        <v>443</v>
      </c>
      <c r="U10003" s="21">
        <v>-698.59</v>
      </c>
      <c r="V10003" s="21" t="s">
        <v>368</v>
      </c>
      <c r="W10003" t="str">
        <f>VLOOKUP(Table_Query_from_Actuarial___Production[[#This Row],[Kor1]],$AI$3:$AK$105,3,FALSE)</f>
        <v>Operating Service Fees</v>
      </c>
      <c r="X100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3"/>
      <c r="Z10003" t="s">
        <v>39</v>
      </c>
      <c r="AA10003" t="s">
        <v>265</v>
      </c>
      <c r="AB10003" t="s">
        <v>9</v>
      </c>
      <c r="AC10003" s="21">
        <v>449</v>
      </c>
      <c r="AD10003" s="21" t="s">
        <v>368</v>
      </c>
      <c r="AE10003" t="str">
        <f>VLOOKUP(Table_Query_from_Actuarial___Production3[[#This Row],[Kor1]],$AI$3:$AK$105,3,FALSE)</f>
        <v>Misc. Income for Insolvent Companies</v>
      </c>
      <c r="AF100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4" spans="18:32" x14ac:dyDescent="0.2">
      <c r="R10004" t="s">
        <v>17</v>
      </c>
      <c r="S10004" t="s">
        <v>354</v>
      </c>
      <c r="T10004" t="s">
        <v>443</v>
      </c>
      <c r="U10004" s="21">
        <v>44147822.369999997</v>
      </c>
      <c r="V10004" s="21" t="s">
        <v>368</v>
      </c>
      <c r="W10004" t="str">
        <f>VLOOKUP(Table_Query_from_Actuarial___Production[[#This Row],[Kor1]],$AI$3:$AK$105,3,FALSE)</f>
        <v>IBNR</v>
      </c>
      <c r="X100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0004"/>
      <c r="Z10004" t="s">
        <v>39</v>
      </c>
      <c r="AA10004" t="s">
        <v>266</v>
      </c>
      <c r="AB10004" t="s">
        <v>441</v>
      </c>
      <c r="AC10004" s="21">
        <v>286.51</v>
      </c>
      <c r="AD10004" s="21" t="s">
        <v>368</v>
      </c>
      <c r="AE10004" t="str">
        <f>VLOOKUP(Table_Query_from_Actuarial___Production3[[#This Row],[Kor1]],$AI$3:$AK$105,3,FALSE)</f>
        <v>Misc. Income for Insolvent Companies</v>
      </c>
      <c r="AF100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5" spans="18:32" x14ac:dyDescent="0.2">
      <c r="R10005" t="s">
        <v>31</v>
      </c>
      <c r="S10005" t="s">
        <v>245</v>
      </c>
      <c r="T10005" t="s">
        <v>427</v>
      </c>
      <c r="U10005" s="21">
        <v>592.82000000000005</v>
      </c>
      <c r="V10005" s="21" t="s">
        <v>368</v>
      </c>
      <c r="W10005" t="str">
        <f>VLOOKUP(Table_Query_from_Actuarial___Production[[#This Row],[Kor1]],$AI$3:$AK$105,3,FALSE)</f>
        <v>Misc. Expense</v>
      </c>
      <c r="X100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5"/>
      <c r="Z10005" t="s">
        <v>47</v>
      </c>
      <c r="AA10005" t="s">
        <v>243</v>
      </c>
      <c r="AB10005" t="s">
        <v>442</v>
      </c>
      <c r="AC10005" s="21">
        <v>984.85</v>
      </c>
      <c r="AD10005" s="21" t="s">
        <v>368</v>
      </c>
      <c r="AE10005" t="str">
        <f>VLOOKUP(Table_Query_from_Actuarial___Production3[[#This Row],[Kor1]],$AI$3:$AK$105,3,FALSE)</f>
        <v>Investment Income</v>
      </c>
      <c r="AF100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6" spans="18:32" x14ac:dyDescent="0.2">
      <c r="R10006" t="s">
        <v>12</v>
      </c>
      <c r="S10006" t="s">
        <v>250</v>
      </c>
      <c r="T10006" t="s">
        <v>445</v>
      </c>
      <c r="U10006" s="21">
        <v>9225.5300000000007</v>
      </c>
      <c r="V10006" s="21" t="s">
        <v>368</v>
      </c>
      <c r="W10006" t="str">
        <f>VLOOKUP(Table_Query_from_Actuarial___Production[[#This Row],[Kor1]],$AI$3:$AK$105,3,FALSE)</f>
        <v>Premium Tax</v>
      </c>
      <c r="X100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6"/>
      <c r="Z10006" t="s">
        <v>20</v>
      </c>
      <c r="AA10006" t="s">
        <v>266</v>
      </c>
      <c r="AB10006" t="s">
        <v>427</v>
      </c>
      <c r="AC10006" s="21">
        <v>255.31</v>
      </c>
      <c r="AD10006" s="21" t="s">
        <v>368</v>
      </c>
      <c r="AE10006" t="str">
        <f>VLOOKUP(Table_Query_from_Actuarial___Production3[[#This Row],[Kor1]],$AI$3:$AK$105,3,FALSE)</f>
        <v>Misc. Expense</v>
      </c>
      <c r="AF100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7" spans="18:32" x14ac:dyDescent="0.2">
      <c r="R10007" t="s">
        <v>37</v>
      </c>
      <c r="S10007" t="s">
        <v>265</v>
      </c>
      <c r="T10007" t="s">
        <v>443</v>
      </c>
      <c r="U10007" s="21">
        <v>3384.3</v>
      </c>
      <c r="V10007" s="21" t="s">
        <v>368</v>
      </c>
      <c r="W10007" t="str">
        <f>VLOOKUP(Table_Query_from_Actuarial___Production[[#This Row],[Kor1]],$AI$3:$AK$105,3,FALSE)</f>
        <v>Misc. Expense</v>
      </c>
      <c r="X100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7"/>
      <c r="Z10007" t="s">
        <v>49</v>
      </c>
      <c r="AA10007" t="s">
        <v>230</v>
      </c>
      <c r="AB10007" t="s">
        <v>356</v>
      </c>
      <c r="AC10007" s="21">
        <v>799062.3</v>
      </c>
      <c r="AD10007" s="21" t="s">
        <v>368</v>
      </c>
      <c r="AE10007" t="str">
        <f>VLOOKUP(Table_Query_from_Actuarial___Production3[[#This Row],[Kor1]],$AI$3:$AK$105,3,FALSE)</f>
        <v>ALAE Paid</v>
      </c>
      <c r="AF100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08" spans="18:32" x14ac:dyDescent="0.2">
      <c r="R10008" t="s">
        <v>21</v>
      </c>
      <c r="S10008" t="s">
        <v>261</v>
      </c>
      <c r="T10008" t="s">
        <v>427</v>
      </c>
      <c r="U10008" s="21">
        <v>2400</v>
      </c>
      <c r="V10008" s="21" t="s">
        <v>368</v>
      </c>
      <c r="W10008" t="str">
        <f>VLOOKUP(Table_Query_from_Actuarial___Production[[#This Row],[Kor1]],$AI$3:$AK$105,3,FALSE)</f>
        <v>Misc. Expense</v>
      </c>
      <c r="X100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8"/>
      <c r="Z10008" t="s">
        <v>18</v>
      </c>
      <c r="AA10008" t="s">
        <v>352</v>
      </c>
      <c r="AB10008" t="s">
        <v>8</v>
      </c>
      <c r="AC10008" s="21">
        <v>3715.06</v>
      </c>
      <c r="AD10008" s="21" t="s">
        <v>368</v>
      </c>
      <c r="AE10008" t="str">
        <f>VLOOKUP(Table_Query_from_Actuarial___Production3[[#This Row],[Kor1]],$AI$3:$AK$105,3,FALSE)</f>
        <v>Misc. Expense</v>
      </c>
      <c r="AF100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0009" spans="18:32" x14ac:dyDescent="0.2">
      <c r="R10009" t="s">
        <v>49</v>
      </c>
      <c r="S10009" t="s">
        <v>234</v>
      </c>
      <c r="T10009" t="s">
        <v>351</v>
      </c>
      <c r="U10009" s="21">
        <v>45.42</v>
      </c>
      <c r="V10009" s="21" t="s">
        <v>368</v>
      </c>
      <c r="W10009" t="str">
        <f>VLOOKUP(Table_Query_from_Actuarial___Production[[#This Row],[Kor1]],$AI$3:$AK$105,3,FALSE)</f>
        <v>ALAE Paid</v>
      </c>
      <c r="X100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09"/>
      <c r="Z10009" t="s">
        <v>14</v>
      </c>
      <c r="AA10009" t="s">
        <v>258</v>
      </c>
      <c r="AB10009" t="s">
        <v>5</v>
      </c>
      <c r="AC10009" s="21">
        <v>133031.96</v>
      </c>
      <c r="AD10009" s="21" t="s">
        <v>368</v>
      </c>
      <c r="AE10009" t="str">
        <f>VLOOKUP(Table_Query_from_Actuarial___Production3[[#This Row],[Kor1]],$AI$3:$AK$105,3,FALSE)</f>
        <v>Claims Expense</v>
      </c>
      <c r="AF100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0" spans="18:32" x14ac:dyDescent="0.2">
      <c r="R10010" t="s">
        <v>77</v>
      </c>
      <c r="S10010" t="s">
        <v>225</v>
      </c>
      <c r="T10010" t="s">
        <v>443</v>
      </c>
      <c r="U10010" s="21">
        <v>9261</v>
      </c>
      <c r="V10010" s="21" t="s">
        <v>369</v>
      </c>
      <c r="W10010" t="str">
        <f>VLOOKUP(Table_Query_from_Actuarial___Production[[#This Row],[Kor1]],$AI$3:$AK$105,3,FALSE)</f>
        <v>PDR</v>
      </c>
      <c r="X100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010"/>
      <c r="Z10010" t="s">
        <v>3</v>
      </c>
      <c r="AA10010" t="s">
        <v>261</v>
      </c>
      <c r="AB10010" t="s">
        <v>351</v>
      </c>
      <c r="AC10010" s="21">
        <v>681040</v>
      </c>
      <c r="AD10010" s="21" t="s">
        <v>368</v>
      </c>
      <c r="AE10010" t="str">
        <f>VLOOKUP(Table_Query_from_Actuarial___Production3[[#This Row],[Kor1]],$AI$3:$AK$105,3,FALSE)</f>
        <v>Premiums Written</v>
      </c>
      <c r="AF100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1" spans="18:32" x14ac:dyDescent="0.2">
      <c r="R10011" t="s">
        <v>3</v>
      </c>
      <c r="S10011" t="s">
        <v>230</v>
      </c>
      <c r="T10011" t="s">
        <v>7</v>
      </c>
      <c r="U10011" s="21">
        <v>18032321</v>
      </c>
      <c r="V10011" s="21" t="s">
        <v>368</v>
      </c>
      <c r="W10011" t="str">
        <f>VLOOKUP(Table_Query_from_Actuarial___Production[[#This Row],[Kor1]],$AI$3:$AK$105,3,FALSE)</f>
        <v>Premiums Written</v>
      </c>
      <c r="X100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1"/>
      <c r="Z10011" t="s">
        <v>16</v>
      </c>
      <c r="AA10011" t="s">
        <v>249</v>
      </c>
      <c r="AB10011" t="s">
        <v>442</v>
      </c>
      <c r="AC10011" s="21">
        <v>593521.41</v>
      </c>
      <c r="AD10011" s="21" t="s">
        <v>368</v>
      </c>
      <c r="AE10011" t="str">
        <f>VLOOKUP(Table_Query_from_Actuarial___Production3[[#This Row],[Kor1]],$AI$3:$AK$105,3,FALSE)</f>
        <v>Losses Outstanding</v>
      </c>
      <c r="AF100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2" spans="18:32" x14ac:dyDescent="0.2">
      <c r="R10012" t="s">
        <v>17</v>
      </c>
      <c r="S10012" t="s">
        <v>227</v>
      </c>
      <c r="T10012" t="s">
        <v>441</v>
      </c>
      <c r="U10012" s="21">
        <v>5883.5</v>
      </c>
      <c r="V10012" s="21" t="s">
        <v>368</v>
      </c>
      <c r="W10012" t="str">
        <f>VLOOKUP(Table_Query_from_Actuarial___Production[[#This Row],[Kor1]],$AI$3:$AK$105,3,FALSE)</f>
        <v>IBNR</v>
      </c>
      <c r="X100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2"/>
      <c r="Z10012" t="s">
        <v>33</v>
      </c>
      <c r="AA10012" t="s">
        <v>265</v>
      </c>
      <c r="AB10012" t="s">
        <v>5</v>
      </c>
      <c r="AC10012" s="21">
        <v>13843.08</v>
      </c>
      <c r="AD10012" s="21" t="s">
        <v>368</v>
      </c>
      <c r="AE10012" t="str">
        <f>VLOOKUP(Table_Query_from_Actuarial___Production3[[#This Row],[Kor1]],$AI$3:$AK$105,3,FALSE)</f>
        <v>Misc. Expense</v>
      </c>
      <c r="AF100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3" spans="18:32" x14ac:dyDescent="0.2">
      <c r="R10013" t="s">
        <v>14</v>
      </c>
      <c r="S10013" t="s">
        <v>233</v>
      </c>
      <c r="T10013" t="s">
        <v>441</v>
      </c>
      <c r="U10013" s="21">
        <v>92629.440000000002</v>
      </c>
      <c r="V10013" s="21" t="s">
        <v>368</v>
      </c>
      <c r="W10013" t="str">
        <f>VLOOKUP(Table_Query_from_Actuarial___Production[[#This Row],[Kor1]],$AI$3:$AK$105,3,FALSE)</f>
        <v>Claims Expense</v>
      </c>
      <c r="X100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3"/>
      <c r="Z10013" t="s">
        <v>10</v>
      </c>
      <c r="AA10013" t="s">
        <v>230</v>
      </c>
      <c r="AB10013" t="s">
        <v>6</v>
      </c>
      <c r="AC10013" s="21">
        <v>760705.63</v>
      </c>
      <c r="AD10013" s="21" t="s">
        <v>368</v>
      </c>
      <c r="AE10013" t="str">
        <f>VLOOKUP(Table_Query_from_Actuarial___Production3[[#This Row],[Kor1]],$AI$3:$AK$105,3,FALSE)</f>
        <v>Commissions</v>
      </c>
      <c r="AF100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4" spans="18:32" x14ac:dyDescent="0.2">
      <c r="R10014" t="s">
        <v>33</v>
      </c>
      <c r="S10014" t="s">
        <v>258</v>
      </c>
      <c r="T10014" t="s">
        <v>8</v>
      </c>
      <c r="U10014" s="21">
        <v>16714.96</v>
      </c>
      <c r="V10014" s="21" t="s">
        <v>368</v>
      </c>
      <c r="W10014" t="str">
        <f>VLOOKUP(Table_Query_from_Actuarial___Production[[#This Row],[Kor1]],$AI$3:$AK$105,3,FALSE)</f>
        <v>Misc. Expense</v>
      </c>
      <c r="X100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4"/>
      <c r="Z10014" t="s">
        <v>15</v>
      </c>
      <c r="AA10014" t="s">
        <v>352</v>
      </c>
      <c r="AB10014" t="s">
        <v>442</v>
      </c>
      <c r="AC10014" s="21">
        <v>8118.48</v>
      </c>
      <c r="AD10014" s="21" t="s">
        <v>369</v>
      </c>
      <c r="AE10014" t="str">
        <f>VLOOKUP(Table_Query_from_Actuarial___Production3[[#This Row],[Kor1]],$AI$3:$AK$105,3,FALSE)</f>
        <v>Unearned Premiums</v>
      </c>
      <c r="AF100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0015" spans="18:32" x14ac:dyDescent="0.2">
      <c r="R10015" t="s">
        <v>43</v>
      </c>
      <c r="S10015" t="s">
        <v>243</v>
      </c>
      <c r="T10015" t="s">
        <v>9</v>
      </c>
      <c r="U10015" s="21">
        <v>0.01</v>
      </c>
      <c r="V10015" s="21" t="s">
        <v>368</v>
      </c>
      <c r="W10015" t="str">
        <f>VLOOKUP(Table_Query_from_Actuarial___Production[[#This Row],[Kor1]],$AI$3:$AK$105,3,FALSE)</f>
        <v>Charge-offs</v>
      </c>
      <c r="X100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5"/>
      <c r="Z10015" t="s">
        <v>439</v>
      </c>
      <c r="AA10015" t="s">
        <v>227</v>
      </c>
      <c r="AB10015" t="s">
        <v>443</v>
      </c>
      <c r="AC10015" s="21">
        <v>-698.59</v>
      </c>
      <c r="AD10015" s="21" t="s">
        <v>368</v>
      </c>
      <c r="AE10015" t="str">
        <f>VLOOKUP(Table_Query_from_Actuarial___Production3[[#This Row],[Kor1]],$AI$3:$AK$105,3,FALSE)</f>
        <v>Operating Service Fees</v>
      </c>
      <c r="AF100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6" spans="18:32" x14ac:dyDescent="0.2">
      <c r="R10016" t="s">
        <v>38</v>
      </c>
      <c r="S10016" t="s">
        <v>224</v>
      </c>
      <c r="T10016" t="s">
        <v>427</v>
      </c>
      <c r="U10016" s="21">
        <v>203184.15</v>
      </c>
      <c r="V10016" s="21" t="s">
        <v>368</v>
      </c>
      <c r="W10016" t="str">
        <f>VLOOKUP(Table_Query_from_Actuarial___Production[[#This Row],[Kor1]],$AI$3:$AK$105,3,FALSE)</f>
        <v>Misc. Income</v>
      </c>
      <c r="X100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016"/>
      <c r="Z10016" t="s">
        <v>17</v>
      </c>
      <c r="AA10016" t="s">
        <v>354</v>
      </c>
      <c r="AB10016" t="s">
        <v>443</v>
      </c>
      <c r="AC10016" s="21">
        <v>7578991.1299999999</v>
      </c>
      <c r="AD10016" s="21" t="s">
        <v>368</v>
      </c>
      <c r="AE10016" t="str">
        <f>VLOOKUP(Table_Query_from_Actuarial___Production3[[#This Row],[Kor1]],$AI$3:$AK$105,3,FALSE)</f>
        <v>IBNR</v>
      </c>
      <c r="AF100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0017" spans="18:32" x14ac:dyDescent="0.2">
      <c r="R10017" t="s">
        <v>13</v>
      </c>
      <c r="S10017" t="s">
        <v>248</v>
      </c>
      <c r="T10017" t="s">
        <v>433</v>
      </c>
      <c r="U10017" s="21">
        <v>91872.79</v>
      </c>
      <c r="V10017" s="21" t="s">
        <v>368</v>
      </c>
      <c r="W10017" t="str">
        <f>VLOOKUP(Table_Query_from_Actuarial___Production[[#This Row],[Kor1]],$AI$3:$AK$105,3,FALSE)</f>
        <v>Operating Service Fees</v>
      </c>
      <c r="X100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7"/>
      <c r="Z10017" t="s">
        <v>31</v>
      </c>
      <c r="AA10017" t="s">
        <v>245</v>
      </c>
      <c r="AB10017" t="s">
        <v>427</v>
      </c>
      <c r="AC10017" s="21">
        <v>592.82000000000005</v>
      </c>
      <c r="AD10017" s="21" t="s">
        <v>368</v>
      </c>
      <c r="AE10017" t="str">
        <f>VLOOKUP(Table_Query_from_Actuarial___Production3[[#This Row],[Kor1]],$AI$3:$AK$105,3,FALSE)</f>
        <v>Misc. Expense</v>
      </c>
      <c r="AF100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8" spans="18:32" x14ac:dyDescent="0.2">
      <c r="R10018" t="s">
        <v>33</v>
      </c>
      <c r="S10018" t="s">
        <v>233</v>
      </c>
      <c r="T10018" t="s">
        <v>9</v>
      </c>
      <c r="U10018" s="21">
        <v>15826.78</v>
      </c>
      <c r="V10018" s="21" t="s">
        <v>368</v>
      </c>
      <c r="W10018" t="str">
        <f>VLOOKUP(Table_Query_from_Actuarial___Production[[#This Row],[Kor1]],$AI$3:$AK$105,3,FALSE)</f>
        <v>Misc. Expense</v>
      </c>
      <c r="X100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8"/>
      <c r="Z10018" t="s">
        <v>21</v>
      </c>
      <c r="AA10018" t="s">
        <v>261</v>
      </c>
      <c r="AB10018" t="s">
        <v>427</v>
      </c>
      <c r="AC10018" s="21">
        <v>2400</v>
      </c>
      <c r="AD10018" s="21" t="s">
        <v>368</v>
      </c>
      <c r="AE10018" t="str">
        <f>VLOOKUP(Table_Query_from_Actuarial___Production3[[#This Row],[Kor1]],$AI$3:$AK$105,3,FALSE)</f>
        <v>Misc. Expense</v>
      </c>
      <c r="AF100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19" spans="18:32" x14ac:dyDescent="0.2">
      <c r="R10019" t="s">
        <v>40</v>
      </c>
      <c r="S10019" t="s">
        <v>230</v>
      </c>
      <c r="T10019" t="s">
        <v>8</v>
      </c>
      <c r="U10019" s="21">
        <v>4523.42</v>
      </c>
      <c r="V10019" s="21" t="s">
        <v>368</v>
      </c>
      <c r="W10019" t="str">
        <f>VLOOKUP(Table_Query_from_Actuarial___Production[[#This Row],[Kor1]],$AI$3:$AK$105,3,FALSE)</f>
        <v>Misc. Income</v>
      </c>
      <c r="X100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19"/>
      <c r="Z10019" t="s">
        <v>40</v>
      </c>
      <c r="AA10019" t="s">
        <v>249</v>
      </c>
      <c r="AB10019" t="s">
        <v>5</v>
      </c>
      <c r="AC10019" s="21">
        <v>21</v>
      </c>
      <c r="AD10019" s="21" t="s">
        <v>368</v>
      </c>
      <c r="AE10019" t="str">
        <f>VLOOKUP(Table_Query_from_Actuarial___Production3[[#This Row],[Kor1]],$AI$3:$AK$105,3,FALSE)</f>
        <v>Misc. Income</v>
      </c>
      <c r="AF100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0" spans="18:32" x14ac:dyDescent="0.2">
      <c r="R10020" t="s">
        <v>21</v>
      </c>
      <c r="S10020" t="s">
        <v>235</v>
      </c>
      <c r="T10020" t="s">
        <v>351</v>
      </c>
      <c r="U10020" s="21">
        <v>2865.01</v>
      </c>
      <c r="V10020" s="21" t="s">
        <v>368</v>
      </c>
      <c r="W10020" t="str">
        <f>VLOOKUP(Table_Query_from_Actuarial___Production[[#This Row],[Kor1]],$AI$3:$AK$105,3,FALSE)</f>
        <v>Misc. Expense</v>
      </c>
      <c r="X100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0"/>
      <c r="Z10020" t="s">
        <v>49</v>
      </c>
      <c r="AA10020" t="s">
        <v>234</v>
      </c>
      <c r="AB10020" t="s">
        <v>351</v>
      </c>
      <c r="AC10020" s="21">
        <v>45.42</v>
      </c>
      <c r="AD10020" s="21" t="s">
        <v>368</v>
      </c>
      <c r="AE10020" t="str">
        <f>VLOOKUP(Table_Query_from_Actuarial___Production3[[#This Row],[Kor1]],$AI$3:$AK$105,3,FALSE)</f>
        <v>ALAE Paid</v>
      </c>
      <c r="AF100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1" spans="18:32" x14ac:dyDescent="0.2">
      <c r="R10021" t="s">
        <v>47</v>
      </c>
      <c r="S10021" t="s">
        <v>231</v>
      </c>
      <c r="T10021" t="s">
        <v>442</v>
      </c>
      <c r="U10021" s="21">
        <v>1336.08</v>
      </c>
      <c r="V10021" s="21" t="s">
        <v>368</v>
      </c>
      <c r="W10021" t="str">
        <f>VLOOKUP(Table_Query_from_Actuarial___Production[[#This Row],[Kor1]],$AI$3:$AK$105,3,FALSE)</f>
        <v>Investment Income</v>
      </c>
      <c r="X100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1"/>
      <c r="Z10021" t="s">
        <v>3</v>
      </c>
      <c r="AA10021" t="s">
        <v>230</v>
      </c>
      <c r="AB10021" t="s">
        <v>7</v>
      </c>
      <c r="AC10021" s="21">
        <v>18032321</v>
      </c>
      <c r="AD10021" s="21" t="s">
        <v>368</v>
      </c>
      <c r="AE10021" t="str">
        <f>VLOOKUP(Table_Query_from_Actuarial___Production3[[#This Row],[Kor1]],$AI$3:$AK$105,3,FALSE)</f>
        <v>Premiums Written</v>
      </c>
      <c r="AF100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2" spans="18:32" x14ac:dyDescent="0.2">
      <c r="R10022" t="s">
        <v>11</v>
      </c>
      <c r="S10022" t="s">
        <v>227</v>
      </c>
      <c r="T10022" t="s">
        <v>9</v>
      </c>
      <c r="U10022" s="21">
        <v>21798.080000000002</v>
      </c>
      <c r="V10022" s="21" t="s">
        <v>368</v>
      </c>
      <c r="W10022" t="str">
        <f>VLOOKUP(Table_Query_from_Actuarial___Production[[#This Row],[Kor1]],$AI$3:$AK$105,3,FALSE)</f>
        <v>Losses Paid</v>
      </c>
      <c r="X100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2"/>
      <c r="Z10022" t="s">
        <v>17</v>
      </c>
      <c r="AA10022" t="s">
        <v>227</v>
      </c>
      <c r="AB10022" t="s">
        <v>441</v>
      </c>
      <c r="AC10022" s="21">
        <v>3589.57</v>
      </c>
      <c r="AD10022" s="21" t="s">
        <v>368</v>
      </c>
      <c r="AE10022" t="str">
        <f>VLOOKUP(Table_Query_from_Actuarial___Production3[[#This Row],[Kor1]],$AI$3:$AK$105,3,FALSE)</f>
        <v>IBNR</v>
      </c>
      <c r="AF100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3" spans="18:32" x14ac:dyDescent="0.2">
      <c r="R10023" t="s">
        <v>37</v>
      </c>
      <c r="S10023" t="s">
        <v>4</v>
      </c>
      <c r="T10023" t="s">
        <v>445</v>
      </c>
      <c r="U10023" s="21">
        <v>38859.089999999997</v>
      </c>
      <c r="V10023" s="21" t="s">
        <v>368</v>
      </c>
      <c r="W10023" t="str">
        <f>VLOOKUP(Table_Query_from_Actuarial___Production[[#This Row],[Kor1]],$AI$3:$AK$105,3,FALSE)</f>
        <v>Misc. Expense</v>
      </c>
      <c r="X100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3"/>
      <c r="Z10023" t="s">
        <v>14</v>
      </c>
      <c r="AA10023" t="s">
        <v>233</v>
      </c>
      <c r="AB10023" t="s">
        <v>441</v>
      </c>
      <c r="AC10023" s="21">
        <v>92689.12</v>
      </c>
      <c r="AD10023" s="21" t="s">
        <v>368</v>
      </c>
      <c r="AE10023" t="str">
        <f>VLOOKUP(Table_Query_from_Actuarial___Production3[[#This Row],[Kor1]],$AI$3:$AK$105,3,FALSE)</f>
        <v>Claims Expense</v>
      </c>
      <c r="AF100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4" spans="18:32" x14ac:dyDescent="0.2">
      <c r="R10024" t="s">
        <v>48</v>
      </c>
      <c r="S10024" t="s">
        <v>233</v>
      </c>
      <c r="T10024" t="s">
        <v>427</v>
      </c>
      <c r="U10024" s="21">
        <v>85.27</v>
      </c>
      <c r="V10024" s="21" t="s">
        <v>368</v>
      </c>
      <c r="W10024" t="str">
        <f>VLOOKUP(Table_Query_from_Actuarial___Production[[#This Row],[Kor1]],$AI$3:$AK$105,3,FALSE)</f>
        <v>Anticipated Salvage</v>
      </c>
      <c r="X100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4"/>
      <c r="Z10024" t="s">
        <v>33</v>
      </c>
      <c r="AA10024" t="s">
        <v>258</v>
      </c>
      <c r="AB10024" t="s">
        <v>8</v>
      </c>
      <c r="AC10024" s="21">
        <v>16714.96</v>
      </c>
      <c r="AD10024" s="21" t="s">
        <v>368</v>
      </c>
      <c r="AE10024" t="str">
        <f>VLOOKUP(Table_Query_from_Actuarial___Production3[[#This Row],[Kor1]],$AI$3:$AK$105,3,FALSE)</f>
        <v>Misc. Expense</v>
      </c>
      <c r="AF100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5" spans="18:32" x14ac:dyDescent="0.2">
      <c r="R10025" t="s">
        <v>11</v>
      </c>
      <c r="S10025" t="s">
        <v>259</v>
      </c>
      <c r="T10025" t="s">
        <v>442</v>
      </c>
      <c r="U10025" s="21">
        <v>7499.02</v>
      </c>
      <c r="V10025" s="21" t="s">
        <v>368</v>
      </c>
      <c r="W10025" t="str">
        <f>VLOOKUP(Table_Query_from_Actuarial___Production[[#This Row],[Kor1]],$AI$3:$AK$105,3,FALSE)</f>
        <v>Losses Paid</v>
      </c>
      <c r="X100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5"/>
      <c r="Z10025" t="s">
        <v>43</v>
      </c>
      <c r="AA10025" t="s">
        <v>243</v>
      </c>
      <c r="AB10025" t="s">
        <v>9</v>
      </c>
      <c r="AC10025" s="21">
        <v>0.01</v>
      </c>
      <c r="AD10025" s="21" t="s">
        <v>368</v>
      </c>
      <c r="AE10025" t="str">
        <f>VLOOKUP(Table_Query_from_Actuarial___Production3[[#This Row],[Kor1]],$AI$3:$AK$105,3,FALSE)</f>
        <v>Charge-offs</v>
      </c>
      <c r="AF100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6" spans="18:32" x14ac:dyDescent="0.2">
      <c r="R10026" t="s">
        <v>38</v>
      </c>
      <c r="S10026" t="s">
        <v>354</v>
      </c>
      <c r="T10026" t="s">
        <v>442</v>
      </c>
      <c r="U10026" s="21">
        <v>52843.02</v>
      </c>
      <c r="V10026" s="21" t="s">
        <v>368</v>
      </c>
      <c r="W10026" t="str">
        <f>VLOOKUP(Table_Query_from_Actuarial___Production[[#This Row],[Kor1]],$AI$3:$AK$105,3,FALSE)</f>
        <v>Misc. Income</v>
      </c>
      <c r="X100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0026"/>
      <c r="Z10026" t="s">
        <v>38</v>
      </c>
      <c r="AA10026" t="s">
        <v>224</v>
      </c>
      <c r="AB10026" t="s">
        <v>427</v>
      </c>
      <c r="AC10026" s="21">
        <v>203184.15</v>
      </c>
      <c r="AD10026" s="21" t="s">
        <v>368</v>
      </c>
      <c r="AE10026" t="str">
        <f>VLOOKUP(Table_Query_from_Actuarial___Production3[[#This Row],[Kor1]],$AI$3:$AK$105,3,FALSE)</f>
        <v>Misc. Income</v>
      </c>
      <c r="AF100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027" spans="18:32" x14ac:dyDescent="0.2">
      <c r="R10027" t="s">
        <v>38</v>
      </c>
      <c r="S10027" t="s">
        <v>226</v>
      </c>
      <c r="T10027" t="s">
        <v>9</v>
      </c>
      <c r="U10027" s="21">
        <v>41203.050000000003</v>
      </c>
      <c r="V10027" s="21" t="s">
        <v>368</v>
      </c>
      <c r="W10027" t="str">
        <f>VLOOKUP(Table_Query_from_Actuarial___Production[[#This Row],[Kor1]],$AI$3:$AK$105,3,FALSE)</f>
        <v>Misc. Income</v>
      </c>
      <c r="X100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027"/>
      <c r="Z10027" t="s">
        <v>13</v>
      </c>
      <c r="AA10027" t="s">
        <v>248</v>
      </c>
      <c r="AB10027" t="s">
        <v>433</v>
      </c>
      <c r="AC10027" s="21">
        <v>91872.79</v>
      </c>
      <c r="AD10027" s="21" t="s">
        <v>368</v>
      </c>
      <c r="AE10027" t="str">
        <f>VLOOKUP(Table_Query_from_Actuarial___Production3[[#This Row],[Kor1]],$AI$3:$AK$105,3,FALSE)</f>
        <v>Operating Service Fees</v>
      </c>
      <c r="AF100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28" spans="18:32" x14ac:dyDescent="0.2">
      <c r="R10028" t="s">
        <v>13</v>
      </c>
      <c r="S10028" t="s">
        <v>255</v>
      </c>
      <c r="T10028" t="s">
        <v>6</v>
      </c>
      <c r="U10028" s="21">
        <v>28435.86</v>
      </c>
      <c r="V10028" s="21" t="s">
        <v>368</v>
      </c>
      <c r="W10028" t="str">
        <f>VLOOKUP(Table_Query_from_Actuarial___Production[[#This Row],[Kor1]],$AI$3:$AK$105,3,FALSE)</f>
        <v>Operating Service Fees</v>
      </c>
      <c r="X100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8"/>
      <c r="Z10028" t="s">
        <v>46</v>
      </c>
      <c r="AA10028" t="s">
        <v>224</v>
      </c>
      <c r="AB10028" t="s">
        <v>5</v>
      </c>
      <c r="AC10028" s="21">
        <v>531.30999999999995</v>
      </c>
      <c r="AD10028" s="21" t="s">
        <v>370</v>
      </c>
      <c r="AE10028" t="str">
        <f>VLOOKUP(Table_Query_from_Actuarial___Production3[[#This Row],[Kor1]],$AI$3:$AK$105,3,FALSE)</f>
        <v>Investment Income</v>
      </c>
      <c r="AF100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029" spans="18:32" x14ac:dyDescent="0.2">
      <c r="R10029" t="s">
        <v>3</v>
      </c>
      <c r="S10029" t="s">
        <v>245</v>
      </c>
      <c r="T10029" t="s">
        <v>427</v>
      </c>
      <c r="U10029" s="21">
        <v>2129</v>
      </c>
      <c r="V10029" s="21" t="s">
        <v>368</v>
      </c>
      <c r="W10029" t="str">
        <f>VLOOKUP(Table_Query_from_Actuarial___Production[[#This Row],[Kor1]],$AI$3:$AK$105,3,FALSE)</f>
        <v>Premiums Written</v>
      </c>
      <c r="X100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29"/>
      <c r="Z10029" t="s">
        <v>33</v>
      </c>
      <c r="AA10029" t="s">
        <v>233</v>
      </c>
      <c r="AB10029" t="s">
        <v>9</v>
      </c>
      <c r="AC10029" s="21">
        <v>15826.78</v>
      </c>
      <c r="AD10029" s="21" t="s">
        <v>368</v>
      </c>
      <c r="AE10029" t="str">
        <f>VLOOKUP(Table_Query_from_Actuarial___Production3[[#This Row],[Kor1]],$AI$3:$AK$105,3,FALSE)</f>
        <v>Misc. Expense</v>
      </c>
      <c r="AF100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0" spans="18:32" x14ac:dyDescent="0.2">
      <c r="R10030" t="s">
        <v>12</v>
      </c>
      <c r="S10030" t="s">
        <v>234</v>
      </c>
      <c r="T10030" t="s">
        <v>443</v>
      </c>
      <c r="U10030" s="21">
        <v>30318.18</v>
      </c>
      <c r="V10030" s="21" t="s">
        <v>368</v>
      </c>
      <c r="W10030" t="str">
        <f>VLOOKUP(Table_Query_from_Actuarial___Production[[#This Row],[Kor1]],$AI$3:$AK$105,3,FALSE)</f>
        <v>Premium Tax</v>
      </c>
      <c r="X100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0"/>
      <c r="Z10030" t="s">
        <v>40</v>
      </c>
      <c r="AA10030" t="s">
        <v>230</v>
      </c>
      <c r="AB10030" t="s">
        <v>8</v>
      </c>
      <c r="AC10030" s="21">
        <v>4523.42</v>
      </c>
      <c r="AD10030" s="21" t="s">
        <v>368</v>
      </c>
      <c r="AE10030" t="str">
        <f>VLOOKUP(Table_Query_from_Actuarial___Production3[[#This Row],[Kor1]],$AI$3:$AK$105,3,FALSE)</f>
        <v>Misc. Income</v>
      </c>
      <c r="AF100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1" spans="18:32" x14ac:dyDescent="0.2">
      <c r="R10031" t="s">
        <v>33</v>
      </c>
      <c r="S10031" t="s">
        <v>232</v>
      </c>
      <c r="T10031" t="s">
        <v>443</v>
      </c>
      <c r="U10031" s="21">
        <v>17147.830000000002</v>
      </c>
      <c r="V10031" s="21" t="s">
        <v>368</v>
      </c>
      <c r="W10031" t="str">
        <f>VLOOKUP(Table_Query_from_Actuarial___Production[[#This Row],[Kor1]],$AI$3:$AK$105,3,FALSE)</f>
        <v>Misc. Expense</v>
      </c>
      <c r="X100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1"/>
      <c r="Z10031" t="s">
        <v>21</v>
      </c>
      <c r="AA10031" t="s">
        <v>235</v>
      </c>
      <c r="AB10031" t="s">
        <v>351</v>
      </c>
      <c r="AC10031" s="21">
        <v>2865.01</v>
      </c>
      <c r="AD10031" s="21" t="s">
        <v>368</v>
      </c>
      <c r="AE10031" t="str">
        <f>VLOOKUP(Table_Query_from_Actuarial___Production3[[#This Row],[Kor1]],$AI$3:$AK$105,3,FALSE)</f>
        <v>Misc. Expense</v>
      </c>
      <c r="AF100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2" spans="18:32" x14ac:dyDescent="0.2">
      <c r="R10032" t="s">
        <v>33</v>
      </c>
      <c r="S10032" t="s">
        <v>257</v>
      </c>
      <c r="T10032" t="s">
        <v>427</v>
      </c>
      <c r="U10032" s="21">
        <v>16902.3</v>
      </c>
      <c r="V10032" s="21" t="s">
        <v>368</v>
      </c>
      <c r="W10032" t="str">
        <f>VLOOKUP(Table_Query_from_Actuarial___Production[[#This Row],[Kor1]],$AI$3:$AK$105,3,FALSE)</f>
        <v>Misc. Expense</v>
      </c>
      <c r="X100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2"/>
      <c r="Z10032" t="s">
        <v>47</v>
      </c>
      <c r="AA10032" t="s">
        <v>231</v>
      </c>
      <c r="AB10032" t="s">
        <v>442</v>
      </c>
      <c r="AC10032" s="21">
        <v>1336.08</v>
      </c>
      <c r="AD10032" s="21" t="s">
        <v>368</v>
      </c>
      <c r="AE10032" t="str">
        <f>VLOOKUP(Table_Query_from_Actuarial___Production3[[#This Row],[Kor1]],$AI$3:$AK$105,3,FALSE)</f>
        <v>Investment Income</v>
      </c>
      <c r="AF100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3" spans="18:32" x14ac:dyDescent="0.2">
      <c r="R10033" t="s">
        <v>18</v>
      </c>
      <c r="S10033" t="s">
        <v>224</v>
      </c>
      <c r="T10033" t="s">
        <v>445</v>
      </c>
      <c r="U10033" s="21">
        <v>10812.42</v>
      </c>
      <c r="V10033" s="21" t="s">
        <v>369</v>
      </c>
      <c r="W10033" t="str">
        <f>VLOOKUP(Table_Query_from_Actuarial___Production[[#This Row],[Kor1]],$AI$3:$AK$105,3,FALSE)</f>
        <v>Misc. Expense</v>
      </c>
      <c r="X100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033"/>
      <c r="Z10033" t="s">
        <v>11</v>
      </c>
      <c r="AA10033" t="s">
        <v>227</v>
      </c>
      <c r="AB10033" t="s">
        <v>9</v>
      </c>
      <c r="AC10033" s="21">
        <v>21798.080000000002</v>
      </c>
      <c r="AD10033" s="21" t="s">
        <v>368</v>
      </c>
      <c r="AE10033" t="str">
        <f>VLOOKUP(Table_Query_from_Actuarial___Production3[[#This Row],[Kor1]],$AI$3:$AK$105,3,FALSE)</f>
        <v>Losses Paid</v>
      </c>
      <c r="AF100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4" spans="18:32" x14ac:dyDescent="0.2">
      <c r="R10034" t="s">
        <v>11</v>
      </c>
      <c r="S10034" t="s">
        <v>266</v>
      </c>
      <c r="T10034" t="s">
        <v>433</v>
      </c>
      <c r="U10034" s="21">
        <v>233765.08</v>
      </c>
      <c r="V10034" s="21" t="s">
        <v>368</v>
      </c>
      <c r="W10034" t="str">
        <f>VLOOKUP(Table_Query_from_Actuarial___Production[[#This Row],[Kor1]],$AI$3:$AK$105,3,FALSE)</f>
        <v>Losses Paid</v>
      </c>
      <c r="X100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4"/>
      <c r="Z10034" t="s">
        <v>48</v>
      </c>
      <c r="AA10034" t="s">
        <v>233</v>
      </c>
      <c r="AB10034" t="s">
        <v>427</v>
      </c>
      <c r="AC10034" s="21">
        <v>1204.03</v>
      </c>
      <c r="AD10034" s="21" t="s">
        <v>368</v>
      </c>
      <c r="AE10034" t="str">
        <f>VLOOKUP(Table_Query_from_Actuarial___Production3[[#This Row],[Kor1]],$AI$3:$AK$105,3,FALSE)</f>
        <v>Anticipated Salvage</v>
      </c>
      <c r="AF100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5" spans="18:32" x14ac:dyDescent="0.2">
      <c r="R10035" t="s">
        <v>24</v>
      </c>
      <c r="S10035" t="s">
        <v>4</v>
      </c>
      <c r="T10035" t="s">
        <v>7</v>
      </c>
      <c r="U10035" s="21">
        <v>151.19</v>
      </c>
      <c r="V10035" s="21" t="s">
        <v>368</v>
      </c>
      <c r="W10035" t="str">
        <f>VLOOKUP(Table_Query_from_Actuarial___Production[[#This Row],[Kor1]],$AI$3:$AK$105,3,FALSE)</f>
        <v>Misc. Expense</v>
      </c>
      <c r="X100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5"/>
      <c r="Z10035" t="s">
        <v>11</v>
      </c>
      <c r="AA10035" t="s">
        <v>259</v>
      </c>
      <c r="AB10035" t="s">
        <v>442</v>
      </c>
      <c r="AC10035" s="21">
        <v>7499.02</v>
      </c>
      <c r="AD10035" s="21" t="s">
        <v>368</v>
      </c>
      <c r="AE10035" t="str">
        <f>VLOOKUP(Table_Query_from_Actuarial___Production3[[#This Row],[Kor1]],$AI$3:$AK$105,3,FALSE)</f>
        <v>Losses Paid</v>
      </c>
      <c r="AF100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6" spans="18:32" x14ac:dyDescent="0.2">
      <c r="R10036" t="s">
        <v>3</v>
      </c>
      <c r="S10036" t="s">
        <v>261</v>
      </c>
      <c r="T10036" t="s">
        <v>441</v>
      </c>
      <c r="U10036" s="21">
        <v>186869</v>
      </c>
      <c r="V10036" s="21" t="s">
        <v>368</v>
      </c>
      <c r="W10036" t="str">
        <f>VLOOKUP(Table_Query_from_Actuarial___Production[[#This Row],[Kor1]],$AI$3:$AK$105,3,FALSE)</f>
        <v>Premiums Written</v>
      </c>
      <c r="X100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6"/>
      <c r="Z10036" t="s">
        <v>29</v>
      </c>
      <c r="AA10036" t="s">
        <v>259</v>
      </c>
      <c r="AB10036" t="s">
        <v>5</v>
      </c>
      <c r="AC10036" s="21">
        <v>400</v>
      </c>
      <c r="AD10036" s="21" t="s">
        <v>368</v>
      </c>
      <c r="AE10036" t="str">
        <f>VLOOKUP(Table_Query_from_Actuarial___Production3[[#This Row],[Kor1]],$AI$3:$AK$105,3,FALSE)</f>
        <v>Misc. Expense</v>
      </c>
      <c r="AF100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7" spans="18:32" x14ac:dyDescent="0.2">
      <c r="R10037" t="s">
        <v>41</v>
      </c>
      <c r="S10037" t="s">
        <v>244</v>
      </c>
      <c r="T10037" t="s">
        <v>441</v>
      </c>
      <c r="U10037" s="21">
        <v>50</v>
      </c>
      <c r="V10037" s="21" t="s">
        <v>368</v>
      </c>
      <c r="W10037" t="str">
        <f>VLOOKUP(Table_Query_from_Actuarial___Production[[#This Row],[Kor1]],$AI$3:$AK$105,3,FALSE)</f>
        <v>Misc. Income</v>
      </c>
      <c r="X100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7"/>
      <c r="Z10037" t="s">
        <v>49</v>
      </c>
      <c r="AA10037" t="s">
        <v>263</v>
      </c>
      <c r="AB10037" t="s">
        <v>5</v>
      </c>
      <c r="AC10037" s="21">
        <v>1612.79</v>
      </c>
      <c r="AD10037" s="21" t="s">
        <v>368</v>
      </c>
      <c r="AE10037" t="str">
        <f>VLOOKUP(Table_Query_from_Actuarial___Production3[[#This Row],[Kor1]],$AI$3:$AK$105,3,FALSE)</f>
        <v>ALAE Paid</v>
      </c>
      <c r="AF100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38" spans="18:32" x14ac:dyDescent="0.2">
      <c r="R10038" t="s">
        <v>18</v>
      </c>
      <c r="S10038" t="s">
        <v>224</v>
      </c>
      <c r="T10038" t="s">
        <v>9</v>
      </c>
      <c r="U10038" s="21">
        <v>117091.78</v>
      </c>
      <c r="V10038" s="21" t="s">
        <v>370</v>
      </c>
      <c r="W10038" t="str">
        <f>VLOOKUP(Table_Query_from_Actuarial___Production[[#This Row],[Kor1]],$AI$3:$AK$105,3,FALSE)</f>
        <v>Misc. Expense</v>
      </c>
      <c r="X100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038"/>
      <c r="Z10038" t="s">
        <v>38</v>
      </c>
      <c r="AA10038" t="s">
        <v>354</v>
      </c>
      <c r="AB10038" t="s">
        <v>442</v>
      </c>
      <c r="AC10038" s="21">
        <v>52843.02</v>
      </c>
      <c r="AD10038" s="21" t="s">
        <v>368</v>
      </c>
      <c r="AE10038" t="str">
        <f>VLOOKUP(Table_Query_from_Actuarial___Production3[[#This Row],[Kor1]],$AI$3:$AK$105,3,FALSE)</f>
        <v>Misc. Income</v>
      </c>
      <c r="AF100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0039" spans="18:32" x14ac:dyDescent="0.2">
      <c r="R10039" t="s">
        <v>14</v>
      </c>
      <c r="S10039" t="s">
        <v>236</v>
      </c>
      <c r="T10039" t="s">
        <v>441</v>
      </c>
      <c r="U10039" s="21">
        <v>2115.46</v>
      </c>
      <c r="V10039" s="21" t="s">
        <v>368</v>
      </c>
      <c r="W10039" t="str">
        <f>VLOOKUP(Table_Query_from_Actuarial___Production[[#This Row],[Kor1]],$AI$3:$AK$105,3,FALSE)</f>
        <v>Claims Expense</v>
      </c>
      <c r="X100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39"/>
      <c r="Z10039" t="s">
        <v>38</v>
      </c>
      <c r="AA10039" t="s">
        <v>226</v>
      </c>
      <c r="AB10039" t="s">
        <v>9</v>
      </c>
      <c r="AC10039" s="21">
        <v>41203.050000000003</v>
      </c>
      <c r="AD10039" s="21" t="s">
        <v>368</v>
      </c>
      <c r="AE10039" t="str">
        <f>VLOOKUP(Table_Query_from_Actuarial___Production3[[#This Row],[Kor1]],$AI$3:$AK$105,3,FALSE)</f>
        <v>Misc. Income</v>
      </c>
      <c r="AF100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040" spans="18:32" x14ac:dyDescent="0.2">
      <c r="R10040" t="s">
        <v>43</v>
      </c>
      <c r="S10040" t="s">
        <v>246</v>
      </c>
      <c r="T10040" t="s">
        <v>441</v>
      </c>
      <c r="U10040" s="21">
        <v>3.63</v>
      </c>
      <c r="V10040" s="21" t="s">
        <v>368</v>
      </c>
      <c r="W10040" t="str">
        <f>VLOOKUP(Table_Query_from_Actuarial___Production[[#This Row],[Kor1]],$AI$3:$AK$105,3,FALSE)</f>
        <v>Charge-offs</v>
      </c>
      <c r="X100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0"/>
      <c r="Z10040" t="s">
        <v>13</v>
      </c>
      <c r="AA10040" t="s">
        <v>255</v>
      </c>
      <c r="AB10040" t="s">
        <v>6</v>
      </c>
      <c r="AC10040" s="21">
        <v>28435.86</v>
      </c>
      <c r="AD10040" s="21" t="s">
        <v>368</v>
      </c>
      <c r="AE10040" t="str">
        <f>VLOOKUP(Table_Query_from_Actuarial___Production3[[#This Row],[Kor1]],$AI$3:$AK$105,3,FALSE)</f>
        <v>Operating Service Fees</v>
      </c>
      <c r="AF100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1" spans="18:32" x14ac:dyDescent="0.2">
      <c r="R10041" t="s">
        <v>48</v>
      </c>
      <c r="S10041" t="s">
        <v>245</v>
      </c>
      <c r="T10041" t="s">
        <v>441</v>
      </c>
      <c r="U10041" s="21">
        <v>0.71</v>
      </c>
      <c r="V10041" s="21" t="s">
        <v>368</v>
      </c>
      <c r="W10041" t="str">
        <f>VLOOKUP(Table_Query_from_Actuarial___Production[[#This Row],[Kor1]],$AI$3:$AK$105,3,FALSE)</f>
        <v>Anticipated Salvage</v>
      </c>
      <c r="X100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1"/>
      <c r="Z10041" t="s">
        <v>3</v>
      </c>
      <c r="AA10041" t="s">
        <v>245</v>
      </c>
      <c r="AB10041" t="s">
        <v>427</v>
      </c>
      <c r="AC10041" s="21">
        <v>2129</v>
      </c>
      <c r="AD10041" s="21" t="s">
        <v>368</v>
      </c>
      <c r="AE10041" t="str">
        <f>VLOOKUP(Table_Query_from_Actuarial___Production3[[#This Row],[Kor1]],$AI$3:$AK$105,3,FALSE)</f>
        <v>Premiums Written</v>
      </c>
      <c r="AF100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2" spans="18:32" x14ac:dyDescent="0.2">
      <c r="R10042" t="s">
        <v>19</v>
      </c>
      <c r="S10042" t="s">
        <v>259</v>
      </c>
      <c r="T10042" t="s">
        <v>433</v>
      </c>
      <c r="U10042" s="21">
        <v>528</v>
      </c>
      <c r="V10042" s="21" t="s">
        <v>368</v>
      </c>
      <c r="W10042" t="str">
        <f>VLOOKUP(Table_Query_from_Actuarial___Production[[#This Row],[Kor1]],$AI$3:$AK$105,3,FALSE)</f>
        <v>Misc. Expense for Insolvent Companies</v>
      </c>
      <c r="X100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2"/>
      <c r="Z10042" t="s">
        <v>12</v>
      </c>
      <c r="AA10042" t="s">
        <v>234</v>
      </c>
      <c r="AB10042" t="s">
        <v>443</v>
      </c>
      <c r="AC10042" s="21">
        <v>4061.03</v>
      </c>
      <c r="AD10042" s="21" t="s">
        <v>368</v>
      </c>
      <c r="AE10042" t="str">
        <f>VLOOKUP(Table_Query_from_Actuarial___Production3[[#This Row],[Kor1]],$AI$3:$AK$105,3,FALSE)</f>
        <v>Premium Tax</v>
      </c>
      <c r="AF100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3" spans="18:32" x14ac:dyDescent="0.2">
      <c r="R10043" t="s">
        <v>22</v>
      </c>
      <c r="S10043" t="s">
        <v>259</v>
      </c>
      <c r="T10043" t="s">
        <v>427</v>
      </c>
      <c r="U10043" s="21">
        <v>17151.46</v>
      </c>
      <c r="V10043" s="21" t="s">
        <v>368</v>
      </c>
      <c r="W10043" t="str">
        <f>VLOOKUP(Table_Query_from_Actuarial___Production[[#This Row],[Kor1]],$AI$3:$AK$105,3,FALSE)</f>
        <v>Misc. Expense</v>
      </c>
      <c r="X100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3"/>
      <c r="Z10043" t="s">
        <v>33</v>
      </c>
      <c r="AA10043" t="s">
        <v>232</v>
      </c>
      <c r="AB10043" t="s">
        <v>443</v>
      </c>
      <c r="AC10043" s="21">
        <v>9190.74</v>
      </c>
      <c r="AD10043" s="21" t="s">
        <v>368</v>
      </c>
      <c r="AE10043" t="str">
        <f>VLOOKUP(Table_Query_from_Actuarial___Production3[[#This Row],[Kor1]],$AI$3:$AK$105,3,FALSE)</f>
        <v>Misc. Expense</v>
      </c>
      <c r="AF100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4" spans="18:32" x14ac:dyDescent="0.2">
      <c r="R10044" t="s">
        <v>32</v>
      </c>
      <c r="S10044" t="s">
        <v>237</v>
      </c>
      <c r="T10044" t="s">
        <v>433</v>
      </c>
      <c r="U10044" s="21">
        <v>-430955.27</v>
      </c>
      <c r="V10044" s="21" t="s">
        <v>368</v>
      </c>
      <c r="W10044" t="str">
        <f>VLOOKUP(Table_Query_from_Actuarial___Production[[#This Row],[Kor1]],$AI$3:$AK$105,3,FALSE)</f>
        <v>Misc. Expense</v>
      </c>
      <c r="X100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4"/>
      <c r="Z10044" t="s">
        <v>33</v>
      </c>
      <c r="AA10044" t="s">
        <v>257</v>
      </c>
      <c r="AB10044" t="s">
        <v>427</v>
      </c>
      <c r="AC10044" s="21">
        <v>16902.3</v>
      </c>
      <c r="AD10044" s="21" t="s">
        <v>368</v>
      </c>
      <c r="AE10044" t="str">
        <f>VLOOKUP(Table_Query_from_Actuarial___Production3[[#This Row],[Kor1]],$AI$3:$AK$105,3,FALSE)</f>
        <v>Misc. Expense</v>
      </c>
      <c r="AF100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5" spans="18:32" x14ac:dyDescent="0.2">
      <c r="R10045" t="s">
        <v>47</v>
      </c>
      <c r="S10045" t="s">
        <v>248</v>
      </c>
      <c r="T10045" t="s">
        <v>356</v>
      </c>
      <c r="U10045" s="21">
        <v>642.85</v>
      </c>
      <c r="V10045" s="21" t="s">
        <v>368</v>
      </c>
      <c r="W10045" t="str">
        <f>VLOOKUP(Table_Query_from_Actuarial___Production[[#This Row],[Kor1]],$AI$3:$AK$105,3,FALSE)</f>
        <v>Investment Income</v>
      </c>
      <c r="X100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5"/>
      <c r="Z10045" t="s">
        <v>11</v>
      </c>
      <c r="AA10045" t="s">
        <v>266</v>
      </c>
      <c r="AB10045" t="s">
        <v>433</v>
      </c>
      <c r="AC10045" s="21">
        <v>93138.13</v>
      </c>
      <c r="AD10045" s="21" t="s">
        <v>368</v>
      </c>
      <c r="AE10045" t="str">
        <f>VLOOKUP(Table_Query_from_Actuarial___Production3[[#This Row],[Kor1]],$AI$3:$AK$105,3,FALSE)</f>
        <v>Losses Paid</v>
      </c>
      <c r="AF100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6" spans="18:32" x14ac:dyDescent="0.2">
      <c r="R10046" t="s">
        <v>10</v>
      </c>
      <c r="S10046" t="s">
        <v>227</v>
      </c>
      <c r="T10046" t="s">
        <v>441</v>
      </c>
      <c r="U10046" s="21">
        <v>4085.3</v>
      </c>
      <c r="V10046" s="21" t="s">
        <v>368</v>
      </c>
      <c r="W10046" t="str">
        <f>VLOOKUP(Table_Query_from_Actuarial___Production[[#This Row],[Kor1]],$AI$3:$AK$105,3,FALSE)</f>
        <v>Commissions</v>
      </c>
      <c r="X100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6"/>
      <c r="Z10046" t="s">
        <v>24</v>
      </c>
      <c r="AA10046" t="s">
        <v>4</v>
      </c>
      <c r="AB10046" t="s">
        <v>7</v>
      </c>
      <c r="AC10046" s="21">
        <v>151.19</v>
      </c>
      <c r="AD10046" s="21" t="s">
        <v>368</v>
      </c>
      <c r="AE10046" t="str">
        <f>VLOOKUP(Table_Query_from_Actuarial___Production3[[#This Row],[Kor1]],$AI$3:$AK$105,3,FALSE)</f>
        <v>Misc. Expense</v>
      </c>
      <c r="AF100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7" spans="18:32" x14ac:dyDescent="0.2">
      <c r="R10047" t="s">
        <v>31</v>
      </c>
      <c r="S10047" t="s">
        <v>233</v>
      </c>
      <c r="T10047" t="s">
        <v>8</v>
      </c>
      <c r="U10047" s="21">
        <v>454.83</v>
      </c>
      <c r="V10047" s="21" t="s">
        <v>368</v>
      </c>
      <c r="W10047" t="str">
        <f>VLOOKUP(Table_Query_from_Actuarial___Production[[#This Row],[Kor1]],$AI$3:$AK$105,3,FALSE)</f>
        <v>Misc. Expense</v>
      </c>
      <c r="X100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7"/>
      <c r="Z10047" t="s">
        <v>3</v>
      </c>
      <c r="AA10047" t="s">
        <v>261</v>
      </c>
      <c r="AB10047" t="s">
        <v>441</v>
      </c>
      <c r="AC10047" s="21">
        <v>186869</v>
      </c>
      <c r="AD10047" s="21" t="s">
        <v>368</v>
      </c>
      <c r="AE10047" t="str">
        <f>VLOOKUP(Table_Query_from_Actuarial___Production3[[#This Row],[Kor1]],$AI$3:$AK$105,3,FALSE)</f>
        <v>Premiums Written</v>
      </c>
      <c r="AF100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8" spans="18:32" x14ac:dyDescent="0.2">
      <c r="R10048" t="s">
        <v>41</v>
      </c>
      <c r="S10048" t="s">
        <v>258</v>
      </c>
      <c r="T10048" t="s">
        <v>351</v>
      </c>
      <c r="U10048" s="21">
        <v>1344.55</v>
      </c>
      <c r="V10048" s="21" t="s">
        <v>368</v>
      </c>
      <c r="W10048" t="str">
        <f>VLOOKUP(Table_Query_from_Actuarial___Production[[#This Row],[Kor1]],$AI$3:$AK$105,3,FALSE)</f>
        <v>Misc. Income</v>
      </c>
      <c r="X100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8"/>
      <c r="Z10048" t="s">
        <v>41</v>
      </c>
      <c r="AA10048" t="s">
        <v>244</v>
      </c>
      <c r="AB10048" t="s">
        <v>441</v>
      </c>
      <c r="AC10048" s="21">
        <v>50</v>
      </c>
      <c r="AD10048" s="21" t="s">
        <v>368</v>
      </c>
      <c r="AE10048" t="str">
        <f>VLOOKUP(Table_Query_from_Actuarial___Production3[[#This Row],[Kor1]],$AI$3:$AK$105,3,FALSE)</f>
        <v>Misc. Income</v>
      </c>
      <c r="AF100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49" spans="18:32" x14ac:dyDescent="0.2">
      <c r="R10049" t="s">
        <v>50</v>
      </c>
      <c r="S10049" t="s">
        <v>267</v>
      </c>
      <c r="T10049" t="s">
        <v>433</v>
      </c>
      <c r="U10049" s="21">
        <v>13263.79</v>
      </c>
      <c r="V10049" s="21" t="s">
        <v>368</v>
      </c>
      <c r="W10049" t="str">
        <f>VLOOKUP(Table_Query_from_Actuarial___Production[[#This Row],[Kor1]],$AI$3:$AK$105,3,FALSE)</f>
        <v>ALAE Reserve</v>
      </c>
      <c r="X100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49"/>
      <c r="Z10049" t="s">
        <v>18</v>
      </c>
      <c r="AA10049" t="s">
        <v>224</v>
      </c>
      <c r="AB10049" t="s">
        <v>9</v>
      </c>
      <c r="AC10049" s="21">
        <v>117091.78</v>
      </c>
      <c r="AD10049" s="21" t="s">
        <v>370</v>
      </c>
      <c r="AE10049" t="str">
        <f>VLOOKUP(Table_Query_from_Actuarial___Production3[[#This Row],[Kor1]],$AI$3:$AK$105,3,FALSE)</f>
        <v>Misc. Expense</v>
      </c>
      <c r="AF100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050" spans="18:32" x14ac:dyDescent="0.2">
      <c r="R10050" t="s">
        <v>12</v>
      </c>
      <c r="S10050" t="s">
        <v>228</v>
      </c>
      <c r="T10050" t="s">
        <v>8</v>
      </c>
      <c r="U10050" s="21">
        <v>2413.42</v>
      </c>
      <c r="V10050" s="21" t="s">
        <v>368</v>
      </c>
      <c r="W10050" t="str">
        <f>VLOOKUP(Table_Query_from_Actuarial___Production[[#This Row],[Kor1]],$AI$3:$AK$105,3,FALSE)</f>
        <v>Premium Tax</v>
      </c>
      <c r="X100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0"/>
      <c r="Z10050" t="s">
        <v>14</v>
      </c>
      <c r="AA10050" t="s">
        <v>236</v>
      </c>
      <c r="AB10050" t="s">
        <v>441</v>
      </c>
      <c r="AC10050" s="21">
        <v>2115.46</v>
      </c>
      <c r="AD10050" s="21" t="s">
        <v>368</v>
      </c>
      <c r="AE10050" t="str">
        <f>VLOOKUP(Table_Query_from_Actuarial___Production3[[#This Row],[Kor1]],$AI$3:$AK$105,3,FALSE)</f>
        <v>Claims Expense</v>
      </c>
      <c r="AF100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1" spans="18:32" x14ac:dyDescent="0.2">
      <c r="R10051" t="s">
        <v>19</v>
      </c>
      <c r="S10051" t="s">
        <v>236</v>
      </c>
      <c r="T10051" t="s">
        <v>6</v>
      </c>
      <c r="U10051" s="21">
        <v>59</v>
      </c>
      <c r="V10051" s="21" t="s">
        <v>368</v>
      </c>
      <c r="W10051" t="str">
        <f>VLOOKUP(Table_Query_from_Actuarial___Production[[#This Row],[Kor1]],$AI$3:$AK$105,3,FALSE)</f>
        <v>Misc. Expense for Insolvent Companies</v>
      </c>
      <c r="X100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1"/>
      <c r="Z10051" t="s">
        <v>43</v>
      </c>
      <c r="AA10051" t="s">
        <v>246</v>
      </c>
      <c r="AB10051" t="s">
        <v>441</v>
      </c>
      <c r="AC10051" s="21">
        <v>3.63</v>
      </c>
      <c r="AD10051" s="21" t="s">
        <v>368</v>
      </c>
      <c r="AE10051" t="str">
        <f>VLOOKUP(Table_Query_from_Actuarial___Production3[[#This Row],[Kor1]],$AI$3:$AK$105,3,FALSE)</f>
        <v>Charge-offs</v>
      </c>
      <c r="AF100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2" spans="18:32" x14ac:dyDescent="0.2">
      <c r="R10052" t="s">
        <v>39</v>
      </c>
      <c r="S10052" t="s">
        <v>4</v>
      </c>
      <c r="T10052" t="s">
        <v>9</v>
      </c>
      <c r="U10052" s="21">
        <v>103681.1</v>
      </c>
      <c r="V10052" s="21" t="s">
        <v>368</v>
      </c>
      <c r="W10052" t="str">
        <f>VLOOKUP(Table_Query_from_Actuarial___Production[[#This Row],[Kor1]],$AI$3:$AK$105,3,FALSE)</f>
        <v>Misc. Income for Insolvent Companies</v>
      </c>
      <c r="X100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2"/>
      <c r="Z10052" t="s">
        <v>48</v>
      </c>
      <c r="AA10052" t="s">
        <v>245</v>
      </c>
      <c r="AB10052" t="s">
        <v>441</v>
      </c>
      <c r="AC10052" s="21">
        <v>1.51</v>
      </c>
      <c r="AD10052" s="21" t="s">
        <v>368</v>
      </c>
      <c r="AE10052" t="str">
        <f>VLOOKUP(Table_Query_from_Actuarial___Production3[[#This Row],[Kor1]],$AI$3:$AK$105,3,FALSE)</f>
        <v>Anticipated Salvage</v>
      </c>
      <c r="AF100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3" spans="18:32" x14ac:dyDescent="0.2">
      <c r="R10053" t="s">
        <v>38</v>
      </c>
      <c r="S10053" t="s">
        <v>224</v>
      </c>
      <c r="T10053" t="s">
        <v>443</v>
      </c>
      <c r="U10053" s="21">
        <v>267607.44</v>
      </c>
      <c r="V10053" s="21" t="s">
        <v>368</v>
      </c>
      <c r="W10053" t="str">
        <f>VLOOKUP(Table_Query_from_Actuarial___Production[[#This Row],[Kor1]],$AI$3:$AK$105,3,FALSE)</f>
        <v>Misc. Income</v>
      </c>
      <c r="X100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053"/>
      <c r="Z10053" t="s">
        <v>19</v>
      </c>
      <c r="AA10053" t="s">
        <v>259</v>
      </c>
      <c r="AB10053" t="s">
        <v>433</v>
      </c>
      <c r="AC10053" s="21">
        <v>528</v>
      </c>
      <c r="AD10053" s="21" t="s">
        <v>368</v>
      </c>
      <c r="AE10053" t="str">
        <f>VLOOKUP(Table_Query_from_Actuarial___Production3[[#This Row],[Kor1]],$AI$3:$AK$105,3,FALSE)</f>
        <v>Misc. Expense for Insolvent Companies</v>
      </c>
      <c r="AF100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4" spans="18:32" x14ac:dyDescent="0.2">
      <c r="R10054" t="s">
        <v>10</v>
      </c>
      <c r="S10054" t="s">
        <v>227</v>
      </c>
      <c r="T10054" t="s">
        <v>351</v>
      </c>
      <c r="U10054" s="21">
        <v>2016.05</v>
      </c>
      <c r="V10054" s="21" t="s">
        <v>368</v>
      </c>
      <c r="W10054" t="str">
        <f>VLOOKUP(Table_Query_from_Actuarial___Production[[#This Row],[Kor1]],$AI$3:$AK$105,3,FALSE)</f>
        <v>Commissions</v>
      </c>
      <c r="X100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4"/>
      <c r="Z10054" t="s">
        <v>22</v>
      </c>
      <c r="AA10054" t="s">
        <v>259</v>
      </c>
      <c r="AB10054" t="s">
        <v>427</v>
      </c>
      <c r="AC10054" s="21">
        <v>17151.46</v>
      </c>
      <c r="AD10054" s="21" t="s">
        <v>368</v>
      </c>
      <c r="AE10054" t="str">
        <f>VLOOKUP(Table_Query_from_Actuarial___Production3[[#This Row],[Kor1]],$AI$3:$AK$105,3,FALSE)</f>
        <v>Misc. Expense</v>
      </c>
      <c r="AF100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5" spans="18:32" x14ac:dyDescent="0.2">
      <c r="R10055" t="s">
        <v>10</v>
      </c>
      <c r="S10055" t="s">
        <v>260</v>
      </c>
      <c r="T10055" t="s">
        <v>7</v>
      </c>
      <c r="U10055" s="21">
        <v>3252.4</v>
      </c>
      <c r="V10055" s="21" t="s">
        <v>368</v>
      </c>
      <c r="W10055" t="str">
        <f>VLOOKUP(Table_Query_from_Actuarial___Production[[#This Row],[Kor1]],$AI$3:$AK$105,3,FALSE)</f>
        <v>Commissions</v>
      </c>
      <c r="X100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5"/>
      <c r="Z10055" t="s">
        <v>32</v>
      </c>
      <c r="AA10055" t="s">
        <v>237</v>
      </c>
      <c r="AB10055" t="s">
        <v>433</v>
      </c>
      <c r="AC10055" s="21">
        <v>-430955.27</v>
      </c>
      <c r="AD10055" s="21" t="s">
        <v>368</v>
      </c>
      <c r="AE10055" t="str">
        <f>VLOOKUP(Table_Query_from_Actuarial___Production3[[#This Row],[Kor1]],$AI$3:$AK$105,3,FALSE)</f>
        <v>Misc. Expense</v>
      </c>
      <c r="AF100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6" spans="18:32" x14ac:dyDescent="0.2">
      <c r="R10056" t="s">
        <v>21</v>
      </c>
      <c r="S10056" t="s">
        <v>268</v>
      </c>
      <c r="T10056" t="s">
        <v>433</v>
      </c>
      <c r="U10056" s="21">
        <v>230</v>
      </c>
      <c r="V10056" s="21" t="s">
        <v>368</v>
      </c>
      <c r="W10056" t="str">
        <f>VLOOKUP(Table_Query_from_Actuarial___Production[[#This Row],[Kor1]],$AI$3:$AK$105,3,FALSE)</f>
        <v>Misc. Expense</v>
      </c>
      <c r="X100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6"/>
      <c r="Z10056" t="s">
        <v>47</v>
      </c>
      <c r="AA10056" t="s">
        <v>248</v>
      </c>
      <c r="AB10056" t="s">
        <v>356</v>
      </c>
      <c r="AC10056" s="21">
        <v>642.85</v>
      </c>
      <c r="AD10056" s="21" t="s">
        <v>368</v>
      </c>
      <c r="AE10056" t="str">
        <f>VLOOKUP(Table_Query_from_Actuarial___Production3[[#This Row],[Kor1]],$AI$3:$AK$105,3,FALSE)</f>
        <v>Investment Income</v>
      </c>
      <c r="AF100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7" spans="18:32" x14ac:dyDescent="0.2">
      <c r="R10057" t="s">
        <v>17</v>
      </c>
      <c r="S10057" t="s">
        <v>226</v>
      </c>
      <c r="T10057" t="s">
        <v>9</v>
      </c>
      <c r="U10057" s="21">
        <v>1701271.96</v>
      </c>
      <c r="V10057" s="21" t="s">
        <v>368</v>
      </c>
      <c r="W10057" t="str">
        <f>VLOOKUP(Table_Query_from_Actuarial___Production[[#This Row],[Kor1]],$AI$3:$AK$105,3,FALSE)</f>
        <v>IBNR</v>
      </c>
      <c r="X100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057"/>
      <c r="Z10057" t="s">
        <v>10</v>
      </c>
      <c r="AA10057" t="s">
        <v>227</v>
      </c>
      <c r="AB10057" t="s">
        <v>441</v>
      </c>
      <c r="AC10057" s="21">
        <v>4085.3</v>
      </c>
      <c r="AD10057" s="21" t="s">
        <v>368</v>
      </c>
      <c r="AE10057" t="str">
        <f>VLOOKUP(Table_Query_from_Actuarial___Production3[[#This Row],[Kor1]],$AI$3:$AK$105,3,FALSE)</f>
        <v>Commissions</v>
      </c>
      <c r="AF100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8" spans="18:32" x14ac:dyDescent="0.2">
      <c r="R10058" t="s">
        <v>40</v>
      </c>
      <c r="S10058" t="s">
        <v>263</v>
      </c>
      <c r="T10058" t="s">
        <v>7</v>
      </c>
      <c r="U10058" s="21">
        <v>35</v>
      </c>
      <c r="V10058" s="21" t="s">
        <v>368</v>
      </c>
      <c r="W10058" t="str">
        <f>VLOOKUP(Table_Query_from_Actuarial___Production[[#This Row],[Kor1]],$AI$3:$AK$105,3,FALSE)</f>
        <v>Misc. Income</v>
      </c>
      <c r="X100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58"/>
      <c r="Z10058" t="s">
        <v>31</v>
      </c>
      <c r="AA10058" t="s">
        <v>233</v>
      </c>
      <c r="AB10058" t="s">
        <v>8</v>
      </c>
      <c r="AC10058" s="21">
        <v>454.83</v>
      </c>
      <c r="AD10058" s="21" t="s">
        <v>368</v>
      </c>
      <c r="AE10058" t="str">
        <f>VLOOKUP(Table_Query_from_Actuarial___Production3[[#This Row],[Kor1]],$AI$3:$AK$105,3,FALSE)</f>
        <v>Misc. Expense</v>
      </c>
      <c r="AF100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59" spans="18:32" x14ac:dyDescent="0.2">
      <c r="R10059" t="s">
        <v>18</v>
      </c>
      <c r="S10059" t="s">
        <v>354</v>
      </c>
      <c r="T10059" t="s">
        <v>7</v>
      </c>
      <c r="U10059" s="21">
        <v>6045766.3899999997</v>
      </c>
      <c r="V10059" s="21" t="s">
        <v>369</v>
      </c>
      <c r="W10059" t="str">
        <f>VLOOKUP(Table_Query_from_Actuarial___Production[[#This Row],[Kor1]],$AI$3:$AK$105,3,FALSE)</f>
        <v>Misc. Expense</v>
      </c>
      <c r="X100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059"/>
      <c r="Z10059" t="s">
        <v>41</v>
      </c>
      <c r="AA10059" t="s">
        <v>258</v>
      </c>
      <c r="AB10059" t="s">
        <v>351</v>
      </c>
      <c r="AC10059" s="21">
        <v>1344.55</v>
      </c>
      <c r="AD10059" s="21" t="s">
        <v>368</v>
      </c>
      <c r="AE10059" t="str">
        <f>VLOOKUP(Table_Query_from_Actuarial___Production3[[#This Row],[Kor1]],$AI$3:$AK$105,3,FALSE)</f>
        <v>Misc. Income</v>
      </c>
      <c r="AF100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0" spans="18:32" x14ac:dyDescent="0.2">
      <c r="R10060" t="s">
        <v>11</v>
      </c>
      <c r="S10060" t="s">
        <v>226</v>
      </c>
      <c r="T10060" t="s">
        <v>443</v>
      </c>
      <c r="U10060" s="21">
        <v>787259.78</v>
      </c>
      <c r="V10060" s="21" t="s">
        <v>368</v>
      </c>
      <c r="W10060" t="str">
        <f>VLOOKUP(Table_Query_from_Actuarial___Production[[#This Row],[Kor1]],$AI$3:$AK$105,3,FALSE)</f>
        <v>Losses Paid</v>
      </c>
      <c r="X100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060"/>
      <c r="Z10060" t="s">
        <v>50</v>
      </c>
      <c r="AA10060" t="s">
        <v>267</v>
      </c>
      <c r="AB10060" t="s">
        <v>433</v>
      </c>
      <c r="AC10060" s="21">
        <v>12156.64</v>
      </c>
      <c r="AD10060" s="21" t="s">
        <v>368</v>
      </c>
      <c r="AE10060" t="str">
        <f>VLOOKUP(Table_Query_from_Actuarial___Production3[[#This Row],[Kor1]],$AI$3:$AK$105,3,FALSE)</f>
        <v>ALAE Reserve</v>
      </c>
      <c r="AF100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1" spans="18:32" x14ac:dyDescent="0.2">
      <c r="R10061" t="s">
        <v>13</v>
      </c>
      <c r="S10061" t="s">
        <v>226</v>
      </c>
      <c r="T10061" t="s">
        <v>356</v>
      </c>
      <c r="U10061" s="21">
        <v>1012043.65</v>
      </c>
      <c r="V10061" s="21" t="s">
        <v>368</v>
      </c>
      <c r="W10061" t="str">
        <f>VLOOKUP(Table_Query_from_Actuarial___Production[[#This Row],[Kor1]],$AI$3:$AK$105,3,FALSE)</f>
        <v>Operating Service Fees</v>
      </c>
      <c r="X100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061"/>
      <c r="Z10061" t="s">
        <v>12</v>
      </c>
      <c r="AA10061" t="s">
        <v>228</v>
      </c>
      <c r="AB10061" t="s">
        <v>8</v>
      </c>
      <c r="AC10061" s="21">
        <v>2413.42</v>
      </c>
      <c r="AD10061" s="21" t="s">
        <v>368</v>
      </c>
      <c r="AE10061" t="str">
        <f>VLOOKUP(Table_Query_from_Actuarial___Production3[[#This Row],[Kor1]],$AI$3:$AK$105,3,FALSE)</f>
        <v>Premium Tax</v>
      </c>
      <c r="AF100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2" spans="18:32" x14ac:dyDescent="0.2">
      <c r="R10062" t="s">
        <v>3</v>
      </c>
      <c r="S10062" t="s">
        <v>233</v>
      </c>
      <c r="T10062" t="s">
        <v>8</v>
      </c>
      <c r="U10062" s="21">
        <v>539739</v>
      </c>
      <c r="V10062" s="21" t="s">
        <v>368</v>
      </c>
      <c r="W10062" t="str">
        <f>VLOOKUP(Table_Query_from_Actuarial___Production[[#This Row],[Kor1]],$AI$3:$AK$105,3,FALSE)</f>
        <v>Premiums Written</v>
      </c>
      <c r="X100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2"/>
      <c r="Z10062" t="s">
        <v>19</v>
      </c>
      <c r="AA10062" t="s">
        <v>236</v>
      </c>
      <c r="AB10062" t="s">
        <v>6</v>
      </c>
      <c r="AC10062" s="21">
        <v>59</v>
      </c>
      <c r="AD10062" s="21" t="s">
        <v>368</v>
      </c>
      <c r="AE10062" t="str">
        <f>VLOOKUP(Table_Query_from_Actuarial___Production3[[#This Row],[Kor1]],$AI$3:$AK$105,3,FALSE)</f>
        <v>Misc. Expense for Insolvent Companies</v>
      </c>
      <c r="AF100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3" spans="18:32" x14ac:dyDescent="0.2">
      <c r="R10063" t="s">
        <v>31</v>
      </c>
      <c r="S10063" t="s">
        <v>230</v>
      </c>
      <c r="T10063" t="s">
        <v>6</v>
      </c>
      <c r="U10063" s="21">
        <v>51.88</v>
      </c>
      <c r="V10063" s="21" t="s">
        <v>368</v>
      </c>
      <c r="W10063" t="str">
        <f>VLOOKUP(Table_Query_from_Actuarial___Production[[#This Row],[Kor1]],$AI$3:$AK$105,3,FALSE)</f>
        <v>Misc. Expense</v>
      </c>
      <c r="X100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3"/>
      <c r="Z10063" t="s">
        <v>39</v>
      </c>
      <c r="AA10063" t="s">
        <v>4</v>
      </c>
      <c r="AB10063" t="s">
        <v>9</v>
      </c>
      <c r="AC10063" s="21">
        <v>101325.1</v>
      </c>
      <c r="AD10063" s="21" t="s">
        <v>368</v>
      </c>
      <c r="AE10063" t="str">
        <f>VLOOKUP(Table_Query_from_Actuarial___Production3[[#This Row],[Kor1]],$AI$3:$AK$105,3,FALSE)</f>
        <v>Misc. Income for Insolvent Companies</v>
      </c>
      <c r="AF100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4" spans="18:32" x14ac:dyDescent="0.2">
      <c r="R10064" t="s">
        <v>3</v>
      </c>
      <c r="S10064" t="s">
        <v>237</v>
      </c>
      <c r="T10064" t="s">
        <v>433</v>
      </c>
      <c r="U10064" s="21">
        <v>52219464</v>
      </c>
      <c r="V10064" s="21" t="s">
        <v>368</v>
      </c>
      <c r="W10064" t="str">
        <f>VLOOKUP(Table_Query_from_Actuarial___Production[[#This Row],[Kor1]],$AI$3:$AK$105,3,FALSE)</f>
        <v>Premiums Written</v>
      </c>
      <c r="X100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4"/>
      <c r="Z10064" t="s">
        <v>38</v>
      </c>
      <c r="AA10064" t="s">
        <v>224</v>
      </c>
      <c r="AB10064" t="s">
        <v>443</v>
      </c>
      <c r="AC10064" s="21">
        <v>267607.44</v>
      </c>
      <c r="AD10064" s="21" t="s">
        <v>368</v>
      </c>
      <c r="AE10064" t="str">
        <f>VLOOKUP(Table_Query_from_Actuarial___Production3[[#This Row],[Kor1]],$AI$3:$AK$105,3,FALSE)</f>
        <v>Misc. Income</v>
      </c>
      <c r="AF100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065" spans="18:32" x14ac:dyDescent="0.2">
      <c r="R10065" t="s">
        <v>39</v>
      </c>
      <c r="S10065" t="s">
        <v>231</v>
      </c>
      <c r="T10065" t="s">
        <v>7</v>
      </c>
      <c r="U10065" s="21">
        <v>491</v>
      </c>
      <c r="V10065" s="21" t="s">
        <v>368</v>
      </c>
      <c r="W10065" t="str">
        <f>VLOOKUP(Table_Query_from_Actuarial___Production[[#This Row],[Kor1]],$AI$3:$AK$105,3,FALSE)</f>
        <v>Misc. Income for Insolvent Companies</v>
      </c>
      <c r="X100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5"/>
      <c r="Z10065" t="s">
        <v>10</v>
      </c>
      <c r="AA10065" t="s">
        <v>227</v>
      </c>
      <c r="AB10065" t="s">
        <v>351</v>
      </c>
      <c r="AC10065" s="21">
        <v>2016.05</v>
      </c>
      <c r="AD10065" s="21" t="s">
        <v>368</v>
      </c>
      <c r="AE10065" t="str">
        <f>VLOOKUP(Table_Query_from_Actuarial___Production3[[#This Row],[Kor1]],$AI$3:$AK$105,3,FALSE)</f>
        <v>Commissions</v>
      </c>
      <c r="AF100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6" spans="18:32" x14ac:dyDescent="0.2">
      <c r="R10066" t="s">
        <v>21</v>
      </c>
      <c r="S10066" t="s">
        <v>235</v>
      </c>
      <c r="T10066" t="s">
        <v>441</v>
      </c>
      <c r="U10066" s="21">
        <v>825</v>
      </c>
      <c r="V10066" s="21" t="s">
        <v>368</v>
      </c>
      <c r="W10066" t="str">
        <f>VLOOKUP(Table_Query_from_Actuarial___Production[[#This Row],[Kor1]],$AI$3:$AK$105,3,FALSE)</f>
        <v>Misc. Expense</v>
      </c>
      <c r="X100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6"/>
      <c r="Z10066" t="s">
        <v>10</v>
      </c>
      <c r="AA10066" t="s">
        <v>260</v>
      </c>
      <c r="AB10066" t="s">
        <v>7</v>
      </c>
      <c r="AC10066" s="21">
        <v>3252.4</v>
      </c>
      <c r="AD10066" s="21" t="s">
        <v>368</v>
      </c>
      <c r="AE10066" t="str">
        <f>VLOOKUP(Table_Query_from_Actuarial___Production3[[#This Row],[Kor1]],$AI$3:$AK$105,3,FALSE)</f>
        <v>Commissions</v>
      </c>
      <c r="AF100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7" spans="18:32" x14ac:dyDescent="0.2">
      <c r="R10067" t="s">
        <v>33</v>
      </c>
      <c r="S10067" t="s">
        <v>252</v>
      </c>
      <c r="T10067" t="s">
        <v>9</v>
      </c>
      <c r="U10067" s="21">
        <v>20989.4</v>
      </c>
      <c r="V10067" s="21" t="s">
        <v>368</v>
      </c>
      <c r="W10067" t="str">
        <f>VLOOKUP(Table_Query_from_Actuarial___Production[[#This Row],[Kor1]],$AI$3:$AK$105,3,FALSE)</f>
        <v>Misc. Expense</v>
      </c>
      <c r="X100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7"/>
      <c r="Z10067" t="s">
        <v>21</v>
      </c>
      <c r="AA10067" t="s">
        <v>268</v>
      </c>
      <c r="AB10067" t="s">
        <v>433</v>
      </c>
      <c r="AC10067" s="21">
        <v>230</v>
      </c>
      <c r="AD10067" s="21" t="s">
        <v>368</v>
      </c>
      <c r="AE10067" t="str">
        <f>VLOOKUP(Table_Query_from_Actuarial___Production3[[#This Row],[Kor1]],$AI$3:$AK$105,3,FALSE)</f>
        <v>Misc. Expense</v>
      </c>
      <c r="AF100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68" spans="18:32" x14ac:dyDescent="0.2">
      <c r="R10068" t="s">
        <v>40</v>
      </c>
      <c r="S10068" t="s">
        <v>241</v>
      </c>
      <c r="T10068" t="s">
        <v>441</v>
      </c>
      <c r="U10068" s="21">
        <v>858.34</v>
      </c>
      <c r="V10068" s="21" t="s">
        <v>368</v>
      </c>
      <c r="W10068" t="str">
        <f>VLOOKUP(Table_Query_from_Actuarial___Production[[#This Row],[Kor1]],$AI$3:$AK$105,3,FALSE)</f>
        <v>Misc. Income</v>
      </c>
      <c r="X100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8"/>
      <c r="Z10068" t="s">
        <v>17</v>
      </c>
      <c r="AA10068" t="s">
        <v>226</v>
      </c>
      <c r="AB10068" t="s">
        <v>9</v>
      </c>
      <c r="AC10068" s="21">
        <v>930515.89</v>
      </c>
      <c r="AD10068" s="21" t="s">
        <v>368</v>
      </c>
      <c r="AE10068" t="str">
        <f>VLOOKUP(Table_Query_from_Actuarial___Production3[[#This Row],[Kor1]],$AI$3:$AK$105,3,FALSE)</f>
        <v>IBNR</v>
      </c>
      <c r="AF100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069" spans="18:32" x14ac:dyDescent="0.2">
      <c r="R10069" t="s">
        <v>47</v>
      </c>
      <c r="S10069" t="s">
        <v>263</v>
      </c>
      <c r="T10069" t="s">
        <v>433</v>
      </c>
      <c r="U10069" s="21">
        <v>643.85</v>
      </c>
      <c r="V10069" s="21" t="s">
        <v>368</v>
      </c>
      <c r="W10069" t="str">
        <f>VLOOKUP(Table_Query_from_Actuarial___Production[[#This Row],[Kor1]],$AI$3:$AK$105,3,FALSE)</f>
        <v>Investment Income</v>
      </c>
      <c r="X100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69"/>
      <c r="Z10069" t="s">
        <v>40</v>
      </c>
      <c r="AA10069" t="s">
        <v>263</v>
      </c>
      <c r="AB10069" t="s">
        <v>7</v>
      </c>
      <c r="AC10069" s="21">
        <v>35</v>
      </c>
      <c r="AD10069" s="21" t="s">
        <v>368</v>
      </c>
      <c r="AE10069" t="str">
        <f>VLOOKUP(Table_Query_from_Actuarial___Production3[[#This Row],[Kor1]],$AI$3:$AK$105,3,FALSE)</f>
        <v>Misc. Income</v>
      </c>
      <c r="AF100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0" spans="18:32" x14ac:dyDescent="0.2">
      <c r="R10070" t="s">
        <v>21</v>
      </c>
      <c r="S10070" t="s">
        <v>232</v>
      </c>
      <c r="T10070" t="s">
        <v>442</v>
      </c>
      <c r="U10070" s="21">
        <v>3224.97</v>
      </c>
      <c r="V10070" s="21" t="s">
        <v>368</v>
      </c>
      <c r="W10070" t="str">
        <f>VLOOKUP(Table_Query_from_Actuarial___Production[[#This Row],[Kor1]],$AI$3:$AK$105,3,FALSE)</f>
        <v>Misc. Expense</v>
      </c>
      <c r="X100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0"/>
      <c r="Z10070" t="s">
        <v>18</v>
      </c>
      <c r="AA10070" t="s">
        <v>354</v>
      </c>
      <c r="AB10070" t="s">
        <v>7</v>
      </c>
      <c r="AC10070" s="21">
        <v>6045766.3899999997</v>
      </c>
      <c r="AD10070" s="21" t="s">
        <v>369</v>
      </c>
      <c r="AE10070" t="str">
        <f>VLOOKUP(Table_Query_from_Actuarial___Production3[[#This Row],[Kor1]],$AI$3:$AK$105,3,FALSE)</f>
        <v>Misc. Expense</v>
      </c>
      <c r="AF100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071" spans="18:32" x14ac:dyDescent="0.2">
      <c r="R10071" t="s">
        <v>32</v>
      </c>
      <c r="S10071" t="s">
        <v>230</v>
      </c>
      <c r="T10071" t="s">
        <v>433</v>
      </c>
      <c r="U10071" s="21">
        <v>104246.81</v>
      </c>
      <c r="V10071" s="21" t="s">
        <v>368</v>
      </c>
      <c r="W10071" t="str">
        <f>VLOOKUP(Table_Query_from_Actuarial___Production[[#This Row],[Kor1]],$AI$3:$AK$105,3,FALSE)</f>
        <v>Misc. Expense</v>
      </c>
      <c r="X100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1"/>
      <c r="Z10071" t="s">
        <v>11</v>
      </c>
      <c r="AA10071" t="s">
        <v>226</v>
      </c>
      <c r="AB10071" t="s">
        <v>443</v>
      </c>
      <c r="AC10071" s="21">
        <v>16105.43</v>
      </c>
      <c r="AD10071" s="21" t="s">
        <v>368</v>
      </c>
      <c r="AE10071" t="str">
        <f>VLOOKUP(Table_Query_from_Actuarial___Production3[[#This Row],[Kor1]],$AI$3:$AK$105,3,FALSE)</f>
        <v>Losses Paid</v>
      </c>
      <c r="AF100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072" spans="18:32" x14ac:dyDescent="0.2">
      <c r="R10072" t="s">
        <v>3</v>
      </c>
      <c r="S10072" t="s">
        <v>258</v>
      </c>
      <c r="T10072" t="s">
        <v>8</v>
      </c>
      <c r="U10072" s="21">
        <v>2639377</v>
      </c>
      <c r="V10072" s="21" t="s">
        <v>368</v>
      </c>
      <c r="W10072" t="str">
        <f>VLOOKUP(Table_Query_from_Actuarial___Production[[#This Row],[Kor1]],$AI$3:$AK$105,3,FALSE)</f>
        <v>Premiums Written</v>
      </c>
      <c r="X100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2"/>
      <c r="Z10072" t="s">
        <v>13</v>
      </c>
      <c r="AA10072" t="s">
        <v>226</v>
      </c>
      <c r="AB10072" t="s">
        <v>356</v>
      </c>
      <c r="AC10072" s="21">
        <v>1012043.65</v>
      </c>
      <c r="AD10072" s="21" t="s">
        <v>368</v>
      </c>
      <c r="AE10072" t="str">
        <f>VLOOKUP(Table_Query_from_Actuarial___Production3[[#This Row],[Kor1]],$AI$3:$AK$105,3,FALSE)</f>
        <v>Operating Service Fees</v>
      </c>
      <c r="AF100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073" spans="18:32" x14ac:dyDescent="0.2">
      <c r="R10073" t="s">
        <v>48</v>
      </c>
      <c r="S10073" t="s">
        <v>232</v>
      </c>
      <c r="T10073" t="s">
        <v>442</v>
      </c>
      <c r="U10073" s="21">
        <v>4177.7700000000004</v>
      </c>
      <c r="V10073" s="21" t="s">
        <v>368</v>
      </c>
      <c r="W10073" t="str">
        <f>VLOOKUP(Table_Query_from_Actuarial___Production[[#This Row],[Kor1]],$AI$3:$AK$105,3,FALSE)</f>
        <v>Anticipated Salvage</v>
      </c>
      <c r="X100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3"/>
      <c r="Z10073" t="s">
        <v>48</v>
      </c>
      <c r="AA10073" t="s">
        <v>236</v>
      </c>
      <c r="AB10073" t="s">
        <v>427</v>
      </c>
      <c r="AC10073" s="21">
        <v>29.3</v>
      </c>
      <c r="AD10073" s="21" t="s">
        <v>368</v>
      </c>
      <c r="AE10073" t="str">
        <f>VLOOKUP(Table_Query_from_Actuarial___Production3[[#This Row],[Kor1]],$AI$3:$AK$105,3,FALSE)</f>
        <v>Anticipated Salvage</v>
      </c>
      <c r="AF100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4" spans="18:32" x14ac:dyDescent="0.2">
      <c r="R10074" t="s">
        <v>13</v>
      </c>
      <c r="S10074" t="s">
        <v>237</v>
      </c>
      <c r="T10074" t="s">
        <v>351</v>
      </c>
      <c r="U10074" s="21">
        <v>4848954.7699999996</v>
      </c>
      <c r="V10074" s="21" t="s">
        <v>368</v>
      </c>
      <c r="W10074" t="str">
        <f>VLOOKUP(Table_Query_from_Actuarial___Production[[#This Row],[Kor1]],$AI$3:$AK$105,3,FALSE)</f>
        <v>Operating Service Fees</v>
      </c>
      <c r="X100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4"/>
      <c r="Z10074" t="s">
        <v>3</v>
      </c>
      <c r="AA10074" t="s">
        <v>233</v>
      </c>
      <c r="AB10074" t="s">
        <v>8</v>
      </c>
      <c r="AC10074" s="21">
        <v>539739</v>
      </c>
      <c r="AD10074" s="21" t="s">
        <v>368</v>
      </c>
      <c r="AE10074" t="str">
        <f>VLOOKUP(Table_Query_from_Actuarial___Production3[[#This Row],[Kor1]],$AI$3:$AK$105,3,FALSE)</f>
        <v>Premiums Written</v>
      </c>
      <c r="AF100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5" spans="18:32" x14ac:dyDescent="0.2">
      <c r="R10075" t="s">
        <v>47</v>
      </c>
      <c r="S10075" t="s">
        <v>251</v>
      </c>
      <c r="T10075" t="s">
        <v>445</v>
      </c>
      <c r="U10075" s="21">
        <v>3252.93</v>
      </c>
      <c r="V10075" s="21" t="s">
        <v>368</v>
      </c>
      <c r="W10075" t="str">
        <f>VLOOKUP(Table_Query_from_Actuarial___Production[[#This Row],[Kor1]],$AI$3:$AK$105,3,FALSE)</f>
        <v>Investment Income</v>
      </c>
      <c r="X100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5"/>
      <c r="Z10075" t="s">
        <v>31</v>
      </c>
      <c r="AA10075" t="s">
        <v>230</v>
      </c>
      <c r="AB10075" t="s">
        <v>6</v>
      </c>
      <c r="AC10075" s="21">
        <v>51.88</v>
      </c>
      <c r="AD10075" s="21" t="s">
        <v>368</v>
      </c>
      <c r="AE10075" t="str">
        <f>VLOOKUP(Table_Query_from_Actuarial___Production3[[#This Row],[Kor1]],$AI$3:$AK$105,3,FALSE)</f>
        <v>Misc. Expense</v>
      </c>
      <c r="AF100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6" spans="18:32" x14ac:dyDescent="0.2">
      <c r="R10076" t="s">
        <v>41</v>
      </c>
      <c r="S10076" t="s">
        <v>229</v>
      </c>
      <c r="T10076" t="s">
        <v>351</v>
      </c>
      <c r="U10076" s="21">
        <v>150</v>
      </c>
      <c r="V10076" s="21" t="s">
        <v>368</v>
      </c>
      <c r="W10076" t="str">
        <f>VLOOKUP(Table_Query_from_Actuarial___Production[[#This Row],[Kor1]],$AI$3:$AK$105,3,FALSE)</f>
        <v>Misc. Income</v>
      </c>
      <c r="X100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6"/>
      <c r="Z10076" t="s">
        <v>3</v>
      </c>
      <c r="AA10076" t="s">
        <v>237</v>
      </c>
      <c r="AB10076" t="s">
        <v>433</v>
      </c>
      <c r="AC10076" s="21">
        <v>52219464</v>
      </c>
      <c r="AD10076" s="21" t="s">
        <v>368</v>
      </c>
      <c r="AE10076" t="str">
        <f>VLOOKUP(Table_Query_from_Actuarial___Production3[[#This Row],[Kor1]],$AI$3:$AK$105,3,FALSE)</f>
        <v>Premiums Written</v>
      </c>
      <c r="AF100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7" spans="18:32" x14ac:dyDescent="0.2">
      <c r="R10077" t="s">
        <v>43</v>
      </c>
      <c r="S10077" t="s">
        <v>4</v>
      </c>
      <c r="T10077" t="s">
        <v>356</v>
      </c>
      <c r="U10077" s="21">
        <v>-5871.64</v>
      </c>
      <c r="V10077" s="21" t="s">
        <v>368</v>
      </c>
      <c r="W10077" t="str">
        <f>VLOOKUP(Table_Query_from_Actuarial___Production[[#This Row],[Kor1]],$AI$3:$AK$105,3,FALSE)</f>
        <v>Charge-offs</v>
      </c>
      <c r="X100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7"/>
      <c r="Z10077" t="s">
        <v>39</v>
      </c>
      <c r="AA10077" t="s">
        <v>231</v>
      </c>
      <c r="AB10077" t="s">
        <v>7</v>
      </c>
      <c r="AC10077" s="21">
        <v>491</v>
      </c>
      <c r="AD10077" s="21" t="s">
        <v>368</v>
      </c>
      <c r="AE10077" t="str">
        <f>VLOOKUP(Table_Query_from_Actuarial___Production3[[#This Row],[Kor1]],$AI$3:$AK$105,3,FALSE)</f>
        <v>Misc. Income for Insolvent Companies</v>
      </c>
      <c r="AF100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8" spans="18:32" x14ac:dyDescent="0.2">
      <c r="R10078" t="s">
        <v>44</v>
      </c>
      <c r="S10078" t="s">
        <v>254</v>
      </c>
      <c r="T10078" t="s">
        <v>8</v>
      </c>
      <c r="U10078" s="21">
        <v>26598</v>
      </c>
      <c r="V10078" s="21" t="s">
        <v>368</v>
      </c>
      <c r="W10078" t="str">
        <f>VLOOKUP(Table_Query_from_Actuarial___Production[[#This Row],[Kor1]],$AI$3:$AK$105,3,FALSE)</f>
        <v>Charge-offs</v>
      </c>
      <c r="X100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8"/>
      <c r="Z10078" t="s">
        <v>10</v>
      </c>
      <c r="AA10078" t="s">
        <v>237</v>
      </c>
      <c r="AB10078" t="s">
        <v>5</v>
      </c>
      <c r="AC10078" s="21">
        <v>68249.649999999994</v>
      </c>
      <c r="AD10078" s="21" t="s">
        <v>368</v>
      </c>
      <c r="AE10078" t="str">
        <f>VLOOKUP(Table_Query_from_Actuarial___Production3[[#This Row],[Kor1]],$AI$3:$AK$105,3,FALSE)</f>
        <v>Commissions</v>
      </c>
      <c r="AF100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79" spans="18:32" x14ac:dyDescent="0.2">
      <c r="R10079" t="s">
        <v>47</v>
      </c>
      <c r="S10079" t="s">
        <v>238</v>
      </c>
      <c r="T10079" t="s">
        <v>445</v>
      </c>
      <c r="U10079" s="21">
        <v>21168.61</v>
      </c>
      <c r="V10079" s="21" t="s">
        <v>368</v>
      </c>
      <c r="W10079" t="str">
        <f>VLOOKUP(Table_Query_from_Actuarial___Production[[#This Row],[Kor1]],$AI$3:$AK$105,3,FALSE)</f>
        <v>Investment Income</v>
      </c>
      <c r="X100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79"/>
      <c r="Z10079" t="s">
        <v>21</v>
      </c>
      <c r="AA10079" t="s">
        <v>235</v>
      </c>
      <c r="AB10079" t="s">
        <v>441</v>
      </c>
      <c r="AC10079" s="21">
        <v>825</v>
      </c>
      <c r="AD10079" s="21" t="s">
        <v>368</v>
      </c>
      <c r="AE10079" t="str">
        <f>VLOOKUP(Table_Query_from_Actuarial___Production3[[#This Row],[Kor1]],$AI$3:$AK$105,3,FALSE)</f>
        <v>Misc. Expense</v>
      </c>
      <c r="AF100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0" spans="18:32" x14ac:dyDescent="0.2">
      <c r="R10080" t="s">
        <v>41</v>
      </c>
      <c r="S10080" t="s">
        <v>254</v>
      </c>
      <c r="T10080" t="s">
        <v>442</v>
      </c>
      <c r="U10080" s="21">
        <v>449.84</v>
      </c>
      <c r="V10080" s="21" t="s">
        <v>368</v>
      </c>
      <c r="W10080" t="str">
        <f>VLOOKUP(Table_Query_from_Actuarial___Production[[#This Row],[Kor1]],$AI$3:$AK$105,3,FALSE)</f>
        <v>Misc. Income</v>
      </c>
      <c r="X100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0"/>
      <c r="Z10080" t="s">
        <v>33</v>
      </c>
      <c r="AA10080" t="s">
        <v>252</v>
      </c>
      <c r="AB10080" t="s">
        <v>9</v>
      </c>
      <c r="AC10080" s="21">
        <v>20989.4</v>
      </c>
      <c r="AD10080" s="21" t="s">
        <v>368</v>
      </c>
      <c r="AE10080" t="str">
        <f>VLOOKUP(Table_Query_from_Actuarial___Production3[[#This Row],[Kor1]],$AI$3:$AK$105,3,FALSE)</f>
        <v>Misc. Expense</v>
      </c>
      <c r="AF100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1" spans="18:32" x14ac:dyDescent="0.2">
      <c r="R10081" t="s">
        <v>44</v>
      </c>
      <c r="S10081" t="s">
        <v>263</v>
      </c>
      <c r="T10081" t="s">
        <v>6</v>
      </c>
      <c r="U10081" s="21">
        <v>3879.25</v>
      </c>
      <c r="V10081" s="21" t="s">
        <v>368</v>
      </c>
      <c r="W10081" t="str">
        <f>VLOOKUP(Table_Query_from_Actuarial___Production[[#This Row],[Kor1]],$AI$3:$AK$105,3,FALSE)</f>
        <v>Charge-offs</v>
      </c>
      <c r="X100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1"/>
      <c r="Z10081" t="s">
        <v>40</v>
      </c>
      <c r="AA10081" t="s">
        <v>238</v>
      </c>
      <c r="AB10081" t="s">
        <v>5</v>
      </c>
      <c r="AC10081" s="21">
        <v>15</v>
      </c>
      <c r="AD10081" s="21" t="s">
        <v>368</v>
      </c>
      <c r="AE10081" t="str">
        <f>VLOOKUP(Table_Query_from_Actuarial___Production3[[#This Row],[Kor1]],$AI$3:$AK$105,3,FALSE)</f>
        <v>Misc. Income</v>
      </c>
      <c r="AF100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2" spans="18:32" x14ac:dyDescent="0.2">
      <c r="R10082" t="s">
        <v>16</v>
      </c>
      <c r="S10082" t="s">
        <v>232</v>
      </c>
      <c r="T10082" t="s">
        <v>443</v>
      </c>
      <c r="U10082" s="21">
        <v>409009.94</v>
      </c>
      <c r="V10082" s="21" t="s">
        <v>368</v>
      </c>
      <c r="W10082" t="str">
        <f>VLOOKUP(Table_Query_from_Actuarial___Production[[#This Row],[Kor1]],$AI$3:$AK$105,3,FALSE)</f>
        <v>Losses Outstanding</v>
      </c>
      <c r="X100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2"/>
      <c r="Z10082" t="s">
        <v>40</v>
      </c>
      <c r="AA10082" t="s">
        <v>241</v>
      </c>
      <c r="AB10082" t="s">
        <v>441</v>
      </c>
      <c r="AC10082" s="21">
        <v>858.34</v>
      </c>
      <c r="AD10082" s="21" t="s">
        <v>368</v>
      </c>
      <c r="AE10082" t="str">
        <f>VLOOKUP(Table_Query_from_Actuarial___Production3[[#This Row],[Kor1]],$AI$3:$AK$105,3,FALSE)</f>
        <v>Misc. Income</v>
      </c>
      <c r="AF100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3" spans="18:32" x14ac:dyDescent="0.2">
      <c r="R10083" t="s">
        <v>47</v>
      </c>
      <c r="S10083" t="s">
        <v>241</v>
      </c>
      <c r="T10083" t="s">
        <v>441</v>
      </c>
      <c r="U10083" s="21">
        <v>22.03</v>
      </c>
      <c r="V10083" s="21" t="s">
        <v>368</v>
      </c>
      <c r="W10083" t="str">
        <f>VLOOKUP(Table_Query_from_Actuarial___Production[[#This Row],[Kor1]],$AI$3:$AK$105,3,FALSE)</f>
        <v>Investment Income</v>
      </c>
      <c r="X100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3"/>
      <c r="Z10083" t="s">
        <v>47</v>
      </c>
      <c r="AA10083" t="s">
        <v>263</v>
      </c>
      <c r="AB10083" t="s">
        <v>433</v>
      </c>
      <c r="AC10083" s="21">
        <v>643.85</v>
      </c>
      <c r="AD10083" s="21" t="s">
        <v>368</v>
      </c>
      <c r="AE10083" t="str">
        <f>VLOOKUP(Table_Query_from_Actuarial___Production3[[#This Row],[Kor1]],$AI$3:$AK$105,3,FALSE)</f>
        <v>Investment Income</v>
      </c>
      <c r="AF100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4" spans="18:32" x14ac:dyDescent="0.2">
      <c r="R10084" t="s">
        <v>144</v>
      </c>
      <c r="S10084" t="s">
        <v>224</v>
      </c>
      <c r="T10084" t="s">
        <v>445</v>
      </c>
      <c r="U10084" s="21">
        <v>7700</v>
      </c>
      <c r="V10084" s="21" t="s">
        <v>370</v>
      </c>
      <c r="W10084" t="str">
        <f>VLOOKUP(Table_Query_from_Actuarial___Production[[#This Row],[Kor1]],$AI$3:$AK$105,3,FALSE)</f>
        <v>Claims Expense</v>
      </c>
      <c r="X100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084"/>
      <c r="Z10084" t="s">
        <v>21</v>
      </c>
      <c r="AA10084" t="s">
        <v>232</v>
      </c>
      <c r="AB10084" t="s">
        <v>442</v>
      </c>
      <c r="AC10084" s="21">
        <v>3224.97</v>
      </c>
      <c r="AD10084" s="21" t="s">
        <v>368</v>
      </c>
      <c r="AE10084" t="str">
        <f>VLOOKUP(Table_Query_from_Actuarial___Production3[[#This Row],[Kor1]],$AI$3:$AK$105,3,FALSE)</f>
        <v>Misc. Expense</v>
      </c>
      <c r="AF100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5" spans="18:32" x14ac:dyDescent="0.2">
      <c r="R10085" t="s">
        <v>10</v>
      </c>
      <c r="S10085" t="s">
        <v>224</v>
      </c>
      <c r="T10085" t="s">
        <v>351</v>
      </c>
      <c r="U10085" s="21">
        <v>2553.83</v>
      </c>
      <c r="V10085" s="21" t="s">
        <v>369</v>
      </c>
      <c r="W10085" t="str">
        <f>VLOOKUP(Table_Query_from_Actuarial___Production[[#This Row],[Kor1]],$AI$3:$AK$105,3,FALSE)</f>
        <v>Commissions</v>
      </c>
      <c r="X100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085"/>
      <c r="Z10085" t="s">
        <v>32</v>
      </c>
      <c r="AA10085" t="s">
        <v>230</v>
      </c>
      <c r="AB10085" t="s">
        <v>433</v>
      </c>
      <c r="AC10085" s="21">
        <v>104246.81</v>
      </c>
      <c r="AD10085" s="21" t="s">
        <v>368</v>
      </c>
      <c r="AE10085" t="str">
        <f>VLOOKUP(Table_Query_from_Actuarial___Production3[[#This Row],[Kor1]],$AI$3:$AK$105,3,FALSE)</f>
        <v>Misc. Expense</v>
      </c>
      <c r="AF100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6" spans="18:32" x14ac:dyDescent="0.2">
      <c r="R10086" t="s">
        <v>42</v>
      </c>
      <c r="S10086" t="s">
        <v>4</v>
      </c>
      <c r="T10086" t="s">
        <v>442</v>
      </c>
      <c r="U10086" s="21">
        <v>3483.82</v>
      </c>
      <c r="V10086" s="21" t="s">
        <v>368</v>
      </c>
      <c r="W10086" t="str">
        <f>VLOOKUP(Table_Query_from_Actuarial___Production[[#This Row],[Kor1]],$AI$3:$AK$105,3,FALSE)</f>
        <v>Misc. Income</v>
      </c>
      <c r="X100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6"/>
      <c r="Z10086" t="s">
        <v>3</v>
      </c>
      <c r="AA10086" t="s">
        <v>258</v>
      </c>
      <c r="AB10086" t="s">
        <v>8</v>
      </c>
      <c r="AC10086" s="21">
        <v>2639377</v>
      </c>
      <c r="AD10086" s="21" t="s">
        <v>368</v>
      </c>
      <c r="AE10086" t="str">
        <f>VLOOKUP(Table_Query_from_Actuarial___Production3[[#This Row],[Kor1]],$AI$3:$AK$105,3,FALSE)</f>
        <v>Premiums Written</v>
      </c>
      <c r="AF100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7" spans="18:32" x14ac:dyDescent="0.2">
      <c r="R10087" t="s">
        <v>37</v>
      </c>
      <c r="S10087" t="s">
        <v>265</v>
      </c>
      <c r="T10087" t="s">
        <v>7</v>
      </c>
      <c r="U10087" s="21">
        <v>1168.1500000000001</v>
      </c>
      <c r="V10087" s="21" t="s">
        <v>368</v>
      </c>
      <c r="W10087" t="str">
        <f>VLOOKUP(Table_Query_from_Actuarial___Production[[#This Row],[Kor1]],$AI$3:$AK$105,3,FALSE)</f>
        <v>Misc. Expense</v>
      </c>
      <c r="X100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7"/>
      <c r="Z10087" t="s">
        <v>16</v>
      </c>
      <c r="AA10087" t="s">
        <v>229</v>
      </c>
      <c r="AB10087" t="s">
        <v>9</v>
      </c>
      <c r="AC10087" s="21">
        <v>836084.64</v>
      </c>
      <c r="AD10087" s="21" t="s">
        <v>368</v>
      </c>
      <c r="AE10087" t="str">
        <f>VLOOKUP(Table_Query_from_Actuarial___Production3[[#This Row],[Kor1]],$AI$3:$AK$105,3,FALSE)</f>
        <v>Losses Outstanding</v>
      </c>
      <c r="AF100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8" spans="18:32" x14ac:dyDescent="0.2">
      <c r="R10088" t="s">
        <v>11</v>
      </c>
      <c r="S10088" t="s">
        <v>354</v>
      </c>
      <c r="T10088" t="s">
        <v>445</v>
      </c>
      <c r="U10088" s="21">
        <v>88925921.25</v>
      </c>
      <c r="V10088" s="21" t="s">
        <v>369</v>
      </c>
      <c r="W10088" t="str">
        <f>VLOOKUP(Table_Query_from_Actuarial___Production[[#This Row],[Kor1]],$AI$3:$AK$105,3,FALSE)</f>
        <v>Losses Paid</v>
      </c>
      <c r="X100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088"/>
      <c r="Z10088" t="s">
        <v>48</v>
      </c>
      <c r="AA10088" t="s">
        <v>232</v>
      </c>
      <c r="AB10088" t="s">
        <v>442</v>
      </c>
      <c r="AC10088" s="21">
        <v>5305.59</v>
      </c>
      <c r="AD10088" s="21" t="s">
        <v>368</v>
      </c>
      <c r="AE10088" t="str">
        <f>VLOOKUP(Table_Query_from_Actuarial___Production3[[#This Row],[Kor1]],$AI$3:$AK$105,3,FALSE)</f>
        <v>Anticipated Salvage</v>
      </c>
      <c r="AF100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89" spans="18:32" x14ac:dyDescent="0.2">
      <c r="R10089" t="s">
        <v>19</v>
      </c>
      <c r="S10089" t="s">
        <v>252</v>
      </c>
      <c r="T10089" t="s">
        <v>427</v>
      </c>
      <c r="U10089" s="21">
        <v>473950</v>
      </c>
      <c r="V10089" s="21" t="s">
        <v>368</v>
      </c>
      <c r="W10089" t="str">
        <f>VLOOKUP(Table_Query_from_Actuarial___Production[[#This Row],[Kor1]],$AI$3:$AK$105,3,FALSE)</f>
        <v>Misc. Expense for Insolvent Companies</v>
      </c>
      <c r="X100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89"/>
      <c r="Z10089" t="s">
        <v>13</v>
      </c>
      <c r="AA10089" t="s">
        <v>237</v>
      </c>
      <c r="AB10089" t="s">
        <v>351</v>
      </c>
      <c r="AC10089" s="21">
        <v>4848954.7699999996</v>
      </c>
      <c r="AD10089" s="21" t="s">
        <v>368</v>
      </c>
      <c r="AE10089" t="str">
        <f>VLOOKUP(Table_Query_from_Actuarial___Production3[[#This Row],[Kor1]],$AI$3:$AK$105,3,FALSE)</f>
        <v>Operating Service Fees</v>
      </c>
      <c r="AF100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0" spans="18:32" x14ac:dyDescent="0.2">
      <c r="R10090" t="s">
        <v>44</v>
      </c>
      <c r="S10090" t="s">
        <v>240</v>
      </c>
      <c r="T10090" t="s">
        <v>7</v>
      </c>
      <c r="U10090" s="21">
        <v>8453.24</v>
      </c>
      <c r="V10090" s="21" t="s">
        <v>368</v>
      </c>
      <c r="W10090" t="str">
        <f>VLOOKUP(Table_Query_from_Actuarial___Production[[#This Row],[Kor1]],$AI$3:$AK$105,3,FALSE)</f>
        <v>Charge-offs</v>
      </c>
      <c r="X100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0"/>
      <c r="Z10090" t="s">
        <v>41</v>
      </c>
      <c r="AA10090" t="s">
        <v>229</v>
      </c>
      <c r="AB10090" t="s">
        <v>351</v>
      </c>
      <c r="AC10090" s="21">
        <v>150</v>
      </c>
      <c r="AD10090" s="21" t="s">
        <v>368</v>
      </c>
      <c r="AE10090" t="str">
        <f>VLOOKUP(Table_Query_from_Actuarial___Production3[[#This Row],[Kor1]],$AI$3:$AK$105,3,FALSE)</f>
        <v>Misc. Income</v>
      </c>
      <c r="AF100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1" spans="18:32" x14ac:dyDescent="0.2">
      <c r="R10091" t="s">
        <v>11</v>
      </c>
      <c r="S10091" t="s">
        <v>252</v>
      </c>
      <c r="T10091" t="s">
        <v>7</v>
      </c>
      <c r="U10091" s="21">
        <v>19707794.010000002</v>
      </c>
      <c r="V10091" s="21" t="s">
        <v>368</v>
      </c>
      <c r="W10091" t="str">
        <f>VLOOKUP(Table_Query_from_Actuarial___Production[[#This Row],[Kor1]],$AI$3:$AK$105,3,FALSE)</f>
        <v>Losses Paid</v>
      </c>
      <c r="X100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1"/>
      <c r="Z10091" t="s">
        <v>40</v>
      </c>
      <c r="AA10091" t="s">
        <v>245</v>
      </c>
      <c r="AB10091" t="s">
        <v>5</v>
      </c>
      <c r="AC10091" s="21">
        <v>21</v>
      </c>
      <c r="AD10091" s="21" t="s">
        <v>368</v>
      </c>
      <c r="AE10091" t="str">
        <f>VLOOKUP(Table_Query_from_Actuarial___Production3[[#This Row],[Kor1]],$AI$3:$AK$105,3,FALSE)</f>
        <v>Misc. Income</v>
      </c>
      <c r="AF100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2" spans="18:32" x14ac:dyDescent="0.2">
      <c r="R10092" t="s">
        <v>35</v>
      </c>
      <c r="S10092" t="s">
        <v>4</v>
      </c>
      <c r="T10092" t="s">
        <v>443</v>
      </c>
      <c r="U10092" s="21">
        <v>1.06</v>
      </c>
      <c r="V10092" s="21" t="s">
        <v>368</v>
      </c>
      <c r="W10092" t="str">
        <f>VLOOKUP(Table_Query_from_Actuarial___Production[[#This Row],[Kor1]],$AI$3:$AK$105,3,FALSE)</f>
        <v>Misc. Expense</v>
      </c>
      <c r="X100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2"/>
      <c r="Z10092" t="s">
        <v>43</v>
      </c>
      <c r="AA10092" t="s">
        <v>4</v>
      </c>
      <c r="AB10092" t="s">
        <v>356</v>
      </c>
      <c r="AC10092" s="21">
        <v>-5871.64</v>
      </c>
      <c r="AD10092" s="21" t="s">
        <v>368</v>
      </c>
      <c r="AE10092" t="str">
        <f>VLOOKUP(Table_Query_from_Actuarial___Production3[[#This Row],[Kor1]],$AI$3:$AK$105,3,FALSE)</f>
        <v>Charge-offs</v>
      </c>
      <c r="AF100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3" spans="18:32" x14ac:dyDescent="0.2">
      <c r="R10093" t="s">
        <v>37</v>
      </c>
      <c r="S10093" t="s">
        <v>239</v>
      </c>
      <c r="T10093" t="s">
        <v>7</v>
      </c>
      <c r="U10093" s="21">
        <v>2504.88</v>
      </c>
      <c r="V10093" s="21" t="s">
        <v>368</v>
      </c>
      <c r="W10093" t="str">
        <f>VLOOKUP(Table_Query_from_Actuarial___Production[[#This Row],[Kor1]],$AI$3:$AK$105,3,FALSE)</f>
        <v>Misc. Expense</v>
      </c>
      <c r="X100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3"/>
      <c r="Z10093" t="s">
        <v>44</v>
      </c>
      <c r="AA10093" t="s">
        <v>254</v>
      </c>
      <c r="AB10093" t="s">
        <v>8</v>
      </c>
      <c r="AC10093" s="21">
        <v>26598</v>
      </c>
      <c r="AD10093" s="21" t="s">
        <v>368</v>
      </c>
      <c r="AE10093" t="str">
        <f>VLOOKUP(Table_Query_from_Actuarial___Production3[[#This Row],[Kor1]],$AI$3:$AK$105,3,FALSE)</f>
        <v>Charge-offs</v>
      </c>
      <c r="AF100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4" spans="18:32" x14ac:dyDescent="0.2">
      <c r="R10094" t="s">
        <v>41</v>
      </c>
      <c r="S10094" t="s">
        <v>240</v>
      </c>
      <c r="T10094" t="s">
        <v>427</v>
      </c>
      <c r="U10094" s="21">
        <v>400.01</v>
      </c>
      <c r="V10094" s="21" t="s">
        <v>368</v>
      </c>
      <c r="W10094" t="str">
        <f>VLOOKUP(Table_Query_from_Actuarial___Production[[#This Row],[Kor1]],$AI$3:$AK$105,3,FALSE)</f>
        <v>Misc. Income</v>
      </c>
      <c r="X100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4"/>
      <c r="Z10094" t="s">
        <v>41</v>
      </c>
      <c r="AA10094" t="s">
        <v>254</v>
      </c>
      <c r="AB10094" t="s">
        <v>442</v>
      </c>
      <c r="AC10094" s="21">
        <v>449.84</v>
      </c>
      <c r="AD10094" s="21" t="s">
        <v>368</v>
      </c>
      <c r="AE10094" t="str">
        <f>VLOOKUP(Table_Query_from_Actuarial___Production3[[#This Row],[Kor1]],$AI$3:$AK$105,3,FALSE)</f>
        <v>Misc. Income</v>
      </c>
      <c r="AF100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5" spans="18:32" x14ac:dyDescent="0.2">
      <c r="R10095" t="s">
        <v>44</v>
      </c>
      <c r="S10095" t="s">
        <v>231</v>
      </c>
      <c r="T10095" t="s">
        <v>9</v>
      </c>
      <c r="U10095" s="21">
        <v>3593</v>
      </c>
      <c r="V10095" s="21" t="s">
        <v>368</v>
      </c>
      <c r="W10095" t="str">
        <f>VLOOKUP(Table_Query_from_Actuarial___Production[[#This Row],[Kor1]],$AI$3:$AK$105,3,FALSE)</f>
        <v>Charge-offs</v>
      </c>
      <c r="X100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5"/>
      <c r="Z10095" t="s">
        <v>44</v>
      </c>
      <c r="AA10095" t="s">
        <v>263</v>
      </c>
      <c r="AB10095" t="s">
        <v>6</v>
      </c>
      <c r="AC10095" s="21">
        <v>3879.25</v>
      </c>
      <c r="AD10095" s="21" t="s">
        <v>368</v>
      </c>
      <c r="AE10095" t="str">
        <f>VLOOKUP(Table_Query_from_Actuarial___Production3[[#This Row],[Kor1]],$AI$3:$AK$105,3,FALSE)</f>
        <v>Charge-offs</v>
      </c>
      <c r="AF100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6" spans="18:32" x14ac:dyDescent="0.2">
      <c r="R10096" t="s">
        <v>14</v>
      </c>
      <c r="S10096" t="s">
        <v>4</v>
      </c>
      <c r="T10096" t="s">
        <v>6</v>
      </c>
      <c r="U10096" s="21">
        <v>280052.18</v>
      </c>
      <c r="V10096" s="21" t="s">
        <v>368</v>
      </c>
      <c r="W10096" t="str">
        <f>VLOOKUP(Table_Query_from_Actuarial___Production[[#This Row],[Kor1]],$AI$3:$AK$105,3,FALSE)</f>
        <v>Claims Expense</v>
      </c>
      <c r="X100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6"/>
      <c r="Z10096" t="s">
        <v>16</v>
      </c>
      <c r="AA10096" t="s">
        <v>232</v>
      </c>
      <c r="AB10096" t="s">
        <v>443</v>
      </c>
      <c r="AC10096" s="21">
        <v>9936.7900000000009</v>
      </c>
      <c r="AD10096" s="21" t="s">
        <v>368</v>
      </c>
      <c r="AE10096" t="str">
        <f>VLOOKUP(Table_Query_from_Actuarial___Production3[[#This Row],[Kor1]],$AI$3:$AK$105,3,FALSE)</f>
        <v>Losses Outstanding</v>
      </c>
      <c r="AF100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7" spans="18:32" x14ac:dyDescent="0.2">
      <c r="R10097" t="s">
        <v>48</v>
      </c>
      <c r="S10097" t="s">
        <v>263</v>
      </c>
      <c r="T10097" t="s">
        <v>445</v>
      </c>
      <c r="U10097" s="21">
        <v>188.52</v>
      </c>
      <c r="V10097" s="21" t="s">
        <v>368</v>
      </c>
      <c r="W10097" t="str">
        <f>VLOOKUP(Table_Query_from_Actuarial___Production[[#This Row],[Kor1]],$AI$3:$AK$105,3,FALSE)</f>
        <v>Anticipated Salvage</v>
      </c>
      <c r="X100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7"/>
      <c r="Z10097" t="s">
        <v>47</v>
      </c>
      <c r="AA10097" t="s">
        <v>241</v>
      </c>
      <c r="AB10097" t="s">
        <v>441</v>
      </c>
      <c r="AC10097" s="21">
        <v>22.03</v>
      </c>
      <c r="AD10097" s="21" t="s">
        <v>368</v>
      </c>
      <c r="AE10097" t="str">
        <f>VLOOKUP(Table_Query_from_Actuarial___Production3[[#This Row],[Kor1]],$AI$3:$AK$105,3,FALSE)</f>
        <v>Investment Income</v>
      </c>
      <c r="AF100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8" spans="18:32" x14ac:dyDescent="0.2">
      <c r="R10098" t="s">
        <v>3</v>
      </c>
      <c r="S10098" t="s">
        <v>252</v>
      </c>
      <c r="T10098" t="s">
        <v>9</v>
      </c>
      <c r="U10098" s="21">
        <v>14240694</v>
      </c>
      <c r="V10098" s="21" t="s">
        <v>368</v>
      </c>
      <c r="W10098" t="str">
        <f>VLOOKUP(Table_Query_from_Actuarial___Production[[#This Row],[Kor1]],$AI$3:$AK$105,3,FALSE)</f>
        <v>Premiums Written</v>
      </c>
      <c r="X100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8"/>
      <c r="Z10098" t="s">
        <v>14</v>
      </c>
      <c r="AA10098" t="s">
        <v>260</v>
      </c>
      <c r="AB10098" t="s">
        <v>5</v>
      </c>
      <c r="AC10098" s="21">
        <v>479.47</v>
      </c>
      <c r="AD10098" s="21" t="s">
        <v>368</v>
      </c>
      <c r="AE10098" t="str">
        <f>VLOOKUP(Table_Query_from_Actuarial___Production3[[#This Row],[Kor1]],$AI$3:$AK$105,3,FALSE)</f>
        <v>Claims Expense</v>
      </c>
      <c r="AF100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099" spans="18:32" x14ac:dyDescent="0.2">
      <c r="R10099" t="s">
        <v>39</v>
      </c>
      <c r="S10099" t="s">
        <v>248</v>
      </c>
      <c r="T10099" t="s">
        <v>351</v>
      </c>
      <c r="U10099" s="21">
        <v>325</v>
      </c>
      <c r="V10099" s="21" t="s">
        <v>368</v>
      </c>
      <c r="W10099" t="str">
        <f>VLOOKUP(Table_Query_from_Actuarial___Production[[#This Row],[Kor1]],$AI$3:$AK$105,3,FALSE)</f>
        <v>Misc. Income for Insolvent Companies</v>
      </c>
      <c r="X100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099"/>
      <c r="Z10099" t="s">
        <v>10</v>
      </c>
      <c r="AA10099" t="s">
        <v>224</v>
      </c>
      <c r="AB10099" t="s">
        <v>351</v>
      </c>
      <c r="AC10099" s="21">
        <v>2553.83</v>
      </c>
      <c r="AD10099" s="21" t="s">
        <v>369</v>
      </c>
      <c r="AE10099" t="str">
        <f>VLOOKUP(Table_Query_from_Actuarial___Production3[[#This Row],[Kor1]],$AI$3:$AK$105,3,FALSE)</f>
        <v>Commissions</v>
      </c>
      <c r="AF100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100" spans="18:32" x14ac:dyDescent="0.2">
      <c r="R10100" t="s">
        <v>10</v>
      </c>
      <c r="S10100" t="s">
        <v>237</v>
      </c>
      <c r="T10100" t="s">
        <v>351</v>
      </c>
      <c r="U10100" s="21">
        <v>1197490.18</v>
      </c>
      <c r="V10100" s="21" t="s">
        <v>368</v>
      </c>
      <c r="W10100" t="str">
        <f>VLOOKUP(Table_Query_from_Actuarial___Production[[#This Row],[Kor1]],$AI$3:$AK$105,3,FALSE)</f>
        <v>Commissions</v>
      </c>
      <c r="X101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0"/>
      <c r="Z10100" t="s">
        <v>12</v>
      </c>
      <c r="AA10100" t="s">
        <v>248</v>
      </c>
      <c r="AB10100" t="s">
        <v>5</v>
      </c>
      <c r="AC10100" s="21">
        <v>436.34</v>
      </c>
      <c r="AD10100" s="21" t="s">
        <v>368</v>
      </c>
      <c r="AE10100" t="str">
        <f>VLOOKUP(Table_Query_from_Actuarial___Production3[[#This Row],[Kor1]],$AI$3:$AK$105,3,FALSE)</f>
        <v>Premium Tax</v>
      </c>
      <c r="AF101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1" spans="18:32" x14ac:dyDescent="0.2">
      <c r="R10101" t="s">
        <v>40</v>
      </c>
      <c r="S10101" t="s">
        <v>236</v>
      </c>
      <c r="T10101" t="s">
        <v>427</v>
      </c>
      <c r="U10101" s="21">
        <v>63</v>
      </c>
      <c r="V10101" s="21" t="s">
        <v>368</v>
      </c>
      <c r="W10101" t="str">
        <f>VLOOKUP(Table_Query_from_Actuarial___Production[[#This Row],[Kor1]],$AI$3:$AK$105,3,FALSE)</f>
        <v>Misc. Income</v>
      </c>
      <c r="X101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1"/>
      <c r="Z10101" t="s">
        <v>42</v>
      </c>
      <c r="AA10101" t="s">
        <v>4</v>
      </c>
      <c r="AB10101" t="s">
        <v>442</v>
      </c>
      <c r="AC10101" s="21">
        <v>4095.57</v>
      </c>
      <c r="AD10101" s="21" t="s">
        <v>368</v>
      </c>
      <c r="AE10101" t="str">
        <f>VLOOKUP(Table_Query_from_Actuarial___Production3[[#This Row],[Kor1]],$AI$3:$AK$105,3,FALSE)</f>
        <v>Misc. Income</v>
      </c>
      <c r="AF101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2" spans="18:32" x14ac:dyDescent="0.2">
      <c r="R10102" t="s">
        <v>47</v>
      </c>
      <c r="S10102" t="s">
        <v>250</v>
      </c>
      <c r="T10102" t="s">
        <v>9</v>
      </c>
      <c r="U10102" s="21">
        <v>365.37</v>
      </c>
      <c r="V10102" s="21" t="s">
        <v>368</v>
      </c>
      <c r="W10102" t="str">
        <f>VLOOKUP(Table_Query_from_Actuarial___Production[[#This Row],[Kor1]],$AI$3:$AK$105,3,FALSE)</f>
        <v>Investment Income</v>
      </c>
      <c r="X101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2"/>
      <c r="Z10102" t="s">
        <v>37</v>
      </c>
      <c r="AA10102" t="s">
        <v>265</v>
      </c>
      <c r="AB10102" t="s">
        <v>7</v>
      </c>
      <c r="AC10102" s="21">
        <v>1168.1500000000001</v>
      </c>
      <c r="AD10102" s="21" t="s">
        <v>368</v>
      </c>
      <c r="AE10102" t="str">
        <f>VLOOKUP(Table_Query_from_Actuarial___Production3[[#This Row],[Kor1]],$AI$3:$AK$105,3,FALSE)</f>
        <v>Misc. Expense</v>
      </c>
      <c r="AF101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3" spans="18:32" x14ac:dyDescent="0.2">
      <c r="R10103" t="s">
        <v>20</v>
      </c>
      <c r="S10103" t="s">
        <v>253</v>
      </c>
      <c r="T10103" t="s">
        <v>442</v>
      </c>
      <c r="U10103" s="21">
        <v>106.44</v>
      </c>
      <c r="V10103" s="21" t="s">
        <v>368</v>
      </c>
      <c r="W10103" t="str">
        <f>VLOOKUP(Table_Query_from_Actuarial___Production[[#This Row],[Kor1]],$AI$3:$AK$105,3,FALSE)</f>
        <v>Misc. Expense</v>
      </c>
      <c r="X101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3"/>
      <c r="Z10103" t="s">
        <v>11</v>
      </c>
      <c r="AA10103" t="s">
        <v>244</v>
      </c>
      <c r="AB10103" t="s">
        <v>5</v>
      </c>
      <c r="AC10103" s="21">
        <v>452512.01</v>
      </c>
      <c r="AD10103" s="21" t="s">
        <v>368</v>
      </c>
      <c r="AE10103" t="str">
        <f>VLOOKUP(Table_Query_from_Actuarial___Production3[[#This Row],[Kor1]],$AI$3:$AK$105,3,FALSE)</f>
        <v>Losses Paid</v>
      </c>
      <c r="AF101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4" spans="18:32" x14ac:dyDescent="0.2">
      <c r="R10104" t="s">
        <v>33</v>
      </c>
      <c r="S10104" t="s">
        <v>246</v>
      </c>
      <c r="T10104" t="s">
        <v>356</v>
      </c>
      <c r="U10104" s="21">
        <v>15364.56</v>
      </c>
      <c r="V10104" s="21" t="s">
        <v>368</v>
      </c>
      <c r="W10104" t="str">
        <f>VLOOKUP(Table_Query_from_Actuarial___Production[[#This Row],[Kor1]],$AI$3:$AK$105,3,FALSE)</f>
        <v>Misc. Expense</v>
      </c>
      <c r="X101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4"/>
      <c r="Z10104" t="s">
        <v>75</v>
      </c>
      <c r="AA10104" t="s">
        <v>354</v>
      </c>
      <c r="AB10104" t="s">
        <v>442</v>
      </c>
      <c r="AC10104" s="21">
        <v>50944.800000000003</v>
      </c>
      <c r="AD10104" s="21" t="s">
        <v>368</v>
      </c>
      <c r="AE10104" t="str">
        <f>VLOOKUP(Table_Query_from_Actuarial___Production3[[#This Row],[Kor1]],$AI$3:$AK$105,3,FALSE)</f>
        <v>EBUB</v>
      </c>
      <c r="AF101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0105" spans="18:32" x14ac:dyDescent="0.2">
      <c r="R10105" t="s">
        <v>12</v>
      </c>
      <c r="S10105" t="s">
        <v>239</v>
      </c>
      <c r="T10105" t="s">
        <v>442</v>
      </c>
      <c r="U10105" s="21">
        <v>170886.31</v>
      </c>
      <c r="V10105" s="21" t="s">
        <v>368</v>
      </c>
      <c r="W10105" t="str">
        <f>VLOOKUP(Table_Query_from_Actuarial___Production[[#This Row],[Kor1]],$AI$3:$AK$105,3,FALSE)</f>
        <v>Premium Tax</v>
      </c>
      <c r="X101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5"/>
      <c r="Z10105" t="s">
        <v>19</v>
      </c>
      <c r="AA10105" t="s">
        <v>252</v>
      </c>
      <c r="AB10105" t="s">
        <v>427</v>
      </c>
      <c r="AC10105" s="21">
        <v>473950</v>
      </c>
      <c r="AD10105" s="21" t="s">
        <v>368</v>
      </c>
      <c r="AE10105" t="str">
        <f>VLOOKUP(Table_Query_from_Actuarial___Production3[[#This Row],[Kor1]],$AI$3:$AK$105,3,FALSE)</f>
        <v>Misc. Expense for Insolvent Companies</v>
      </c>
      <c r="AF101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6" spans="18:32" x14ac:dyDescent="0.2">
      <c r="R10106" t="s">
        <v>43</v>
      </c>
      <c r="S10106" t="s">
        <v>233</v>
      </c>
      <c r="T10106" t="s">
        <v>445</v>
      </c>
      <c r="U10106" s="21">
        <v>-392.85</v>
      </c>
      <c r="V10106" s="21" t="s">
        <v>368</v>
      </c>
      <c r="W10106" t="str">
        <f>VLOOKUP(Table_Query_from_Actuarial___Production[[#This Row],[Kor1]],$AI$3:$AK$105,3,FALSE)</f>
        <v>Charge-offs</v>
      </c>
      <c r="X101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6"/>
      <c r="Z10106" t="s">
        <v>44</v>
      </c>
      <c r="AA10106" t="s">
        <v>240</v>
      </c>
      <c r="AB10106" t="s">
        <v>7</v>
      </c>
      <c r="AC10106" s="21">
        <v>8453.24</v>
      </c>
      <c r="AD10106" s="21" t="s">
        <v>368</v>
      </c>
      <c r="AE10106" t="str">
        <f>VLOOKUP(Table_Query_from_Actuarial___Production3[[#This Row],[Kor1]],$AI$3:$AK$105,3,FALSE)</f>
        <v>Charge-offs</v>
      </c>
      <c r="AF101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7" spans="18:32" x14ac:dyDescent="0.2">
      <c r="R10107" t="s">
        <v>12</v>
      </c>
      <c r="S10107" t="s">
        <v>250</v>
      </c>
      <c r="T10107" t="s">
        <v>6</v>
      </c>
      <c r="U10107" s="21">
        <v>14088.58</v>
      </c>
      <c r="V10107" s="21" t="s">
        <v>368</v>
      </c>
      <c r="W10107" t="str">
        <f>VLOOKUP(Table_Query_from_Actuarial___Production[[#This Row],[Kor1]],$AI$3:$AK$105,3,FALSE)</f>
        <v>Premium Tax</v>
      </c>
      <c r="X101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7"/>
      <c r="Z10107" t="s">
        <v>11</v>
      </c>
      <c r="AA10107" t="s">
        <v>252</v>
      </c>
      <c r="AB10107" t="s">
        <v>7</v>
      </c>
      <c r="AC10107" s="21">
        <v>19700733.91</v>
      </c>
      <c r="AD10107" s="21" t="s">
        <v>368</v>
      </c>
      <c r="AE10107" t="str">
        <f>VLOOKUP(Table_Query_from_Actuarial___Production3[[#This Row],[Kor1]],$AI$3:$AK$105,3,FALSE)</f>
        <v>Losses Paid</v>
      </c>
      <c r="AF101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8" spans="18:32" x14ac:dyDescent="0.2">
      <c r="R10108" t="s">
        <v>13</v>
      </c>
      <c r="S10108" t="s">
        <v>244</v>
      </c>
      <c r="T10108" t="s">
        <v>8</v>
      </c>
      <c r="U10108" s="21">
        <v>264896.68</v>
      </c>
      <c r="V10108" s="21" t="s">
        <v>368</v>
      </c>
      <c r="W10108" t="str">
        <f>VLOOKUP(Table_Query_from_Actuarial___Production[[#This Row],[Kor1]],$AI$3:$AK$105,3,FALSE)</f>
        <v>Operating Service Fees</v>
      </c>
      <c r="X101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8"/>
      <c r="Z10108" t="s">
        <v>37</v>
      </c>
      <c r="AA10108" t="s">
        <v>239</v>
      </c>
      <c r="AB10108" t="s">
        <v>7</v>
      </c>
      <c r="AC10108" s="21">
        <v>2504.88</v>
      </c>
      <c r="AD10108" s="21" t="s">
        <v>368</v>
      </c>
      <c r="AE10108" t="str">
        <f>VLOOKUP(Table_Query_from_Actuarial___Production3[[#This Row],[Kor1]],$AI$3:$AK$105,3,FALSE)</f>
        <v>Misc. Expense</v>
      </c>
      <c r="AF101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09" spans="18:32" x14ac:dyDescent="0.2">
      <c r="R10109" t="s">
        <v>33</v>
      </c>
      <c r="S10109" t="s">
        <v>232</v>
      </c>
      <c r="T10109" t="s">
        <v>7</v>
      </c>
      <c r="U10109" s="21">
        <v>13791.66</v>
      </c>
      <c r="V10109" s="21" t="s">
        <v>368</v>
      </c>
      <c r="W10109" t="str">
        <f>VLOOKUP(Table_Query_from_Actuarial___Production[[#This Row],[Kor1]],$AI$3:$AK$105,3,FALSE)</f>
        <v>Misc. Expense</v>
      </c>
      <c r="X101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09"/>
      <c r="Z10109" t="s">
        <v>41</v>
      </c>
      <c r="AA10109" t="s">
        <v>240</v>
      </c>
      <c r="AB10109" t="s">
        <v>427</v>
      </c>
      <c r="AC10109" s="21">
        <v>400.01</v>
      </c>
      <c r="AD10109" s="21" t="s">
        <v>368</v>
      </c>
      <c r="AE10109" t="str">
        <f>VLOOKUP(Table_Query_from_Actuarial___Production3[[#This Row],[Kor1]],$AI$3:$AK$105,3,FALSE)</f>
        <v>Misc. Income</v>
      </c>
      <c r="AF101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0" spans="18:32" x14ac:dyDescent="0.2">
      <c r="R10110" t="s">
        <v>37</v>
      </c>
      <c r="S10110" t="s">
        <v>267</v>
      </c>
      <c r="T10110" t="s">
        <v>442</v>
      </c>
      <c r="U10110" s="21">
        <v>-0.56000000000000005</v>
      </c>
      <c r="V10110" s="21" t="s">
        <v>368</v>
      </c>
      <c r="W10110" t="str">
        <f>VLOOKUP(Table_Query_from_Actuarial___Production[[#This Row],[Kor1]],$AI$3:$AK$105,3,FALSE)</f>
        <v>Misc. Expense</v>
      </c>
      <c r="X101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0"/>
      <c r="Z10110" t="s">
        <v>44</v>
      </c>
      <c r="AA10110" t="s">
        <v>231</v>
      </c>
      <c r="AB10110" t="s">
        <v>9</v>
      </c>
      <c r="AC10110" s="21">
        <v>3593</v>
      </c>
      <c r="AD10110" s="21" t="s">
        <v>368</v>
      </c>
      <c r="AE10110" t="str">
        <f>VLOOKUP(Table_Query_from_Actuarial___Production3[[#This Row],[Kor1]],$AI$3:$AK$105,3,FALSE)</f>
        <v>Charge-offs</v>
      </c>
      <c r="AF101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1" spans="18:32" x14ac:dyDescent="0.2">
      <c r="R10111" t="s">
        <v>43</v>
      </c>
      <c r="S10111" t="s">
        <v>250</v>
      </c>
      <c r="T10111" t="s">
        <v>441</v>
      </c>
      <c r="U10111" s="21">
        <v>459.03</v>
      </c>
      <c r="V10111" s="21" t="s">
        <v>368</v>
      </c>
      <c r="W10111" t="str">
        <f>VLOOKUP(Table_Query_from_Actuarial___Production[[#This Row],[Kor1]],$AI$3:$AK$105,3,FALSE)</f>
        <v>Charge-offs</v>
      </c>
      <c r="X101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1"/>
      <c r="Z10111" t="s">
        <v>14</v>
      </c>
      <c r="AA10111" t="s">
        <v>4</v>
      </c>
      <c r="AB10111" t="s">
        <v>6</v>
      </c>
      <c r="AC10111" s="21">
        <v>280052.18</v>
      </c>
      <c r="AD10111" s="21" t="s">
        <v>368</v>
      </c>
      <c r="AE10111" t="str">
        <f>VLOOKUP(Table_Query_from_Actuarial___Production3[[#This Row],[Kor1]],$AI$3:$AK$105,3,FALSE)</f>
        <v>Claims Expense</v>
      </c>
      <c r="AF101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2" spans="18:32" x14ac:dyDescent="0.2">
      <c r="R10112" t="s">
        <v>18</v>
      </c>
      <c r="S10112" t="s">
        <v>354</v>
      </c>
      <c r="T10112" t="s">
        <v>427</v>
      </c>
      <c r="U10112" s="21">
        <v>7376388.8399999999</v>
      </c>
      <c r="V10112" s="21" t="s">
        <v>369</v>
      </c>
      <c r="W10112" t="str">
        <f>VLOOKUP(Table_Query_from_Actuarial___Production[[#This Row],[Kor1]],$AI$3:$AK$105,3,FALSE)</f>
        <v>Misc. Expense</v>
      </c>
      <c r="X101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112"/>
      <c r="Z10112" t="s">
        <v>3</v>
      </c>
      <c r="AA10112" t="s">
        <v>252</v>
      </c>
      <c r="AB10112" t="s">
        <v>9</v>
      </c>
      <c r="AC10112" s="21">
        <v>14240694</v>
      </c>
      <c r="AD10112" s="21" t="s">
        <v>368</v>
      </c>
      <c r="AE10112" t="str">
        <f>VLOOKUP(Table_Query_from_Actuarial___Production3[[#This Row],[Kor1]],$AI$3:$AK$105,3,FALSE)</f>
        <v>Premiums Written</v>
      </c>
      <c r="AF101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3" spans="18:32" x14ac:dyDescent="0.2">
      <c r="R10113" t="s">
        <v>12</v>
      </c>
      <c r="S10113" t="s">
        <v>253</v>
      </c>
      <c r="T10113" t="s">
        <v>9</v>
      </c>
      <c r="U10113" s="21">
        <v>45.68</v>
      </c>
      <c r="V10113" s="21" t="s">
        <v>368</v>
      </c>
      <c r="W10113" t="str">
        <f>VLOOKUP(Table_Query_from_Actuarial___Production[[#This Row],[Kor1]],$AI$3:$AK$105,3,FALSE)</f>
        <v>Premium Tax</v>
      </c>
      <c r="X101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3"/>
      <c r="Z10113" t="s">
        <v>39</v>
      </c>
      <c r="AA10113" t="s">
        <v>248</v>
      </c>
      <c r="AB10113" t="s">
        <v>351</v>
      </c>
      <c r="AC10113" s="21">
        <v>325</v>
      </c>
      <c r="AD10113" s="21" t="s">
        <v>368</v>
      </c>
      <c r="AE10113" t="str">
        <f>VLOOKUP(Table_Query_from_Actuarial___Production3[[#This Row],[Kor1]],$AI$3:$AK$105,3,FALSE)</f>
        <v>Misc. Income for Insolvent Companies</v>
      </c>
      <c r="AF101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4" spans="18:32" x14ac:dyDescent="0.2">
      <c r="R10114" t="s">
        <v>18</v>
      </c>
      <c r="S10114" t="s">
        <v>224</v>
      </c>
      <c r="T10114" t="s">
        <v>6</v>
      </c>
      <c r="U10114" s="21">
        <v>6031.13</v>
      </c>
      <c r="V10114" s="21" t="s">
        <v>369</v>
      </c>
      <c r="W10114" t="str">
        <f>VLOOKUP(Table_Query_from_Actuarial___Production[[#This Row],[Kor1]],$AI$3:$AK$105,3,FALSE)</f>
        <v>Misc. Expense</v>
      </c>
      <c r="X101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114"/>
      <c r="Z10114" t="s">
        <v>10</v>
      </c>
      <c r="AA10114" t="s">
        <v>237</v>
      </c>
      <c r="AB10114" t="s">
        <v>351</v>
      </c>
      <c r="AC10114" s="21">
        <v>1197490.18</v>
      </c>
      <c r="AD10114" s="21" t="s">
        <v>368</v>
      </c>
      <c r="AE10114" t="str">
        <f>VLOOKUP(Table_Query_from_Actuarial___Production3[[#This Row],[Kor1]],$AI$3:$AK$105,3,FALSE)</f>
        <v>Commissions</v>
      </c>
      <c r="AF101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5" spans="18:32" x14ac:dyDescent="0.2">
      <c r="R10115" t="s">
        <v>37</v>
      </c>
      <c r="S10115" t="s">
        <v>242</v>
      </c>
      <c r="T10115" t="s">
        <v>441</v>
      </c>
      <c r="U10115" s="21">
        <v>181.8</v>
      </c>
      <c r="V10115" s="21" t="s">
        <v>368</v>
      </c>
      <c r="W10115" t="str">
        <f>VLOOKUP(Table_Query_from_Actuarial___Production[[#This Row],[Kor1]],$AI$3:$AK$105,3,FALSE)</f>
        <v>Misc. Expense</v>
      </c>
      <c r="X101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5"/>
      <c r="Z10115" t="s">
        <v>40</v>
      </c>
      <c r="AA10115" t="s">
        <v>236</v>
      </c>
      <c r="AB10115" t="s">
        <v>427</v>
      </c>
      <c r="AC10115" s="21">
        <v>63</v>
      </c>
      <c r="AD10115" s="21" t="s">
        <v>368</v>
      </c>
      <c r="AE10115" t="str">
        <f>VLOOKUP(Table_Query_from_Actuarial___Production3[[#This Row],[Kor1]],$AI$3:$AK$105,3,FALSE)</f>
        <v>Misc. Income</v>
      </c>
      <c r="AF101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6" spans="18:32" x14ac:dyDescent="0.2">
      <c r="R10116" t="s">
        <v>49</v>
      </c>
      <c r="S10116" t="s">
        <v>225</v>
      </c>
      <c r="T10116" t="s">
        <v>351</v>
      </c>
      <c r="U10116" s="21">
        <v>592563.66</v>
      </c>
      <c r="V10116" s="21" t="s">
        <v>368</v>
      </c>
      <c r="W10116" t="str">
        <f>VLOOKUP(Table_Query_from_Actuarial___Production[[#This Row],[Kor1]],$AI$3:$AK$105,3,FALSE)</f>
        <v>ALAE Paid</v>
      </c>
      <c r="X101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116"/>
      <c r="Z10116" t="s">
        <v>47</v>
      </c>
      <c r="AA10116" t="s">
        <v>250</v>
      </c>
      <c r="AB10116" t="s">
        <v>9</v>
      </c>
      <c r="AC10116" s="21">
        <v>365.37</v>
      </c>
      <c r="AD10116" s="21" t="s">
        <v>368</v>
      </c>
      <c r="AE10116" t="str">
        <f>VLOOKUP(Table_Query_from_Actuarial___Production3[[#This Row],[Kor1]],$AI$3:$AK$105,3,FALSE)</f>
        <v>Investment Income</v>
      </c>
      <c r="AF101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7" spans="18:32" x14ac:dyDescent="0.2">
      <c r="R10117" t="s">
        <v>47</v>
      </c>
      <c r="S10117" t="s">
        <v>265</v>
      </c>
      <c r="T10117" t="s">
        <v>443</v>
      </c>
      <c r="U10117" s="21">
        <v>12558.82</v>
      </c>
      <c r="V10117" s="21" t="s">
        <v>368</v>
      </c>
      <c r="W10117" t="str">
        <f>VLOOKUP(Table_Query_from_Actuarial___Production[[#This Row],[Kor1]],$AI$3:$AK$105,3,FALSE)</f>
        <v>Investment Income</v>
      </c>
      <c r="X101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7"/>
      <c r="Z10117" t="s">
        <v>20</v>
      </c>
      <c r="AA10117" t="s">
        <v>253</v>
      </c>
      <c r="AB10117" t="s">
        <v>442</v>
      </c>
      <c r="AC10117" s="21">
        <v>106.44</v>
      </c>
      <c r="AD10117" s="21" t="s">
        <v>368</v>
      </c>
      <c r="AE10117" t="str">
        <f>VLOOKUP(Table_Query_from_Actuarial___Production3[[#This Row],[Kor1]],$AI$3:$AK$105,3,FALSE)</f>
        <v>Misc. Expense</v>
      </c>
      <c r="AF101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8" spans="18:32" x14ac:dyDescent="0.2">
      <c r="R10118" t="s">
        <v>43</v>
      </c>
      <c r="S10118" t="s">
        <v>241</v>
      </c>
      <c r="T10118" t="s">
        <v>6</v>
      </c>
      <c r="U10118" s="21">
        <v>-1078.45</v>
      </c>
      <c r="V10118" s="21" t="s">
        <v>368</v>
      </c>
      <c r="W10118" t="str">
        <f>VLOOKUP(Table_Query_from_Actuarial___Production[[#This Row],[Kor1]],$AI$3:$AK$105,3,FALSE)</f>
        <v>Charge-offs</v>
      </c>
      <c r="X101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8"/>
      <c r="Z10118" t="s">
        <v>33</v>
      </c>
      <c r="AA10118" t="s">
        <v>246</v>
      </c>
      <c r="AB10118" t="s">
        <v>356</v>
      </c>
      <c r="AC10118" s="21">
        <v>15364.56</v>
      </c>
      <c r="AD10118" s="21" t="s">
        <v>368</v>
      </c>
      <c r="AE10118" t="str">
        <f>VLOOKUP(Table_Query_from_Actuarial___Production3[[#This Row],[Kor1]],$AI$3:$AK$105,3,FALSE)</f>
        <v>Misc. Expense</v>
      </c>
      <c r="AF101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19" spans="18:32" x14ac:dyDescent="0.2">
      <c r="R10119" t="s">
        <v>44</v>
      </c>
      <c r="S10119" t="s">
        <v>265</v>
      </c>
      <c r="T10119" t="s">
        <v>441</v>
      </c>
      <c r="U10119" s="21">
        <v>387499.4</v>
      </c>
      <c r="V10119" s="21" t="s">
        <v>368</v>
      </c>
      <c r="W10119" t="str">
        <f>VLOOKUP(Table_Query_from_Actuarial___Production[[#This Row],[Kor1]],$AI$3:$AK$105,3,FALSE)</f>
        <v>Charge-offs</v>
      </c>
      <c r="X101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19"/>
      <c r="Z10119" t="s">
        <v>12</v>
      </c>
      <c r="AA10119" t="s">
        <v>239</v>
      </c>
      <c r="AB10119" t="s">
        <v>442</v>
      </c>
      <c r="AC10119" s="21">
        <v>184473</v>
      </c>
      <c r="AD10119" s="21" t="s">
        <v>368</v>
      </c>
      <c r="AE10119" t="str">
        <f>VLOOKUP(Table_Query_from_Actuarial___Production3[[#This Row],[Kor1]],$AI$3:$AK$105,3,FALSE)</f>
        <v>Premium Tax</v>
      </c>
      <c r="AF101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0" spans="18:32" x14ac:dyDescent="0.2">
      <c r="R10120" t="s">
        <v>31</v>
      </c>
      <c r="S10120" t="s">
        <v>261</v>
      </c>
      <c r="T10120" t="s">
        <v>351</v>
      </c>
      <c r="U10120" s="21">
        <v>319.57</v>
      </c>
      <c r="V10120" s="21" t="s">
        <v>368</v>
      </c>
      <c r="W10120" t="str">
        <f>VLOOKUP(Table_Query_from_Actuarial___Production[[#This Row],[Kor1]],$AI$3:$AK$105,3,FALSE)</f>
        <v>Misc. Expense</v>
      </c>
      <c r="X101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0"/>
      <c r="Z10120" t="s">
        <v>12</v>
      </c>
      <c r="AA10120" t="s">
        <v>250</v>
      </c>
      <c r="AB10120" t="s">
        <v>6</v>
      </c>
      <c r="AC10120" s="21">
        <v>14088.58</v>
      </c>
      <c r="AD10120" s="21" t="s">
        <v>368</v>
      </c>
      <c r="AE10120" t="str">
        <f>VLOOKUP(Table_Query_from_Actuarial___Production3[[#This Row],[Kor1]],$AI$3:$AK$105,3,FALSE)</f>
        <v>Premium Tax</v>
      </c>
      <c r="AF101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1" spans="18:32" x14ac:dyDescent="0.2">
      <c r="R10121" t="s">
        <v>47</v>
      </c>
      <c r="S10121" t="s">
        <v>253</v>
      </c>
      <c r="T10121" t="s">
        <v>8</v>
      </c>
      <c r="U10121" s="21">
        <v>16.39</v>
      </c>
      <c r="V10121" s="21" t="s">
        <v>368</v>
      </c>
      <c r="W10121" t="str">
        <f>VLOOKUP(Table_Query_from_Actuarial___Production[[#This Row],[Kor1]],$AI$3:$AK$105,3,FALSE)</f>
        <v>Investment Income</v>
      </c>
      <c r="X101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1"/>
      <c r="Z10121" t="s">
        <v>13</v>
      </c>
      <c r="AA10121" t="s">
        <v>244</v>
      </c>
      <c r="AB10121" t="s">
        <v>8</v>
      </c>
      <c r="AC10121" s="21">
        <v>264896.68</v>
      </c>
      <c r="AD10121" s="21" t="s">
        <v>368</v>
      </c>
      <c r="AE10121" t="str">
        <f>VLOOKUP(Table_Query_from_Actuarial___Production3[[#This Row],[Kor1]],$AI$3:$AK$105,3,FALSE)</f>
        <v>Operating Service Fees</v>
      </c>
      <c r="AF101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2" spans="18:32" x14ac:dyDescent="0.2">
      <c r="R10122" t="s">
        <v>12</v>
      </c>
      <c r="S10122" t="s">
        <v>266</v>
      </c>
      <c r="T10122" t="s">
        <v>9</v>
      </c>
      <c r="U10122" s="21">
        <v>21477.72</v>
      </c>
      <c r="V10122" s="21" t="s">
        <v>368</v>
      </c>
      <c r="W10122" t="str">
        <f>VLOOKUP(Table_Query_from_Actuarial___Production[[#This Row],[Kor1]],$AI$3:$AK$105,3,FALSE)</f>
        <v>Premium Tax</v>
      </c>
      <c r="X101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2"/>
      <c r="Z10122" t="s">
        <v>33</v>
      </c>
      <c r="AA10122" t="s">
        <v>232</v>
      </c>
      <c r="AB10122" t="s">
        <v>7</v>
      </c>
      <c r="AC10122" s="21">
        <v>13791.66</v>
      </c>
      <c r="AD10122" s="21" t="s">
        <v>368</v>
      </c>
      <c r="AE10122" t="str">
        <f>VLOOKUP(Table_Query_from_Actuarial___Production3[[#This Row],[Kor1]],$AI$3:$AK$105,3,FALSE)</f>
        <v>Misc. Expense</v>
      </c>
      <c r="AF101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3" spans="18:32" x14ac:dyDescent="0.2">
      <c r="R10123" t="s">
        <v>12</v>
      </c>
      <c r="S10123" t="s">
        <v>268</v>
      </c>
      <c r="T10123" t="s">
        <v>351</v>
      </c>
      <c r="U10123" s="21">
        <v>379</v>
      </c>
      <c r="V10123" s="21" t="s">
        <v>368</v>
      </c>
      <c r="W10123" t="str">
        <f>VLOOKUP(Table_Query_from_Actuarial___Production[[#This Row],[Kor1]],$AI$3:$AK$105,3,FALSE)</f>
        <v>Premium Tax</v>
      </c>
      <c r="X101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3"/>
      <c r="Z10123" t="s">
        <v>37</v>
      </c>
      <c r="AA10123" t="s">
        <v>267</v>
      </c>
      <c r="AB10123" t="s">
        <v>442</v>
      </c>
      <c r="AC10123" s="21">
        <v>-0.56000000000000005</v>
      </c>
      <c r="AD10123" s="21" t="s">
        <v>368</v>
      </c>
      <c r="AE10123" t="str">
        <f>VLOOKUP(Table_Query_from_Actuarial___Production3[[#This Row],[Kor1]],$AI$3:$AK$105,3,FALSE)</f>
        <v>Misc. Expense</v>
      </c>
      <c r="AF101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4" spans="18:32" x14ac:dyDescent="0.2">
      <c r="R10124" t="s">
        <v>13</v>
      </c>
      <c r="S10124" t="s">
        <v>254</v>
      </c>
      <c r="T10124" t="s">
        <v>356</v>
      </c>
      <c r="U10124" s="21">
        <v>835766.64</v>
      </c>
      <c r="V10124" s="21" t="s">
        <v>368</v>
      </c>
      <c r="W10124" t="str">
        <f>VLOOKUP(Table_Query_from_Actuarial___Production[[#This Row],[Kor1]],$AI$3:$AK$105,3,FALSE)</f>
        <v>Operating Service Fees</v>
      </c>
      <c r="X101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4"/>
      <c r="Z10124" t="s">
        <v>43</v>
      </c>
      <c r="AA10124" t="s">
        <v>250</v>
      </c>
      <c r="AB10124" t="s">
        <v>441</v>
      </c>
      <c r="AC10124" s="21">
        <v>459.03</v>
      </c>
      <c r="AD10124" s="21" t="s">
        <v>368</v>
      </c>
      <c r="AE10124" t="str">
        <f>VLOOKUP(Table_Query_from_Actuarial___Production3[[#This Row],[Kor1]],$AI$3:$AK$105,3,FALSE)</f>
        <v>Charge-offs</v>
      </c>
      <c r="AF101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5" spans="18:32" x14ac:dyDescent="0.2">
      <c r="R10125" t="s">
        <v>47</v>
      </c>
      <c r="S10125" t="s">
        <v>241</v>
      </c>
      <c r="T10125" t="s">
        <v>351</v>
      </c>
      <c r="U10125" s="21">
        <v>1961.24</v>
      </c>
      <c r="V10125" s="21" t="s">
        <v>368</v>
      </c>
      <c r="W10125" t="str">
        <f>VLOOKUP(Table_Query_from_Actuarial___Production[[#This Row],[Kor1]],$AI$3:$AK$105,3,FALSE)</f>
        <v>Investment Income</v>
      </c>
      <c r="X101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5"/>
      <c r="Z10125" t="s">
        <v>18</v>
      </c>
      <c r="AA10125" t="s">
        <v>354</v>
      </c>
      <c r="AB10125" t="s">
        <v>427</v>
      </c>
      <c r="AC10125" s="21">
        <v>7376388.8399999999</v>
      </c>
      <c r="AD10125" s="21" t="s">
        <v>369</v>
      </c>
      <c r="AE10125" t="str">
        <f>VLOOKUP(Table_Query_from_Actuarial___Production3[[#This Row],[Kor1]],$AI$3:$AK$105,3,FALSE)</f>
        <v>Misc. Expense</v>
      </c>
      <c r="AF101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126" spans="18:32" x14ac:dyDescent="0.2">
      <c r="R10126" t="s">
        <v>10</v>
      </c>
      <c r="S10126" t="s">
        <v>244</v>
      </c>
      <c r="T10126" t="s">
        <v>9</v>
      </c>
      <c r="U10126" s="21">
        <v>69055.98</v>
      </c>
      <c r="V10126" s="21" t="s">
        <v>368</v>
      </c>
      <c r="W10126" t="str">
        <f>VLOOKUP(Table_Query_from_Actuarial___Production[[#This Row],[Kor1]],$AI$3:$AK$105,3,FALSE)</f>
        <v>Commissions</v>
      </c>
      <c r="X101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6"/>
      <c r="Z10126" t="s">
        <v>12</v>
      </c>
      <c r="AA10126" t="s">
        <v>253</v>
      </c>
      <c r="AB10126" t="s">
        <v>9</v>
      </c>
      <c r="AC10126" s="21">
        <v>45.68</v>
      </c>
      <c r="AD10126" s="21" t="s">
        <v>368</v>
      </c>
      <c r="AE10126" t="str">
        <f>VLOOKUP(Table_Query_from_Actuarial___Production3[[#This Row],[Kor1]],$AI$3:$AK$105,3,FALSE)</f>
        <v>Premium Tax</v>
      </c>
      <c r="AF101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7" spans="18:32" x14ac:dyDescent="0.2">
      <c r="R10127" t="s">
        <v>13</v>
      </c>
      <c r="S10127" t="s">
        <v>255</v>
      </c>
      <c r="T10127" t="s">
        <v>445</v>
      </c>
      <c r="U10127" s="21">
        <v>43268.93</v>
      </c>
      <c r="V10127" s="21" t="s">
        <v>368</v>
      </c>
      <c r="W10127" t="str">
        <f>VLOOKUP(Table_Query_from_Actuarial___Production[[#This Row],[Kor1]],$AI$3:$AK$105,3,FALSE)</f>
        <v>Operating Service Fees</v>
      </c>
      <c r="X101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27"/>
      <c r="Z10127" t="s">
        <v>18</v>
      </c>
      <c r="AA10127" t="s">
        <v>224</v>
      </c>
      <c r="AB10127" t="s">
        <v>6</v>
      </c>
      <c r="AC10127" s="21">
        <v>6031.13</v>
      </c>
      <c r="AD10127" s="21" t="s">
        <v>369</v>
      </c>
      <c r="AE10127" t="str">
        <f>VLOOKUP(Table_Query_from_Actuarial___Production3[[#This Row],[Kor1]],$AI$3:$AK$105,3,FALSE)</f>
        <v>Misc. Expense</v>
      </c>
      <c r="AF101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128" spans="18:32" x14ac:dyDescent="0.2">
      <c r="R10128" t="s">
        <v>13</v>
      </c>
      <c r="S10128" t="s">
        <v>224</v>
      </c>
      <c r="T10128" t="s">
        <v>7</v>
      </c>
      <c r="U10128" s="21">
        <v>9613.68</v>
      </c>
      <c r="V10128" s="21" t="s">
        <v>369</v>
      </c>
      <c r="W10128" t="str">
        <f>VLOOKUP(Table_Query_from_Actuarial___Production[[#This Row],[Kor1]],$AI$3:$AK$105,3,FALSE)</f>
        <v>Operating Service Fees</v>
      </c>
      <c r="X101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128"/>
      <c r="Z10128" t="s">
        <v>37</v>
      </c>
      <c r="AA10128" t="s">
        <v>242</v>
      </c>
      <c r="AB10128" t="s">
        <v>441</v>
      </c>
      <c r="AC10128" s="21">
        <v>181.8</v>
      </c>
      <c r="AD10128" s="21" t="s">
        <v>368</v>
      </c>
      <c r="AE10128" t="str">
        <f>VLOOKUP(Table_Query_from_Actuarial___Production3[[#This Row],[Kor1]],$AI$3:$AK$105,3,FALSE)</f>
        <v>Misc. Expense</v>
      </c>
      <c r="AF101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29" spans="18:32" x14ac:dyDescent="0.2">
      <c r="R10129" t="s">
        <v>48</v>
      </c>
      <c r="S10129" t="s">
        <v>224</v>
      </c>
      <c r="T10129" t="s">
        <v>445</v>
      </c>
      <c r="U10129" s="21">
        <v>44.15</v>
      </c>
      <c r="V10129" s="21" t="s">
        <v>425</v>
      </c>
      <c r="W10129" t="str">
        <f>VLOOKUP(Table_Query_from_Actuarial___Production[[#This Row],[Kor1]],$AI$3:$AK$105,3,FALSE)</f>
        <v>Anticipated Salvage</v>
      </c>
      <c r="X101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129"/>
      <c r="Z10129" t="s">
        <v>49</v>
      </c>
      <c r="AA10129" t="s">
        <v>225</v>
      </c>
      <c r="AB10129" t="s">
        <v>351</v>
      </c>
      <c r="AC10129" s="21">
        <v>583855.67000000004</v>
      </c>
      <c r="AD10129" s="21" t="s">
        <v>368</v>
      </c>
      <c r="AE10129" t="str">
        <f>VLOOKUP(Table_Query_from_Actuarial___Production3[[#This Row],[Kor1]],$AI$3:$AK$105,3,FALSE)</f>
        <v>ALAE Paid</v>
      </c>
      <c r="AF101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130" spans="18:32" x14ac:dyDescent="0.2">
      <c r="R10130" t="s">
        <v>46</v>
      </c>
      <c r="S10130" t="s">
        <v>224</v>
      </c>
      <c r="T10130" t="s">
        <v>8</v>
      </c>
      <c r="U10130" s="21">
        <v>1856.72</v>
      </c>
      <c r="V10130" s="21" t="s">
        <v>370</v>
      </c>
      <c r="W10130" t="str">
        <f>VLOOKUP(Table_Query_from_Actuarial___Production[[#This Row],[Kor1]],$AI$3:$AK$105,3,FALSE)</f>
        <v>Investment Income</v>
      </c>
      <c r="X101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130"/>
      <c r="Z10130" t="s">
        <v>47</v>
      </c>
      <c r="AA10130" t="s">
        <v>265</v>
      </c>
      <c r="AB10130" t="s">
        <v>443</v>
      </c>
      <c r="AC10130" s="21">
        <v>1298.95</v>
      </c>
      <c r="AD10130" s="21" t="s">
        <v>368</v>
      </c>
      <c r="AE10130" t="str">
        <f>VLOOKUP(Table_Query_from_Actuarial___Production3[[#This Row],[Kor1]],$AI$3:$AK$105,3,FALSE)</f>
        <v>Investment Income</v>
      </c>
      <c r="AF101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1" spans="18:32" x14ac:dyDescent="0.2">
      <c r="R10131" t="s">
        <v>12</v>
      </c>
      <c r="S10131" t="s">
        <v>234</v>
      </c>
      <c r="T10131" t="s">
        <v>7</v>
      </c>
      <c r="U10131" s="21">
        <v>14516.72</v>
      </c>
      <c r="V10131" s="21" t="s">
        <v>368</v>
      </c>
      <c r="W10131" t="str">
        <f>VLOOKUP(Table_Query_from_Actuarial___Production[[#This Row],[Kor1]],$AI$3:$AK$105,3,FALSE)</f>
        <v>Premium Tax</v>
      </c>
      <c r="X101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1"/>
      <c r="Z10131" t="s">
        <v>43</v>
      </c>
      <c r="AA10131" t="s">
        <v>241</v>
      </c>
      <c r="AB10131" t="s">
        <v>6</v>
      </c>
      <c r="AC10131" s="21">
        <v>-1078.45</v>
      </c>
      <c r="AD10131" s="21" t="s">
        <v>368</v>
      </c>
      <c r="AE10131" t="str">
        <f>VLOOKUP(Table_Query_from_Actuarial___Production3[[#This Row],[Kor1]],$AI$3:$AK$105,3,FALSE)</f>
        <v>Charge-offs</v>
      </c>
      <c r="AF101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2" spans="18:32" x14ac:dyDescent="0.2">
      <c r="R10132" t="s">
        <v>12</v>
      </c>
      <c r="S10132" t="s">
        <v>251</v>
      </c>
      <c r="T10132" t="s">
        <v>427</v>
      </c>
      <c r="U10132" s="21">
        <v>29402.61</v>
      </c>
      <c r="V10132" s="21" t="s">
        <v>368</v>
      </c>
      <c r="W10132" t="str">
        <f>VLOOKUP(Table_Query_from_Actuarial___Production[[#This Row],[Kor1]],$AI$3:$AK$105,3,FALSE)</f>
        <v>Premium Tax</v>
      </c>
      <c r="X101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2"/>
      <c r="Z10132" t="s">
        <v>44</v>
      </c>
      <c r="AA10132" t="s">
        <v>265</v>
      </c>
      <c r="AB10132" t="s">
        <v>441</v>
      </c>
      <c r="AC10132" s="21">
        <v>387499.4</v>
      </c>
      <c r="AD10132" s="21" t="s">
        <v>368</v>
      </c>
      <c r="AE10132" t="str">
        <f>VLOOKUP(Table_Query_from_Actuarial___Production3[[#This Row],[Kor1]],$AI$3:$AK$105,3,FALSE)</f>
        <v>Charge-offs</v>
      </c>
      <c r="AF101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3" spans="18:32" x14ac:dyDescent="0.2">
      <c r="R10133" t="s">
        <v>14</v>
      </c>
      <c r="S10133" t="s">
        <v>247</v>
      </c>
      <c r="T10133" t="s">
        <v>441</v>
      </c>
      <c r="U10133" s="21">
        <v>205.98</v>
      </c>
      <c r="V10133" s="21" t="s">
        <v>368</v>
      </c>
      <c r="W10133" t="str">
        <f>VLOOKUP(Table_Query_from_Actuarial___Production[[#This Row],[Kor1]],$AI$3:$AK$105,3,FALSE)</f>
        <v>Claims Expense</v>
      </c>
      <c r="X101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3"/>
      <c r="Z10133" t="s">
        <v>31</v>
      </c>
      <c r="AA10133" t="s">
        <v>261</v>
      </c>
      <c r="AB10133" t="s">
        <v>351</v>
      </c>
      <c r="AC10133" s="21">
        <v>319.57</v>
      </c>
      <c r="AD10133" s="21" t="s">
        <v>368</v>
      </c>
      <c r="AE10133" t="str">
        <f>VLOOKUP(Table_Query_from_Actuarial___Production3[[#This Row],[Kor1]],$AI$3:$AK$105,3,FALSE)</f>
        <v>Misc. Expense</v>
      </c>
      <c r="AF101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4" spans="18:32" x14ac:dyDescent="0.2">
      <c r="R10134" t="s">
        <v>39</v>
      </c>
      <c r="S10134" t="s">
        <v>256</v>
      </c>
      <c r="T10134" t="s">
        <v>6</v>
      </c>
      <c r="U10134" s="21">
        <v>514.48</v>
      </c>
      <c r="V10134" s="21" t="s">
        <v>368</v>
      </c>
      <c r="W10134" t="str">
        <f>VLOOKUP(Table_Query_from_Actuarial___Production[[#This Row],[Kor1]],$AI$3:$AK$105,3,FALSE)</f>
        <v>Misc. Income for Insolvent Companies</v>
      </c>
      <c r="X101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4"/>
      <c r="Z10134" t="s">
        <v>33</v>
      </c>
      <c r="AA10134" t="s">
        <v>243</v>
      </c>
      <c r="AB10134" t="s">
        <v>5</v>
      </c>
      <c r="AC10134" s="21">
        <v>13182.05</v>
      </c>
      <c r="AD10134" s="21" t="s">
        <v>368</v>
      </c>
      <c r="AE10134" t="str">
        <f>VLOOKUP(Table_Query_from_Actuarial___Production3[[#This Row],[Kor1]],$AI$3:$AK$105,3,FALSE)</f>
        <v>Misc. Expense</v>
      </c>
      <c r="AF101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5" spans="18:32" x14ac:dyDescent="0.2">
      <c r="R10135" t="s">
        <v>3</v>
      </c>
      <c r="S10135" t="s">
        <v>227</v>
      </c>
      <c r="T10135" t="s">
        <v>433</v>
      </c>
      <c r="U10135" s="21">
        <v>27931</v>
      </c>
      <c r="V10135" s="21" t="s">
        <v>368</v>
      </c>
      <c r="W10135" t="str">
        <f>VLOOKUP(Table_Query_from_Actuarial___Production[[#This Row],[Kor1]],$AI$3:$AK$105,3,FALSE)</f>
        <v>Premiums Written</v>
      </c>
      <c r="X101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5"/>
      <c r="Z10135" t="s">
        <v>47</v>
      </c>
      <c r="AA10135" t="s">
        <v>253</v>
      </c>
      <c r="AB10135" t="s">
        <v>8</v>
      </c>
      <c r="AC10135" s="21">
        <v>16.39</v>
      </c>
      <c r="AD10135" s="21" t="s">
        <v>368</v>
      </c>
      <c r="AE10135" t="str">
        <f>VLOOKUP(Table_Query_from_Actuarial___Production3[[#This Row],[Kor1]],$AI$3:$AK$105,3,FALSE)</f>
        <v>Investment Income</v>
      </c>
      <c r="AF101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6" spans="18:32" x14ac:dyDescent="0.2">
      <c r="R10136" t="s">
        <v>19</v>
      </c>
      <c r="S10136" t="s">
        <v>240</v>
      </c>
      <c r="T10136" t="s">
        <v>8</v>
      </c>
      <c r="U10136" s="21">
        <v>162</v>
      </c>
      <c r="V10136" s="21" t="s">
        <v>368</v>
      </c>
      <c r="W10136" t="str">
        <f>VLOOKUP(Table_Query_from_Actuarial___Production[[#This Row],[Kor1]],$AI$3:$AK$105,3,FALSE)</f>
        <v>Misc. Expense for Insolvent Companies</v>
      </c>
      <c r="X101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6"/>
      <c r="Z10136" t="s">
        <v>75</v>
      </c>
      <c r="AA10136" t="s">
        <v>237</v>
      </c>
      <c r="AB10136" t="s">
        <v>441</v>
      </c>
      <c r="AC10136" s="21">
        <v>15941</v>
      </c>
      <c r="AD10136" s="21" t="s">
        <v>368</v>
      </c>
      <c r="AE10136" t="str">
        <f>VLOOKUP(Table_Query_from_Actuarial___Production3[[#This Row],[Kor1]],$AI$3:$AK$105,3,FALSE)</f>
        <v>EBUB</v>
      </c>
      <c r="AF101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7" spans="18:32" x14ac:dyDescent="0.2">
      <c r="R10137" t="s">
        <v>40</v>
      </c>
      <c r="S10137" t="s">
        <v>238</v>
      </c>
      <c r="T10137" t="s">
        <v>441</v>
      </c>
      <c r="U10137" s="21">
        <v>6265.23</v>
      </c>
      <c r="V10137" s="21" t="s">
        <v>368</v>
      </c>
      <c r="W10137" t="str">
        <f>VLOOKUP(Table_Query_from_Actuarial___Production[[#This Row],[Kor1]],$AI$3:$AK$105,3,FALSE)</f>
        <v>Misc. Income</v>
      </c>
      <c r="X101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7"/>
      <c r="Z10137" t="s">
        <v>12</v>
      </c>
      <c r="AA10137" t="s">
        <v>266</v>
      </c>
      <c r="AB10137" t="s">
        <v>9</v>
      </c>
      <c r="AC10137" s="21">
        <v>21477.72</v>
      </c>
      <c r="AD10137" s="21" t="s">
        <v>368</v>
      </c>
      <c r="AE10137" t="str">
        <f>VLOOKUP(Table_Query_from_Actuarial___Production3[[#This Row],[Kor1]],$AI$3:$AK$105,3,FALSE)</f>
        <v>Premium Tax</v>
      </c>
      <c r="AF101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8" spans="18:32" x14ac:dyDescent="0.2">
      <c r="R10138" t="s">
        <v>439</v>
      </c>
      <c r="S10138" t="s">
        <v>242</v>
      </c>
      <c r="T10138" t="s">
        <v>433</v>
      </c>
      <c r="U10138" s="21">
        <v>14836</v>
      </c>
      <c r="V10138" s="21" t="s">
        <v>368</v>
      </c>
      <c r="W10138" t="str">
        <f>VLOOKUP(Table_Query_from_Actuarial___Production[[#This Row],[Kor1]],$AI$3:$AK$105,3,FALSE)</f>
        <v>Operating Service Fees</v>
      </c>
      <c r="X101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38"/>
      <c r="Z10138" t="s">
        <v>12</v>
      </c>
      <c r="AA10138" t="s">
        <v>268</v>
      </c>
      <c r="AB10138" t="s">
        <v>351</v>
      </c>
      <c r="AC10138" s="21">
        <v>379</v>
      </c>
      <c r="AD10138" s="21" t="s">
        <v>368</v>
      </c>
      <c r="AE10138" t="str">
        <f>VLOOKUP(Table_Query_from_Actuarial___Production3[[#This Row],[Kor1]],$AI$3:$AK$105,3,FALSE)</f>
        <v>Premium Tax</v>
      </c>
      <c r="AF101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39" spans="18:32" x14ac:dyDescent="0.2">
      <c r="R10139" t="s">
        <v>3</v>
      </c>
      <c r="S10139" t="s">
        <v>352</v>
      </c>
      <c r="T10139" t="s">
        <v>8</v>
      </c>
      <c r="U10139" s="21">
        <v>10742.3</v>
      </c>
      <c r="V10139" s="21" t="s">
        <v>368</v>
      </c>
      <c r="W10139" t="str">
        <f>VLOOKUP(Table_Query_from_Actuarial___Production[[#This Row],[Kor1]],$AI$3:$AK$105,3,FALSE)</f>
        <v>Premiums Written</v>
      </c>
      <c r="X101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0139"/>
      <c r="Z10139" t="s">
        <v>13</v>
      </c>
      <c r="AA10139" t="s">
        <v>254</v>
      </c>
      <c r="AB10139" t="s">
        <v>356</v>
      </c>
      <c r="AC10139" s="21">
        <v>835766.64</v>
      </c>
      <c r="AD10139" s="21" t="s">
        <v>368</v>
      </c>
      <c r="AE10139" t="str">
        <f>VLOOKUP(Table_Query_from_Actuarial___Production3[[#This Row],[Kor1]],$AI$3:$AK$105,3,FALSE)</f>
        <v>Operating Service Fees</v>
      </c>
      <c r="AF101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0" spans="18:32" x14ac:dyDescent="0.2">
      <c r="R10140" t="s">
        <v>41</v>
      </c>
      <c r="S10140" t="s">
        <v>229</v>
      </c>
      <c r="T10140" t="s">
        <v>7</v>
      </c>
      <c r="U10140" s="21">
        <v>500</v>
      </c>
      <c r="V10140" s="21" t="s">
        <v>368</v>
      </c>
      <c r="W10140" t="str">
        <f>VLOOKUP(Table_Query_from_Actuarial___Production[[#This Row],[Kor1]],$AI$3:$AK$105,3,FALSE)</f>
        <v>Misc. Income</v>
      </c>
      <c r="X101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0"/>
      <c r="Z10140" t="s">
        <v>47</v>
      </c>
      <c r="AA10140" t="s">
        <v>241</v>
      </c>
      <c r="AB10140" t="s">
        <v>351</v>
      </c>
      <c r="AC10140" s="21">
        <v>1961.24</v>
      </c>
      <c r="AD10140" s="21" t="s">
        <v>368</v>
      </c>
      <c r="AE10140" t="str">
        <f>VLOOKUP(Table_Query_from_Actuarial___Production3[[#This Row],[Kor1]],$AI$3:$AK$105,3,FALSE)</f>
        <v>Investment Income</v>
      </c>
      <c r="AF101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1" spans="18:32" x14ac:dyDescent="0.2">
      <c r="R10141" t="s">
        <v>31</v>
      </c>
      <c r="S10141" t="s">
        <v>262</v>
      </c>
      <c r="T10141" t="s">
        <v>433</v>
      </c>
      <c r="U10141" s="21">
        <v>891.25</v>
      </c>
      <c r="V10141" s="21" t="s">
        <v>368</v>
      </c>
      <c r="W10141" t="str">
        <f>VLOOKUP(Table_Query_from_Actuarial___Production[[#This Row],[Kor1]],$AI$3:$AK$105,3,FALSE)</f>
        <v>Misc. Expense</v>
      </c>
      <c r="X101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1"/>
      <c r="Z10141" t="s">
        <v>10</v>
      </c>
      <c r="AA10141" t="s">
        <v>244</v>
      </c>
      <c r="AB10141" t="s">
        <v>9</v>
      </c>
      <c r="AC10141" s="21">
        <v>69055.98</v>
      </c>
      <c r="AD10141" s="21" t="s">
        <v>368</v>
      </c>
      <c r="AE10141" t="str">
        <f>VLOOKUP(Table_Query_from_Actuarial___Production3[[#This Row],[Kor1]],$AI$3:$AK$105,3,FALSE)</f>
        <v>Commissions</v>
      </c>
      <c r="AF101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2" spans="18:32" x14ac:dyDescent="0.2">
      <c r="R10142" t="s">
        <v>39</v>
      </c>
      <c r="S10142" t="s">
        <v>248</v>
      </c>
      <c r="T10142" t="s">
        <v>441</v>
      </c>
      <c r="U10142" s="21">
        <v>215.53</v>
      </c>
      <c r="V10142" s="21" t="s">
        <v>368</v>
      </c>
      <c r="W10142" t="str">
        <f>VLOOKUP(Table_Query_from_Actuarial___Production[[#This Row],[Kor1]],$AI$3:$AK$105,3,FALSE)</f>
        <v>Misc. Income for Insolvent Companies</v>
      </c>
      <c r="X101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2"/>
      <c r="Z10142" t="s">
        <v>13</v>
      </c>
      <c r="AA10142" t="s">
        <v>224</v>
      </c>
      <c r="AB10142" t="s">
        <v>7</v>
      </c>
      <c r="AC10142" s="21">
        <v>9613.68</v>
      </c>
      <c r="AD10142" s="21" t="s">
        <v>369</v>
      </c>
      <c r="AE10142" t="str">
        <f>VLOOKUP(Table_Query_from_Actuarial___Production3[[#This Row],[Kor1]],$AI$3:$AK$105,3,FALSE)</f>
        <v>Operating Service Fees</v>
      </c>
      <c r="AF101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143" spans="18:32" x14ac:dyDescent="0.2">
      <c r="R10143" t="s">
        <v>16</v>
      </c>
      <c r="S10143" t="s">
        <v>254</v>
      </c>
      <c r="T10143" t="s">
        <v>443</v>
      </c>
      <c r="U10143" s="21">
        <v>14466520.640000001</v>
      </c>
      <c r="V10143" s="21" t="s">
        <v>368</v>
      </c>
      <c r="W10143" t="str">
        <f>VLOOKUP(Table_Query_from_Actuarial___Production[[#This Row],[Kor1]],$AI$3:$AK$105,3,FALSE)</f>
        <v>Losses Outstanding</v>
      </c>
      <c r="X101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3"/>
      <c r="Z10143" t="s">
        <v>46</v>
      </c>
      <c r="AA10143" t="s">
        <v>224</v>
      </c>
      <c r="AB10143" t="s">
        <v>8</v>
      </c>
      <c r="AC10143" s="21">
        <v>1856.72</v>
      </c>
      <c r="AD10143" s="21" t="s">
        <v>370</v>
      </c>
      <c r="AE10143" t="str">
        <f>VLOOKUP(Table_Query_from_Actuarial___Production3[[#This Row],[Kor1]],$AI$3:$AK$105,3,FALSE)</f>
        <v>Investment Income</v>
      </c>
      <c r="AF101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144" spans="18:32" x14ac:dyDescent="0.2">
      <c r="R10144" t="s">
        <v>49</v>
      </c>
      <c r="S10144" t="s">
        <v>248</v>
      </c>
      <c r="T10144" t="s">
        <v>356</v>
      </c>
      <c r="U10144" s="21">
        <v>4734.16</v>
      </c>
      <c r="V10144" s="21" t="s">
        <v>368</v>
      </c>
      <c r="W10144" t="str">
        <f>VLOOKUP(Table_Query_from_Actuarial___Production[[#This Row],[Kor1]],$AI$3:$AK$105,3,FALSE)</f>
        <v>ALAE Paid</v>
      </c>
      <c r="X101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4"/>
      <c r="Z10144" t="s">
        <v>12</v>
      </c>
      <c r="AA10144" t="s">
        <v>234</v>
      </c>
      <c r="AB10144" t="s">
        <v>7</v>
      </c>
      <c r="AC10144" s="21">
        <v>14516.72</v>
      </c>
      <c r="AD10144" s="21" t="s">
        <v>368</v>
      </c>
      <c r="AE10144" t="str">
        <f>VLOOKUP(Table_Query_from_Actuarial___Production3[[#This Row],[Kor1]],$AI$3:$AK$105,3,FALSE)</f>
        <v>Premium Tax</v>
      </c>
      <c r="AF101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5" spans="18:32" x14ac:dyDescent="0.2">
      <c r="R10145" t="s">
        <v>13</v>
      </c>
      <c r="S10145" t="s">
        <v>354</v>
      </c>
      <c r="T10145" t="s">
        <v>7</v>
      </c>
      <c r="U10145" s="21">
        <v>203589881.94999999</v>
      </c>
      <c r="V10145" s="21" t="s">
        <v>369</v>
      </c>
      <c r="W10145" t="str">
        <f>VLOOKUP(Table_Query_from_Actuarial___Production[[#This Row],[Kor1]],$AI$3:$AK$105,3,FALSE)</f>
        <v>Operating Service Fees</v>
      </c>
      <c r="X101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145"/>
      <c r="Z10145" t="s">
        <v>12</v>
      </c>
      <c r="AA10145" t="s">
        <v>251</v>
      </c>
      <c r="AB10145" t="s">
        <v>427</v>
      </c>
      <c r="AC10145" s="21">
        <v>29402.61</v>
      </c>
      <c r="AD10145" s="21" t="s">
        <v>368</v>
      </c>
      <c r="AE10145" t="str">
        <f>VLOOKUP(Table_Query_from_Actuarial___Production3[[#This Row],[Kor1]],$AI$3:$AK$105,3,FALSE)</f>
        <v>Premium Tax</v>
      </c>
      <c r="AF101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6" spans="18:32" x14ac:dyDescent="0.2">
      <c r="R10146" t="s">
        <v>22</v>
      </c>
      <c r="S10146" t="s">
        <v>259</v>
      </c>
      <c r="T10146" t="s">
        <v>442</v>
      </c>
      <c r="U10146" s="21">
        <v>17870.22</v>
      </c>
      <c r="V10146" s="21" t="s">
        <v>368</v>
      </c>
      <c r="W10146" t="str">
        <f>VLOOKUP(Table_Query_from_Actuarial___Production[[#This Row],[Kor1]],$AI$3:$AK$105,3,FALSE)</f>
        <v>Misc. Expense</v>
      </c>
      <c r="X101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6"/>
      <c r="Z10146" t="s">
        <v>14</v>
      </c>
      <c r="AA10146" t="s">
        <v>247</v>
      </c>
      <c r="AB10146" t="s">
        <v>441</v>
      </c>
      <c r="AC10146" s="21">
        <v>205.98</v>
      </c>
      <c r="AD10146" s="21" t="s">
        <v>368</v>
      </c>
      <c r="AE10146" t="str">
        <f>VLOOKUP(Table_Query_from_Actuarial___Production3[[#This Row],[Kor1]],$AI$3:$AK$105,3,FALSE)</f>
        <v>Claims Expense</v>
      </c>
      <c r="AF101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7" spans="18:32" x14ac:dyDescent="0.2">
      <c r="R10147" t="s">
        <v>14</v>
      </c>
      <c r="S10147" t="s">
        <v>235</v>
      </c>
      <c r="T10147" t="s">
        <v>8</v>
      </c>
      <c r="U10147" s="21">
        <v>48583.49</v>
      </c>
      <c r="V10147" s="21" t="s">
        <v>368</v>
      </c>
      <c r="W10147" t="str">
        <f>VLOOKUP(Table_Query_from_Actuarial___Production[[#This Row],[Kor1]],$AI$3:$AK$105,3,FALSE)</f>
        <v>Claims Expense</v>
      </c>
      <c r="X101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7"/>
      <c r="Z10147" t="s">
        <v>39</v>
      </c>
      <c r="AA10147" t="s">
        <v>256</v>
      </c>
      <c r="AB10147" t="s">
        <v>6</v>
      </c>
      <c r="AC10147" s="21">
        <v>514.48</v>
      </c>
      <c r="AD10147" s="21" t="s">
        <v>368</v>
      </c>
      <c r="AE10147" t="str">
        <f>VLOOKUP(Table_Query_from_Actuarial___Production3[[#This Row],[Kor1]],$AI$3:$AK$105,3,FALSE)</f>
        <v>Misc. Income for Insolvent Companies</v>
      </c>
      <c r="AF101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8" spans="18:32" x14ac:dyDescent="0.2">
      <c r="R10148" t="s">
        <v>31</v>
      </c>
      <c r="S10148" t="s">
        <v>232</v>
      </c>
      <c r="T10148" t="s">
        <v>445</v>
      </c>
      <c r="U10148" s="21">
        <v>344.86</v>
      </c>
      <c r="V10148" s="21" t="s">
        <v>368</v>
      </c>
      <c r="W10148" t="str">
        <f>VLOOKUP(Table_Query_from_Actuarial___Production[[#This Row],[Kor1]],$AI$3:$AK$105,3,FALSE)</f>
        <v>Misc. Expense</v>
      </c>
      <c r="X101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8"/>
      <c r="Z10148" t="s">
        <v>3</v>
      </c>
      <c r="AA10148" t="s">
        <v>227</v>
      </c>
      <c r="AB10148" t="s">
        <v>433</v>
      </c>
      <c r="AC10148" s="21">
        <v>27931</v>
      </c>
      <c r="AD10148" s="21" t="s">
        <v>368</v>
      </c>
      <c r="AE10148" t="str">
        <f>VLOOKUP(Table_Query_from_Actuarial___Production3[[#This Row],[Kor1]],$AI$3:$AK$105,3,FALSE)</f>
        <v>Premiums Written</v>
      </c>
      <c r="AF101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49" spans="18:32" x14ac:dyDescent="0.2">
      <c r="R10149" t="s">
        <v>47</v>
      </c>
      <c r="S10149" t="s">
        <v>247</v>
      </c>
      <c r="T10149" t="s">
        <v>433</v>
      </c>
      <c r="U10149" s="21">
        <v>8.32</v>
      </c>
      <c r="V10149" s="21" t="s">
        <v>368</v>
      </c>
      <c r="W10149" t="str">
        <f>VLOOKUP(Table_Query_from_Actuarial___Production[[#This Row],[Kor1]],$AI$3:$AK$105,3,FALSE)</f>
        <v>Investment Income</v>
      </c>
      <c r="X101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49"/>
      <c r="Z10149" t="s">
        <v>19</v>
      </c>
      <c r="AA10149" t="s">
        <v>240</v>
      </c>
      <c r="AB10149" t="s">
        <v>8</v>
      </c>
      <c r="AC10149" s="21">
        <v>162</v>
      </c>
      <c r="AD10149" s="21" t="s">
        <v>368</v>
      </c>
      <c r="AE10149" t="str">
        <f>VLOOKUP(Table_Query_from_Actuarial___Production3[[#This Row],[Kor1]],$AI$3:$AK$105,3,FALSE)</f>
        <v>Misc. Expense for Insolvent Companies</v>
      </c>
      <c r="AF101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0" spans="18:32" x14ac:dyDescent="0.2">
      <c r="R10150" t="s">
        <v>11</v>
      </c>
      <c r="S10150" t="s">
        <v>237</v>
      </c>
      <c r="T10150" t="s">
        <v>9</v>
      </c>
      <c r="U10150" s="21">
        <v>19281999.879999999</v>
      </c>
      <c r="V10150" s="21" t="s">
        <v>368</v>
      </c>
      <c r="W10150" t="str">
        <f>VLOOKUP(Table_Query_from_Actuarial___Production[[#This Row],[Kor1]],$AI$3:$AK$105,3,FALSE)</f>
        <v>Losses Paid</v>
      </c>
      <c r="X101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0"/>
      <c r="Z10150" t="s">
        <v>40</v>
      </c>
      <c r="AA10150" t="s">
        <v>238</v>
      </c>
      <c r="AB10150" t="s">
        <v>441</v>
      </c>
      <c r="AC10150" s="21">
        <v>6265.23</v>
      </c>
      <c r="AD10150" s="21" t="s">
        <v>368</v>
      </c>
      <c r="AE10150" t="str">
        <f>VLOOKUP(Table_Query_from_Actuarial___Production3[[#This Row],[Kor1]],$AI$3:$AK$105,3,FALSE)</f>
        <v>Misc. Income</v>
      </c>
      <c r="AF101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1" spans="18:32" x14ac:dyDescent="0.2">
      <c r="R10151" t="s">
        <v>41</v>
      </c>
      <c r="S10151" t="s">
        <v>247</v>
      </c>
      <c r="T10151" t="s">
        <v>441</v>
      </c>
      <c r="U10151" s="21">
        <v>250</v>
      </c>
      <c r="V10151" s="21" t="s">
        <v>368</v>
      </c>
      <c r="W10151" t="str">
        <f>VLOOKUP(Table_Query_from_Actuarial___Production[[#This Row],[Kor1]],$AI$3:$AK$105,3,FALSE)</f>
        <v>Misc. Income</v>
      </c>
      <c r="X101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1"/>
      <c r="Z10151" t="s">
        <v>439</v>
      </c>
      <c r="AA10151" t="s">
        <v>242</v>
      </c>
      <c r="AB10151" t="s">
        <v>433</v>
      </c>
      <c r="AC10151" s="21">
        <v>14836</v>
      </c>
      <c r="AD10151" s="21" t="s">
        <v>368</v>
      </c>
      <c r="AE10151" t="str">
        <f>VLOOKUP(Table_Query_from_Actuarial___Production3[[#This Row],[Kor1]],$AI$3:$AK$105,3,FALSE)</f>
        <v>Operating Service Fees</v>
      </c>
      <c r="AF101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2" spans="18:32" x14ac:dyDescent="0.2">
      <c r="R10152" t="s">
        <v>18</v>
      </c>
      <c r="S10152" t="s">
        <v>354</v>
      </c>
      <c r="T10152" t="s">
        <v>443</v>
      </c>
      <c r="U10152" s="21">
        <v>9300940.9499999993</v>
      </c>
      <c r="V10152" s="21" t="s">
        <v>369</v>
      </c>
      <c r="W10152" t="str">
        <f>VLOOKUP(Table_Query_from_Actuarial___Production[[#This Row],[Kor1]],$AI$3:$AK$105,3,FALSE)</f>
        <v>Misc. Expense</v>
      </c>
      <c r="X101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152"/>
      <c r="Z10152" t="s">
        <v>3</v>
      </c>
      <c r="AA10152" t="s">
        <v>352</v>
      </c>
      <c r="AB10152" t="s">
        <v>8</v>
      </c>
      <c r="AC10152" s="21">
        <v>10742.3</v>
      </c>
      <c r="AD10152" s="21" t="s">
        <v>368</v>
      </c>
      <c r="AE10152" t="str">
        <f>VLOOKUP(Table_Query_from_Actuarial___Production3[[#This Row],[Kor1]],$AI$3:$AK$105,3,FALSE)</f>
        <v>Premiums Written</v>
      </c>
      <c r="AF101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0153" spans="18:32" x14ac:dyDescent="0.2">
      <c r="R10153" t="s">
        <v>10</v>
      </c>
      <c r="S10153" t="s">
        <v>237</v>
      </c>
      <c r="T10153" t="s">
        <v>441</v>
      </c>
      <c r="U10153" s="21">
        <v>3312609.74</v>
      </c>
      <c r="V10153" s="21" t="s">
        <v>368</v>
      </c>
      <c r="W10153" t="str">
        <f>VLOOKUP(Table_Query_from_Actuarial___Production[[#This Row],[Kor1]],$AI$3:$AK$105,3,FALSE)</f>
        <v>Commissions</v>
      </c>
      <c r="X101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3"/>
      <c r="Z10153" t="s">
        <v>41</v>
      </c>
      <c r="AA10153" t="s">
        <v>229</v>
      </c>
      <c r="AB10153" t="s">
        <v>7</v>
      </c>
      <c r="AC10153" s="21">
        <v>500</v>
      </c>
      <c r="AD10153" s="21" t="s">
        <v>368</v>
      </c>
      <c r="AE10153" t="str">
        <f>VLOOKUP(Table_Query_from_Actuarial___Production3[[#This Row],[Kor1]],$AI$3:$AK$105,3,FALSE)</f>
        <v>Misc. Income</v>
      </c>
      <c r="AF101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4" spans="18:32" x14ac:dyDescent="0.2">
      <c r="R10154" t="s">
        <v>10</v>
      </c>
      <c r="S10154" t="s">
        <v>226</v>
      </c>
      <c r="T10154" t="s">
        <v>8</v>
      </c>
      <c r="U10154" s="21">
        <v>413805.95</v>
      </c>
      <c r="V10154" s="21" t="s">
        <v>368</v>
      </c>
      <c r="W10154" t="str">
        <f>VLOOKUP(Table_Query_from_Actuarial___Production[[#This Row],[Kor1]],$AI$3:$AK$105,3,FALSE)</f>
        <v>Commissions</v>
      </c>
      <c r="X101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154"/>
      <c r="Z10154" t="s">
        <v>31</v>
      </c>
      <c r="AA10154" t="s">
        <v>262</v>
      </c>
      <c r="AB10154" t="s">
        <v>433</v>
      </c>
      <c r="AC10154" s="21">
        <v>891.25</v>
      </c>
      <c r="AD10154" s="21" t="s">
        <v>368</v>
      </c>
      <c r="AE10154" t="str">
        <f>VLOOKUP(Table_Query_from_Actuarial___Production3[[#This Row],[Kor1]],$AI$3:$AK$105,3,FALSE)</f>
        <v>Misc. Expense</v>
      </c>
      <c r="AF101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5" spans="18:32" x14ac:dyDescent="0.2">
      <c r="R10155" t="s">
        <v>11</v>
      </c>
      <c r="S10155" t="s">
        <v>226</v>
      </c>
      <c r="T10155" t="s">
        <v>7</v>
      </c>
      <c r="U10155" s="21">
        <v>7329715.3700000001</v>
      </c>
      <c r="V10155" s="21" t="s">
        <v>368</v>
      </c>
      <c r="W10155" t="str">
        <f>VLOOKUP(Table_Query_from_Actuarial___Production[[#This Row],[Kor1]],$AI$3:$AK$105,3,FALSE)</f>
        <v>Losses Paid</v>
      </c>
      <c r="X101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155"/>
      <c r="Z10155" t="s">
        <v>39</v>
      </c>
      <c r="AA10155" t="s">
        <v>248</v>
      </c>
      <c r="AB10155" t="s">
        <v>441</v>
      </c>
      <c r="AC10155" s="21">
        <v>215.53</v>
      </c>
      <c r="AD10155" s="21" t="s">
        <v>368</v>
      </c>
      <c r="AE10155" t="str">
        <f>VLOOKUP(Table_Query_from_Actuarial___Production3[[#This Row],[Kor1]],$AI$3:$AK$105,3,FALSE)</f>
        <v>Misc. Income for Insolvent Companies</v>
      </c>
      <c r="AF101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6" spans="18:32" x14ac:dyDescent="0.2">
      <c r="R10156" t="s">
        <v>31</v>
      </c>
      <c r="S10156" t="s">
        <v>230</v>
      </c>
      <c r="T10156" t="s">
        <v>445</v>
      </c>
      <c r="U10156" s="21">
        <v>4858.8</v>
      </c>
      <c r="V10156" s="21" t="s">
        <v>368</v>
      </c>
      <c r="W10156" t="str">
        <f>VLOOKUP(Table_Query_from_Actuarial___Production[[#This Row],[Kor1]],$AI$3:$AK$105,3,FALSE)</f>
        <v>Misc. Expense</v>
      </c>
      <c r="X101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6"/>
      <c r="Z10156" t="s">
        <v>16</v>
      </c>
      <c r="AA10156" t="s">
        <v>254</v>
      </c>
      <c r="AB10156" t="s">
        <v>443</v>
      </c>
      <c r="AC10156" s="21">
        <v>528186.97</v>
      </c>
      <c r="AD10156" s="21" t="s">
        <v>368</v>
      </c>
      <c r="AE10156" t="str">
        <f>VLOOKUP(Table_Query_from_Actuarial___Production3[[#This Row],[Kor1]],$AI$3:$AK$105,3,FALSE)</f>
        <v>Losses Outstanding</v>
      </c>
      <c r="AF101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7" spans="18:32" x14ac:dyDescent="0.2">
      <c r="R10157" t="s">
        <v>10</v>
      </c>
      <c r="S10157" t="s">
        <v>252</v>
      </c>
      <c r="T10157" t="s">
        <v>8</v>
      </c>
      <c r="U10157" s="21">
        <v>837750.78</v>
      </c>
      <c r="V10157" s="21" t="s">
        <v>368</v>
      </c>
      <c r="W10157" t="str">
        <f>VLOOKUP(Table_Query_from_Actuarial___Production[[#This Row],[Kor1]],$AI$3:$AK$105,3,FALSE)</f>
        <v>Commissions</v>
      </c>
      <c r="X101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7"/>
      <c r="Z10157" t="s">
        <v>49</v>
      </c>
      <c r="AA10157" t="s">
        <v>248</v>
      </c>
      <c r="AB10157" t="s">
        <v>356</v>
      </c>
      <c r="AC10157" s="21">
        <v>4734.16</v>
      </c>
      <c r="AD10157" s="21" t="s">
        <v>368</v>
      </c>
      <c r="AE10157" t="str">
        <f>VLOOKUP(Table_Query_from_Actuarial___Production3[[#This Row],[Kor1]],$AI$3:$AK$105,3,FALSE)</f>
        <v>ALAE Paid</v>
      </c>
      <c r="AF101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58" spans="18:32" x14ac:dyDescent="0.2">
      <c r="R10158" t="s">
        <v>34</v>
      </c>
      <c r="S10158" t="s">
        <v>255</v>
      </c>
      <c r="T10158" t="s">
        <v>443</v>
      </c>
      <c r="U10158" s="21">
        <v>1759.14</v>
      </c>
      <c r="V10158" s="21" t="s">
        <v>368</v>
      </c>
      <c r="W10158" t="str">
        <f>VLOOKUP(Table_Query_from_Actuarial___Production[[#This Row],[Kor1]],$AI$3:$AK$105,3,FALSE)</f>
        <v>Misc. Expense</v>
      </c>
      <c r="X101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58"/>
      <c r="Z10158" t="s">
        <v>13</v>
      </c>
      <c r="AA10158" t="s">
        <v>354</v>
      </c>
      <c r="AB10158" t="s">
        <v>7</v>
      </c>
      <c r="AC10158" s="21">
        <v>203589877.75999999</v>
      </c>
      <c r="AD10158" s="21" t="s">
        <v>369</v>
      </c>
      <c r="AE10158" t="str">
        <f>VLOOKUP(Table_Query_from_Actuarial___Production3[[#This Row],[Kor1]],$AI$3:$AK$105,3,FALSE)</f>
        <v>Operating Service Fees</v>
      </c>
      <c r="AF101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159" spans="18:32" x14ac:dyDescent="0.2">
      <c r="R10159" t="s">
        <v>38</v>
      </c>
      <c r="S10159" t="s">
        <v>225</v>
      </c>
      <c r="T10159" t="s">
        <v>445</v>
      </c>
      <c r="U10159" s="21">
        <v>1929.39</v>
      </c>
      <c r="V10159" s="21" t="s">
        <v>369</v>
      </c>
      <c r="W10159" t="str">
        <f>VLOOKUP(Table_Query_from_Actuarial___Production[[#This Row],[Kor1]],$AI$3:$AK$105,3,FALSE)</f>
        <v>Misc. Income</v>
      </c>
      <c r="X101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159"/>
      <c r="Z10159" t="s">
        <v>22</v>
      </c>
      <c r="AA10159" t="s">
        <v>259</v>
      </c>
      <c r="AB10159" t="s">
        <v>442</v>
      </c>
      <c r="AC10159" s="21">
        <v>17870.22</v>
      </c>
      <c r="AD10159" s="21" t="s">
        <v>368</v>
      </c>
      <c r="AE10159" t="str">
        <f>VLOOKUP(Table_Query_from_Actuarial___Production3[[#This Row],[Kor1]],$AI$3:$AK$105,3,FALSE)</f>
        <v>Misc. Expense</v>
      </c>
      <c r="AF101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0" spans="18:32" x14ac:dyDescent="0.2">
      <c r="R10160" t="s">
        <v>41</v>
      </c>
      <c r="S10160" t="s">
        <v>261</v>
      </c>
      <c r="T10160" t="s">
        <v>7</v>
      </c>
      <c r="U10160" s="21">
        <v>300</v>
      </c>
      <c r="V10160" s="21" t="s">
        <v>368</v>
      </c>
      <c r="W10160" t="str">
        <f>VLOOKUP(Table_Query_from_Actuarial___Production[[#This Row],[Kor1]],$AI$3:$AK$105,3,FALSE)</f>
        <v>Misc. Income</v>
      </c>
      <c r="X101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0"/>
      <c r="Z10160" t="s">
        <v>13</v>
      </c>
      <c r="AA10160" t="s">
        <v>261</v>
      </c>
      <c r="AB10160" t="s">
        <v>5</v>
      </c>
      <c r="AC10160" s="21">
        <v>58582.96</v>
      </c>
      <c r="AD10160" s="21" t="s">
        <v>368</v>
      </c>
      <c r="AE10160" t="str">
        <f>VLOOKUP(Table_Query_from_Actuarial___Production3[[#This Row],[Kor1]],$AI$3:$AK$105,3,FALSE)</f>
        <v>Operating Service Fees</v>
      </c>
      <c r="AF101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1" spans="18:32" x14ac:dyDescent="0.2">
      <c r="R10161" t="s">
        <v>33</v>
      </c>
      <c r="S10161" t="s">
        <v>245</v>
      </c>
      <c r="T10161" t="s">
        <v>442</v>
      </c>
      <c r="U10161" s="21">
        <v>15723.14</v>
      </c>
      <c r="V10161" s="21" t="s">
        <v>368</v>
      </c>
      <c r="W10161" t="str">
        <f>VLOOKUP(Table_Query_from_Actuarial___Production[[#This Row],[Kor1]],$AI$3:$AK$105,3,FALSE)</f>
        <v>Misc. Expense</v>
      </c>
      <c r="X101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1"/>
      <c r="Z10161" t="s">
        <v>14</v>
      </c>
      <c r="AA10161" t="s">
        <v>235</v>
      </c>
      <c r="AB10161" t="s">
        <v>8</v>
      </c>
      <c r="AC10161" s="21">
        <v>48583.49</v>
      </c>
      <c r="AD10161" s="21" t="s">
        <v>368</v>
      </c>
      <c r="AE10161" t="str">
        <f>VLOOKUP(Table_Query_from_Actuarial___Production3[[#This Row],[Kor1]],$AI$3:$AK$105,3,FALSE)</f>
        <v>Claims Expense</v>
      </c>
      <c r="AF101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2" spans="18:32" x14ac:dyDescent="0.2">
      <c r="R10162" t="s">
        <v>41</v>
      </c>
      <c r="S10162" t="s">
        <v>244</v>
      </c>
      <c r="T10162" t="s">
        <v>351</v>
      </c>
      <c r="U10162" s="21">
        <v>841.07</v>
      </c>
      <c r="V10162" s="21" t="s">
        <v>368</v>
      </c>
      <c r="W10162" t="str">
        <f>VLOOKUP(Table_Query_from_Actuarial___Production[[#This Row],[Kor1]],$AI$3:$AK$105,3,FALSE)</f>
        <v>Misc. Income</v>
      </c>
      <c r="X101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2"/>
      <c r="Z10162" t="s">
        <v>47</v>
      </c>
      <c r="AA10162" t="s">
        <v>247</v>
      </c>
      <c r="AB10162" t="s">
        <v>433</v>
      </c>
      <c r="AC10162" s="21">
        <v>8.32</v>
      </c>
      <c r="AD10162" s="21" t="s">
        <v>368</v>
      </c>
      <c r="AE10162" t="str">
        <f>VLOOKUP(Table_Query_from_Actuarial___Production3[[#This Row],[Kor1]],$AI$3:$AK$105,3,FALSE)</f>
        <v>Investment Income</v>
      </c>
      <c r="AF101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3" spans="18:32" x14ac:dyDescent="0.2">
      <c r="R10163" t="s">
        <v>3</v>
      </c>
      <c r="S10163" t="s">
        <v>230</v>
      </c>
      <c r="T10163" t="s">
        <v>351</v>
      </c>
      <c r="U10163" s="21">
        <v>24152152</v>
      </c>
      <c r="V10163" s="21" t="s">
        <v>368</v>
      </c>
      <c r="W10163" t="str">
        <f>VLOOKUP(Table_Query_from_Actuarial___Production[[#This Row],[Kor1]],$AI$3:$AK$105,3,FALSE)</f>
        <v>Premiums Written</v>
      </c>
      <c r="X101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3"/>
      <c r="Z10163" t="s">
        <v>11</v>
      </c>
      <c r="AA10163" t="s">
        <v>237</v>
      </c>
      <c r="AB10163" t="s">
        <v>9</v>
      </c>
      <c r="AC10163" s="21">
        <v>18302341.879999999</v>
      </c>
      <c r="AD10163" s="21" t="s">
        <v>368</v>
      </c>
      <c r="AE10163" t="str">
        <f>VLOOKUP(Table_Query_from_Actuarial___Production3[[#This Row],[Kor1]],$AI$3:$AK$105,3,FALSE)</f>
        <v>Losses Paid</v>
      </c>
      <c r="AF101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4" spans="18:32" x14ac:dyDescent="0.2">
      <c r="R10164" t="s">
        <v>14</v>
      </c>
      <c r="S10164" t="s">
        <v>224</v>
      </c>
      <c r="T10164" t="s">
        <v>443</v>
      </c>
      <c r="U10164" s="21">
        <v>105734.53</v>
      </c>
      <c r="V10164" s="21" t="s">
        <v>370</v>
      </c>
      <c r="W10164" t="str">
        <f>VLOOKUP(Table_Query_from_Actuarial___Production[[#This Row],[Kor1]],$AI$3:$AK$105,3,FALSE)</f>
        <v>Claims Expense</v>
      </c>
      <c r="X101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164"/>
      <c r="Z10164" t="s">
        <v>41</v>
      </c>
      <c r="AA10164" t="s">
        <v>247</v>
      </c>
      <c r="AB10164" t="s">
        <v>441</v>
      </c>
      <c r="AC10164" s="21">
        <v>250</v>
      </c>
      <c r="AD10164" s="21" t="s">
        <v>368</v>
      </c>
      <c r="AE10164" t="str">
        <f>VLOOKUP(Table_Query_from_Actuarial___Production3[[#This Row],[Kor1]],$AI$3:$AK$105,3,FALSE)</f>
        <v>Misc. Income</v>
      </c>
      <c r="AF101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5" spans="18:32" x14ac:dyDescent="0.2">
      <c r="R10165" t="s">
        <v>3</v>
      </c>
      <c r="S10165" t="s">
        <v>246</v>
      </c>
      <c r="T10165" t="s">
        <v>7</v>
      </c>
      <c r="U10165" s="21">
        <v>426752</v>
      </c>
      <c r="V10165" s="21" t="s">
        <v>368</v>
      </c>
      <c r="W10165" t="str">
        <f>VLOOKUP(Table_Query_from_Actuarial___Production[[#This Row],[Kor1]],$AI$3:$AK$105,3,FALSE)</f>
        <v>Premiums Written</v>
      </c>
      <c r="X101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5"/>
      <c r="Z10165" t="s">
        <v>18</v>
      </c>
      <c r="AA10165" t="s">
        <v>354</v>
      </c>
      <c r="AB10165" t="s">
        <v>443</v>
      </c>
      <c r="AC10165" s="21">
        <v>4472497.08</v>
      </c>
      <c r="AD10165" s="21" t="s">
        <v>369</v>
      </c>
      <c r="AE10165" t="str">
        <f>VLOOKUP(Table_Query_from_Actuarial___Production3[[#This Row],[Kor1]],$AI$3:$AK$105,3,FALSE)</f>
        <v>Misc. Expense</v>
      </c>
      <c r="AF101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166" spans="18:32" x14ac:dyDescent="0.2">
      <c r="R10166" t="s">
        <v>41</v>
      </c>
      <c r="S10166" t="s">
        <v>259</v>
      </c>
      <c r="T10166" t="s">
        <v>441</v>
      </c>
      <c r="U10166" s="21">
        <v>700</v>
      </c>
      <c r="V10166" s="21" t="s">
        <v>368</v>
      </c>
      <c r="W10166" t="str">
        <f>VLOOKUP(Table_Query_from_Actuarial___Production[[#This Row],[Kor1]],$AI$3:$AK$105,3,FALSE)</f>
        <v>Misc. Income</v>
      </c>
      <c r="X101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6"/>
      <c r="Z10166" t="s">
        <v>10</v>
      </c>
      <c r="AA10166" t="s">
        <v>237</v>
      </c>
      <c r="AB10166" t="s">
        <v>441</v>
      </c>
      <c r="AC10166" s="21">
        <v>3311018.69</v>
      </c>
      <c r="AD10166" s="21" t="s">
        <v>368</v>
      </c>
      <c r="AE10166" t="str">
        <f>VLOOKUP(Table_Query_from_Actuarial___Production3[[#This Row],[Kor1]],$AI$3:$AK$105,3,FALSE)</f>
        <v>Commissions</v>
      </c>
      <c r="AF101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67" spans="18:32" x14ac:dyDescent="0.2">
      <c r="R10167" t="s">
        <v>43</v>
      </c>
      <c r="S10167" t="s">
        <v>257</v>
      </c>
      <c r="T10167" t="s">
        <v>427</v>
      </c>
      <c r="U10167" s="21">
        <v>3171.99</v>
      </c>
      <c r="V10167" s="21" t="s">
        <v>368</v>
      </c>
      <c r="W10167" t="str">
        <f>VLOOKUP(Table_Query_from_Actuarial___Production[[#This Row],[Kor1]],$AI$3:$AK$105,3,FALSE)</f>
        <v>Charge-offs</v>
      </c>
      <c r="X101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7"/>
      <c r="Z10167" t="s">
        <v>10</v>
      </c>
      <c r="AA10167" t="s">
        <v>226</v>
      </c>
      <c r="AB10167" t="s">
        <v>8</v>
      </c>
      <c r="AC10167" s="21">
        <v>413805.95</v>
      </c>
      <c r="AD10167" s="21" t="s">
        <v>368</v>
      </c>
      <c r="AE10167" t="str">
        <f>VLOOKUP(Table_Query_from_Actuarial___Production3[[#This Row],[Kor1]],$AI$3:$AK$105,3,FALSE)</f>
        <v>Commissions</v>
      </c>
      <c r="AF101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168" spans="18:32" x14ac:dyDescent="0.2">
      <c r="R10168" t="s">
        <v>3</v>
      </c>
      <c r="S10168" t="s">
        <v>230</v>
      </c>
      <c r="T10168" t="s">
        <v>442</v>
      </c>
      <c r="U10168" s="21">
        <v>12679470</v>
      </c>
      <c r="V10168" s="21" t="s">
        <v>368</v>
      </c>
      <c r="W10168" t="str">
        <f>VLOOKUP(Table_Query_from_Actuarial___Production[[#This Row],[Kor1]],$AI$3:$AK$105,3,FALSE)</f>
        <v>Premiums Written</v>
      </c>
      <c r="X101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8"/>
      <c r="Z10168" t="s">
        <v>11</v>
      </c>
      <c r="AA10168" t="s">
        <v>226</v>
      </c>
      <c r="AB10168" t="s">
        <v>7</v>
      </c>
      <c r="AC10168" s="21">
        <v>7560210.3700000001</v>
      </c>
      <c r="AD10168" s="21" t="s">
        <v>368</v>
      </c>
      <c r="AE10168" t="str">
        <f>VLOOKUP(Table_Query_from_Actuarial___Production3[[#This Row],[Kor1]],$AI$3:$AK$105,3,FALSE)</f>
        <v>Losses Paid</v>
      </c>
      <c r="AF101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169" spans="18:32" x14ac:dyDescent="0.2">
      <c r="R10169" t="s">
        <v>47</v>
      </c>
      <c r="S10169" t="s">
        <v>265</v>
      </c>
      <c r="T10169" t="s">
        <v>427</v>
      </c>
      <c r="U10169" s="21">
        <v>4600.01</v>
      </c>
      <c r="V10169" s="21" t="s">
        <v>368</v>
      </c>
      <c r="W10169" t="str">
        <f>VLOOKUP(Table_Query_from_Actuarial___Production[[#This Row],[Kor1]],$AI$3:$AK$105,3,FALSE)</f>
        <v>Investment Income</v>
      </c>
      <c r="X101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69"/>
      <c r="Z10169" t="s">
        <v>10</v>
      </c>
      <c r="AA10169" t="s">
        <v>252</v>
      </c>
      <c r="AB10169" t="s">
        <v>8</v>
      </c>
      <c r="AC10169" s="21">
        <v>837750.78</v>
      </c>
      <c r="AD10169" s="21" t="s">
        <v>368</v>
      </c>
      <c r="AE10169" t="str">
        <f>VLOOKUP(Table_Query_from_Actuarial___Production3[[#This Row],[Kor1]],$AI$3:$AK$105,3,FALSE)</f>
        <v>Commissions</v>
      </c>
      <c r="AF101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0" spans="18:32" x14ac:dyDescent="0.2">
      <c r="R10170" t="s">
        <v>16</v>
      </c>
      <c r="S10170" t="s">
        <v>244</v>
      </c>
      <c r="T10170" t="s">
        <v>442</v>
      </c>
      <c r="U10170" s="21">
        <v>308631.83</v>
      </c>
      <c r="V10170" s="21" t="s">
        <v>368</v>
      </c>
      <c r="W10170" t="str">
        <f>VLOOKUP(Table_Query_from_Actuarial___Production[[#This Row],[Kor1]],$AI$3:$AK$105,3,FALSE)</f>
        <v>Losses Outstanding</v>
      </c>
      <c r="X101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0"/>
      <c r="Z10170" t="s">
        <v>34</v>
      </c>
      <c r="AA10170" t="s">
        <v>255</v>
      </c>
      <c r="AB10170" t="s">
        <v>443</v>
      </c>
      <c r="AC10170" s="21">
        <v>1759.14</v>
      </c>
      <c r="AD10170" s="21" t="s">
        <v>368</v>
      </c>
      <c r="AE10170" t="str">
        <f>VLOOKUP(Table_Query_from_Actuarial___Production3[[#This Row],[Kor1]],$AI$3:$AK$105,3,FALSE)</f>
        <v>Misc. Expense</v>
      </c>
      <c r="AF101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1" spans="18:32" x14ac:dyDescent="0.2">
      <c r="R10171" t="s">
        <v>10</v>
      </c>
      <c r="S10171" t="s">
        <v>259</v>
      </c>
      <c r="T10171" t="s">
        <v>9</v>
      </c>
      <c r="U10171" s="21">
        <v>26523.06</v>
      </c>
      <c r="V10171" s="21" t="s">
        <v>368</v>
      </c>
      <c r="W10171" t="str">
        <f>VLOOKUP(Table_Query_from_Actuarial___Production[[#This Row],[Kor1]],$AI$3:$AK$105,3,FALSE)</f>
        <v>Commissions</v>
      </c>
      <c r="X101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1"/>
      <c r="Z10171" t="s">
        <v>41</v>
      </c>
      <c r="AA10171" t="s">
        <v>261</v>
      </c>
      <c r="AB10171" t="s">
        <v>7</v>
      </c>
      <c r="AC10171" s="21">
        <v>300</v>
      </c>
      <c r="AD10171" s="21" t="s">
        <v>368</v>
      </c>
      <c r="AE10171" t="str">
        <f>VLOOKUP(Table_Query_from_Actuarial___Production3[[#This Row],[Kor1]],$AI$3:$AK$105,3,FALSE)</f>
        <v>Misc. Income</v>
      </c>
      <c r="AF101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2" spans="18:32" x14ac:dyDescent="0.2">
      <c r="R10172" t="s">
        <v>21</v>
      </c>
      <c r="S10172" t="s">
        <v>257</v>
      </c>
      <c r="T10172" t="s">
        <v>442</v>
      </c>
      <c r="U10172" s="21">
        <v>5005.72</v>
      </c>
      <c r="V10172" s="21" t="s">
        <v>368</v>
      </c>
      <c r="W10172" t="str">
        <f>VLOOKUP(Table_Query_from_Actuarial___Production[[#This Row],[Kor1]],$AI$3:$AK$105,3,FALSE)</f>
        <v>Misc. Expense</v>
      </c>
      <c r="X101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2"/>
      <c r="Z10172" t="s">
        <v>33</v>
      </c>
      <c r="AA10172" t="s">
        <v>245</v>
      </c>
      <c r="AB10172" t="s">
        <v>442</v>
      </c>
      <c r="AC10172" s="21">
        <v>15723.14</v>
      </c>
      <c r="AD10172" s="21" t="s">
        <v>368</v>
      </c>
      <c r="AE10172" t="str">
        <f>VLOOKUP(Table_Query_from_Actuarial___Production3[[#This Row],[Kor1]],$AI$3:$AK$105,3,FALSE)</f>
        <v>Misc. Expense</v>
      </c>
      <c r="AF101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3" spans="18:32" x14ac:dyDescent="0.2">
      <c r="R10173" t="s">
        <v>13</v>
      </c>
      <c r="S10173" t="s">
        <v>231</v>
      </c>
      <c r="T10173" t="s">
        <v>445</v>
      </c>
      <c r="U10173" s="21">
        <v>230024.39</v>
      </c>
      <c r="V10173" s="21" t="s">
        <v>368</v>
      </c>
      <c r="W10173" t="str">
        <f>VLOOKUP(Table_Query_from_Actuarial___Production[[#This Row],[Kor1]],$AI$3:$AK$105,3,FALSE)</f>
        <v>Operating Service Fees</v>
      </c>
      <c r="X101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3"/>
      <c r="Z10173" t="s">
        <v>41</v>
      </c>
      <c r="AA10173" t="s">
        <v>244</v>
      </c>
      <c r="AB10173" t="s">
        <v>351</v>
      </c>
      <c r="AC10173" s="21">
        <v>841.07</v>
      </c>
      <c r="AD10173" s="21" t="s">
        <v>368</v>
      </c>
      <c r="AE10173" t="str">
        <f>VLOOKUP(Table_Query_from_Actuarial___Production3[[#This Row],[Kor1]],$AI$3:$AK$105,3,FALSE)</f>
        <v>Misc. Income</v>
      </c>
      <c r="AF101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4" spans="18:32" x14ac:dyDescent="0.2">
      <c r="R10174" t="s">
        <v>14</v>
      </c>
      <c r="S10174" t="s">
        <v>261</v>
      </c>
      <c r="T10174" t="s">
        <v>442</v>
      </c>
      <c r="U10174" s="21">
        <v>12450.65</v>
      </c>
      <c r="V10174" s="21" t="s">
        <v>368</v>
      </c>
      <c r="W10174" t="str">
        <f>VLOOKUP(Table_Query_from_Actuarial___Production[[#This Row],[Kor1]],$AI$3:$AK$105,3,FALSE)</f>
        <v>Claims Expense</v>
      </c>
      <c r="X101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4"/>
      <c r="Z10174" t="s">
        <v>3</v>
      </c>
      <c r="AA10174" t="s">
        <v>230</v>
      </c>
      <c r="AB10174" t="s">
        <v>351</v>
      </c>
      <c r="AC10174" s="21">
        <v>24152152</v>
      </c>
      <c r="AD10174" s="21" t="s">
        <v>368</v>
      </c>
      <c r="AE10174" t="str">
        <f>VLOOKUP(Table_Query_from_Actuarial___Production3[[#This Row],[Kor1]],$AI$3:$AK$105,3,FALSE)</f>
        <v>Premiums Written</v>
      </c>
      <c r="AF101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5" spans="18:32" x14ac:dyDescent="0.2">
      <c r="R10175" t="s">
        <v>37</v>
      </c>
      <c r="S10175" t="s">
        <v>254</v>
      </c>
      <c r="T10175" t="s">
        <v>6</v>
      </c>
      <c r="U10175" s="21">
        <v>701.15</v>
      </c>
      <c r="V10175" s="21" t="s">
        <v>368</v>
      </c>
      <c r="W10175" t="str">
        <f>VLOOKUP(Table_Query_from_Actuarial___Production[[#This Row],[Kor1]],$AI$3:$AK$105,3,FALSE)</f>
        <v>Misc. Expense</v>
      </c>
      <c r="X101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5"/>
      <c r="Z10175" t="s">
        <v>14</v>
      </c>
      <c r="AA10175" t="s">
        <v>224</v>
      </c>
      <c r="AB10175" t="s">
        <v>443</v>
      </c>
      <c r="AC10175" s="21">
        <v>16038.25</v>
      </c>
      <c r="AD10175" s="21" t="s">
        <v>370</v>
      </c>
      <c r="AE10175" t="str">
        <f>VLOOKUP(Table_Query_from_Actuarial___Production3[[#This Row],[Kor1]],$AI$3:$AK$105,3,FALSE)</f>
        <v>Claims Expense</v>
      </c>
      <c r="AF101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176" spans="18:32" x14ac:dyDescent="0.2">
      <c r="R10176" t="s">
        <v>41</v>
      </c>
      <c r="S10176" t="s">
        <v>236</v>
      </c>
      <c r="T10176" t="s">
        <v>427</v>
      </c>
      <c r="U10176" s="21">
        <v>400.01</v>
      </c>
      <c r="V10176" s="21" t="s">
        <v>368</v>
      </c>
      <c r="W10176" t="str">
        <f>VLOOKUP(Table_Query_from_Actuarial___Production[[#This Row],[Kor1]],$AI$3:$AK$105,3,FALSE)</f>
        <v>Misc. Income</v>
      </c>
      <c r="X101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6"/>
      <c r="Z10176" t="s">
        <v>3</v>
      </c>
      <c r="AA10176" t="s">
        <v>246</v>
      </c>
      <c r="AB10176" t="s">
        <v>7</v>
      </c>
      <c r="AC10176" s="21">
        <v>426752</v>
      </c>
      <c r="AD10176" s="21" t="s">
        <v>368</v>
      </c>
      <c r="AE10176" t="str">
        <f>VLOOKUP(Table_Query_from_Actuarial___Production3[[#This Row],[Kor1]],$AI$3:$AK$105,3,FALSE)</f>
        <v>Premiums Written</v>
      </c>
      <c r="AF101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7" spans="18:32" x14ac:dyDescent="0.2">
      <c r="R10177" t="s">
        <v>43</v>
      </c>
      <c r="S10177" t="s">
        <v>235</v>
      </c>
      <c r="T10177" t="s">
        <v>7</v>
      </c>
      <c r="U10177" s="21">
        <v>-286.7</v>
      </c>
      <c r="V10177" s="21" t="s">
        <v>368</v>
      </c>
      <c r="W10177" t="str">
        <f>VLOOKUP(Table_Query_from_Actuarial___Production[[#This Row],[Kor1]],$AI$3:$AK$105,3,FALSE)</f>
        <v>Charge-offs</v>
      </c>
      <c r="X101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7"/>
      <c r="Z10177" t="s">
        <v>41</v>
      </c>
      <c r="AA10177" t="s">
        <v>259</v>
      </c>
      <c r="AB10177" t="s">
        <v>441</v>
      </c>
      <c r="AC10177" s="21">
        <v>700</v>
      </c>
      <c r="AD10177" s="21" t="s">
        <v>368</v>
      </c>
      <c r="AE10177" t="str">
        <f>VLOOKUP(Table_Query_from_Actuarial___Production3[[#This Row],[Kor1]],$AI$3:$AK$105,3,FALSE)</f>
        <v>Misc. Income</v>
      </c>
      <c r="AF101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8" spans="18:32" x14ac:dyDescent="0.2">
      <c r="R10178" t="s">
        <v>50</v>
      </c>
      <c r="S10178" t="s">
        <v>245</v>
      </c>
      <c r="T10178" t="s">
        <v>433</v>
      </c>
      <c r="U10178" s="21">
        <v>15.48</v>
      </c>
      <c r="V10178" s="21" t="s">
        <v>368</v>
      </c>
      <c r="W10178" t="str">
        <f>VLOOKUP(Table_Query_from_Actuarial___Production[[#This Row],[Kor1]],$AI$3:$AK$105,3,FALSE)</f>
        <v>ALAE Reserve</v>
      </c>
      <c r="X101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8"/>
      <c r="Z10178" t="s">
        <v>43</v>
      </c>
      <c r="AA10178" t="s">
        <v>257</v>
      </c>
      <c r="AB10178" t="s">
        <v>427</v>
      </c>
      <c r="AC10178" s="21">
        <v>3171.99</v>
      </c>
      <c r="AD10178" s="21" t="s">
        <v>368</v>
      </c>
      <c r="AE10178" t="str">
        <f>VLOOKUP(Table_Query_from_Actuarial___Production3[[#This Row],[Kor1]],$AI$3:$AK$105,3,FALSE)</f>
        <v>Charge-offs</v>
      </c>
      <c r="AF101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79" spans="18:32" x14ac:dyDescent="0.2">
      <c r="R10179" t="s">
        <v>14</v>
      </c>
      <c r="S10179" t="s">
        <v>260</v>
      </c>
      <c r="T10179" t="s">
        <v>441</v>
      </c>
      <c r="U10179" s="21">
        <v>1905.56</v>
      </c>
      <c r="V10179" s="21" t="s">
        <v>368</v>
      </c>
      <c r="W10179" t="str">
        <f>VLOOKUP(Table_Query_from_Actuarial___Production[[#This Row],[Kor1]],$AI$3:$AK$105,3,FALSE)</f>
        <v>Claims Expense</v>
      </c>
      <c r="X101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79"/>
      <c r="Z10179" t="s">
        <v>3</v>
      </c>
      <c r="AA10179" t="s">
        <v>230</v>
      </c>
      <c r="AB10179" t="s">
        <v>442</v>
      </c>
      <c r="AC10179" s="21">
        <v>12473824</v>
      </c>
      <c r="AD10179" s="21" t="s">
        <v>368</v>
      </c>
      <c r="AE10179" t="str">
        <f>VLOOKUP(Table_Query_from_Actuarial___Production3[[#This Row],[Kor1]],$AI$3:$AK$105,3,FALSE)</f>
        <v>Premiums Written</v>
      </c>
      <c r="AF101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0" spans="18:32" x14ac:dyDescent="0.2">
      <c r="R10180" t="s">
        <v>21</v>
      </c>
      <c r="S10180" t="s">
        <v>258</v>
      </c>
      <c r="T10180" t="s">
        <v>6</v>
      </c>
      <c r="U10180" s="21">
        <v>3065.57</v>
      </c>
      <c r="V10180" s="21" t="s">
        <v>368</v>
      </c>
      <c r="W10180" t="str">
        <f>VLOOKUP(Table_Query_from_Actuarial___Production[[#This Row],[Kor1]],$AI$3:$AK$105,3,FALSE)</f>
        <v>Misc. Expense</v>
      </c>
      <c r="X101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0"/>
      <c r="Z10180" t="s">
        <v>43</v>
      </c>
      <c r="AA10180" t="s">
        <v>242</v>
      </c>
      <c r="AB10180" t="s">
        <v>5</v>
      </c>
      <c r="AC10180" s="21">
        <v>-0.04</v>
      </c>
      <c r="AD10180" s="21" t="s">
        <v>368</v>
      </c>
      <c r="AE10180" t="str">
        <f>VLOOKUP(Table_Query_from_Actuarial___Production3[[#This Row],[Kor1]],$AI$3:$AK$105,3,FALSE)</f>
        <v>Charge-offs</v>
      </c>
      <c r="AF101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1" spans="18:32" x14ac:dyDescent="0.2">
      <c r="R10181" t="s">
        <v>41</v>
      </c>
      <c r="S10181" t="s">
        <v>240</v>
      </c>
      <c r="T10181" t="s">
        <v>443</v>
      </c>
      <c r="U10181" s="21">
        <v>999.96</v>
      </c>
      <c r="V10181" s="21" t="s">
        <v>368</v>
      </c>
      <c r="W10181" t="str">
        <f>VLOOKUP(Table_Query_from_Actuarial___Production[[#This Row],[Kor1]],$AI$3:$AK$105,3,FALSE)</f>
        <v>Misc. Income</v>
      </c>
      <c r="X101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1"/>
      <c r="Z10181" t="s">
        <v>47</v>
      </c>
      <c r="AA10181" t="s">
        <v>265</v>
      </c>
      <c r="AB10181" t="s">
        <v>427</v>
      </c>
      <c r="AC10181" s="21">
        <v>4600.01</v>
      </c>
      <c r="AD10181" s="21" t="s">
        <v>368</v>
      </c>
      <c r="AE10181" t="str">
        <f>VLOOKUP(Table_Query_from_Actuarial___Production3[[#This Row],[Kor1]],$AI$3:$AK$105,3,FALSE)</f>
        <v>Investment Income</v>
      </c>
      <c r="AF101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2" spans="18:32" x14ac:dyDescent="0.2">
      <c r="R10182" t="s">
        <v>20</v>
      </c>
      <c r="S10182" t="s">
        <v>248</v>
      </c>
      <c r="T10182" t="s">
        <v>442</v>
      </c>
      <c r="U10182" s="21">
        <v>106.44</v>
      </c>
      <c r="V10182" s="21" t="s">
        <v>368</v>
      </c>
      <c r="W10182" t="str">
        <f>VLOOKUP(Table_Query_from_Actuarial___Production[[#This Row],[Kor1]],$AI$3:$AK$105,3,FALSE)</f>
        <v>Misc. Expense</v>
      </c>
      <c r="X101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2"/>
      <c r="Z10182" t="s">
        <v>16</v>
      </c>
      <c r="AA10182" t="s">
        <v>244</v>
      </c>
      <c r="AB10182" t="s">
        <v>442</v>
      </c>
      <c r="AC10182" s="21">
        <v>581363.23</v>
      </c>
      <c r="AD10182" s="21" t="s">
        <v>368</v>
      </c>
      <c r="AE10182" t="str">
        <f>VLOOKUP(Table_Query_from_Actuarial___Production3[[#This Row],[Kor1]],$AI$3:$AK$105,3,FALSE)</f>
        <v>Losses Outstanding</v>
      </c>
      <c r="AF101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3" spans="18:32" x14ac:dyDescent="0.2">
      <c r="R10183" t="s">
        <v>10</v>
      </c>
      <c r="S10183" t="s">
        <v>225</v>
      </c>
      <c r="T10183" t="s">
        <v>9</v>
      </c>
      <c r="U10183" s="21">
        <v>120581.48</v>
      </c>
      <c r="V10183" s="21" t="s">
        <v>369</v>
      </c>
      <c r="W10183" t="str">
        <f>VLOOKUP(Table_Query_from_Actuarial___Production[[#This Row],[Kor1]],$AI$3:$AK$105,3,FALSE)</f>
        <v>Commissions</v>
      </c>
      <c r="X101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183"/>
      <c r="Z10183" t="s">
        <v>10</v>
      </c>
      <c r="AA10183" t="s">
        <v>259</v>
      </c>
      <c r="AB10183" t="s">
        <v>9</v>
      </c>
      <c r="AC10183" s="21">
        <v>26523.06</v>
      </c>
      <c r="AD10183" s="21" t="s">
        <v>368</v>
      </c>
      <c r="AE10183" t="str">
        <f>VLOOKUP(Table_Query_from_Actuarial___Production3[[#This Row],[Kor1]],$AI$3:$AK$105,3,FALSE)</f>
        <v>Commissions</v>
      </c>
      <c r="AF101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4" spans="18:32" x14ac:dyDescent="0.2">
      <c r="R10184" t="s">
        <v>44</v>
      </c>
      <c r="S10184" t="s">
        <v>225</v>
      </c>
      <c r="T10184" t="s">
        <v>433</v>
      </c>
      <c r="U10184" s="21">
        <v>5457</v>
      </c>
      <c r="V10184" s="21" t="s">
        <v>368</v>
      </c>
      <c r="W10184" t="str">
        <f>VLOOKUP(Table_Query_from_Actuarial___Production[[#This Row],[Kor1]],$AI$3:$AK$105,3,FALSE)</f>
        <v>Charge-offs</v>
      </c>
      <c r="X101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184"/>
      <c r="Z10184" t="s">
        <v>21</v>
      </c>
      <c r="AA10184" t="s">
        <v>257</v>
      </c>
      <c r="AB10184" t="s">
        <v>442</v>
      </c>
      <c r="AC10184" s="21">
        <v>5005.72</v>
      </c>
      <c r="AD10184" s="21" t="s">
        <v>368</v>
      </c>
      <c r="AE10184" t="str">
        <f>VLOOKUP(Table_Query_from_Actuarial___Production3[[#This Row],[Kor1]],$AI$3:$AK$105,3,FALSE)</f>
        <v>Misc. Expense</v>
      </c>
      <c r="AF101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5" spans="18:32" x14ac:dyDescent="0.2">
      <c r="R10185" t="s">
        <v>12</v>
      </c>
      <c r="S10185" t="s">
        <v>251</v>
      </c>
      <c r="T10185" t="s">
        <v>443</v>
      </c>
      <c r="U10185" s="21">
        <v>16752.82</v>
      </c>
      <c r="V10185" s="21" t="s">
        <v>368</v>
      </c>
      <c r="W10185" t="str">
        <f>VLOOKUP(Table_Query_from_Actuarial___Production[[#This Row],[Kor1]],$AI$3:$AK$105,3,FALSE)</f>
        <v>Premium Tax</v>
      </c>
      <c r="X101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5"/>
      <c r="Z10185" t="s">
        <v>14</v>
      </c>
      <c r="AA10185" t="s">
        <v>261</v>
      </c>
      <c r="AB10185" t="s">
        <v>442</v>
      </c>
      <c r="AC10185" s="21">
        <v>11589.15</v>
      </c>
      <c r="AD10185" s="21" t="s">
        <v>368</v>
      </c>
      <c r="AE10185" t="str">
        <f>VLOOKUP(Table_Query_from_Actuarial___Production3[[#This Row],[Kor1]],$AI$3:$AK$105,3,FALSE)</f>
        <v>Claims Expense</v>
      </c>
      <c r="AF101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6" spans="18:32" x14ac:dyDescent="0.2">
      <c r="R10186" t="s">
        <v>33</v>
      </c>
      <c r="S10186" t="s">
        <v>261</v>
      </c>
      <c r="T10186" t="s">
        <v>356</v>
      </c>
      <c r="U10186" s="21">
        <v>15268.64</v>
      </c>
      <c r="V10186" s="21" t="s">
        <v>368</v>
      </c>
      <c r="W10186" t="str">
        <f>VLOOKUP(Table_Query_from_Actuarial___Production[[#This Row],[Kor1]],$AI$3:$AK$105,3,FALSE)</f>
        <v>Misc. Expense</v>
      </c>
      <c r="X101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6"/>
      <c r="Z10186" t="s">
        <v>37</v>
      </c>
      <c r="AA10186" t="s">
        <v>254</v>
      </c>
      <c r="AB10186" t="s">
        <v>6</v>
      </c>
      <c r="AC10186" s="21">
        <v>701.15</v>
      </c>
      <c r="AD10186" s="21" t="s">
        <v>368</v>
      </c>
      <c r="AE10186" t="str">
        <f>VLOOKUP(Table_Query_from_Actuarial___Production3[[#This Row],[Kor1]],$AI$3:$AK$105,3,FALSE)</f>
        <v>Misc. Expense</v>
      </c>
      <c r="AF101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7" spans="18:32" x14ac:dyDescent="0.2">
      <c r="R10187" t="s">
        <v>12</v>
      </c>
      <c r="S10187" t="s">
        <v>238</v>
      </c>
      <c r="T10187" t="s">
        <v>443</v>
      </c>
      <c r="U10187" s="21">
        <v>38668.92</v>
      </c>
      <c r="V10187" s="21" t="s">
        <v>368</v>
      </c>
      <c r="W10187" t="str">
        <f>VLOOKUP(Table_Query_from_Actuarial___Production[[#This Row],[Kor1]],$AI$3:$AK$105,3,FALSE)</f>
        <v>Premium Tax</v>
      </c>
      <c r="X101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7"/>
      <c r="Z10187" t="s">
        <v>40</v>
      </c>
      <c r="AA10187" t="s">
        <v>257</v>
      </c>
      <c r="AB10187" t="s">
        <v>5</v>
      </c>
      <c r="AC10187" s="21">
        <v>1344.01</v>
      </c>
      <c r="AD10187" s="21" t="s">
        <v>368</v>
      </c>
      <c r="AE10187" t="str">
        <f>VLOOKUP(Table_Query_from_Actuarial___Production3[[#This Row],[Kor1]],$AI$3:$AK$105,3,FALSE)</f>
        <v>Misc. Income</v>
      </c>
      <c r="AF101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8" spans="18:32" x14ac:dyDescent="0.2">
      <c r="R10188" t="s">
        <v>40</v>
      </c>
      <c r="S10188" t="s">
        <v>245</v>
      </c>
      <c r="T10188" t="s">
        <v>8</v>
      </c>
      <c r="U10188" s="21">
        <v>277</v>
      </c>
      <c r="V10188" s="21" t="s">
        <v>368</v>
      </c>
      <c r="W10188" t="str">
        <f>VLOOKUP(Table_Query_from_Actuarial___Production[[#This Row],[Kor1]],$AI$3:$AK$105,3,FALSE)</f>
        <v>Misc. Income</v>
      </c>
      <c r="X101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8"/>
      <c r="Z10188" t="s">
        <v>41</v>
      </c>
      <c r="AA10188" t="s">
        <v>236</v>
      </c>
      <c r="AB10188" t="s">
        <v>427</v>
      </c>
      <c r="AC10188" s="21">
        <v>400.01</v>
      </c>
      <c r="AD10188" s="21" t="s">
        <v>368</v>
      </c>
      <c r="AE10188" t="str">
        <f>VLOOKUP(Table_Query_from_Actuarial___Production3[[#This Row],[Kor1]],$AI$3:$AK$105,3,FALSE)</f>
        <v>Misc. Income</v>
      </c>
      <c r="AF101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89" spans="18:32" x14ac:dyDescent="0.2">
      <c r="R10189" t="s">
        <v>43</v>
      </c>
      <c r="S10189" t="s">
        <v>246</v>
      </c>
      <c r="T10189" t="s">
        <v>433</v>
      </c>
      <c r="U10189" s="21">
        <v>-0.05</v>
      </c>
      <c r="V10189" s="21" t="s">
        <v>368</v>
      </c>
      <c r="W10189" t="str">
        <f>VLOOKUP(Table_Query_from_Actuarial___Production[[#This Row],[Kor1]],$AI$3:$AK$105,3,FALSE)</f>
        <v>Charge-offs</v>
      </c>
      <c r="X101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89"/>
      <c r="Z10189" t="s">
        <v>43</v>
      </c>
      <c r="AA10189" t="s">
        <v>235</v>
      </c>
      <c r="AB10189" t="s">
        <v>7</v>
      </c>
      <c r="AC10189" s="21">
        <v>-286.7</v>
      </c>
      <c r="AD10189" s="21" t="s">
        <v>368</v>
      </c>
      <c r="AE10189" t="str">
        <f>VLOOKUP(Table_Query_from_Actuarial___Production3[[#This Row],[Kor1]],$AI$3:$AK$105,3,FALSE)</f>
        <v>Charge-offs</v>
      </c>
      <c r="AF101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0" spans="18:32" x14ac:dyDescent="0.2">
      <c r="R10190" t="s">
        <v>11</v>
      </c>
      <c r="S10190" t="s">
        <v>267</v>
      </c>
      <c r="T10190" t="s">
        <v>7</v>
      </c>
      <c r="U10190" s="21">
        <v>5754.17</v>
      </c>
      <c r="V10190" s="21" t="s">
        <v>368</v>
      </c>
      <c r="W10190" t="str">
        <f>VLOOKUP(Table_Query_from_Actuarial___Production[[#This Row],[Kor1]],$AI$3:$AK$105,3,FALSE)</f>
        <v>Losses Paid</v>
      </c>
      <c r="X101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0"/>
      <c r="Z10190" t="s">
        <v>50</v>
      </c>
      <c r="AA10190" t="s">
        <v>245</v>
      </c>
      <c r="AB10190" t="s">
        <v>433</v>
      </c>
      <c r="AC10190" s="21">
        <v>8.31</v>
      </c>
      <c r="AD10190" s="21" t="s">
        <v>368</v>
      </c>
      <c r="AE10190" t="str">
        <f>VLOOKUP(Table_Query_from_Actuarial___Production3[[#This Row],[Kor1]],$AI$3:$AK$105,3,FALSE)</f>
        <v>ALAE Reserve</v>
      </c>
      <c r="AF101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1" spans="18:32" x14ac:dyDescent="0.2">
      <c r="R10191" t="s">
        <v>37</v>
      </c>
      <c r="S10191" t="s">
        <v>239</v>
      </c>
      <c r="T10191" t="s">
        <v>443</v>
      </c>
      <c r="U10191" s="21">
        <v>-16968.72</v>
      </c>
      <c r="V10191" s="21" t="s">
        <v>368</v>
      </c>
      <c r="W10191" t="str">
        <f>VLOOKUP(Table_Query_from_Actuarial___Production[[#This Row],[Kor1]],$AI$3:$AK$105,3,FALSE)</f>
        <v>Misc. Expense</v>
      </c>
      <c r="X101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1"/>
      <c r="Z10191" t="s">
        <v>14</v>
      </c>
      <c r="AA10191" t="s">
        <v>260</v>
      </c>
      <c r="AB10191" t="s">
        <v>441</v>
      </c>
      <c r="AC10191" s="21">
        <v>1905.56</v>
      </c>
      <c r="AD10191" s="21" t="s">
        <v>368</v>
      </c>
      <c r="AE10191" t="str">
        <f>VLOOKUP(Table_Query_from_Actuarial___Production3[[#This Row],[Kor1]],$AI$3:$AK$105,3,FALSE)</f>
        <v>Claims Expense</v>
      </c>
      <c r="AF101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2" spans="18:32" x14ac:dyDescent="0.2">
      <c r="R10192" t="s">
        <v>43</v>
      </c>
      <c r="S10192" t="s">
        <v>233</v>
      </c>
      <c r="T10192" t="s">
        <v>6</v>
      </c>
      <c r="U10192" s="21">
        <v>658.25</v>
      </c>
      <c r="V10192" s="21" t="s">
        <v>368</v>
      </c>
      <c r="W10192" t="str">
        <f>VLOOKUP(Table_Query_from_Actuarial___Production[[#This Row],[Kor1]],$AI$3:$AK$105,3,FALSE)</f>
        <v>Charge-offs</v>
      </c>
      <c r="X101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2"/>
      <c r="Z10192" t="s">
        <v>21</v>
      </c>
      <c r="AA10192" t="s">
        <v>258</v>
      </c>
      <c r="AB10192" t="s">
        <v>6</v>
      </c>
      <c r="AC10192" s="21">
        <v>3065.57</v>
      </c>
      <c r="AD10192" s="21" t="s">
        <v>368</v>
      </c>
      <c r="AE10192" t="str">
        <f>VLOOKUP(Table_Query_from_Actuarial___Production3[[#This Row],[Kor1]],$AI$3:$AK$105,3,FALSE)</f>
        <v>Misc. Expense</v>
      </c>
      <c r="AF101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3" spans="18:32" x14ac:dyDescent="0.2">
      <c r="R10193" t="s">
        <v>46</v>
      </c>
      <c r="S10193" t="s">
        <v>224</v>
      </c>
      <c r="T10193" t="s">
        <v>9</v>
      </c>
      <c r="U10193" s="21">
        <v>861.12</v>
      </c>
      <c r="V10193" s="21" t="s">
        <v>369</v>
      </c>
      <c r="W10193" t="str">
        <f>VLOOKUP(Table_Query_from_Actuarial___Production[[#This Row],[Kor1]],$AI$3:$AK$105,3,FALSE)</f>
        <v>Investment Income</v>
      </c>
      <c r="X101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193"/>
      <c r="Z10193" t="s">
        <v>41</v>
      </c>
      <c r="AA10193" t="s">
        <v>240</v>
      </c>
      <c r="AB10193" t="s">
        <v>443</v>
      </c>
      <c r="AC10193" s="21">
        <v>699.97</v>
      </c>
      <c r="AD10193" s="21" t="s">
        <v>368</v>
      </c>
      <c r="AE10193" t="str">
        <f>VLOOKUP(Table_Query_from_Actuarial___Production3[[#This Row],[Kor1]],$AI$3:$AK$105,3,FALSE)</f>
        <v>Misc. Income</v>
      </c>
      <c r="AF101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4" spans="18:32" x14ac:dyDescent="0.2">
      <c r="R10194" t="s">
        <v>12</v>
      </c>
      <c r="S10194" t="s">
        <v>242</v>
      </c>
      <c r="T10194" t="s">
        <v>441</v>
      </c>
      <c r="U10194" s="21">
        <v>17088.39</v>
      </c>
      <c r="V10194" s="21" t="s">
        <v>368</v>
      </c>
      <c r="W10194" t="str">
        <f>VLOOKUP(Table_Query_from_Actuarial___Production[[#This Row],[Kor1]],$AI$3:$AK$105,3,FALSE)</f>
        <v>Premium Tax</v>
      </c>
      <c r="X101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4"/>
      <c r="Z10194" t="s">
        <v>20</v>
      </c>
      <c r="AA10194" t="s">
        <v>248</v>
      </c>
      <c r="AB10194" t="s">
        <v>442</v>
      </c>
      <c r="AC10194" s="21">
        <v>106.44</v>
      </c>
      <c r="AD10194" s="21" t="s">
        <v>368</v>
      </c>
      <c r="AE10194" t="str">
        <f>VLOOKUP(Table_Query_from_Actuarial___Production3[[#This Row],[Kor1]],$AI$3:$AK$105,3,FALSE)</f>
        <v>Misc. Expense</v>
      </c>
      <c r="AF101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5" spans="18:32" x14ac:dyDescent="0.2">
      <c r="R10195" t="s">
        <v>10</v>
      </c>
      <c r="S10195" t="s">
        <v>236</v>
      </c>
      <c r="T10195" t="s">
        <v>356</v>
      </c>
      <c r="U10195" s="21">
        <v>3640</v>
      </c>
      <c r="V10195" s="21" t="s">
        <v>368</v>
      </c>
      <c r="W10195" t="str">
        <f>VLOOKUP(Table_Query_from_Actuarial___Production[[#This Row],[Kor1]],$AI$3:$AK$105,3,FALSE)</f>
        <v>Commissions</v>
      </c>
      <c r="X101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5"/>
      <c r="Z10195" t="s">
        <v>10</v>
      </c>
      <c r="AA10195" t="s">
        <v>225</v>
      </c>
      <c r="AB10195" t="s">
        <v>9</v>
      </c>
      <c r="AC10195" s="21">
        <v>120581.48</v>
      </c>
      <c r="AD10195" s="21" t="s">
        <v>369</v>
      </c>
      <c r="AE10195" t="str">
        <f>VLOOKUP(Table_Query_from_Actuarial___Production3[[#This Row],[Kor1]],$AI$3:$AK$105,3,FALSE)</f>
        <v>Commissions</v>
      </c>
      <c r="AF101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196" spans="18:32" x14ac:dyDescent="0.2">
      <c r="R10196" t="s">
        <v>30</v>
      </c>
      <c r="S10196" t="s">
        <v>4</v>
      </c>
      <c r="T10196" t="s">
        <v>7</v>
      </c>
      <c r="U10196" s="21">
        <v>73.67</v>
      </c>
      <c r="V10196" s="21" t="s">
        <v>368</v>
      </c>
      <c r="W10196" t="str">
        <f>VLOOKUP(Table_Query_from_Actuarial___Production[[#This Row],[Kor1]],$AI$3:$AK$105,3,FALSE)</f>
        <v>Misc. Expense</v>
      </c>
      <c r="X101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6"/>
      <c r="Z10196" t="s">
        <v>44</v>
      </c>
      <c r="AA10196" t="s">
        <v>225</v>
      </c>
      <c r="AB10196" t="s">
        <v>433</v>
      </c>
      <c r="AC10196" s="21">
        <v>5457</v>
      </c>
      <c r="AD10196" s="21" t="s">
        <v>368</v>
      </c>
      <c r="AE10196" t="str">
        <f>VLOOKUP(Table_Query_from_Actuarial___Production3[[#This Row],[Kor1]],$AI$3:$AK$105,3,FALSE)</f>
        <v>Charge-offs</v>
      </c>
      <c r="AF101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197" spans="18:32" x14ac:dyDescent="0.2">
      <c r="R10197" t="s">
        <v>31</v>
      </c>
      <c r="S10197" t="s">
        <v>261</v>
      </c>
      <c r="T10197" t="s">
        <v>7</v>
      </c>
      <c r="U10197" s="21">
        <v>675.13</v>
      </c>
      <c r="V10197" s="21" t="s">
        <v>368</v>
      </c>
      <c r="W10197" t="str">
        <f>VLOOKUP(Table_Query_from_Actuarial___Production[[#This Row],[Kor1]],$AI$3:$AK$105,3,FALSE)</f>
        <v>Misc. Expense</v>
      </c>
      <c r="X101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7"/>
      <c r="Z10197" t="s">
        <v>12</v>
      </c>
      <c r="AA10197" t="s">
        <v>251</v>
      </c>
      <c r="AB10197" t="s">
        <v>443</v>
      </c>
      <c r="AC10197" s="21">
        <v>4665.75</v>
      </c>
      <c r="AD10197" s="21" t="s">
        <v>368</v>
      </c>
      <c r="AE10197" t="str">
        <f>VLOOKUP(Table_Query_from_Actuarial___Production3[[#This Row],[Kor1]],$AI$3:$AK$105,3,FALSE)</f>
        <v>Premium Tax</v>
      </c>
      <c r="AF101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8" spans="18:32" x14ac:dyDescent="0.2">
      <c r="R10198" t="s">
        <v>11</v>
      </c>
      <c r="S10198" t="s">
        <v>225</v>
      </c>
      <c r="T10198" t="s">
        <v>442</v>
      </c>
      <c r="U10198" s="21">
        <v>141882.46</v>
      </c>
      <c r="V10198" s="21" t="s">
        <v>369</v>
      </c>
      <c r="W10198" t="str">
        <f>VLOOKUP(Table_Query_from_Actuarial___Production[[#This Row],[Kor1]],$AI$3:$AK$105,3,FALSE)</f>
        <v>Losses Paid</v>
      </c>
      <c r="X101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198"/>
      <c r="Z10198" t="s">
        <v>13</v>
      </c>
      <c r="AA10198" t="s">
        <v>237</v>
      </c>
      <c r="AB10198" t="s">
        <v>5</v>
      </c>
      <c r="AC10198" s="21">
        <v>227334.08</v>
      </c>
      <c r="AD10198" s="21" t="s">
        <v>368</v>
      </c>
      <c r="AE10198" t="str">
        <f>VLOOKUP(Table_Query_from_Actuarial___Production3[[#This Row],[Kor1]],$AI$3:$AK$105,3,FALSE)</f>
        <v>Operating Service Fees</v>
      </c>
      <c r="AF101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199" spans="18:32" x14ac:dyDescent="0.2">
      <c r="R10199" t="s">
        <v>50</v>
      </c>
      <c r="S10199" t="s">
        <v>229</v>
      </c>
      <c r="T10199" t="s">
        <v>442</v>
      </c>
      <c r="U10199" s="21">
        <v>461.14</v>
      </c>
      <c r="V10199" s="21" t="s">
        <v>368</v>
      </c>
      <c r="W10199" t="str">
        <f>VLOOKUP(Table_Query_from_Actuarial___Production[[#This Row],[Kor1]],$AI$3:$AK$105,3,FALSE)</f>
        <v>ALAE Reserve</v>
      </c>
      <c r="X101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199"/>
      <c r="Z10199" t="s">
        <v>33</v>
      </c>
      <c r="AA10199" t="s">
        <v>261</v>
      </c>
      <c r="AB10199" t="s">
        <v>356</v>
      </c>
      <c r="AC10199" s="21">
        <v>15268.64</v>
      </c>
      <c r="AD10199" s="21" t="s">
        <v>368</v>
      </c>
      <c r="AE10199" t="str">
        <f>VLOOKUP(Table_Query_from_Actuarial___Production3[[#This Row],[Kor1]],$AI$3:$AK$105,3,FALSE)</f>
        <v>Misc. Expense</v>
      </c>
      <c r="AF101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0" spans="18:32" x14ac:dyDescent="0.2">
      <c r="R10200" t="s">
        <v>14</v>
      </c>
      <c r="S10200" t="s">
        <v>263</v>
      </c>
      <c r="T10200" t="s">
        <v>442</v>
      </c>
      <c r="U10200" s="21">
        <v>22832.06</v>
      </c>
      <c r="V10200" s="21" t="s">
        <v>368</v>
      </c>
      <c r="W10200" t="str">
        <f>VLOOKUP(Table_Query_from_Actuarial___Production[[#This Row],[Kor1]],$AI$3:$AK$105,3,FALSE)</f>
        <v>Claims Expense</v>
      </c>
      <c r="X102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0"/>
      <c r="Z10200" t="s">
        <v>12</v>
      </c>
      <c r="AA10200" t="s">
        <v>238</v>
      </c>
      <c r="AB10200" t="s">
        <v>443</v>
      </c>
      <c r="AC10200" s="21">
        <v>8905.81</v>
      </c>
      <c r="AD10200" s="21" t="s">
        <v>368</v>
      </c>
      <c r="AE10200" t="str">
        <f>VLOOKUP(Table_Query_from_Actuarial___Production3[[#This Row],[Kor1]],$AI$3:$AK$105,3,FALSE)</f>
        <v>Premium Tax</v>
      </c>
      <c r="AF102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1" spans="18:32" x14ac:dyDescent="0.2">
      <c r="R10201" t="s">
        <v>31</v>
      </c>
      <c r="S10201" t="s">
        <v>246</v>
      </c>
      <c r="T10201" t="s">
        <v>441</v>
      </c>
      <c r="U10201" s="21">
        <v>569.54999999999995</v>
      </c>
      <c r="V10201" s="21" t="s">
        <v>368</v>
      </c>
      <c r="W10201" t="str">
        <f>VLOOKUP(Table_Query_from_Actuarial___Production[[#This Row],[Kor1]],$AI$3:$AK$105,3,FALSE)</f>
        <v>Misc. Expense</v>
      </c>
      <c r="X102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1"/>
      <c r="Z10201" t="s">
        <v>40</v>
      </c>
      <c r="AA10201" t="s">
        <v>245</v>
      </c>
      <c r="AB10201" t="s">
        <v>8</v>
      </c>
      <c r="AC10201" s="21">
        <v>277</v>
      </c>
      <c r="AD10201" s="21" t="s">
        <v>368</v>
      </c>
      <c r="AE10201" t="str">
        <f>VLOOKUP(Table_Query_from_Actuarial___Production3[[#This Row],[Kor1]],$AI$3:$AK$105,3,FALSE)</f>
        <v>Misc. Income</v>
      </c>
      <c r="AF102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2" spans="18:32" x14ac:dyDescent="0.2">
      <c r="R10202" t="s">
        <v>39</v>
      </c>
      <c r="S10202" t="s">
        <v>266</v>
      </c>
      <c r="T10202" t="s">
        <v>6</v>
      </c>
      <c r="U10202" s="21">
        <v>1581.58</v>
      </c>
      <c r="V10202" s="21" t="s">
        <v>368</v>
      </c>
      <c r="W10202" t="str">
        <f>VLOOKUP(Table_Query_from_Actuarial___Production[[#This Row],[Kor1]],$AI$3:$AK$105,3,FALSE)</f>
        <v>Misc. Income for Insolvent Companies</v>
      </c>
      <c r="X102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2"/>
      <c r="Z10202" t="s">
        <v>43</v>
      </c>
      <c r="AA10202" t="s">
        <v>246</v>
      </c>
      <c r="AB10202" t="s">
        <v>433</v>
      </c>
      <c r="AC10202" s="21">
        <v>-0.05</v>
      </c>
      <c r="AD10202" s="21" t="s">
        <v>368</v>
      </c>
      <c r="AE10202" t="str">
        <f>VLOOKUP(Table_Query_from_Actuarial___Production3[[#This Row],[Kor1]],$AI$3:$AK$105,3,FALSE)</f>
        <v>Charge-offs</v>
      </c>
      <c r="AF102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3" spans="18:32" x14ac:dyDescent="0.2">
      <c r="R10203" t="s">
        <v>13</v>
      </c>
      <c r="S10203" t="s">
        <v>227</v>
      </c>
      <c r="T10203" t="s">
        <v>7</v>
      </c>
      <c r="U10203" s="21">
        <v>68185.119999999995</v>
      </c>
      <c r="V10203" s="21" t="s">
        <v>368</v>
      </c>
      <c r="W10203" t="str">
        <f>VLOOKUP(Table_Query_from_Actuarial___Production[[#This Row],[Kor1]],$AI$3:$AK$105,3,FALSE)</f>
        <v>Operating Service Fees</v>
      </c>
      <c r="X102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3"/>
      <c r="Z10203" t="s">
        <v>11</v>
      </c>
      <c r="AA10203" t="s">
        <v>267</v>
      </c>
      <c r="AB10203" t="s">
        <v>7</v>
      </c>
      <c r="AC10203" s="21">
        <v>5754.17</v>
      </c>
      <c r="AD10203" s="21" t="s">
        <v>368</v>
      </c>
      <c r="AE10203" t="str">
        <f>VLOOKUP(Table_Query_from_Actuarial___Production3[[#This Row],[Kor1]],$AI$3:$AK$105,3,FALSE)</f>
        <v>Losses Paid</v>
      </c>
      <c r="AF102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4" spans="18:32" x14ac:dyDescent="0.2">
      <c r="R10204" t="s">
        <v>20</v>
      </c>
      <c r="S10204" t="s">
        <v>267</v>
      </c>
      <c r="T10204" t="s">
        <v>9</v>
      </c>
      <c r="U10204" s="21">
        <v>495.58</v>
      </c>
      <c r="V10204" s="21" t="s">
        <v>368</v>
      </c>
      <c r="W10204" t="str">
        <f>VLOOKUP(Table_Query_from_Actuarial___Production[[#This Row],[Kor1]],$AI$3:$AK$105,3,FALSE)</f>
        <v>Misc. Expense</v>
      </c>
      <c r="X102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4"/>
      <c r="Z10204" t="s">
        <v>37</v>
      </c>
      <c r="AA10204" t="s">
        <v>239</v>
      </c>
      <c r="AB10204" t="s">
        <v>443</v>
      </c>
      <c r="AC10204" s="21">
        <v>648.22</v>
      </c>
      <c r="AD10204" s="21" t="s">
        <v>368</v>
      </c>
      <c r="AE10204" t="str">
        <f>VLOOKUP(Table_Query_from_Actuarial___Production3[[#This Row],[Kor1]],$AI$3:$AK$105,3,FALSE)</f>
        <v>Misc. Expense</v>
      </c>
      <c r="AF102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5" spans="18:32" x14ac:dyDescent="0.2">
      <c r="R10205" t="s">
        <v>77</v>
      </c>
      <c r="S10205" t="s">
        <v>237</v>
      </c>
      <c r="T10205" t="s">
        <v>443</v>
      </c>
      <c r="U10205" s="21">
        <v>3322332</v>
      </c>
      <c r="V10205" s="21" t="s">
        <v>368</v>
      </c>
      <c r="W10205" t="str">
        <f>VLOOKUP(Table_Query_from_Actuarial___Production[[#This Row],[Kor1]],$AI$3:$AK$105,3,FALSE)</f>
        <v>PDR</v>
      </c>
      <c r="X102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5"/>
      <c r="Z10205" t="s">
        <v>43</v>
      </c>
      <c r="AA10205" t="s">
        <v>233</v>
      </c>
      <c r="AB10205" t="s">
        <v>6</v>
      </c>
      <c r="AC10205" s="21">
        <v>658.25</v>
      </c>
      <c r="AD10205" s="21" t="s">
        <v>368</v>
      </c>
      <c r="AE10205" t="str">
        <f>VLOOKUP(Table_Query_from_Actuarial___Production3[[#This Row],[Kor1]],$AI$3:$AK$105,3,FALSE)</f>
        <v>Charge-offs</v>
      </c>
      <c r="AF102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6" spans="18:32" x14ac:dyDescent="0.2">
      <c r="R10206" t="s">
        <v>44</v>
      </c>
      <c r="S10206" t="s">
        <v>224</v>
      </c>
      <c r="T10206" t="s">
        <v>433</v>
      </c>
      <c r="U10206" s="21">
        <v>-957</v>
      </c>
      <c r="V10206" s="21" t="s">
        <v>425</v>
      </c>
      <c r="W10206" t="str">
        <f>VLOOKUP(Table_Query_from_Actuarial___Production[[#This Row],[Kor1]],$AI$3:$AK$105,3,FALSE)</f>
        <v>Charge-offs</v>
      </c>
      <c r="X102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206"/>
      <c r="Z10206" t="s">
        <v>46</v>
      </c>
      <c r="AA10206" t="s">
        <v>224</v>
      </c>
      <c r="AB10206" t="s">
        <v>9</v>
      </c>
      <c r="AC10206" s="21">
        <v>861.12</v>
      </c>
      <c r="AD10206" s="21" t="s">
        <v>369</v>
      </c>
      <c r="AE10206" t="str">
        <f>VLOOKUP(Table_Query_from_Actuarial___Production3[[#This Row],[Kor1]],$AI$3:$AK$105,3,FALSE)</f>
        <v>Investment Income</v>
      </c>
      <c r="AF102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207" spans="18:32" x14ac:dyDescent="0.2">
      <c r="R10207" t="s">
        <v>11</v>
      </c>
      <c r="S10207" t="s">
        <v>262</v>
      </c>
      <c r="T10207" t="s">
        <v>442</v>
      </c>
      <c r="U10207" s="21">
        <v>7590.48</v>
      </c>
      <c r="V10207" s="21" t="s">
        <v>368</v>
      </c>
      <c r="W10207" t="str">
        <f>VLOOKUP(Table_Query_from_Actuarial___Production[[#This Row],[Kor1]],$AI$3:$AK$105,3,FALSE)</f>
        <v>Losses Paid</v>
      </c>
      <c r="X102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7"/>
      <c r="Z10207" t="s">
        <v>37</v>
      </c>
      <c r="AA10207" t="s">
        <v>234</v>
      </c>
      <c r="AB10207" t="s">
        <v>5</v>
      </c>
      <c r="AC10207" s="21">
        <v>327.12</v>
      </c>
      <c r="AD10207" s="21" t="s">
        <v>368</v>
      </c>
      <c r="AE10207" t="str">
        <f>VLOOKUP(Table_Query_from_Actuarial___Production3[[#This Row],[Kor1]],$AI$3:$AK$105,3,FALSE)</f>
        <v>Misc. Expense</v>
      </c>
      <c r="AF102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8" spans="18:32" x14ac:dyDescent="0.2">
      <c r="R10208" t="s">
        <v>12</v>
      </c>
      <c r="S10208" t="s">
        <v>237</v>
      </c>
      <c r="T10208" t="s">
        <v>351</v>
      </c>
      <c r="U10208" s="21">
        <v>378890.68</v>
      </c>
      <c r="V10208" s="21" t="s">
        <v>368</v>
      </c>
      <c r="W10208" t="str">
        <f>VLOOKUP(Table_Query_from_Actuarial___Production[[#This Row],[Kor1]],$AI$3:$AK$105,3,FALSE)</f>
        <v>Premium Tax</v>
      </c>
      <c r="X102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8"/>
      <c r="Z10208" t="s">
        <v>12</v>
      </c>
      <c r="AA10208" t="s">
        <v>242</v>
      </c>
      <c r="AB10208" t="s">
        <v>441</v>
      </c>
      <c r="AC10208" s="21">
        <v>17088.39</v>
      </c>
      <c r="AD10208" s="21" t="s">
        <v>368</v>
      </c>
      <c r="AE10208" t="str">
        <f>VLOOKUP(Table_Query_from_Actuarial___Production3[[#This Row],[Kor1]],$AI$3:$AK$105,3,FALSE)</f>
        <v>Premium Tax</v>
      </c>
      <c r="AF102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09" spans="18:32" x14ac:dyDescent="0.2">
      <c r="R10209" t="s">
        <v>15</v>
      </c>
      <c r="S10209" t="s">
        <v>260</v>
      </c>
      <c r="T10209" t="s">
        <v>443</v>
      </c>
      <c r="U10209" s="21">
        <v>3205.19</v>
      </c>
      <c r="V10209" s="21" t="s">
        <v>368</v>
      </c>
      <c r="W10209" t="str">
        <f>VLOOKUP(Table_Query_from_Actuarial___Production[[#This Row],[Kor1]],$AI$3:$AK$105,3,FALSE)</f>
        <v>Unearned Premiums</v>
      </c>
      <c r="X102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09"/>
      <c r="Z10209" t="s">
        <v>10</v>
      </c>
      <c r="AA10209" t="s">
        <v>236</v>
      </c>
      <c r="AB10209" t="s">
        <v>356</v>
      </c>
      <c r="AC10209" s="21">
        <v>3640</v>
      </c>
      <c r="AD10209" s="21" t="s">
        <v>368</v>
      </c>
      <c r="AE10209" t="str">
        <f>VLOOKUP(Table_Query_from_Actuarial___Production3[[#This Row],[Kor1]],$AI$3:$AK$105,3,FALSE)</f>
        <v>Commissions</v>
      </c>
      <c r="AF102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0" spans="18:32" x14ac:dyDescent="0.2">
      <c r="R10210" t="s">
        <v>17</v>
      </c>
      <c r="S10210" t="s">
        <v>247</v>
      </c>
      <c r="T10210" t="s">
        <v>441</v>
      </c>
      <c r="U10210" s="21">
        <v>394.18</v>
      </c>
      <c r="V10210" s="21" t="s">
        <v>368</v>
      </c>
      <c r="W10210" t="str">
        <f>VLOOKUP(Table_Query_from_Actuarial___Production[[#This Row],[Kor1]],$AI$3:$AK$105,3,FALSE)</f>
        <v>IBNR</v>
      </c>
      <c r="X102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0"/>
      <c r="Z10210" t="s">
        <v>30</v>
      </c>
      <c r="AA10210" t="s">
        <v>4</v>
      </c>
      <c r="AB10210" t="s">
        <v>7</v>
      </c>
      <c r="AC10210" s="21">
        <v>73.67</v>
      </c>
      <c r="AD10210" s="21" t="s">
        <v>368</v>
      </c>
      <c r="AE10210" t="str">
        <f>VLOOKUP(Table_Query_from_Actuarial___Production3[[#This Row],[Kor1]],$AI$3:$AK$105,3,FALSE)</f>
        <v>Misc. Expense</v>
      </c>
      <c r="AF102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1" spans="18:32" x14ac:dyDescent="0.2">
      <c r="R10211" t="s">
        <v>19</v>
      </c>
      <c r="S10211" t="s">
        <v>228</v>
      </c>
      <c r="T10211" t="s">
        <v>6</v>
      </c>
      <c r="U10211" s="21">
        <v>17</v>
      </c>
      <c r="V10211" s="21" t="s">
        <v>368</v>
      </c>
      <c r="W10211" t="str">
        <f>VLOOKUP(Table_Query_from_Actuarial___Production[[#This Row],[Kor1]],$AI$3:$AK$105,3,FALSE)</f>
        <v>Misc. Expense for Insolvent Companies</v>
      </c>
      <c r="X102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1"/>
      <c r="Z10211" t="s">
        <v>31</v>
      </c>
      <c r="AA10211" t="s">
        <v>261</v>
      </c>
      <c r="AB10211" t="s">
        <v>7</v>
      </c>
      <c r="AC10211" s="21">
        <v>675.13</v>
      </c>
      <c r="AD10211" s="21" t="s">
        <v>368</v>
      </c>
      <c r="AE10211" t="str">
        <f>VLOOKUP(Table_Query_from_Actuarial___Production3[[#This Row],[Kor1]],$AI$3:$AK$105,3,FALSE)</f>
        <v>Misc. Expense</v>
      </c>
      <c r="AF102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2" spans="18:32" x14ac:dyDescent="0.2">
      <c r="R10212" t="s">
        <v>10</v>
      </c>
      <c r="S10212" t="s">
        <v>239</v>
      </c>
      <c r="T10212" t="s">
        <v>443</v>
      </c>
      <c r="U10212" s="21">
        <v>200952.38</v>
      </c>
      <c r="V10212" s="21" t="s">
        <v>368</v>
      </c>
      <c r="W10212" t="str">
        <f>VLOOKUP(Table_Query_from_Actuarial___Production[[#This Row],[Kor1]],$AI$3:$AK$105,3,FALSE)</f>
        <v>Commissions</v>
      </c>
      <c r="X102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2"/>
      <c r="Z10212" t="s">
        <v>11</v>
      </c>
      <c r="AA10212" t="s">
        <v>225</v>
      </c>
      <c r="AB10212" t="s">
        <v>442</v>
      </c>
      <c r="AC10212" s="21">
        <v>79005.11</v>
      </c>
      <c r="AD10212" s="21" t="s">
        <v>369</v>
      </c>
      <c r="AE10212" t="str">
        <f>VLOOKUP(Table_Query_from_Actuarial___Production3[[#This Row],[Kor1]],$AI$3:$AK$105,3,FALSE)</f>
        <v>Losses Paid</v>
      </c>
      <c r="AF102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213" spans="18:32" x14ac:dyDescent="0.2">
      <c r="R10213" t="s">
        <v>44</v>
      </c>
      <c r="S10213" t="s">
        <v>231</v>
      </c>
      <c r="T10213" t="s">
        <v>427</v>
      </c>
      <c r="U10213" s="21">
        <v>25259.21</v>
      </c>
      <c r="V10213" s="21" t="s">
        <v>368</v>
      </c>
      <c r="W10213" t="str">
        <f>VLOOKUP(Table_Query_from_Actuarial___Production[[#This Row],[Kor1]],$AI$3:$AK$105,3,FALSE)</f>
        <v>Charge-offs</v>
      </c>
      <c r="X102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3"/>
      <c r="Z10213" t="s">
        <v>50</v>
      </c>
      <c r="AA10213" t="s">
        <v>229</v>
      </c>
      <c r="AB10213" t="s">
        <v>442</v>
      </c>
      <c r="AC10213" s="21">
        <v>452.07</v>
      </c>
      <c r="AD10213" s="21" t="s">
        <v>368</v>
      </c>
      <c r="AE10213" t="str">
        <f>VLOOKUP(Table_Query_from_Actuarial___Production3[[#This Row],[Kor1]],$AI$3:$AK$105,3,FALSE)</f>
        <v>ALAE Reserve</v>
      </c>
      <c r="AF102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4" spans="18:32" x14ac:dyDescent="0.2">
      <c r="R10214" t="s">
        <v>47</v>
      </c>
      <c r="S10214" t="s">
        <v>265</v>
      </c>
      <c r="T10214" t="s">
        <v>7</v>
      </c>
      <c r="U10214" s="21">
        <v>0.01</v>
      </c>
      <c r="V10214" s="21" t="s">
        <v>368</v>
      </c>
      <c r="W10214" t="str">
        <f>VLOOKUP(Table_Query_from_Actuarial___Production[[#This Row],[Kor1]],$AI$3:$AK$105,3,FALSE)</f>
        <v>Investment Income</v>
      </c>
      <c r="X102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4"/>
      <c r="Z10214" t="s">
        <v>14</v>
      </c>
      <c r="AA10214" t="s">
        <v>263</v>
      </c>
      <c r="AB10214" t="s">
        <v>442</v>
      </c>
      <c r="AC10214" s="21">
        <v>18025.63</v>
      </c>
      <c r="AD10214" s="21" t="s">
        <v>368</v>
      </c>
      <c r="AE10214" t="str">
        <f>VLOOKUP(Table_Query_from_Actuarial___Production3[[#This Row],[Kor1]],$AI$3:$AK$105,3,FALSE)</f>
        <v>Claims Expense</v>
      </c>
      <c r="AF102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5" spans="18:32" x14ac:dyDescent="0.2">
      <c r="R10215" t="s">
        <v>3</v>
      </c>
      <c r="S10215" t="s">
        <v>267</v>
      </c>
      <c r="T10215" t="s">
        <v>445</v>
      </c>
      <c r="U10215" s="21">
        <v>307093</v>
      </c>
      <c r="V10215" s="21" t="s">
        <v>368</v>
      </c>
      <c r="W10215" t="str">
        <f>VLOOKUP(Table_Query_from_Actuarial___Production[[#This Row],[Kor1]],$AI$3:$AK$105,3,FALSE)</f>
        <v>Premiums Written</v>
      </c>
      <c r="X102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5"/>
      <c r="Z10215" t="s">
        <v>31</v>
      </c>
      <c r="AA10215" t="s">
        <v>246</v>
      </c>
      <c r="AB10215" t="s">
        <v>441</v>
      </c>
      <c r="AC10215" s="21">
        <v>569.54999999999995</v>
      </c>
      <c r="AD10215" s="21" t="s">
        <v>368</v>
      </c>
      <c r="AE10215" t="str">
        <f>VLOOKUP(Table_Query_from_Actuarial___Production3[[#This Row],[Kor1]],$AI$3:$AK$105,3,FALSE)</f>
        <v>Misc. Expense</v>
      </c>
      <c r="AF102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6" spans="18:32" x14ac:dyDescent="0.2">
      <c r="R10216" t="s">
        <v>43</v>
      </c>
      <c r="S10216" t="s">
        <v>249</v>
      </c>
      <c r="T10216" t="s">
        <v>441</v>
      </c>
      <c r="U10216" s="21">
        <v>-19</v>
      </c>
      <c r="V10216" s="21" t="s">
        <v>368</v>
      </c>
      <c r="W10216" t="str">
        <f>VLOOKUP(Table_Query_from_Actuarial___Production[[#This Row],[Kor1]],$AI$3:$AK$105,3,FALSE)</f>
        <v>Charge-offs</v>
      </c>
      <c r="X102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6"/>
      <c r="Z10216" t="s">
        <v>39</v>
      </c>
      <c r="AA10216" t="s">
        <v>266</v>
      </c>
      <c r="AB10216" t="s">
        <v>6</v>
      </c>
      <c r="AC10216" s="21">
        <v>1581.58</v>
      </c>
      <c r="AD10216" s="21" t="s">
        <v>368</v>
      </c>
      <c r="AE10216" t="str">
        <f>VLOOKUP(Table_Query_from_Actuarial___Production3[[#This Row],[Kor1]],$AI$3:$AK$105,3,FALSE)</f>
        <v>Misc. Income for Insolvent Companies</v>
      </c>
      <c r="AF102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7" spans="18:32" x14ac:dyDescent="0.2">
      <c r="R10217" t="s">
        <v>11</v>
      </c>
      <c r="S10217" t="s">
        <v>224</v>
      </c>
      <c r="T10217" t="s">
        <v>441</v>
      </c>
      <c r="U10217" s="21">
        <v>272689.53999999998</v>
      </c>
      <c r="V10217" s="21" t="s">
        <v>370</v>
      </c>
      <c r="W10217" t="str">
        <f>VLOOKUP(Table_Query_from_Actuarial___Production[[#This Row],[Kor1]],$AI$3:$AK$105,3,FALSE)</f>
        <v>Losses Paid</v>
      </c>
      <c r="X102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217"/>
      <c r="Z10217" t="s">
        <v>13</v>
      </c>
      <c r="AA10217" t="s">
        <v>227</v>
      </c>
      <c r="AB10217" t="s">
        <v>7</v>
      </c>
      <c r="AC10217" s="21">
        <v>68185.119999999995</v>
      </c>
      <c r="AD10217" s="21" t="s">
        <v>368</v>
      </c>
      <c r="AE10217" t="str">
        <f>VLOOKUP(Table_Query_from_Actuarial___Production3[[#This Row],[Kor1]],$AI$3:$AK$105,3,FALSE)</f>
        <v>Operating Service Fees</v>
      </c>
      <c r="AF102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8" spans="18:32" x14ac:dyDescent="0.2">
      <c r="R10218" t="s">
        <v>13</v>
      </c>
      <c r="S10218" t="s">
        <v>224</v>
      </c>
      <c r="T10218" t="s">
        <v>6</v>
      </c>
      <c r="U10218" s="21">
        <v>185656.25</v>
      </c>
      <c r="V10218" s="21" t="s">
        <v>370</v>
      </c>
      <c r="W10218" t="str">
        <f>VLOOKUP(Table_Query_from_Actuarial___Production[[#This Row],[Kor1]],$AI$3:$AK$105,3,FALSE)</f>
        <v>Operating Service Fees</v>
      </c>
      <c r="X102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218"/>
      <c r="Z10218" t="s">
        <v>20</v>
      </c>
      <c r="AA10218" t="s">
        <v>267</v>
      </c>
      <c r="AB10218" t="s">
        <v>9</v>
      </c>
      <c r="AC10218" s="21">
        <v>495.58</v>
      </c>
      <c r="AD10218" s="21" t="s">
        <v>368</v>
      </c>
      <c r="AE10218" t="str">
        <f>VLOOKUP(Table_Query_from_Actuarial___Production3[[#This Row],[Kor1]],$AI$3:$AK$105,3,FALSE)</f>
        <v>Misc. Expense</v>
      </c>
      <c r="AF102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19" spans="18:32" x14ac:dyDescent="0.2">
      <c r="R10219" t="s">
        <v>3</v>
      </c>
      <c r="S10219" t="s">
        <v>249</v>
      </c>
      <c r="T10219" t="s">
        <v>9</v>
      </c>
      <c r="U10219" s="21">
        <v>557847</v>
      </c>
      <c r="V10219" s="21" t="s">
        <v>368</v>
      </c>
      <c r="W10219" t="str">
        <f>VLOOKUP(Table_Query_from_Actuarial___Production[[#This Row],[Kor1]],$AI$3:$AK$105,3,FALSE)</f>
        <v>Premiums Written</v>
      </c>
      <c r="X102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19"/>
      <c r="Z10219" t="s">
        <v>77</v>
      </c>
      <c r="AA10219" t="s">
        <v>237</v>
      </c>
      <c r="AB10219" t="s">
        <v>443</v>
      </c>
      <c r="AC10219" s="21">
        <v>8864190</v>
      </c>
      <c r="AD10219" s="21" t="s">
        <v>368</v>
      </c>
      <c r="AE10219" t="str">
        <f>VLOOKUP(Table_Query_from_Actuarial___Production3[[#This Row],[Kor1]],$AI$3:$AK$105,3,FALSE)</f>
        <v>PDR</v>
      </c>
      <c r="AF102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0" spans="18:32" x14ac:dyDescent="0.2">
      <c r="R10220" t="s">
        <v>11</v>
      </c>
      <c r="S10220" t="s">
        <v>244</v>
      </c>
      <c r="T10220" t="s">
        <v>351</v>
      </c>
      <c r="U10220" s="21">
        <v>2007728.92</v>
      </c>
      <c r="V10220" s="21" t="s">
        <v>368</v>
      </c>
      <c r="W10220" t="str">
        <f>VLOOKUP(Table_Query_from_Actuarial___Production[[#This Row],[Kor1]],$AI$3:$AK$105,3,FALSE)</f>
        <v>Losses Paid</v>
      </c>
      <c r="X102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0"/>
      <c r="Z10220" t="s">
        <v>44</v>
      </c>
      <c r="AA10220" t="s">
        <v>224</v>
      </c>
      <c r="AB10220" t="s">
        <v>433</v>
      </c>
      <c r="AC10220" s="21">
        <v>-1458</v>
      </c>
      <c r="AD10220" s="21" t="s">
        <v>425</v>
      </c>
      <c r="AE10220" t="str">
        <f>VLOOKUP(Table_Query_from_Actuarial___Production3[[#This Row],[Kor1]],$AI$3:$AK$105,3,FALSE)</f>
        <v>Charge-offs</v>
      </c>
      <c r="AF102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221" spans="18:32" x14ac:dyDescent="0.2">
      <c r="R10221" t="s">
        <v>33</v>
      </c>
      <c r="S10221" t="s">
        <v>254</v>
      </c>
      <c r="T10221" t="s">
        <v>443</v>
      </c>
      <c r="U10221" s="21">
        <v>18093.5</v>
      </c>
      <c r="V10221" s="21" t="s">
        <v>368</v>
      </c>
      <c r="W10221" t="str">
        <f>VLOOKUP(Table_Query_from_Actuarial___Production[[#This Row],[Kor1]],$AI$3:$AK$105,3,FALSE)</f>
        <v>Misc. Expense</v>
      </c>
      <c r="X102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1"/>
      <c r="Z10221" t="s">
        <v>11</v>
      </c>
      <c r="AA10221" t="s">
        <v>262</v>
      </c>
      <c r="AB10221" t="s">
        <v>442</v>
      </c>
      <c r="AC10221" s="21">
        <v>7590.48</v>
      </c>
      <c r="AD10221" s="21" t="s">
        <v>368</v>
      </c>
      <c r="AE10221" t="str">
        <f>VLOOKUP(Table_Query_from_Actuarial___Production3[[#This Row],[Kor1]],$AI$3:$AK$105,3,FALSE)</f>
        <v>Losses Paid</v>
      </c>
      <c r="AF102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2" spans="18:32" x14ac:dyDescent="0.2">
      <c r="R10222" t="s">
        <v>14</v>
      </c>
      <c r="S10222" t="s">
        <v>260</v>
      </c>
      <c r="T10222" t="s">
        <v>351</v>
      </c>
      <c r="U10222" s="21">
        <v>261.77</v>
      </c>
      <c r="V10222" s="21" t="s">
        <v>368</v>
      </c>
      <c r="W10222" t="str">
        <f>VLOOKUP(Table_Query_from_Actuarial___Production[[#This Row],[Kor1]],$AI$3:$AK$105,3,FALSE)</f>
        <v>Claims Expense</v>
      </c>
      <c r="X102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2"/>
      <c r="Z10222" t="s">
        <v>12</v>
      </c>
      <c r="AA10222" t="s">
        <v>237</v>
      </c>
      <c r="AB10222" t="s">
        <v>351</v>
      </c>
      <c r="AC10222" s="21">
        <v>378890.68</v>
      </c>
      <c r="AD10222" s="21" t="s">
        <v>368</v>
      </c>
      <c r="AE10222" t="str">
        <f>VLOOKUP(Table_Query_from_Actuarial___Production3[[#This Row],[Kor1]],$AI$3:$AK$105,3,FALSE)</f>
        <v>Premium Tax</v>
      </c>
      <c r="AF102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3" spans="18:32" x14ac:dyDescent="0.2">
      <c r="R10223" t="s">
        <v>11</v>
      </c>
      <c r="S10223" t="s">
        <v>252</v>
      </c>
      <c r="T10223" t="s">
        <v>443</v>
      </c>
      <c r="U10223" s="21">
        <v>1187215.72</v>
      </c>
      <c r="V10223" s="21" t="s">
        <v>368</v>
      </c>
      <c r="W10223" t="str">
        <f>VLOOKUP(Table_Query_from_Actuarial___Production[[#This Row],[Kor1]],$AI$3:$AK$105,3,FALSE)</f>
        <v>Losses Paid</v>
      </c>
      <c r="X102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3"/>
      <c r="Z10223" t="s">
        <v>15</v>
      </c>
      <c r="AA10223" t="s">
        <v>260</v>
      </c>
      <c r="AB10223" t="s">
        <v>443</v>
      </c>
      <c r="AC10223" s="21">
        <v>36276.629999999997</v>
      </c>
      <c r="AD10223" s="21" t="s">
        <v>368</v>
      </c>
      <c r="AE10223" t="str">
        <f>VLOOKUP(Table_Query_from_Actuarial___Production3[[#This Row],[Kor1]],$AI$3:$AK$105,3,FALSE)</f>
        <v>Unearned Premiums</v>
      </c>
      <c r="AF102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4" spans="18:32" x14ac:dyDescent="0.2">
      <c r="R10224" t="s">
        <v>14</v>
      </c>
      <c r="S10224" t="s">
        <v>243</v>
      </c>
      <c r="T10224" t="s">
        <v>427</v>
      </c>
      <c r="U10224" s="21">
        <v>98978.71</v>
      </c>
      <c r="V10224" s="21" t="s">
        <v>368</v>
      </c>
      <c r="W10224" t="str">
        <f>VLOOKUP(Table_Query_from_Actuarial___Production[[#This Row],[Kor1]],$AI$3:$AK$105,3,FALSE)</f>
        <v>Claims Expense</v>
      </c>
      <c r="X102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4"/>
      <c r="Z10224" t="s">
        <v>48</v>
      </c>
      <c r="AA10224" t="s">
        <v>245</v>
      </c>
      <c r="AB10224" t="s">
        <v>433</v>
      </c>
      <c r="AC10224" s="21">
        <v>0.88</v>
      </c>
      <c r="AD10224" s="21" t="s">
        <v>368</v>
      </c>
      <c r="AE10224" t="str">
        <f>VLOOKUP(Table_Query_from_Actuarial___Production3[[#This Row],[Kor1]],$AI$3:$AK$105,3,FALSE)</f>
        <v>Anticipated Salvage</v>
      </c>
      <c r="AF102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5" spans="18:32" x14ac:dyDescent="0.2">
      <c r="R10225" t="s">
        <v>36</v>
      </c>
      <c r="S10225" t="s">
        <v>230</v>
      </c>
      <c r="T10225" t="s">
        <v>7</v>
      </c>
      <c r="U10225" s="21">
        <v>16117.84</v>
      </c>
      <c r="V10225" s="21" t="s">
        <v>368</v>
      </c>
      <c r="W10225" t="str">
        <f>VLOOKUP(Table_Query_from_Actuarial___Production[[#This Row],[Kor1]],$AI$3:$AK$105,3,FALSE)</f>
        <v>Misc. Expense</v>
      </c>
      <c r="X102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5"/>
      <c r="Z10225" t="s">
        <v>17</v>
      </c>
      <c r="AA10225" t="s">
        <v>247</v>
      </c>
      <c r="AB10225" t="s">
        <v>441</v>
      </c>
      <c r="AC10225" s="21">
        <v>691.21</v>
      </c>
      <c r="AD10225" s="21" t="s">
        <v>368</v>
      </c>
      <c r="AE10225" t="str">
        <f>VLOOKUP(Table_Query_from_Actuarial___Production3[[#This Row],[Kor1]],$AI$3:$AK$105,3,FALSE)</f>
        <v>IBNR</v>
      </c>
      <c r="AF102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6" spans="18:32" x14ac:dyDescent="0.2">
      <c r="R10226" t="s">
        <v>41</v>
      </c>
      <c r="S10226" t="s">
        <v>237</v>
      </c>
      <c r="T10226" t="s">
        <v>6</v>
      </c>
      <c r="U10226" s="21">
        <v>449.99</v>
      </c>
      <c r="V10226" s="21" t="s">
        <v>368</v>
      </c>
      <c r="W10226" t="str">
        <f>VLOOKUP(Table_Query_from_Actuarial___Production[[#This Row],[Kor1]],$AI$3:$AK$105,3,FALSE)</f>
        <v>Misc. Income</v>
      </c>
      <c r="X102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6"/>
      <c r="Z10226" t="s">
        <v>19</v>
      </c>
      <c r="AA10226" t="s">
        <v>228</v>
      </c>
      <c r="AB10226" t="s">
        <v>6</v>
      </c>
      <c r="AC10226" s="21">
        <v>17</v>
      </c>
      <c r="AD10226" s="21" t="s">
        <v>368</v>
      </c>
      <c r="AE10226" t="str">
        <f>VLOOKUP(Table_Query_from_Actuarial___Production3[[#This Row],[Kor1]],$AI$3:$AK$105,3,FALSE)</f>
        <v>Misc. Expense for Insolvent Companies</v>
      </c>
      <c r="AF102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7" spans="18:32" x14ac:dyDescent="0.2">
      <c r="R10227" t="s">
        <v>33</v>
      </c>
      <c r="S10227" t="s">
        <v>262</v>
      </c>
      <c r="T10227" t="s">
        <v>7</v>
      </c>
      <c r="U10227" s="21">
        <v>24888.68</v>
      </c>
      <c r="V10227" s="21" t="s">
        <v>368</v>
      </c>
      <c r="W10227" t="str">
        <f>VLOOKUP(Table_Query_from_Actuarial___Production[[#This Row],[Kor1]],$AI$3:$AK$105,3,FALSE)</f>
        <v>Misc. Expense</v>
      </c>
      <c r="X102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7"/>
      <c r="Z10227" t="s">
        <v>10</v>
      </c>
      <c r="AA10227" t="s">
        <v>239</v>
      </c>
      <c r="AB10227" t="s">
        <v>443</v>
      </c>
      <c r="AC10227" s="21">
        <v>75579.570000000007</v>
      </c>
      <c r="AD10227" s="21" t="s">
        <v>368</v>
      </c>
      <c r="AE10227" t="str">
        <f>VLOOKUP(Table_Query_from_Actuarial___Production3[[#This Row],[Kor1]],$AI$3:$AK$105,3,FALSE)</f>
        <v>Commissions</v>
      </c>
      <c r="AF102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8" spans="18:32" x14ac:dyDescent="0.2">
      <c r="R10228" t="s">
        <v>13</v>
      </c>
      <c r="S10228" t="s">
        <v>224</v>
      </c>
      <c r="T10228" t="s">
        <v>445</v>
      </c>
      <c r="U10228" s="21">
        <v>29432.22</v>
      </c>
      <c r="V10228" s="21" t="s">
        <v>370</v>
      </c>
      <c r="W10228" t="str">
        <f>VLOOKUP(Table_Query_from_Actuarial___Production[[#This Row],[Kor1]],$AI$3:$AK$105,3,FALSE)</f>
        <v>Operating Service Fees</v>
      </c>
      <c r="X102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228"/>
      <c r="Z10228" t="s">
        <v>44</v>
      </c>
      <c r="AA10228" t="s">
        <v>231</v>
      </c>
      <c r="AB10228" t="s">
        <v>427</v>
      </c>
      <c r="AC10228" s="21">
        <v>25259.21</v>
      </c>
      <c r="AD10228" s="21" t="s">
        <v>368</v>
      </c>
      <c r="AE10228" t="str">
        <f>VLOOKUP(Table_Query_from_Actuarial___Production3[[#This Row],[Kor1]],$AI$3:$AK$105,3,FALSE)</f>
        <v>Charge-offs</v>
      </c>
      <c r="AF102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29" spans="18:32" x14ac:dyDescent="0.2">
      <c r="R10229" t="s">
        <v>12</v>
      </c>
      <c r="S10229" t="s">
        <v>242</v>
      </c>
      <c r="T10229" t="s">
        <v>351</v>
      </c>
      <c r="U10229" s="21">
        <v>9388.35</v>
      </c>
      <c r="V10229" s="21" t="s">
        <v>368</v>
      </c>
      <c r="W10229" t="str">
        <f>VLOOKUP(Table_Query_from_Actuarial___Production[[#This Row],[Kor1]],$AI$3:$AK$105,3,FALSE)</f>
        <v>Premium Tax</v>
      </c>
      <c r="X102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29"/>
      <c r="Z10229" t="s">
        <v>47</v>
      </c>
      <c r="AA10229" t="s">
        <v>265</v>
      </c>
      <c r="AB10229" t="s">
        <v>7</v>
      </c>
      <c r="AC10229" s="21">
        <v>0.01</v>
      </c>
      <c r="AD10229" s="21" t="s">
        <v>368</v>
      </c>
      <c r="AE10229" t="str">
        <f>VLOOKUP(Table_Query_from_Actuarial___Production3[[#This Row],[Kor1]],$AI$3:$AK$105,3,FALSE)</f>
        <v>Investment Income</v>
      </c>
      <c r="AF102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0" spans="18:32" x14ac:dyDescent="0.2">
      <c r="R10230" t="s">
        <v>20</v>
      </c>
      <c r="S10230" t="s">
        <v>237</v>
      </c>
      <c r="T10230" t="s">
        <v>9</v>
      </c>
      <c r="U10230" s="21">
        <v>1520.43</v>
      </c>
      <c r="V10230" s="21" t="s">
        <v>368</v>
      </c>
      <c r="W10230" t="str">
        <f>VLOOKUP(Table_Query_from_Actuarial___Production[[#This Row],[Kor1]],$AI$3:$AK$105,3,FALSE)</f>
        <v>Misc. Expense</v>
      </c>
      <c r="X102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0"/>
      <c r="Z10230" t="s">
        <v>43</v>
      </c>
      <c r="AA10230" t="s">
        <v>249</v>
      </c>
      <c r="AB10230" t="s">
        <v>441</v>
      </c>
      <c r="AC10230" s="21">
        <v>-19</v>
      </c>
      <c r="AD10230" s="21" t="s">
        <v>368</v>
      </c>
      <c r="AE10230" t="str">
        <f>VLOOKUP(Table_Query_from_Actuarial___Production3[[#This Row],[Kor1]],$AI$3:$AK$105,3,FALSE)</f>
        <v>Charge-offs</v>
      </c>
      <c r="AF102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1" spans="18:32" x14ac:dyDescent="0.2">
      <c r="R10231" t="s">
        <v>32</v>
      </c>
      <c r="S10231" t="s">
        <v>256</v>
      </c>
      <c r="T10231" t="s">
        <v>351</v>
      </c>
      <c r="U10231" s="21">
        <v>-656</v>
      </c>
      <c r="V10231" s="21" t="s">
        <v>368</v>
      </c>
      <c r="W10231" t="str">
        <f>VLOOKUP(Table_Query_from_Actuarial___Production[[#This Row],[Kor1]],$AI$3:$AK$105,3,FALSE)</f>
        <v>Misc. Expense</v>
      </c>
      <c r="X102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1"/>
      <c r="Z10231" t="s">
        <v>11</v>
      </c>
      <c r="AA10231" t="s">
        <v>224</v>
      </c>
      <c r="AB10231" t="s">
        <v>441</v>
      </c>
      <c r="AC10231" s="21">
        <v>232942</v>
      </c>
      <c r="AD10231" s="21" t="s">
        <v>370</v>
      </c>
      <c r="AE10231" t="str">
        <f>VLOOKUP(Table_Query_from_Actuarial___Production3[[#This Row],[Kor1]],$AI$3:$AK$105,3,FALSE)</f>
        <v>Losses Paid</v>
      </c>
      <c r="AF102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232" spans="18:32" x14ac:dyDescent="0.2">
      <c r="R10232" t="s">
        <v>40</v>
      </c>
      <c r="S10232" t="s">
        <v>266</v>
      </c>
      <c r="T10232" t="s">
        <v>356</v>
      </c>
      <c r="U10232" s="21">
        <v>345.34</v>
      </c>
      <c r="V10232" s="21" t="s">
        <v>368</v>
      </c>
      <c r="W10232" t="str">
        <f>VLOOKUP(Table_Query_from_Actuarial___Production[[#This Row],[Kor1]],$AI$3:$AK$105,3,FALSE)</f>
        <v>Misc. Income</v>
      </c>
      <c r="X102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2"/>
      <c r="Z10232" t="s">
        <v>13</v>
      </c>
      <c r="AA10232" t="s">
        <v>224</v>
      </c>
      <c r="AB10232" t="s">
        <v>6</v>
      </c>
      <c r="AC10232" s="21">
        <v>185656.25</v>
      </c>
      <c r="AD10232" s="21" t="s">
        <v>370</v>
      </c>
      <c r="AE10232" t="str">
        <f>VLOOKUP(Table_Query_from_Actuarial___Production3[[#This Row],[Kor1]],$AI$3:$AK$105,3,FALSE)</f>
        <v>Operating Service Fees</v>
      </c>
      <c r="AF102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233" spans="18:32" x14ac:dyDescent="0.2">
      <c r="R10233" t="s">
        <v>22</v>
      </c>
      <c r="S10233" t="s">
        <v>259</v>
      </c>
      <c r="T10233" t="s">
        <v>7</v>
      </c>
      <c r="U10233" s="21">
        <v>14167.94</v>
      </c>
      <c r="V10233" s="21" t="s">
        <v>368</v>
      </c>
      <c r="W10233" t="str">
        <f>VLOOKUP(Table_Query_from_Actuarial___Production[[#This Row],[Kor1]],$AI$3:$AK$105,3,FALSE)</f>
        <v>Misc. Expense</v>
      </c>
      <c r="X102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3"/>
      <c r="Z10233" t="s">
        <v>3</v>
      </c>
      <c r="AA10233" t="s">
        <v>249</v>
      </c>
      <c r="AB10233" t="s">
        <v>9</v>
      </c>
      <c r="AC10233" s="21">
        <v>557847</v>
      </c>
      <c r="AD10233" s="21" t="s">
        <v>368</v>
      </c>
      <c r="AE10233" t="str">
        <f>VLOOKUP(Table_Query_from_Actuarial___Production3[[#This Row],[Kor1]],$AI$3:$AK$105,3,FALSE)</f>
        <v>Premiums Written</v>
      </c>
      <c r="AF102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4" spans="18:32" x14ac:dyDescent="0.2">
      <c r="R10234" t="s">
        <v>49</v>
      </c>
      <c r="S10234" t="s">
        <v>263</v>
      </c>
      <c r="T10234" t="s">
        <v>8</v>
      </c>
      <c r="U10234" s="21">
        <v>767.56</v>
      </c>
      <c r="V10234" s="21" t="s">
        <v>368</v>
      </c>
      <c r="W10234" t="str">
        <f>VLOOKUP(Table_Query_from_Actuarial___Production[[#This Row],[Kor1]],$AI$3:$AK$105,3,FALSE)</f>
        <v>ALAE Paid</v>
      </c>
      <c r="X102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4"/>
      <c r="Z10234" t="s">
        <v>11</v>
      </c>
      <c r="AA10234" t="s">
        <v>244</v>
      </c>
      <c r="AB10234" t="s">
        <v>351</v>
      </c>
      <c r="AC10234" s="21">
        <v>2002433.81</v>
      </c>
      <c r="AD10234" s="21" t="s">
        <v>368</v>
      </c>
      <c r="AE10234" t="str">
        <f>VLOOKUP(Table_Query_from_Actuarial___Production3[[#This Row],[Kor1]],$AI$3:$AK$105,3,FALSE)</f>
        <v>Losses Paid</v>
      </c>
      <c r="AF102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5" spans="18:32" x14ac:dyDescent="0.2">
      <c r="R10235" t="s">
        <v>37</v>
      </c>
      <c r="S10235" t="s">
        <v>254</v>
      </c>
      <c r="T10235" t="s">
        <v>445</v>
      </c>
      <c r="U10235" s="21">
        <v>182.27</v>
      </c>
      <c r="V10235" s="21" t="s">
        <v>368</v>
      </c>
      <c r="W10235" t="str">
        <f>VLOOKUP(Table_Query_from_Actuarial___Production[[#This Row],[Kor1]],$AI$3:$AK$105,3,FALSE)</f>
        <v>Misc. Expense</v>
      </c>
      <c r="X102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5"/>
      <c r="Z10235" t="s">
        <v>33</v>
      </c>
      <c r="AA10235" t="s">
        <v>254</v>
      </c>
      <c r="AB10235" t="s">
        <v>443</v>
      </c>
      <c r="AC10235" s="21">
        <v>8345.92</v>
      </c>
      <c r="AD10235" s="21" t="s">
        <v>368</v>
      </c>
      <c r="AE10235" t="str">
        <f>VLOOKUP(Table_Query_from_Actuarial___Production3[[#This Row],[Kor1]],$AI$3:$AK$105,3,FALSE)</f>
        <v>Misc. Expense</v>
      </c>
      <c r="AF102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6" spans="18:32" x14ac:dyDescent="0.2">
      <c r="R10236" t="s">
        <v>41</v>
      </c>
      <c r="S10236" t="s">
        <v>268</v>
      </c>
      <c r="T10236" t="s">
        <v>427</v>
      </c>
      <c r="U10236" s="21">
        <v>150</v>
      </c>
      <c r="V10236" s="21" t="s">
        <v>368</v>
      </c>
      <c r="W10236" t="str">
        <f>VLOOKUP(Table_Query_from_Actuarial___Production[[#This Row],[Kor1]],$AI$3:$AK$105,3,FALSE)</f>
        <v>Misc. Income</v>
      </c>
      <c r="X102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6"/>
      <c r="Z10236" t="s">
        <v>14</v>
      </c>
      <c r="AA10236" t="s">
        <v>260</v>
      </c>
      <c r="AB10236" t="s">
        <v>351</v>
      </c>
      <c r="AC10236" s="21">
        <v>261.77</v>
      </c>
      <c r="AD10236" s="21" t="s">
        <v>368</v>
      </c>
      <c r="AE10236" t="str">
        <f>VLOOKUP(Table_Query_from_Actuarial___Production3[[#This Row],[Kor1]],$AI$3:$AK$105,3,FALSE)</f>
        <v>Claims Expense</v>
      </c>
      <c r="AF102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7" spans="18:32" x14ac:dyDescent="0.2">
      <c r="R10237" t="s">
        <v>12</v>
      </c>
      <c r="S10237" t="s">
        <v>239</v>
      </c>
      <c r="T10237" t="s">
        <v>9</v>
      </c>
      <c r="U10237" s="21">
        <v>3199.36</v>
      </c>
      <c r="V10237" s="21" t="s">
        <v>368</v>
      </c>
      <c r="W10237" t="str">
        <f>VLOOKUP(Table_Query_from_Actuarial___Production[[#This Row],[Kor1]],$AI$3:$AK$105,3,FALSE)</f>
        <v>Premium Tax</v>
      </c>
      <c r="X102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7"/>
      <c r="Z10237" t="s">
        <v>11</v>
      </c>
      <c r="AA10237" t="s">
        <v>252</v>
      </c>
      <c r="AB10237" t="s">
        <v>443</v>
      </c>
      <c r="AC10237" s="21">
        <v>141492.4</v>
      </c>
      <c r="AD10237" s="21" t="s">
        <v>368</v>
      </c>
      <c r="AE10237" t="str">
        <f>VLOOKUP(Table_Query_from_Actuarial___Production3[[#This Row],[Kor1]],$AI$3:$AK$105,3,FALSE)</f>
        <v>Losses Paid</v>
      </c>
      <c r="AF102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8" spans="18:32" x14ac:dyDescent="0.2">
      <c r="R10238" t="s">
        <v>31</v>
      </c>
      <c r="S10238" t="s">
        <v>245</v>
      </c>
      <c r="T10238" t="s">
        <v>7</v>
      </c>
      <c r="U10238" s="21">
        <v>1180.06</v>
      </c>
      <c r="V10238" s="21" t="s">
        <v>368</v>
      </c>
      <c r="W10238" t="str">
        <f>VLOOKUP(Table_Query_from_Actuarial___Production[[#This Row],[Kor1]],$AI$3:$AK$105,3,FALSE)</f>
        <v>Misc. Expense</v>
      </c>
      <c r="X102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8"/>
      <c r="Z10238" t="s">
        <v>14</v>
      </c>
      <c r="AA10238" t="s">
        <v>243</v>
      </c>
      <c r="AB10238" t="s">
        <v>427</v>
      </c>
      <c r="AC10238" s="21">
        <v>98978.71</v>
      </c>
      <c r="AD10238" s="21" t="s">
        <v>368</v>
      </c>
      <c r="AE10238" t="str">
        <f>VLOOKUP(Table_Query_from_Actuarial___Production3[[#This Row],[Kor1]],$AI$3:$AK$105,3,FALSE)</f>
        <v>Claims Expense</v>
      </c>
      <c r="AF102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39" spans="18:32" x14ac:dyDescent="0.2">
      <c r="R10239" t="s">
        <v>49</v>
      </c>
      <c r="S10239" t="s">
        <v>257</v>
      </c>
      <c r="T10239" t="s">
        <v>9</v>
      </c>
      <c r="U10239" s="21">
        <v>36639.800000000003</v>
      </c>
      <c r="V10239" s="21" t="s">
        <v>368</v>
      </c>
      <c r="W10239" t="str">
        <f>VLOOKUP(Table_Query_from_Actuarial___Production[[#This Row],[Kor1]],$AI$3:$AK$105,3,FALSE)</f>
        <v>ALAE Paid</v>
      </c>
      <c r="X102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39"/>
      <c r="Z10239" t="s">
        <v>36</v>
      </c>
      <c r="AA10239" t="s">
        <v>230</v>
      </c>
      <c r="AB10239" t="s">
        <v>7</v>
      </c>
      <c r="AC10239" s="21">
        <v>16117.84</v>
      </c>
      <c r="AD10239" s="21" t="s">
        <v>368</v>
      </c>
      <c r="AE10239" t="str">
        <f>VLOOKUP(Table_Query_from_Actuarial___Production3[[#This Row],[Kor1]],$AI$3:$AK$105,3,FALSE)</f>
        <v>Misc. Expense</v>
      </c>
      <c r="AF102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0" spans="18:32" x14ac:dyDescent="0.2">
      <c r="R10240" t="s">
        <v>3</v>
      </c>
      <c r="S10240" t="s">
        <v>264</v>
      </c>
      <c r="T10240" t="s">
        <v>9</v>
      </c>
      <c r="U10240" s="21">
        <v>2374954</v>
      </c>
      <c r="V10240" s="21" t="s">
        <v>368</v>
      </c>
      <c r="W10240" t="str">
        <f>VLOOKUP(Table_Query_from_Actuarial___Production[[#This Row],[Kor1]],$AI$3:$AK$105,3,FALSE)</f>
        <v>Premiums Written</v>
      </c>
      <c r="X102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0"/>
      <c r="Z10240" t="s">
        <v>41</v>
      </c>
      <c r="AA10240" t="s">
        <v>237</v>
      </c>
      <c r="AB10240" t="s">
        <v>6</v>
      </c>
      <c r="AC10240" s="21">
        <v>449.99</v>
      </c>
      <c r="AD10240" s="21" t="s">
        <v>368</v>
      </c>
      <c r="AE10240" t="str">
        <f>VLOOKUP(Table_Query_from_Actuarial___Production3[[#This Row],[Kor1]],$AI$3:$AK$105,3,FALSE)</f>
        <v>Misc. Income</v>
      </c>
      <c r="AF102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1" spans="18:32" x14ac:dyDescent="0.2">
      <c r="R10241" t="s">
        <v>25</v>
      </c>
      <c r="S10241" t="s">
        <v>250</v>
      </c>
      <c r="T10241" t="s">
        <v>351</v>
      </c>
      <c r="U10241" s="21">
        <v>672.88</v>
      </c>
      <c r="V10241" s="21" t="s">
        <v>368</v>
      </c>
      <c r="W10241" t="str">
        <f>VLOOKUP(Table_Query_from_Actuarial___Production[[#This Row],[Kor1]],$AI$3:$AK$105,3,FALSE)</f>
        <v>Misc. Expense</v>
      </c>
      <c r="X102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1"/>
      <c r="Z10241" t="s">
        <v>33</v>
      </c>
      <c r="AA10241" t="s">
        <v>262</v>
      </c>
      <c r="AB10241" t="s">
        <v>7</v>
      </c>
      <c r="AC10241" s="21">
        <v>24888.68</v>
      </c>
      <c r="AD10241" s="21" t="s">
        <v>368</v>
      </c>
      <c r="AE10241" t="str">
        <f>VLOOKUP(Table_Query_from_Actuarial___Production3[[#This Row],[Kor1]],$AI$3:$AK$105,3,FALSE)</f>
        <v>Misc. Expense</v>
      </c>
      <c r="AF102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2" spans="18:32" x14ac:dyDescent="0.2">
      <c r="R10242" t="s">
        <v>40</v>
      </c>
      <c r="S10242" t="s">
        <v>261</v>
      </c>
      <c r="T10242" t="s">
        <v>7</v>
      </c>
      <c r="U10242" s="21">
        <v>402.35</v>
      </c>
      <c r="V10242" s="21" t="s">
        <v>368</v>
      </c>
      <c r="W10242" t="str">
        <f>VLOOKUP(Table_Query_from_Actuarial___Production[[#This Row],[Kor1]],$AI$3:$AK$105,3,FALSE)</f>
        <v>Misc. Income</v>
      </c>
      <c r="X102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2"/>
      <c r="Z10242" t="s">
        <v>12</v>
      </c>
      <c r="AA10242" t="s">
        <v>242</v>
      </c>
      <c r="AB10242" t="s">
        <v>351</v>
      </c>
      <c r="AC10242" s="21">
        <v>9388.35</v>
      </c>
      <c r="AD10242" s="21" t="s">
        <v>368</v>
      </c>
      <c r="AE10242" t="str">
        <f>VLOOKUP(Table_Query_from_Actuarial___Production3[[#This Row],[Kor1]],$AI$3:$AK$105,3,FALSE)</f>
        <v>Premium Tax</v>
      </c>
      <c r="AF102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3" spans="18:32" x14ac:dyDescent="0.2">
      <c r="R10243" t="s">
        <v>11</v>
      </c>
      <c r="S10243" t="s">
        <v>228</v>
      </c>
      <c r="T10243" t="s">
        <v>6</v>
      </c>
      <c r="U10243" s="21">
        <v>268332.92</v>
      </c>
      <c r="V10243" s="21" t="s">
        <v>368</v>
      </c>
      <c r="W10243" t="str">
        <f>VLOOKUP(Table_Query_from_Actuarial___Production[[#This Row],[Kor1]],$AI$3:$AK$105,3,FALSE)</f>
        <v>Losses Paid</v>
      </c>
      <c r="X102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3"/>
      <c r="Z10243" t="s">
        <v>20</v>
      </c>
      <c r="AA10243" t="s">
        <v>237</v>
      </c>
      <c r="AB10243" t="s">
        <v>9</v>
      </c>
      <c r="AC10243" s="21">
        <v>1520.43</v>
      </c>
      <c r="AD10243" s="21" t="s">
        <v>368</v>
      </c>
      <c r="AE10243" t="str">
        <f>VLOOKUP(Table_Query_from_Actuarial___Production3[[#This Row],[Kor1]],$AI$3:$AK$105,3,FALSE)</f>
        <v>Misc. Expense</v>
      </c>
      <c r="AF102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4" spans="18:32" x14ac:dyDescent="0.2">
      <c r="R10244" t="s">
        <v>14</v>
      </c>
      <c r="S10244" t="s">
        <v>232</v>
      </c>
      <c r="T10244" t="s">
        <v>433</v>
      </c>
      <c r="U10244" s="21">
        <v>68836.3</v>
      </c>
      <c r="V10244" s="21" t="s">
        <v>368</v>
      </c>
      <c r="W10244" t="str">
        <f>VLOOKUP(Table_Query_from_Actuarial___Production[[#This Row],[Kor1]],$AI$3:$AK$105,3,FALSE)</f>
        <v>Claims Expense</v>
      </c>
      <c r="X102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4"/>
      <c r="Z10244" t="s">
        <v>32</v>
      </c>
      <c r="AA10244" t="s">
        <v>256</v>
      </c>
      <c r="AB10244" t="s">
        <v>351</v>
      </c>
      <c r="AC10244" s="21">
        <v>-656</v>
      </c>
      <c r="AD10244" s="21" t="s">
        <v>368</v>
      </c>
      <c r="AE10244" t="str">
        <f>VLOOKUP(Table_Query_from_Actuarial___Production3[[#This Row],[Kor1]],$AI$3:$AK$105,3,FALSE)</f>
        <v>Misc. Expense</v>
      </c>
      <c r="AF102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5" spans="18:32" x14ac:dyDescent="0.2">
      <c r="R10245" t="s">
        <v>40</v>
      </c>
      <c r="S10245" t="s">
        <v>249</v>
      </c>
      <c r="T10245" t="s">
        <v>351</v>
      </c>
      <c r="U10245" s="21">
        <v>365</v>
      </c>
      <c r="V10245" s="21" t="s">
        <v>368</v>
      </c>
      <c r="W10245" t="str">
        <f>VLOOKUP(Table_Query_from_Actuarial___Production[[#This Row],[Kor1]],$AI$3:$AK$105,3,FALSE)</f>
        <v>Misc. Income</v>
      </c>
      <c r="X102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5"/>
      <c r="Z10245" t="s">
        <v>40</v>
      </c>
      <c r="AA10245" t="s">
        <v>266</v>
      </c>
      <c r="AB10245" t="s">
        <v>356</v>
      </c>
      <c r="AC10245" s="21">
        <v>345.34</v>
      </c>
      <c r="AD10245" s="21" t="s">
        <v>368</v>
      </c>
      <c r="AE10245" t="str">
        <f>VLOOKUP(Table_Query_from_Actuarial___Production3[[#This Row],[Kor1]],$AI$3:$AK$105,3,FALSE)</f>
        <v>Misc. Income</v>
      </c>
      <c r="AF102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6" spans="18:32" x14ac:dyDescent="0.2">
      <c r="R10246" t="s">
        <v>3</v>
      </c>
      <c r="S10246" t="s">
        <v>245</v>
      </c>
      <c r="T10246" t="s">
        <v>7</v>
      </c>
      <c r="U10246" s="21">
        <v>25680</v>
      </c>
      <c r="V10246" s="21" t="s">
        <v>368</v>
      </c>
      <c r="W10246" t="str">
        <f>VLOOKUP(Table_Query_from_Actuarial___Production[[#This Row],[Kor1]],$AI$3:$AK$105,3,FALSE)</f>
        <v>Premiums Written</v>
      </c>
      <c r="X102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6"/>
      <c r="Z10246" t="s">
        <v>22</v>
      </c>
      <c r="AA10246" t="s">
        <v>259</v>
      </c>
      <c r="AB10246" t="s">
        <v>7</v>
      </c>
      <c r="AC10246" s="21">
        <v>14167.94</v>
      </c>
      <c r="AD10246" s="21" t="s">
        <v>368</v>
      </c>
      <c r="AE10246" t="str">
        <f>VLOOKUP(Table_Query_from_Actuarial___Production3[[#This Row],[Kor1]],$AI$3:$AK$105,3,FALSE)</f>
        <v>Misc. Expense</v>
      </c>
      <c r="AF102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7" spans="18:32" x14ac:dyDescent="0.2">
      <c r="R10247" t="s">
        <v>16</v>
      </c>
      <c r="S10247" t="s">
        <v>4</v>
      </c>
      <c r="T10247" t="s">
        <v>441</v>
      </c>
      <c r="U10247" s="21">
        <v>29819118.719999999</v>
      </c>
      <c r="V10247" s="21" t="s">
        <v>368</v>
      </c>
      <c r="W10247" t="str">
        <f>VLOOKUP(Table_Query_from_Actuarial___Production[[#This Row],[Kor1]],$AI$3:$AK$105,3,FALSE)</f>
        <v>Losses Outstanding</v>
      </c>
      <c r="X102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7"/>
      <c r="Z10247" t="s">
        <v>49</v>
      </c>
      <c r="AA10247" t="s">
        <v>263</v>
      </c>
      <c r="AB10247" t="s">
        <v>8</v>
      </c>
      <c r="AC10247" s="21">
        <v>767.56</v>
      </c>
      <c r="AD10247" s="21" t="s">
        <v>368</v>
      </c>
      <c r="AE10247" t="str">
        <f>VLOOKUP(Table_Query_from_Actuarial___Production3[[#This Row],[Kor1]],$AI$3:$AK$105,3,FALSE)</f>
        <v>ALAE Paid</v>
      </c>
      <c r="AF102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8" spans="18:32" x14ac:dyDescent="0.2">
      <c r="R10248" t="s">
        <v>48</v>
      </c>
      <c r="S10248" t="s">
        <v>4</v>
      </c>
      <c r="T10248" t="s">
        <v>441</v>
      </c>
      <c r="U10248" s="21">
        <v>191286.24</v>
      </c>
      <c r="V10248" s="21" t="s">
        <v>368</v>
      </c>
      <c r="W10248" t="str">
        <f>VLOOKUP(Table_Query_from_Actuarial___Production[[#This Row],[Kor1]],$AI$3:$AK$105,3,FALSE)</f>
        <v>Anticipated Salvage</v>
      </c>
      <c r="X102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48"/>
      <c r="Z10248" t="s">
        <v>41</v>
      </c>
      <c r="AA10248" t="s">
        <v>268</v>
      </c>
      <c r="AB10248" t="s">
        <v>427</v>
      </c>
      <c r="AC10248" s="21">
        <v>150</v>
      </c>
      <c r="AD10248" s="21" t="s">
        <v>368</v>
      </c>
      <c r="AE10248" t="str">
        <f>VLOOKUP(Table_Query_from_Actuarial___Production3[[#This Row],[Kor1]],$AI$3:$AK$105,3,FALSE)</f>
        <v>Misc. Income</v>
      </c>
      <c r="AF102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49" spans="18:32" x14ac:dyDescent="0.2">
      <c r="R10249" t="s">
        <v>14</v>
      </c>
      <c r="S10249" t="s">
        <v>224</v>
      </c>
      <c r="T10249" t="s">
        <v>7</v>
      </c>
      <c r="U10249" s="21">
        <v>295139.83</v>
      </c>
      <c r="V10249" s="21" t="s">
        <v>370</v>
      </c>
      <c r="W10249" t="str">
        <f>VLOOKUP(Table_Query_from_Actuarial___Production[[#This Row],[Kor1]],$AI$3:$AK$105,3,FALSE)</f>
        <v>Claims Expense</v>
      </c>
      <c r="X102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249"/>
      <c r="Z10249" t="s">
        <v>12</v>
      </c>
      <c r="AA10249" t="s">
        <v>239</v>
      </c>
      <c r="AB10249" t="s">
        <v>9</v>
      </c>
      <c r="AC10249" s="21">
        <v>3199.36</v>
      </c>
      <c r="AD10249" s="21" t="s">
        <v>368</v>
      </c>
      <c r="AE10249" t="str">
        <f>VLOOKUP(Table_Query_from_Actuarial___Production3[[#This Row],[Kor1]],$AI$3:$AK$105,3,FALSE)</f>
        <v>Premium Tax</v>
      </c>
      <c r="AF102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0" spans="18:32" x14ac:dyDescent="0.2">
      <c r="R10250" t="s">
        <v>32</v>
      </c>
      <c r="S10250" t="s">
        <v>4</v>
      </c>
      <c r="T10250" t="s">
        <v>356</v>
      </c>
      <c r="U10250" s="21">
        <v>25307.39</v>
      </c>
      <c r="V10250" s="21" t="s">
        <v>368</v>
      </c>
      <c r="W10250" t="str">
        <f>VLOOKUP(Table_Query_from_Actuarial___Production[[#This Row],[Kor1]],$AI$3:$AK$105,3,FALSE)</f>
        <v>Misc. Expense</v>
      </c>
      <c r="X102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0"/>
      <c r="Z10250" t="s">
        <v>31</v>
      </c>
      <c r="AA10250" t="s">
        <v>245</v>
      </c>
      <c r="AB10250" t="s">
        <v>7</v>
      </c>
      <c r="AC10250" s="21">
        <v>1180.06</v>
      </c>
      <c r="AD10250" s="21" t="s">
        <v>368</v>
      </c>
      <c r="AE10250" t="str">
        <f>VLOOKUP(Table_Query_from_Actuarial___Production3[[#This Row],[Kor1]],$AI$3:$AK$105,3,FALSE)</f>
        <v>Misc. Expense</v>
      </c>
      <c r="AF102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1" spans="18:32" x14ac:dyDescent="0.2">
      <c r="R10251" t="s">
        <v>10</v>
      </c>
      <c r="S10251" t="s">
        <v>255</v>
      </c>
      <c r="T10251" t="s">
        <v>351</v>
      </c>
      <c r="U10251" s="21">
        <v>9474.4</v>
      </c>
      <c r="V10251" s="21" t="s">
        <v>368</v>
      </c>
      <c r="W10251" t="str">
        <f>VLOOKUP(Table_Query_from_Actuarial___Production[[#This Row],[Kor1]],$AI$3:$AK$105,3,FALSE)</f>
        <v>Commissions</v>
      </c>
      <c r="X102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1"/>
      <c r="Z10251" t="s">
        <v>49</v>
      </c>
      <c r="AA10251" t="s">
        <v>257</v>
      </c>
      <c r="AB10251" t="s">
        <v>9</v>
      </c>
      <c r="AC10251" s="21">
        <v>36639.800000000003</v>
      </c>
      <c r="AD10251" s="21" t="s">
        <v>368</v>
      </c>
      <c r="AE10251" t="str">
        <f>VLOOKUP(Table_Query_from_Actuarial___Production3[[#This Row],[Kor1]],$AI$3:$AK$105,3,FALSE)</f>
        <v>ALAE Paid</v>
      </c>
      <c r="AF102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2" spans="18:32" x14ac:dyDescent="0.2">
      <c r="R10252" t="s">
        <v>14</v>
      </c>
      <c r="S10252" t="s">
        <v>233</v>
      </c>
      <c r="T10252" t="s">
        <v>6</v>
      </c>
      <c r="U10252" s="21">
        <v>12458.14</v>
      </c>
      <c r="V10252" s="21" t="s">
        <v>368</v>
      </c>
      <c r="W10252" t="str">
        <f>VLOOKUP(Table_Query_from_Actuarial___Production[[#This Row],[Kor1]],$AI$3:$AK$105,3,FALSE)</f>
        <v>Claims Expense</v>
      </c>
      <c r="X102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2"/>
      <c r="Z10252" t="s">
        <v>3</v>
      </c>
      <c r="AA10252" t="s">
        <v>264</v>
      </c>
      <c r="AB10252" t="s">
        <v>9</v>
      </c>
      <c r="AC10252" s="21">
        <v>2374954</v>
      </c>
      <c r="AD10252" s="21" t="s">
        <v>368</v>
      </c>
      <c r="AE10252" t="str">
        <f>VLOOKUP(Table_Query_from_Actuarial___Production3[[#This Row],[Kor1]],$AI$3:$AK$105,3,FALSE)</f>
        <v>Premiums Written</v>
      </c>
      <c r="AF102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3" spans="18:32" x14ac:dyDescent="0.2">
      <c r="R10253" t="s">
        <v>43</v>
      </c>
      <c r="S10253" t="s">
        <v>250</v>
      </c>
      <c r="T10253" t="s">
        <v>351</v>
      </c>
      <c r="U10253" s="21">
        <v>1341.5</v>
      </c>
      <c r="V10253" s="21" t="s">
        <v>368</v>
      </c>
      <c r="W10253" t="str">
        <f>VLOOKUP(Table_Query_from_Actuarial___Production[[#This Row],[Kor1]],$AI$3:$AK$105,3,FALSE)</f>
        <v>Charge-offs</v>
      </c>
      <c r="X102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3"/>
      <c r="Z10253" t="s">
        <v>25</v>
      </c>
      <c r="AA10253" t="s">
        <v>250</v>
      </c>
      <c r="AB10253" t="s">
        <v>351</v>
      </c>
      <c r="AC10253" s="21">
        <v>672.88</v>
      </c>
      <c r="AD10253" s="21" t="s">
        <v>368</v>
      </c>
      <c r="AE10253" t="str">
        <f>VLOOKUP(Table_Query_from_Actuarial___Production3[[#This Row],[Kor1]],$AI$3:$AK$105,3,FALSE)</f>
        <v>Misc. Expense</v>
      </c>
      <c r="AF102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4" spans="18:32" x14ac:dyDescent="0.2">
      <c r="R10254" t="s">
        <v>3</v>
      </c>
      <c r="S10254" t="s">
        <v>259</v>
      </c>
      <c r="T10254" t="s">
        <v>6</v>
      </c>
      <c r="U10254" s="21">
        <v>137891</v>
      </c>
      <c r="V10254" s="21" t="s">
        <v>368</v>
      </c>
      <c r="W10254" t="str">
        <f>VLOOKUP(Table_Query_from_Actuarial___Production[[#This Row],[Kor1]],$AI$3:$AK$105,3,FALSE)</f>
        <v>Premiums Written</v>
      </c>
      <c r="X102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4"/>
      <c r="Z10254" t="s">
        <v>40</v>
      </c>
      <c r="AA10254" t="s">
        <v>261</v>
      </c>
      <c r="AB10254" t="s">
        <v>7</v>
      </c>
      <c r="AC10254" s="21">
        <v>402.35</v>
      </c>
      <c r="AD10254" s="21" t="s">
        <v>368</v>
      </c>
      <c r="AE10254" t="str">
        <f>VLOOKUP(Table_Query_from_Actuarial___Production3[[#This Row],[Kor1]],$AI$3:$AK$105,3,FALSE)</f>
        <v>Misc. Income</v>
      </c>
      <c r="AF102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5" spans="18:32" x14ac:dyDescent="0.2">
      <c r="R10255" t="s">
        <v>17</v>
      </c>
      <c r="S10255" t="s">
        <v>246</v>
      </c>
      <c r="T10255" t="s">
        <v>442</v>
      </c>
      <c r="U10255" s="21">
        <v>337023.73</v>
      </c>
      <c r="V10255" s="21" t="s">
        <v>368</v>
      </c>
      <c r="W10255" t="str">
        <f>VLOOKUP(Table_Query_from_Actuarial___Production[[#This Row],[Kor1]],$AI$3:$AK$105,3,FALSE)</f>
        <v>IBNR</v>
      </c>
      <c r="X102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5"/>
      <c r="Z10255" t="s">
        <v>11</v>
      </c>
      <c r="AA10255" t="s">
        <v>228</v>
      </c>
      <c r="AB10255" t="s">
        <v>6</v>
      </c>
      <c r="AC10255" s="21">
        <v>268332.92</v>
      </c>
      <c r="AD10255" s="21" t="s">
        <v>368</v>
      </c>
      <c r="AE10255" t="str">
        <f>VLOOKUP(Table_Query_from_Actuarial___Production3[[#This Row],[Kor1]],$AI$3:$AK$105,3,FALSE)</f>
        <v>Losses Paid</v>
      </c>
      <c r="AF102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6" spans="18:32" x14ac:dyDescent="0.2">
      <c r="R10256" t="s">
        <v>10</v>
      </c>
      <c r="S10256" t="s">
        <v>231</v>
      </c>
      <c r="T10256" t="s">
        <v>433</v>
      </c>
      <c r="U10256" s="21">
        <v>77910.460000000006</v>
      </c>
      <c r="V10256" s="21" t="s">
        <v>368</v>
      </c>
      <c r="W10256" t="str">
        <f>VLOOKUP(Table_Query_from_Actuarial___Production[[#This Row],[Kor1]],$AI$3:$AK$105,3,FALSE)</f>
        <v>Commissions</v>
      </c>
      <c r="X102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6"/>
      <c r="Z10256" t="s">
        <v>14</v>
      </c>
      <c r="AA10256" t="s">
        <v>232</v>
      </c>
      <c r="AB10256" t="s">
        <v>433</v>
      </c>
      <c r="AC10256" s="21">
        <v>68836.3</v>
      </c>
      <c r="AD10256" s="21" t="s">
        <v>368</v>
      </c>
      <c r="AE10256" t="str">
        <f>VLOOKUP(Table_Query_from_Actuarial___Production3[[#This Row],[Kor1]],$AI$3:$AK$105,3,FALSE)</f>
        <v>Claims Expense</v>
      </c>
      <c r="AF102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7" spans="18:32" x14ac:dyDescent="0.2">
      <c r="R10257" t="s">
        <v>31</v>
      </c>
      <c r="S10257" t="s">
        <v>246</v>
      </c>
      <c r="T10257" t="s">
        <v>351</v>
      </c>
      <c r="U10257" s="21">
        <v>580.04999999999995</v>
      </c>
      <c r="V10257" s="21" t="s">
        <v>368</v>
      </c>
      <c r="W10257" t="str">
        <f>VLOOKUP(Table_Query_from_Actuarial___Production[[#This Row],[Kor1]],$AI$3:$AK$105,3,FALSE)</f>
        <v>Misc. Expense</v>
      </c>
      <c r="X102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7"/>
      <c r="Z10257" t="s">
        <v>40</v>
      </c>
      <c r="AA10257" t="s">
        <v>249</v>
      </c>
      <c r="AB10257" t="s">
        <v>351</v>
      </c>
      <c r="AC10257" s="21">
        <v>365</v>
      </c>
      <c r="AD10257" s="21" t="s">
        <v>368</v>
      </c>
      <c r="AE10257" t="str">
        <f>VLOOKUP(Table_Query_from_Actuarial___Production3[[#This Row],[Kor1]],$AI$3:$AK$105,3,FALSE)</f>
        <v>Misc. Income</v>
      </c>
      <c r="AF102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8" spans="18:32" x14ac:dyDescent="0.2">
      <c r="R10258" t="s">
        <v>23</v>
      </c>
      <c r="S10258" t="s">
        <v>259</v>
      </c>
      <c r="T10258" t="s">
        <v>442</v>
      </c>
      <c r="U10258" s="21">
        <v>-306.89999999999998</v>
      </c>
      <c r="V10258" s="21" t="s">
        <v>368</v>
      </c>
      <c r="W10258" t="str">
        <f>VLOOKUP(Table_Query_from_Actuarial___Production[[#This Row],[Kor1]],$AI$3:$AK$105,3,FALSE)</f>
        <v>Misc. Expense</v>
      </c>
      <c r="X102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8"/>
      <c r="Z10258" t="s">
        <v>41</v>
      </c>
      <c r="AA10258" t="s">
        <v>259</v>
      </c>
      <c r="AB10258" t="s">
        <v>5</v>
      </c>
      <c r="AC10258" s="21">
        <v>650.01</v>
      </c>
      <c r="AD10258" s="21" t="s">
        <v>368</v>
      </c>
      <c r="AE10258" t="str">
        <f>VLOOKUP(Table_Query_from_Actuarial___Production3[[#This Row],[Kor1]],$AI$3:$AK$105,3,FALSE)</f>
        <v>Misc. Income</v>
      </c>
      <c r="AF102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59" spans="18:32" x14ac:dyDescent="0.2">
      <c r="R10259" t="s">
        <v>41</v>
      </c>
      <c r="S10259" t="s">
        <v>262</v>
      </c>
      <c r="T10259" t="s">
        <v>442</v>
      </c>
      <c r="U10259" s="21">
        <v>649.99</v>
      </c>
      <c r="V10259" s="21" t="s">
        <v>368</v>
      </c>
      <c r="W10259" t="str">
        <f>VLOOKUP(Table_Query_from_Actuarial___Production[[#This Row],[Kor1]],$AI$3:$AK$105,3,FALSE)</f>
        <v>Misc. Income</v>
      </c>
      <c r="X102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59"/>
      <c r="Z10259" t="s">
        <v>3</v>
      </c>
      <c r="AA10259" t="s">
        <v>245</v>
      </c>
      <c r="AB10259" t="s">
        <v>7</v>
      </c>
      <c r="AC10259" s="21">
        <v>25680</v>
      </c>
      <c r="AD10259" s="21" t="s">
        <v>368</v>
      </c>
      <c r="AE10259" t="str">
        <f>VLOOKUP(Table_Query_from_Actuarial___Production3[[#This Row],[Kor1]],$AI$3:$AK$105,3,FALSE)</f>
        <v>Premiums Written</v>
      </c>
      <c r="AF102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0" spans="18:32" x14ac:dyDescent="0.2">
      <c r="R10260" t="s">
        <v>19</v>
      </c>
      <c r="S10260" t="s">
        <v>230</v>
      </c>
      <c r="T10260" t="s">
        <v>356</v>
      </c>
      <c r="U10260" s="21">
        <v>21995</v>
      </c>
      <c r="V10260" s="21" t="s">
        <v>368</v>
      </c>
      <c r="W10260" t="str">
        <f>VLOOKUP(Table_Query_from_Actuarial___Production[[#This Row],[Kor1]],$AI$3:$AK$105,3,FALSE)</f>
        <v>Misc. Expense for Insolvent Companies</v>
      </c>
      <c r="X102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0"/>
      <c r="Z10260" t="s">
        <v>16</v>
      </c>
      <c r="AA10260" t="s">
        <v>4</v>
      </c>
      <c r="AB10260" t="s">
        <v>441</v>
      </c>
      <c r="AC10260" s="21">
        <v>32172902.84</v>
      </c>
      <c r="AD10260" s="21" t="s">
        <v>368</v>
      </c>
      <c r="AE10260" t="str">
        <f>VLOOKUP(Table_Query_from_Actuarial___Production3[[#This Row],[Kor1]],$AI$3:$AK$105,3,FALSE)</f>
        <v>Losses Outstanding</v>
      </c>
      <c r="AF102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1" spans="18:32" x14ac:dyDescent="0.2">
      <c r="R10261" t="s">
        <v>48</v>
      </c>
      <c r="S10261" t="s">
        <v>259</v>
      </c>
      <c r="T10261" t="s">
        <v>442</v>
      </c>
      <c r="U10261" s="21">
        <v>35.58</v>
      </c>
      <c r="V10261" s="21" t="s">
        <v>368</v>
      </c>
      <c r="W10261" t="str">
        <f>VLOOKUP(Table_Query_from_Actuarial___Production[[#This Row],[Kor1]],$AI$3:$AK$105,3,FALSE)</f>
        <v>Anticipated Salvage</v>
      </c>
      <c r="X102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1"/>
      <c r="Z10261" t="s">
        <v>48</v>
      </c>
      <c r="AA10261" t="s">
        <v>4</v>
      </c>
      <c r="AB10261" t="s">
        <v>441</v>
      </c>
      <c r="AC10261" s="21">
        <v>247740.25</v>
      </c>
      <c r="AD10261" s="21" t="s">
        <v>368</v>
      </c>
      <c r="AE10261" t="str">
        <f>VLOOKUP(Table_Query_from_Actuarial___Production3[[#This Row],[Kor1]],$AI$3:$AK$105,3,FALSE)</f>
        <v>Anticipated Salvage</v>
      </c>
      <c r="AF102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2" spans="18:32" x14ac:dyDescent="0.2">
      <c r="R10262" t="s">
        <v>12</v>
      </c>
      <c r="S10262" t="s">
        <v>231</v>
      </c>
      <c r="T10262" t="s">
        <v>351</v>
      </c>
      <c r="U10262" s="21">
        <v>3154.78</v>
      </c>
      <c r="V10262" s="21" t="s">
        <v>368</v>
      </c>
      <c r="W10262" t="str">
        <f>VLOOKUP(Table_Query_from_Actuarial___Production[[#This Row],[Kor1]],$AI$3:$AK$105,3,FALSE)</f>
        <v>Premium Tax</v>
      </c>
      <c r="X102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2"/>
      <c r="Z10262" t="s">
        <v>14</v>
      </c>
      <c r="AA10262" t="s">
        <v>224</v>
      </c>
      <c r="AB10262" t="s">
        <v>7</v>
      </c>
      <c r="AC10262" s="21">
        <v>295139.83</v>
      </c>
      <c r="AD10262" s="21" t="s">
        <v>370</v>
      </c>
      <c r="AE10262" t="str">
        <f>VLOOKUP(Table_Query_from_Actuarial___Production3[[#This Row],[Kor1]],$AI$3:$AK$105,3,FALSE)</f>
        <v>Claims Expense</v>
      </c>
      <c r="AF102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263" spans="18:32" x14ac:dyDescent="0.2">
      <c r="R10263" t="s">
        <v>12</v>
      </c>
      <c r="S10263" t="s">
        <v>264</v>
      </c>
      <c r="T10263" t="s">
        <v>6</v>
      </c>
      <c r="U10263" s="21">
        <v>55939.77</v>
      </c>
      <c r="V10263" s="21" t="s">
        <v>368</v>
      </c>
      <c r="W10263" t="str">
        <f>VLOOKUP(Table_Query_from_Actuarial___Production[[#This Row],[Kor1]],$AI$3:$AK$105,3,FALSE)</f>
        <v>Premium Tax</v>
      </c>
      <c r="X102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3"/>
      <c r="Z10263" t="s">
        <v>32</v>
      </c>
      <c r="AA10263" t="s">
        <v>4</v>
      </c>
      <c r="AB10263" t="s">
        <v>356</v>
      </c>
      <c r="AC10263" s="21">
        <v>25307.39</v>
      </c>
      <c r="AD10263" s="21" t="s">
        <v>368</v>
      </c>
      <c r="AE10263" t="str">
        <f>VLOOKUP(Table_Query_from_Actuarial___Production3[[#This Row],[Kor1]],$AI$3:$AK$105,3,FALSE)</f>
        <v>Misc. Expense</v>
      </c>
      <c r="AF102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4" spans="18:32" x14ac:dyDescent="0.2">
      <c r="R10264" t="s">
        <v>13</v>
      </c>
      <c r="S10264" t="s">
        <v>240</v>
      </c>
      <c r="T10264" t="s">
        <v>427</v>
      </c>
      <c r="U10264" s="21">
        <v>921952.66</v>
      </c>
      <c r="V10264" s="21" t="s">
        <v>368</v>
      </c>
      <c r="W10264" t="str">
        <f>VLOOKUP(Table_Query_from_Actuarial___Production[[#This Row],[Kor1]],$AI$3:$AK$105,3,FALSE)</f>
        <v>Operating Service Fees</v>
      </c>
      <c r="X102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4"/>
      <c r="Z10264" t="s">
        <v>10</v>
      </c>
      <c r="AA10264" t="s">
        <v>255</v>
      </c>
      <c r="AB10264" t="s">
        <v>351</v>
      </c>
      <c r="AC10264" s="21">
        <v>9474.4</v>
      </c>
      <c r="AD10264" s="21" t="s">
        <v>368</v>
      </c>
      <c r="AE10264" t="str">
        <f>VLOOKUP(Table_Query_from_Actuarial___Production3[[#This Row],[Kor1]],$AI$3:$AK$105,3,FALSE)</f>
        <v>Commissions</v>
      </c>
      <c r="AF102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5" spans="18:32" x14ac:dyDescent="0.2">
      <c r="R10265" t="s">
        <v>14</v>
      </c>
      <c r="S10265" t="s">
        <v>240</v>
      </c>
      <c r="T10265" t="s">
        <v>442</v>
      </c>
      <c r="U10265" s="21">
        <v>181345.32</v>
      </c>
      <c r="V10265" s="21" t="s">
        <v>368</v>
      </c>
      <c r="W10265" t="str">
        <f>VLOOKUP(Table_Query_from_Actuarial___Production[[#This Row],[Kor1]],$AI$3:$AK$105,3,FALSE)</f>
        <v>Claims Expense</v>
      </c>
      <c r="X102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5"/>
      <c r="Z10265" t="s">
        <v>14</v>
      </c>
      <c r="AA10265" t="s">
        <v>233</v>
      </c>
      <c r="AB10265" t="s">
        <v>6</v>
      </c>
      <c r="AC10265" s="21">
        <v>12458.14</v>
      </c>
      <c r="AD10265" s="21" t="s">
        <v>368</v>
      </c>
      <c r="AE10265" t="str">
        <f>VLOOKUP(Table_Query_from_Actuarial___Production3[[#This Row],[Kor1]],$AI$3:$AK$105,3,FALSE)</f>
        <v>Claims Expense</v>
      </c>
      <c r="AF102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6" spans="18:32" x14ac:dyDescent="0.2">
      <c r="R10266" t="s">
        <v>31</v>
      </c>
      <c r="S10266" t="s">
        <v>237</v>
      </c>
      <c r="T10266" t="s">
        <v>445</v>
      </c>
      <c r="U10266" s="21">
        <v>7382.06</v>
      </c>
      <c r="V10266" s="21" t="s">
        <v>368</v>
      </c>
      <c r="W10266" t="str">
        <f>VLOOKUP(Table_Query_from_Actuarial___Production[[#This Row],[Kor1]],$AI$3:$AK$105,3,FALSE)</f>
        <v>Misc. Expense</v>
      </c>
      <c r="X102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6"/>
      <c r="Z10266" t="s">
        <v>43</v>
      </c>
      <c r="AA10266" t="s">
        <v>250</v>
      </c>
      <c r="AB10266" t="s">
        <v>351</v>
      </c>
      <c r="AC10266" s="21">
        <v>1341.5</v>
      </c>
      <c r="AD10266" s="21" t="s">
        <v>368</v>
      </c>
      <c r="AE10266" t="str">
        <f>VLOOKUP(Table_Query_from_Actuarial___Production3[[#This Row],[Kor1]],$AI$3:$AK$105,3,FALSE)</f>
        <v>Charge-offs</v>
      </c>
      <c r="AF102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7" spans="18:32" x14ac:dyDescent="0.2">
      <c r="R10267" t="s">
        <v>47</v>
      </c>
      <c r="S10267" t="s">
        <v>264</v>
      </c>
      <c r="T10267" t="s">
        <v>9</v>
      </c>
      <c r="U10267" s="21">
        <v>720</v>
      </c>
      <c r="V10267" s="21" t="s">
        <v>368</v>
      </c>
      <c r="W10267" t="str">
        <f>VLOOKUP(Table_Query_from_Actuarial___Production[[#This Row],[Kor1]],$AI$3:$AK$105,3,FALSE)</f>
        <v>Investment Income</v>
      </c>
      <c r="X102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67"/>
      <c r="Z10267" t="s">
        <v>3</v>
      </c>
      <c r="AA10267" t="s">
        <v>259</v>
      </c>
      <c r="AB10267" t="s">
        <v>6</v>
      </c>
      <c r="AC10267" s="21">
        <v>137891</v>
      </c>
      <c r="AD10267" s="21" t="s">
        <v>368</v>
      </c>
      <c r="AE10267" t="str">
        <f>VLOOKUP(Table_Query_from_Actuarial___Production3[[#This Row],[Kor1]],$AI$3:$AK$105,3,FALSE)</f>
        <v>Premiums Written</v>
      </c>
      <c r="AF102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8" spans="18:32" x14ac:dyDescent="0.2">
      <c r="R10268" t="s">
        <v>13</v>
      </c>
      <c r="S10268" t="s">
        <v>224</v>
      </c>
      <c r="T10268" t="s">
        <v>442</v>
      </c>
      <c r="U10268" s="21">
        <v>201957.88</v>
      </c>
      <c r="V10268" s="21" t="s">
        <v>368</v>
      </c>
      <c r="W10268" t="str">
        <f>VLOOKUP(Table_Query_from_Actuarial___Production[[#This Row],[Kor1]],$AI$3:$AK$105,3,FALSE)</f>
        <v>Operating Service Fees</v>
      </c>
      <c r="X102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268"/>
      <c r="Z10268" t="s">
        <v>17</v>
      </c>
      <c r="AA10268" t="s">
        <v>246</v>
      </c>
      <c r="AB10268" t="s">
        <v>442</v>
      </c>
      <c r="AC10268" s="21">
        <v>655784.92000000004</v>
      </c>
      <c r="AD10268" s="21" t="s">
        <v>368</v>
      </c>
      <c r="AE10268" t="str">
        <f>VLOOKUP(Table_Query_from_Actuarial___Production3[[#This Row],[Kor1]],$AI$3:$AK$105,3,FALSE)</f>
        <v>IBNR</v>
      </c>
      <c r="AF102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69" spans="18:32" x14ac:dyDescent="0.2">
      <c r="R10269" t="s">
        <v>17</v>
      </c>
      <c r="S10269" t="s">
        <v>225</v>
      </c>
      <c r="T10269" t="s">
        <v>441</v>
      </c>
      <c r="U10269" s="21">
        <v>15915.67</v>
      </c>
      <c r="V10269" s="21" t="s">
        <v>369</v>
      </c>
      <c r="W10269" t="str">
        <f>VLOOKUP(Table_Query_from_Actuarial___Production[[#This Row],[Kor1]],$AI$3:$AK$105,3,FALSE)</f>
        <v>IBNR</v>
      </c>
      <c r="X102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269"/>
      <c r="Z10269" t="s">
        <v>10</v>
      </c>
      <c r="AA10269" t="s">
        <v>231</v>
      </c>
      <c r="AB10269" t="s">
        <v>433</v>
      </c>
      <c r="AC10269" s="21">
        <v>77910.460000000006</v>
      </c>
      <c r="AD10269" s="21" t="s">
        <v>368</v>
      </c>
      <c r="AE10269" t="str">
        <f>VLOOKUP(Table_Query_from_Actuarial___Production3[[#This Row],[Kor1]],$AI$3:$AK$105,3,FALSE)</f>
        <v>Commissions</v>
      </c>
      <c r="AF102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0" spans="18:32" x14ac:dyDescent="0.2">
      <c r="R10270" t="s">
        <v>33</v>
      </c>
      <c r="S10270" t="s">
        <v>254</v>
      </c>
      <c r="T10270" t="s">
        <v>427</v>
      </c>
      <c r="U10270" s="21">
        <v>13040.5</v>
      </c>
      <c r="V10270" s="21" t="s">
        <v>368</v>
      </c>
      <c r="W10270" t="str">
        <f>VLOOKUP(Table_Query_from_Actuarial___Production[[#This Row],[Kor1]],$AI$3:$AK$105,3,FALSE)</f>
        <v>Misc. Expense</v>
      </c>
      <c r="X102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0"/>
      <c r="Z10270" t="s">
        <v>31</v>
      </c>
      <c r="AA10270" t="s">
        <v>246</v>
      </c>
      <c r="AB10270" t="s">
        <v>351</v>
      </c>
      <c r="AC10270" s="21">
        <v>580.04999999999995</v>
      </c>
      <c r="AD10270" s="21" t="s">
        <v>368</v>
      </c>
      <c r="AE10270" t="str">
        <f>VLOOKUP(Table_Query_from_Actuarial___Production3[[#This Row],[Kor1]],$AI$3:$AK$105,3,FALSE)</f>
        <v>Misc. Expense</v>
      </c>
      <c r="AF102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1" spans="18:32" x14ac:dyDescent="0.2">
      <c r="R10271" t="s">
        <v>41</v>
      </c>
      <c r="S10271" t="s">
        <v>254</v>
      </c>
      <c r="T10271" t="s">
        <v>356</v>
      </c>
      <c r="U10271" s="21">
        <v>749.92</v>
      </c>
      <c r="V10271" s="21" t="s">
        <v>368</v>
      </c>
      <c r="W10271" t="str">
        <f>VLOOKUP(Table_Query_from_Actuarial___Production[[#This Row],[Kor1]],$AI$3:$AK$105,3,FALSE)</f>
        <v>Misc. Income</v>
      </c>
      <c r="X102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1"/>
      <c r="Z10271" t="s">
        <v>23</v>
      </c>
      <c r="AA10271" t="s">
        <v>259</v>
      </c>
      <c r="AB10271" t="s">
        <v>442</v>
      </c>
      <c r="AC10271" s="21">
        <v>-306.89999999999998</v>
      </c>
      <c r="AD10271" s="21" t="s">
        <v>368</v>
      </c>
      <c r="AE10271" t="str">
        <f>VLOOKUP(Table_Query_from_Actuarial___Production3[[#This Row],[Kor1]],$AI$3:$AK$105,3,FALSE)</f>
        <v>Misc. Expense</v>
      </c>
      <c r="AF102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2" spans="18:32" x14ac:dyDescent="0.2">
      <c r="R10272" t="s">
        <v>10</v>
      </c>
      <c r="S10272" t="s">
        <v>262</v>
      </c>
      <c r="T10272" t="s">
        <v>9</v>
      </c>
      <c r="U10272" s="21">
        <v>14643.9</v>
      </c>
      <c r="V10272" s="21" t="s">
        <v>368</v>
      </c>
      <c r="W10272" t="str">
        <f>VLOOKUP(Table_Query_from_Actuarial___Production[[#This Row],[Kor1]],$AI$3:$AK$105,3,FALSE)</f>
        <v>Commissions</v>
      </c>
      <c r="X102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2"/>
      <c r="Z10272" t="s">
        <v>41</v>
      </c>
      <c r="AA10272" t="s">
        <v>258</v>
      </c>
      <c r="AB10272" t="s">
        <v>5</v>
      </c>
      <c r="AC10272" s="21">
        <v>100.04</v>
      </c>
      <c r="AD10272" s="21" t="s">
        <v>368</v>
      </c>
      <c r="AE10272" t="str">
        <f>VLOOKUP(Table_Query_from_Actuarial___Production3[[#This Row],[Kor1]],$AI$3:$AK$105,3,FALSE)</f>
        <v>Misc. Income</v>
      </c>
      <c r="AF102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3" spans="18:32" x14ac:dyDescent="0.2">
      <c r="R10273" t="s">
        <v>31</v>
      </c>
      <c r="S10273" t="s">
        <v>251</v>
      </c>
      <c r="T10273" t="s">
        <v>427</v>
      </c>
      <c r="U10273" s="21">
        <v>585.58000000000004</v>
      </c>
      <c r="V10273" s="21" t="s">
        <v>368</v>
      </c>
      <c r="W10273" t="str">
        <f>VLOOKUP(Table_Query_from_Actuarial___Production[[#This Row],[Kor1]],$AI$3:$AK$105,3,FALSE)</f>
        <v>Misc. Expense</v>
      </c>
      <c r="X102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3"/>
      <c r="Z10273" t="s">
        <v>41</v>
      </c>
      <c r="AA10273" t="s">
        <v>262</v>
      </c>
      <c r="AB10273" t="s">
        <v>442</v>
      </c>
      <c r="AC10273" s="21">
        <v>649.99</v>
      </c>
      <c r="AD10273" s="21" t="s">
        <v>368</v>
      </c>
      <c r="AE10273" t="str">
        <f>VLOOKUP(Table_Query_from_Actuarial___Production3[[#This Row],[Kor1]],$AI$3:$AK$105,3,FALSE)</f>
        <v>Misc. Income</v>
      </c>
      <c r="AF102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4" spans="18:32" x14ac:dyDescent="0.2">
      <c r="R10274" t="s">
        <v>33</v>
      </c>
      <c r="S10274" t="s">
        <v>241</v>
      </c>
      <c r="T10274" t="s">
        <v>9</v>
      </c>
      <c r="U10274" s="21">
        <v>16311.22</v>
      </c>
      <c r="V10274" s="21" t="s">
        <v>368</v>
      </c>
      <c r="W10274" t="str">
        <f>VLOOKUP(Table_Query_from_Actuarial___Production[[#This Row],[Kor1]],$AI$3:$AK$105,3,FALSE)</f>
        <v>Misc. Expense</v>
      </c>
      <c r="X102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4"/>
      <c r="Z10274" t="s">
        <v>19</v>
      </c>
      <c r="AA10274" t="s">
        <v>230</v>
      </c>
      <c r="AB10274" t="s">
        <v>356</v>
      </c>
      <c r="AC10274" s="21">
        <v>21995</v>
      </c>
      <c r="AD10274" s="21" t="s">
        <v>368</v>
      </c>
      <c r="AE10274" t="str">
        <f>VLOOKUP(Table_Query_from_Actuarial___Production3[[#This Row],[Kor1]],$AI$3:$AK$105,3,FALSE)</f>
        <v>Misc. Expense for Insolvent Companies</v>
      </c>
      <c r="AF102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5" spans="18:32" x14ac:dyDescent="0.2">
      <c r="R10275" t="s">
        <v>11</v>
      </c>
      <c r="S10275" t="s">
        <v>252</v>
      </c>
      <c r="T10275" t="s">
        <v>427</v>
      </c>
      <c r="U10275" s="21">
        <v>24155046.18</v>
      </c>
      <c r="V10275" s="21" t="s">
        <v>368</v>
      </c>
      <c r="W10275" t="str">
        <f>VLOOKUP(Table_Query_from_Actuarial___Production[[#This Row],[Kor1]],$AI$3:$AK$105,3,FALSE)</f>
        <v>Losses Paid</v>
      </c>
      <c r="X102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5"/>
      <c r="Z10275" t="s">
        <v>48</v>
      </c>
      <c r="AA10275" t="s">
        <v>259</v>
      </c>
      <c r="AB10275" t="s">
        <v>442</v>
      </c>
      <c r="AC10275" s="21">
        <v>63.99</v>
      </c>
      <c r="AD10275" s="21" t="s">
        <v>368</v>
      </c>
      <c r="AE10275" t="str">
        <f>VLOOKUP(Table_Query_from_Actuarial___Production3[[#This Row],[Kor1]],$AI$3:$AK$105,3,FALSE)</f>
        <v>Anticipated Salvage</v>
      </c>
      <c r="AF102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6" spans="18:32" x14ac:dyDescent="0.2">
      <c r="R10276" t="s">
        <v>13</v>
      </c>
      <c r="S10276" t="s">
        <v>242</v>
      </c>
      <c r="T10276" t="s">
        <v>433</v>
      </c>
      <c r="U10276" s="21">
        <v>75437.3</v>
      </c>
      <c r="V10276" s="21" t="s">
        <v>368</v>
      </c>
      <c r="W10276" t="str">
        <f>VLOOKUP(Table_Query_from_Actuarial___Production[[#This Row],[Kor1]],$AI$3:$AK$105,3,FALSE)</f>
        <v>Operating Service Fees</v>
      </c>
      <c r="X102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6"/>
      <c r="Z10276" t="s">
        <v>12</v>
      </c>
      <c r="AA10276" t="s">
        <v>231</v>
      </c>
      <c r="AB10276" t="s">
        <v>351</v>
      </c>
      <c r="AC10276" s="21">
        <v>3154.78</v>
      </c>
      <c r="AD10276" s="21" t="s">
        <v>368</v>
      </c>
      <c r="AE10276" t="str">
        <f>VLOOKUP(Table_Query_from_Actuarial___Production3[[#This Row],[Kor1]],$AI$3:$AK$105,3,FALSE)</f>
        <v>Premium Tax</v>
      </c>
      <c r="AF102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7" spans="18:32" x14ac:dyDescent="0.2">
      <c r="R10277" t="s">
        <v>31</v>
      </c>
      <c r="S10277" t="s">
        <v>260</v>
      </c>
      <c r="T10277" t="s">
        <v>8</v>
      </c>
      <c r="U10277" s="21">
        <v>598.57000000000005</v>
      </c>
      <c r="V10277" s="21" t="s">
        <v>368</v>
      </c>
      <c r="W10277" t="str">
        <f>VLOOKUP(Table_Query_from_Actuarial___Production[[#This Row],[Kor1]],$AI$3:$AK$105,3,FALSE)</f>
        <v>Misc. Expense</v>
      </c>
      <c r="X102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7"/>
      <c r="Z10277" t="s">
        <v>12</v>
      </c>
      <c r="AA10277" t="s">
        <v>264</v>
      </c>
      <c r="AB10277" t="s">
        <v>6</v>
      </c>
      <c r="AC10277" s="21">
        <v>55939.77</v>
      </c>
      <c r="AD10277" s="21" t="s">
        <v>368</v>
      </c>
      <c r="AE10277" t="str">
        <f>VLOOKUP(Table_Query_from_Actuarial___Production3[[#This Row],[Kor1]],$AI$3:$AK$105,3,FALSE)</f>
        <v>Premium Tax</v>
      </c>
      <c r="AF102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8" spans="18:32" x14ac:dyDescent="0.2">
      <c r="R10278" t="s">
        <v>37</v>
      </c>
      <c r="S10278" t="s">
        <v>251</v>
      </c>
      <c r="T10278" t="s">
        <v>356</v>
      </c>
      <c r="U10278" s="21">
        <v>179.91</v>
      </c>
      <c r="V10278" s="21" t="s">
        <v>368</v>
      </c>
      <c r="W10278" t="str">
        <f>VLOOKUP(Table_Query_from_Actuarial___Production[[#This Row],[Kor1]],$AI$3:$AK$105,3,FALSE)</f>
        <v>Misc. Expense</v>
      </c>
      <c r="X102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8"/>
      <c r="Z10278" t="s">
        <v>13</v>
      </c>
      <c r="AA10278" t="s">
        <v>240</v>
      </c>
      <c r="AB10278" t="s">
        <v>427</v>
      </c>
      <c r="AC10278" s="21">
        <v>921952.66</v>
      </c>
      <c r="AD10278" s="21" t="s">
        <v>368</v>
      </c>
      <c r="AE10278" t="str">
        <f>VLOOKUP(Table_Query_from_Actuarial___Production3[[#This Row],[Kor1]],$AI$3:$AK$105,3,FALSE)</f>
        <v>Operating Service Fees</v>
      </c>
      <c r="AF102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79" spans="18:32" x14ac:dyDescent="0.2">
      <c r="R10279" t="s">
        <v>40</v>
      </c>
      <c r="S10279" t="s">
        <v>242</v>
      </c>
      <c r="T10279" t="s">
        <v>8</v>
      </c>
      <c r="U10279" s="21">
        <v>711.88</v>
      </c>
      <c r="V10279" s="21" t="s">
        <v>368</v>
      </c>
      <c r="W10279" t="str">
        <f>VLOOKUP(Table_Query_from_Actuarial___Production[[#This Row],[Kor1]],$AI$3:$AK$105,3,FALSE)</f>
        <v>Misc. Income</v>
      </c>
      <c r="X102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79"/>
      <c r="Z10279" t="s">
        <v>14</v>
      </c>
      <c r="AA10279" t="s">
        <v>240</v>
      </c>
      <c r="AB10279" t="s">
        <v>442</v>
      </c>
      <c r="AC10279" s="21">
        <v>157079.94</v>
      </c>
      <c r="AD10279" s="21" t="s">
        <v>368</v>
      </c>
      <c r="AE10279" t="str">
        <f>VLOOKUP(Table_Query_from_Actuarial___Production3[[#This Row],[Kor1]],$AI$3:$AK$105,3,FALSE)</f>
        <v>Claims Expense</v>
      </c>
      <c r="AF102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0" spans="18:32" x14ac:dyDescent="0.2">
      <c r="R10280" t="s">
        <v>41</v>
      </c>
      <c r="S10280" t="s">
        <v>268</v>
      </c>
      <c r="T10280" t="s">
        <v>7</v>
      </c>
      <c r="U10280" s="21">
        <v>100</v>
      </c>
      <c r="V10280" s="21" t="s">
        <v>368</v>
      </c>
      <c r="W10280" t="str">
        <f>VLOOKUP(Table_Query_from_Actuarial___Production[[#This Row],[Kor1]],$AI$3:$AK$105,3,FALSE)</f>
        <v>Misc. Income</v>
      </c>
      <c r="X102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0"/>
      <c r="Z10280" t="s">
        <v>47</v>
      </c>
      <c r="AA10280" t="s">
        <v>264</v>
      </c>
      <c r="AB10280" t="s">
        <v>9</v>
      </c>
      <c r="AC10280" s="21">
        <v>720</v>
      </c>
      <c r="AD10280" s="21" t="s">
        <v>368</v>
      </c>
      <c r="AE10280" t="str">
        <f>VLOOKUP(Table_Query_from_Actuarial___Production3[[#This Row],[Kor1]],$AI$3:$AK$105,3,FALSE)</f>
        <v>Investment Income</v>
      </c>
      <c r="AF102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1" spans="18:32" x14ac:dyDescent="0.2">
      <c r="R10281" t="s">
        <v>33</v>
      </c>
      <c r="S10281" t="s">
        <v>259</v>
      </c>
      <c r="T10281" t="s">
        <v>442</v>
      </c>
      <c r="U10281" s="21">
        <v>13064.54</v>
      </c>
      <c r="V10281" s="21" t="s">
        <v>368</v>
      </c>
      <c r="W10281" t="str">
        <f>VLOOKUP(Table_Query_from_Actuarial___Production[[#This Row],[Kor1]],$AI$3:$AK$105,3,FALSE)</f>
        <v>Misc. Expense</v>
      </c>
      <c r="X102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1"/>
      <c r="Z10281" t="s">
        <v>13</v>
      </c>
      <c r="AA10281" t="s">
        <v>224</v>
      </c>
      <c r="AB10281" t="s">
        <v>442</v>
      </c>
      <c r="AC10281" s="21">
        <v>202351.18</v>
      </c>
      <c r="AD10281" s="21" t="s">
        <v>368</v>
      </c>
      <c r="AE10281" t="str">
        <f>VLOOKUP(Table_Query_from_Actuarial___Production3[[#This Row],[Kor1]],$AI$3:$AK$105,3,FALSE)</f>
        <v>Operating Service Fees</v>
      </c>
      <c r="AF102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282" spans="18:32" x14ac:dyDescent="0.2">
      <c r="R10282" t="s">
        <v>31</v>
      </c>
      <c r="S10282" t="s">
        <v>4</v>
      </c>
      <c r="T10282" t="s">
        <v>7</v>
      </c>
      <c r="U10282" s="21">
        <v>8991.4699999999993</v>
      </c>
      <c r="V10282" s="21" t="s">
        <v>368</v>
      </c>
      <c r="W10282" t="str">
        <f>VLOOKUP(Table_Query_from_Actuarial___Production[[#This Row],[Kor1]],$AI$3:$AK$105,3,FALSE)</f>
        <v>Misc. Expense</v>
      </c>
      <c r="X102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2"/>
      <c r="Z10282" t="s">
        <v>17</v>
      </c>
      <c r="AA10282" t="s">
        <v>225</v>
      </c>
      <c r="AB10282" t="s">
        <v>441</v>
      </c>
      <c r="AC10282" s="21">
        <v>42569.29</v>
      </c>
      <c r="AD10282" s="21" t="s">
        <v>369</v>
      </c>
      <c r="AE10282" t="str">
        <f>VLOOKUP(Table_Query_from_Actuarial___Production3[[#This Row],[Kor1]],$AI$3:$AK$105,3,FALSE)</f>
        <v>IBNR</v>
      </c>
      <c r="AF102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283" spans="18:32" x14ac:dyDescent="0.2">
      <c r="R10283" t="s">
        <v>34</v>
      </c>
      <c r="S10283" t="s">
        <v>232</v>
      </c>
      <c r="T10283" t="s">
        <v>8</v>
      </c>
      <c r="U10283" s="21">
        <v>11.99</v>
      </c>
      <c r="V10283" s="21" t="s">
        <v>368</v>
      </c>
      <c r="W10283" t="str">
        <f>VLOOKUP(Table_Query_from_Actuarial___Production[[#This Row],[Kor1]],$AI$3:$AK$105,3,FALSE)</f>
        <v>Misc. Expense</v>
      </c>
      <c r="X102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3"/>
      <c r="Z10283" t="s">
        <v>13</v>
      </c>
      <c r="AA10283" t="s">
        <v>244</v>
      </c>
      <c r="AB10283" t="s">
        <v>5</v>
      </c>
      <c r="AC10283" s="21">
        <v>117186.09</v>
      </c>
      <c r="AD10283" s="21" t="s">
        <v>368</v>
      </c>
      <c r="AE10283" t="str">
        <f>VLOOKUP(Table_Query_from_Actuarial___Production3[[#This Row],[Kor1]],$AI$3:$AK$105,3,FALSE)</f>
        <v>Operating Service Fees</v>
      </c>
      <c r="AF102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4" spans="18:32" x14ac:dyDescent="0.2">
      <c r="R10284" t="s">
        <v>49</v>
      </c>
      <c r="S10284" t="s">
        <v>265</v>
      </c>
      <c r="T10284" t="s">
        <v>427</v>
      </c>
      <c r="U10284" s="21">
        <v>55.6</v>
      </c>
      <c r="V10284" s="21" t="s">
        <v>368</v>
      </c>
      <c r="W10284" t="str">
        <f>VLOOKUP(Table_Query_from_Actuarial___Production[[#This Row],[Kor1]],$AI$3:$AK$105,3,FALSE)</f>
        <v>ALAE Paid</v>
      </c>
      <c r="X102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4"/>
      <c r="Z10284" t="s">
        <v>33</v>
      </c>
      <c r="AA10284" t="s">
        <v>254</v>
      </c>
      <c r="AB10284" t="s">
        <v>427</v>
      </c>
      <c r="AC10284" s="21">
        <v>13040.5</v>
      </c>
      <c r="AD10284" s="21" t="s">
        <v>368</v>
      </c>
      <c r="AE10284" t="str">
        <f>VLOOKUP(Table_Query_from_Actuarial___Production3[[#This Row],[Kor1]],$AI$3:$AK$105,3,FALSE)</f>
        <v>Misc. Expense</v>
      </c>
      <c r="AF102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5" spans="18:32" x14ac:dyDescent="0.2">
      <c r="R10285" t="s">
        <v>167</v>
      </c>
      <c r="S10285" t="s">
        <v>354</v>
      </c>
      <c r="T10285" t="s">
        <v>356</v>
      </c>
      <c r="U10285" s="21">
        <v>29889560</v>
      </c>
      <c r="V10285" s="21" t="s">
        <v>368</v>
      </c>
      <c r="W10285" t="str">
        <f>VLOOKUP(Table_Query_from_Actuarial___Production[[#This Row],[Kor1]],$AI$3:$AK$105,3,FALSE)</f>
        <v>Recoupment</v>
      </c>
      <c r="X102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0285"/>
      <c r="Z10285" t="s">
        <v>41</v>
      </c>
      <c r="AA10285" t="s">
        <v>254</v>
      </c>
      <c r="AB10285" t="s">
        <v>356</v>
      </c>
      <c r="AC10285" s="21">
        <v>749.92</v>
      </c>
      <c r="AD10285" s="21" t="s">
        <v>368</v>
      </c>
      <c r="AE10285" t="str">
        <f>VLOOKUP(Table_Query_from_Actuarial___Production3[[#This Row],[Kor1]],$AI$3:$AK$105,3,FALSE)</f>
        <v>Misc. Income</v>
      </c>
      <c r="AF102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6" spans="18:32" x14ac:dyDescent="0.2">
      <c r="R10286" t="s">
        <v>11</v>
      </c>
      <c r="S10286" t="s">
        <v>248</v>
      </c>
      <c r="T10286" t="s">
        <v>442</v>
      </c>
      <c r="U10286" s="21">
        <v>1145551.83</v>
      </c>
      <c r="V10286" s="21" t="s">
        <v>368</v>
      </c>
      <c r="W10286" t="str">
        <f>VLOOKUP(Table_Query_from_Actuarial___Production[[#This Row],[Kor1]],$AI$3:$AK$105,3,FALSE)</f>
        <v>Losses Paid</v>
      </c>
      <c r="X102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6"/>
      <c r="Z10286" t="s">
        <v>10</v>
      </c>
      <c r="AA10286" t="s">
        <v>262</v>
      </c>
      <c r="AB10286" t="s">
        <v>9</v>
      </c>
      <c r="AC10286" s="21">
        <v>14643.9</v>
      </c>
      <c r="AD10286" s="21" t="s">
        <v>368</v>
      </c>
      <c r="AE10286" t="str">
        <f>VLOOKUP(Table_Query_from_Actuarial___Production3[[#This Row],[Kor1]],$AI$3:$AK$105,3,FALSE)</f>
        <v>Commissions</v>
      </c>
      <c r="AF102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7" spans="18:32" x14ac:dyDescent="0.2">
      <c r="R10287" t="s">
        <v>12</v>
      </c>
      <c r="S10287" t="s">
        <v>238</v>
      </c>
      <c r="T10287" t="s">
        <v>7</v>
      </c>
      <c r="U10287" s="21">
        <v>1214.06</v>
      </c>
      <c r="V10287" s="21" t="s">
        <v>368</v>
      </c>
      <c r="W10287" t="str">
        <f>VLOOKUP(Table_Query_from_Actuarial___Production[[#This Row],[Kor1]],$AI$3:$AK$105,3,FALSE)</f>
        <v>Premium Tax</v>
      </c>
      <c r="X102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7"/>
      <c r="Z10287" t="s">
        <v>31</v>
      </c>
      <c r="AA10287" t="s">
        <v>251</v>
      </c>
      <c r="AB10287" t="s">
        <v>427</v>
      </c>
      <c r="AC10287" s="21">
        <v>585.58000000000004</v>
      </c>
      <c r="AD10287" s="21" t="s">
        <v>368</v>
      </c>
      <c r="AE10287" t="str">
        <f>VLOOKUP(Table_Query_from_Actuarial___Production3[[#This Row],[Kor1]],$AI$3:$AK$105,3,FALSE)</f>
        <v>Misc. Expense</v>
      </c>
      <c r="AF102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8" spans="18:32" x14ac:dyDescent="0.2">
      <c r="R10288" t="s">
        <v>16</v>
      </c>
      <c r="S10288" t="s">
        <v>257</v>
      </c>
      <c r="T10288" t="s">
        <v>427</v>
      </c>
      <c r="U10288" s="21">
        <v>352132.32</v>
      </c>
      <c r="V10288" s="21" t="s">
        <v>368</v>
      </c>
      <c r="W10288" t="str">
        <f>VLOOKUP(Table_Query_from_Actuarial___Production[[#This Row],[Kor1]],$AI$3:$AK$105,3,FALSE)</f>
        <v>Losses Outstanding</v>
      </c>
      <c r="X102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8"/>
      <c r="Z10288" t="s">
        <v>33</v>
      </c>
      <c r="AA10288" t="s">
        <v>241</v>
      </c>
      <c r="AB10288" t="s">
        <v>9</v>
      </c>
      <c r="AC10288" s="21">
        <v>16311.22</v>
      </c>
      <c r="AD10288" s="21" t="s">
        <v>368</v>
      </c>
      <c r="AE10288" t="str">
        <f>VLOOKUP(Table_Query_from_Actuarial___Production3[[#This Row],[Kor1]],$AI$3:$AK$105,3,FALSE)</f>
        <v>Misc. Expense</v>
      </c>
      <c r="AF102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89" spans="18:32" x14ac:dyDescent="0.2">
      <c r="R10289" t="s">
        <v>47</v>
      </c>
      <c r="S10289" t="s">
        <v>246</v>
      </c>
      <c r="T10289" t="s">
        <v>433</v>
      </c>
      <c r="U10289" s="21">
        <v>3049.14</v>
      </c>
      <c r="V10289" s="21" t="s">
        <v>368</v>
      </c>
      <c r="W10289" t="str">
        <f>VLOOKUP(Table_Query_from_Actuarial___Production[[#This Row],[Kor1]],$AI$3:$AK$105,3,FALSE)</f>
        <v>Investment Income</v>
      </c>
      <c r="X102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89"/>
      <c r="Z10289" t="s">
        <v>11</v>
      </c>
      <c r="AA10289" t="s">
        <v>252</v>
      </c>
      <c r="AB10289" t="s">
        <v>427</v>
      </c>
      <c r="AC10289" s="21">
        <v>20784150.59</v>
      </c>
      <c r="AD10289" s="21" t="s">
        <v>368</v>
      </c>
      <c r="AE10289" t="str">
        <f>VLOOKUP(Table_Query_from_Actuarial___Production3[[#This Row],[Kor1]],$AI$3:$AK$105,3,FALSE)</f>
        <v>Losses Paid</v>
      </c>
      <c r="AF102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0" spans="18:32" x14ac:dyDescent="0.2">
      <c r="R10290" t="s">
        <v>13</v>
      </c>
      <c r="S10290" t="s">
        <v>237</v>
      </c>
      <c r="T10290" t="s">
        <v>441</v>
      </c>
      <c r="U10290" s="21">
        <v>12251652.08</v>
      </c>
      <c r="V10290" s="21" t="s">
        <v>368</v>
      </c>
      <c r="W10290" t="str">
        <f>VLOOKUP(Table_Query_from_Actuarial___Production[[#This Row],[Kor1]],$AI$3:$AK$105,3,FALSE)</f>
        <v>Operating Service Fees</v>
      </c>
      <c r="X102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0"/>
      <c r="Z10290" t="s">
        <v>13</v>
      </c>
      <c r="AA10290" t="s">
        <v>242</v>
      </c>
      <c r="AB10290" t="s">
        <v>433</v>
      </c>
      <c r="AC10290" s="21">
        <v>75437.3</v>
      </c>
      <c r="AD10290" s="21" t="s">
        <v>368</v>
      </c>
      <c r="AE10290" t="str">
        <f>VLOOKUP(Table_Query_from_Actuarial___Production3[[#This Row],[Kor1]],$AI$3:$AK$105,3,FALSE)</f>
        <v>Operating Service Fees</v>
      </c>
      <c r="AF102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1" spans="18:32" x14ac:dyDescent="0.2">
      <c r="R10291" t="s">
        <v>40</v>
      </c>
      <c r="S10291" t="s">
        <v>257</v>
      </c>
      <c r="T10291" t="s">
        <v>8</v>
      </c>
      <c r="U10291" s="21">
        <v>23</v>
      </c>
      <c r="V10291" s="21" t="s">
        <v>368</v>
      </c>
      <c r="W10291" t="str">
        <f>VLOOKUP(Table_Query_from_Actuarial___Production[[#This Row],[Kor1]],$AI$3:$AK$105,3,FALSE)</f>
        <v>Misc. Income</v>
      </c>
      <c r="X102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1"/>
      <c r="Z10291" t="s">
        <v>32</v>
      </c>
      <c r="AA10291" t="s">
        <v>256</v>
      </c>
      <c r="AB10291" t="s">
        <v>5</v>
      </c>
      <c r="AC10291" s="21">
        <v>-1743.08</v>
      </c>
      <c r="AD10291" s="21" t="s">
        <v>368</v>
      </c>
      <c r="AE10291" t="str">
        <f>VLOOKUP(Table_Query_from_Actuarial___Production3[[#This Row],[Kor1]],$AI$3:$AK$105,3,FALSE)</f>
        <v>Misc. Expense</v>
      </c>
      <c r="AF102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2" spans="18:32" x14ac:dyDescent="0.2">
      <c r="R10292" t="s">
        <v>48</v>
      </c>
      <c r="S10292" t="s">
        <v>235</v>
      </c>
      <c r="T10292" t="s">
        <v>441</v>
      </c>
      <c r="U10292" s="21">
        <v>1267.6199999999999</v>
      </c>
      <c r="V10292" s="21" t="s">
        <v>368</v>
      </c>
      <c r="W10292" t="str">
        <f>VLOOKUP(Table_Query_from_Actuarial___Production[[#This Row],[Kor1]],$AI$3:$AK$105,3,FALSE)</f>
        <v>Anticipated Salvage</v>
      </c>
      <c r="X102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2"/>
      <c r="Z10292" t="s">
        <v>31</v>
      </c>
      <c r="AA10292" t="s">
        <v>260</v>
      </c>
      <c r="AB10292" t="s">
        <v>8</v>
      </c>
      <c r="AC10292" s="21">
        <v>598.57000000000005</v>
      </c>
      <c r="AD10292" s="21" t="s">
        <v>368</v>
      </c>
      <c r="AE10292" t="str">
        <f>VLOOKUP(Table_Query_from_Actuarial___Production3[[#This Row],[Kor1]],$AI$3:$AK$105,3,FALSE)</f>
        <v>Misc. Expense</v>
      </c>
      <c r="AF102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3" spans="18:32" x14ac:dyDescent="0.2">
      <c r="R10293" t="s">
        <v>44</v>
      </c>
      <c r="S10293" t="s">
        <v>265</v>
      </c>
      <c r="T10293" t="s">
        <v>433</v>
      </c>
      <c r="U10293" s="21">
        <v>611955</v>
      </c>
      <c r="V10293" s="21" t="s">
        <v>368</v>
      </c>
      <c r="W10293" t="str">
        <f>VLOOKUP(Table_Query_from_Actuarial___Production[[#This Row],[Kor1]],$AI$3:$AK$105,3,FALSE)</f>
        <v>Charge-offs</v>
      </c>
      <c r="X102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3"/>
      <c r="Z10293" t="s">
        <v>37</v>
      </c>
      <c r="AA10293" t="s">
        <v>251</v>
      </c>
      <c r="AB10293" t="s">
        <v>356</v>
      </c>
      <c r="AC10293" s="21">
        <v>179.91</v>
      </c>
      <c r="AD10293" s="21" t="s">
        <v>368</v>
      </c>
      <c r="AE10293" t="str">
        <f>VLOOKUP(Table_Query_from_Actuarial___Production3[[#This Row],[Kor1]],$AI$3:$AK$105,3,FALSE)</f>
        <v>Misc. Expense</v>
      </c>
      <c r="AF102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4" spans="18:32" x14ac:dyDescent="0.2">
      <c r="R10294" t="s">
        <v>50</v>
      </c>
      <c r="S10294" t="s">
        <v>258</v>
      </c>
      <c r="T10294" t="s">
        <v>442</v>
      </c>
      <c r="U10294" s="21">
        <v>86617.12</v>
      </c>
      <c r="V10294" s="21" t="s">
        <v>368</v>
      </c>
      <c r="W10294" t="str">
        <f>VLOOKUP(Table_Query_from_Actuarial___Production[[#This Row],[Kor1]],$AI$3:$AK$105,3,FALSE)</f>
        <v>ALAE Reserve</v>
      </c>
      <c r="X102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4"/>
      <c r="Z10294" t="s">
        <v>40</v>
      </c>
      <c r="AA10294" t="s">
        <v>242</v>
      </c>
      <c r="AB10294" t="s">
        <v>8</v>
      </c>
      <c r="AC10294" s="21">
        <v>711.88</v>
      </c>
      <c r="AD10294" s="21" t="s">
        <v>368</v>
      </c>
      <c r="AE10294" t="str">
        <f>VLOOKUP(Table_Query_from_Actuarial___Production3[[#This Row],[Kor1]],$AI$3:$AK$105,3,FALSE)</f>
        <v>Misc. Income</v>
      </c>
      <c r="AF102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5" spans="18:32" x14ac:dyDescent="0.2">
      <c r="R10295" t="s">
        <v>3</v>
      </c>
      <c r="S10295" t="s">
        <v>255</v>
      </c>
      <c r="T10295" t="s">
        <v>433</v>
      </c>
      <c r="U10295" s="21">
        <v>245058</v>
      </c>
      <c r="V10295" s="21" t="s">
        <v>368</v>
      </c>
      <c r="W10295" t="str">
        <f>VLOOKUP(Table_Query_from_Actuarial___Production[[#This Row],[Kor1]],$AI$3:$AK$105,3,FALSE)</f>
        <v>Premiums Written</v>
      </c>
      <c r="X102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5"/>
      <c r="Z10295" t="s">
        <v>41</v>
      </c>
      <c r="AA10295" t="s">
        <v>268</v>
      </c>
      <c r="AB10295" t="s">
        <v>7</v>
      </c>
      <c r="AC10295" s="21">
        <v>100</v>
      </c>
      <c r="AD10295" s="21" t="s">
        <v>368</v>
      </c>
      <c r="AE10295" t="str">
        <f>VLOOKUP(Table_Query_from_Actuarial___Production3[[#This Row],[Kor1]],$AI$3:$AK$105,3,FALSE)</f>
        <v>Misc. Income</v>
      </c>
      <c r="AF102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6" spans="18:32" x14ac:dyDescent="0.2">
      <c r="R10296" t="s">
        <v>41</v>
      </c>
      <c r="S10296" t="s">
        <v>260</v>
      </c>
      <c r="T10296" t="s">
        <v>433</v>
      </c>
      <c r="U10296" s="21">
        <v>250.01</v>
      </c>
      <c r="V10296" s="21" t="s">
        <v>368</v>
      </c>
      <c r="W10296" t="str">
        <f>VLOOKUP(Table_Query_from_Actuarial___Production[[#This Row],[Kor1]],$AI$3:$AK$105,3,FALSE)</f>
        <v>Misc. Income</v>
      </c>
      <c r="X102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6"/>
      <c r="Z10296" t="s">
        <v>33</v>
      </c>
      <c r="AA10296" t="s">
        <v>259</v>
      </c>
      <c r="AB10296" t="s">
        <v>442</v>
      </c>
      <c r="AC10296" s="21">
        <v>13064.54</v>
      </c>
      <c r="AD10296" s="21" t="s">
        <v>368</v>
      </c>
      <c r="AE10296" t="str">
        <f>VLOOKUP(Table_Query_from_Actuarial___Production3[[#This Row],[Kor1]],$AI$3:$AK$105,3,FALSE)</f>
        <v>Misc. Expense</v>
      </c>
      <c r="AF102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7" spans="18:32" x14ac:dyDescent="0.2">
      <c r="R10297" t="s">
        <v>13</v>
      </c>
      <c r="S10297" t="s">
        <v>227</v>
      </c>
      <c r="T10297" t="s">
        <v>443</v>
      </c>
      <c r="U10297" s="21">
        <v>22863.51</v>
      </c>
      <c r="V10297" s="21" t="s">
        <v>368</v>
      </c>
      <c r="W10297" t="str">
        <f>VLOOKUP(Table_Query_from_Actuarial___Production[[#This Row],[Kor1]],$AI$3:$AK$105,3,FALSE)</f>
        <v>Operating Service Fees</v>
      </c>
      <c r="X102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7"/>
      <c r="Z10297" t="s">
        <v>31</v>
      </c>
      <c r="AA10297" t="s">
        <v>4</v>
      </c>
      <c r="AB10297" t="s">
        <v>7</v>
      </c>
      <c r="AC10297" s="21">
        <v>8991.4699999999993</v>
      </c>
      <c r="AD10297" s="21" t="s">
        <v>368</v>
      </c>
      <c r="AE10297" t="str">
        <f>VLOOKUP(Table_Query_from_Actuarial___Production3[[#This Row],[Kor1]],$AI$3:$AK$105,3,FALSE)</f>
        <v>Misc. Expense</v>
      </c>
      <c r="AF102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8" spans="18:32" x14ac:dyDescent="0.2">
      <c r="R10298" t="s">
        <v>19</v>
      </c>
      <c r="S10298" t="s">
        <v>229</v>
      </c>
      <c r="T10298" t="s">
        <v>7</v>
      </c>
      <c r="U10298" s="21">
        <v>1</v>
      </c>
      <c r="V10298" s="21" t="s">
        <v>368</v>
      </c>
      <c r="W10298" t="str">
        <f>VLOOKUP(Table_Query_from_Actuarial___Production[[#This Row],[Kor1]],$AI$3:$AK$105,3,FALSE)</f>
        <v>Misc. Expense for Insolvent Companies</v>
      </c>
      <c r="X102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8"/>
      <c r="Z10298" t="s">
        <v>34</v>
      </c>
      <c r="AA10298" t="s">
        <v>232</v>
      </c>
      <c r="AB10298" t="s">
        <v>8</v>
      </c>
      <c r="AC10298" s="21">
        <v>11.99</v>
      </c>
      <c r="AD10298" s="21" t="s">
        <v>368</v>
      </c>
      <c r="AE10298" t="str">
        <f>VLOOKUP(Table_Query_from_Actuarial___Production3[[#This Row],[Kor1]],$AI$3:$AK$105,3,FALSE)</f>
        <v>Misc. Expense</v>
      </c>
      <c r="AF102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299" spans="18:32" x14ac:dyDescent="0.2">
      <c r="R10299" t="s">
        <v>26</v>
      </c>
      <c r="S10299" t="s">
        <v>259</v>
      </c>
      <c r="T10299" t="s">
        <v>9</v>
      </c>
      <c r="U10299" s="21">
        <v>12232.28</v>
      </c>
      <c r="V10299" s="21" t="s">
        <v>368</v>
      </c>
      <c r="W10299" t="str">
        <f>VLOOKUP(Table_Query_from_Actuarial___Production[[#This Row],[Kor1]],$AI$3:$AK$105,3,FALSE)</f>
        <v>Misc. Expense</v>
      </c>
      <c r="X102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299"/>
      <c r="Z10299" t="s">
        <v>49</v>
      </c>
      <c r="AA10299" t="s">
        <v>265</v>
      </c>
      <c r="AB10299" t="s">
        <v>427</v>
      </c>
      <c r="AC10299" s="21">
        <v>55.6</v>
      </c>
      <c r="AD10299" s="21" t="s">
        <v>368</v>
      </c>
      <c r="AE10299" t="str">
        <f>VLOOKUP(Table_Query_from_Actuarial___Production3[[#This Row],[Kor1]],$AI$3:$AK$105,3,FALSE)</f>
        <v>ALAE Paid</v>
      </c>
      <c r="AF102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0" spans="18:32" x14ac:dyDescent="0.2">
      <c r="R10300" t="s">
        <v>10</v>
      </c>
      <c r="S10300" t="s">
        <v>248</v>
      </c>
      <c r="T10300" t="s">
        <v>9</v>
      </c>
      <c r="U10300" s="21">
        <v>3843.12</v>
      </c>
      <c r="V10300" s="21" t="s">
        <v>368</v>
      </c>
      <c r="W10300" t="str">
        <f>VLOOKUP(Table_Query_from_Actuarial___Production[[#This Row],[Kor1]],$AI$3:$AK$105,3,FALSE)</f>
        <v>Commissions</v>
      </c>
      <c r="X103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0"/>
      <c r="Z10300" t="s">
        <v>167</v>
      </c>
      <c r="AA10300" t="s">
        <v>354</v>
      </c>
      <c r="AB10300" t="s">
        <v>356</v>
      </c>
      <c r="AC10300" s="21">
        <v>28555307</v>
      </c>
      <c r="AD10300" s="21" t="s">
        <v>368</v>
      </c>
      <c r="AE10300" t="str">
        <f>VLOOKUP(Table_Query_from_Actuarial___Production3[[#This Row],[Kor1]],$AI$3:$AK$105,3,FALSE)</f>
        <v>Recoupment</v>
      </c>
      <c r="AF103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Commercial</v>
      </c>
    </row>
    <row r="10301" spans="18:32" x14ac:dyDescent="0.2">
      <c r="R10301" t="s">
        <v>107</v>
      </c>
      <c r="S10301" t="s">
        <v>259</v>
      </c>
      <c r="T10301" t="s">
        <v>7</v>
      </c>
      <c r="U10301" s="21">
        <v>278.26</v>
      </c>
      <c r="V10301" s="21" t="s">
        <v>368</v>
      </c>
      <c r="W10301" t="str">
        <f>VLOOKUP(Table_Query_from_Actuarial___Production[[#This Row],[Kor1]],$AI$3:$AK$105,3,FALSE)</f>
        <v>Misc. Expense</v>
      </c>
      <c r="X103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1"/>
      <c r="Z10301" t="s">
        <v>11</v>
      </c>
      <c r="AA10301" t="s">
        <v>248</v>
      </c>
      <c r="AB10301" t="s">
        <v>442</v>
      </c>
      <c r="AC10301" s="21">
        <v>40314.28</v>
      </c>
      <c r="AD10301" s="21" t="s">
        <v>368</v>
      </c>
      <c r="AE10301" t="str">
        <f>VLOOKUP(Table_Query_from_Actuarial___Production3[[#This Row],[Kor1]],$AI$3:$AK$105,3,FALSE)</f>
        <v>Losses Paid</v>
      </c>
      <c r="AF103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2" spans="18:32" x14ac:dyDescent="0.2">
      <c r="R10302" t="s">
        <v>3</v>
      </c>
      <c r="S10302" t="s">
        <v>354</v>
      </c>
      <c r="T10302" t="s">
        <v>356</v>
      </c>
      <c r="U10302" s="21">
        <v>972009278.55999994</v>
      </c>
      <c r="V10302" s="21" t="s">
        <v>369</v>
      </c>
      <c r="W10302" t="str">
        <f>VLOOKUP(Table_Query_from_Actuarial___Production[[#This Row],[Kor1]],$AI$3:$AK$105,3,FALSE)</f>
        <v>Premiums Written</v>
      </c>
      <c r="X103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302"/>
      <c r="Z10302" t="s">
        <v>75</v>
      </c>
      <c r="AA10302" t="s">
        <v>254</v>
      </c>
      <c r="AB10302" t="s">
        <v>441</v>
      </c>
      <c r="AC10302" s="21">
        <v>192326</v>
      </c>
      <c r="AD10302" s="21" t="s">
        <v>368</v>
      </c>
      <c r="AE10302" t="str">
        <f>VLOOKUP(Table_Query_from_Actuarial___Production3[[#This Row],[Kor1]],$AI$3:$AK$105,3,FALSE)</f>
        <v>EBUB</v>
      </c>
      <c r="AF103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3" spans="18:32" x14ac:dyDescent="0.2">
      <c r="R10303" t="s">
        <v>21</v>
      </c>
      <c r="S10303" t="s">
        <v>250</v>
      </c>
      <c r="T10303" t="s">
        <v>9</v>
      </c>
      <c r="U10303" s="21">
        <v>892.22</v>
      </c>
      <c r="V10303" s="21" t="s">
        <v>368</v>
      </c>
      <c r="W10303" t="str">
        <f>VLOOKUP(Table_Query_from_Actuarial___Production[[#This Row],[Kor1]],$AI$3:$AK$105,3,FALSE)</f>
        <v>Misc. Expense</v>
      </c>
      <c r="X103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3"/>
      <c r="Z10303" t="s">
        <v>12</v>
      </c>
      <c r="AA10303" t="s">
        <v>238</v>
      </c>
      <c r="AB10303" t="s">
        <v>7</v>
      </c>
      <c r="AC10303" s="21">
        <v>1214.06</v>
      </c>
      <c r="AD10303" s="21" t="s">
        <v>368</v>
      </c>
      <c r="AE10303" t="str">
        <f>VLOOKUP(Table_Query_from_Actuarial___Production3[[#This Row],[Kor1]],$AI$3:$AK$105,3,FALSE)</f>
        <v>Premium Tax</v>
      </c>
      <c r="AF103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4" spans="18:32" x14ac:dyDescent="0.2">
      <c r="R10304" t="s">
        <v>28</v>
      </c>
      <c r="S10304" t="s">
        <v>4</v>
      </c>
      <c r="T10304" t="s">
        <v>8</v>
      </c>
      <c r="U10304" s="21">
        <v>-619.9</v>
      </c>
      <c r="V10304" s="21" t="s">
        <v>368</v>
      </c>
      <c r="W10304" t="str">
        <f>VLOOKUP(Table_Query_from_Actuarial___Production[[#This Row],[Kor1]],$AI$3:$AK$105,3,FALSE)</f>
        <v>Misc. Expense</v>
      </c>
      <c r="X103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4"/>
      <c r="Z10304" t="s">
        <v>16</v>
      </c>
      <c r="AA10304" t="s">
        <v>257</v>
      </c>
      <c r="AB10304" t="s">
        <v>427</v>
      </c>
      <c r="AC10304" s="21">
        <v>509728.2</v>
      </c>
      <c r="AD10304" s="21" t="s">
        <v>368</v>
      </c>
      <c r="AE10304" t="str">
        <f>VLOOKUP(Table_Query_from_Actuarial___Production3[[#This Row],[Kor1]],$AI$3:$AK$105,3,FALSE)</f>
        <v>Losses Outstanding</v>
      </c>
      <c r="AF103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5" spans="18:32" x14ac:dyDescent="0.2">
      <c r="R10305" t="s">
        <v>36</v>
      </c>
      <c r="S10305" t="s">
        <v>230</v>
      </c>
      <c r="T10305" t="s">
        <v>443</v>
      </c>
      <c r="U10305" s="21">
        <v>25466.71</v>
      </c>
      <c r="V10305" s="21" t="s">
        <v>368</v>
      </c>
      <c r="W10305" t="str">
        <f>VLOOKUP(Table_Query_from_Actuarial___Production[[#This Row],[Kor1]],$AI$3:$AK$105,3,FALSE)</f>
        <v>Misc. Expense</v>
      </c>
      <c r="X103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5"/>
      <c r="Z10305" t="s">
        <v>47</v>
      </c>
      <c r="AA10305" t="s">
        <v>246</v>
      </c>
      <c r="AB10305" t="s">
        <v>433</v>
      </c>
      <c r="AC10305" s="21">
        <v>3049.14</v>
      </c>
      <c r="AD10305" s="21" t="s">
        <v>368</v>
      </c>
      <c r="AE10305" t="str">
        <f>VLOOKUP(Table_Query_from_Actuarial___Production3[[#This Row],[Kor1]],$AI$3:$AK$105,3,FALSE)</f>
        <v>Investment Income</v>
      </c>
      <c r="AF103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6" spans="18:32" x14ac:dyDescent="0.2">
      <c r="R10306" t="s">
        <v>77</v>
      </c>
      <c r="S10306" t="s">
        <v>225</v>
      </c>
      <c r="T10306" t="s">
        <v>445</v>
      </c>
      <c r="U10306" s="21">
        <v>165262.01</v>
      </c>
      <c r="V10306" s="21" t="s">
        <v>368</v>
      </c>
      <c r="W10306" t="str">
        <f>VLOOKUP(Table_Query_from_Actuarial___Production[[#This Row],[Kor1]],$AI$3:$AK$105,3,FALSE)</f>
        <v>PDR</v>
      </c>
      <c r="X103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306"/>
      <c r="Z10306" t="s">
        <v>13</v>
      </c>
      <c r="AA10306" t="s">
        <v>237</v>
      </c>
      <c r="AB10306" t="s">
        <v>441</v>
      </c>
      <c r="AC10306" s="21">
        <v>12335735.119999999</v>
      </c>
      <c r="AD10306" s="21" t="s">
        <v>368</v>
      </c>
      <c r="AE10306" t="str">
        <f>VLOOKUP(Table_Query_from_Actuarial___Production3[[#This Row],[Kor1]],$AI$3:$AK$105,3,FALSE)</f>
        <v>Operating Service Fees</v>
      </c>
      <c r="AF103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7" spans="18:32" x14ac:dyDescent="0.2">
      <c r="R10307" t="s">
        <v>14</v>
      </c>
      <c r="S10307" t="s">
        <v>230</v>
      </c>
      <c r="T10307" t="s">
        <v>8</v>
      </c>
      <c r="U10307" s="21">
        <v>2442454.0299999998</v>
      </c>
      <c r="V10307" s="21" t="s">
        <v>368</v>
      </c>
      <c r="W10307" t="str">
        <f>VLOOKUP(Table_Query_from_Actuarial___Production[[#This Row],[Kor1]],$AI$3:$AK$105,3,FALSE)</f>
        <v>Claims Expense</v>
      </c>
      <c r="X103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7"/>
      <c r="Z10307" t="s">
        <v>40</v>
      </c>
      <c r="AA10307" t="s">
        <v>257</v>
      </c>
      <c r="AB10307" t="s">
        <v>8</v>
      </c>
      <c r="AC10307" s="21">
        <v>23</v>
      </c>
      <c r="AD10307" s="21" t="s">
        <v>368</v>
      </c>
      <c r="AE10307" t="str">
        <f>VLOOKUP(Table_Query_from_Actuarial___Production3[[#This Row],[Kor1]],$AI$3:$AK$105,3,FALSE)</f>
        <v>Misc. Income</v>
      </c>
      <c r="AF103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8" spans="18:32" x14ac:dyDescent="0.2">
      <c r="R10308" t="s">
        <v>14</v>
      </c>
      <c r="S10308" t="s">
        <v>257</v>
      </c>
      <c r="T10308" t="s">
        <v>442</v>
      </c>
      <c r="U10308" s="21">
        <v>226350.56</v>
      </c>
      <c r="V10308" s="21" t="s">
        <v>368</v>
      </c>
      <c r="W10308" t="str">
        <f>VLOOKUP(Table_Query_from_Actuarial___Production[[#This Row],[Kor1]],$AI$3:$AK$105,3,FALSE)</f>
        <v>Claims Expense</v>
      </c>
      <c r="X103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8"/>
      <c r="Z10308" t="s">
        <v>48</v>
      </c>
      <c r="AA10308" t="s">
        <v>235</v>
      </c>
      <c r="AB10308" t="s">
        <v>441</v>
      </c>
      <c r="AC10308" s="21">
        <v>2040.01</v>
      </c>
      <c r="AD10308" s="21" t="s">
        <v>368</v>
      </c>
      <c r="AE10308" t="str">
        <f>VLOOKUP(Table_Query_from_Actuarial___Production3[[#This Row],[Kor1]],$AI$3:$AK$105,3,FALSE)</f>
        <v>Anticipated Salvage</v>
      </c>
      <c r="AF103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09" spans="18:32" x14ac:dyDescent="0.2">
      <c r="R10309" t="s">
        <v>33</v>
      </c>
      <c r="S10309" t="s">
        <v>236</v>
      </c>
      <c r="T10309" t="s">
        <v>356</v>
      </c>
      <c r="U10309" s="21">
        <v>11034.54</v>
      </c>
      <c r="V10309" s="21" t="s">
        <v>368</v>
      </c>
      <c r="W10309" t="str">
        <f>VLOOKUP(Table_Query_from_Actuarial___Production[[#This Row],[Kor1]],$AI$3:$AK$105,3,FALSE)</f>
        <v>Misc. Expense</v>
      </c>
      <c r="X103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09"/>
      <c r="Z10309" t="s">
        <v>44</v>
      </c>
      <c r="AA10309" t="s">
        <v>265</v>
      </c>
      <c r="AB10309" t="s">
        <v>433</v>
      </c>
      <c r="AC10309" s="21">
        <v>611955</v>
      </c>
      <c r="AD10309" s="21" t="s">
        <v>368</v>
      </c>
      <c r="AE10309" t="str">
        <f>VLOOKUP(Table_Query_from_Actuarial___Production3[[#This Row],[Kor1]],$AI$3:$AK$105,3,FALSE)</f>
        <v>Charge-offs</v>
      </c>
      <c r="AF103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0" spans="18:32" x14ac:dyDescent="0.2">
      <c r="R10310" t="s">
        <v>19</v>
      </c>
      <c r="S10310" t="s">
        <v>244</v>
      </c>
      <c r="T10310" t="s">
        <v>9</v>
      </c>
      <c r="U10310" s="21">
        <v>326</v>
      </c>
      <c r="V10310" s="21" t="s">
        <v>368</v>
      </c>
      <c r="W10310" t="str">
        <f>VLOOKUP(Table_Query_from_Actuarial___Production[[#This Row],[Kor1]],$AI$3:$AK$105,3,FALSE)</f>
        <v>Misc. Expense for Insolvent Companies</v>
      </c>
      <c r="X103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0"/>
      <c r="Z10310" t="s">
        <v>50</v>
      </c>
      <c r="AA10310" t="s">
        <v>258</v>
      </c>
      <c r="AB10310" t="s">
        <v>442</v>
      </c>
      <c r="AC10310" s="21">
        <v>196305.67</v>
      </c>
      <c r="AD10310" s="21" t="s">
        <v>368</v>
      </c>
      <c r="AE10310" t="str">
        <f>VLOOKUP(Table_Query_from_Actuarial___Production3[[#This Row],[Kor1]],$AI$3:$AK$105,3,FALSE)</f>
        <v>ALAE Reserve</v>
      </c>
      <c r="AF103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1" spans="18:32" x14ac:dyDescent="0.2">
      <c r="R10311" t="s">
        <v>38</v>
      </c>
      <c r="S10311" t="s">
        <v>224</v>
      </c>
      <c r="T10311" t="s">
        <v>442</v>
      </c>
      <c r="U10311" s="21">
        <v>2608.88</v>
      </c>
      <c r="V10311" s="21" t="s">
        <v>369</v>
      </c>
      <c r="W10311" t="str">
        <f>VLOOKUP(Table_Query_from_Actuarial___Production[[#This Row],[Kor1]],$AI$3:$AK$105,3,FALSE)</f>
        <v>Misc. Income</v>
      </c>
      <c r="X103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311"/>
      <c r="Z10311" t="s">
        <v>11</v>
      </c>
      <c r="AA10311" t="s">
        <v>224</v>
      </c>
      <c r="AB10311" t="s">
        <v>5</v>
      </c>
      <c r="AC10311" s="21">
        <v>960400</v>
      </c>
      <c r="AD10311" s="21" t="s">
        <v>370</v>
      </c>
      <c r="AE10311" t="str">
        <f>VLOOKUP(Table_Query_from_Actuarial___Production3[[#This Row],[Kor1]],$AI$3:$AK$105,3,FALSE)</f>
        <v>Losses Paid</v>
      </c>
      <c r="AF103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312" spans="18:32" x14ac:dyDescent="0.2">
      <c r="R10312" t="s">
        <v>10</v>
      </c>
      <c r="S10312" t="s">
        <v>247</v>
      </c>
      <c r="T10312" t="s">
        <v>8</v>
      </c>
      <c r="U10312" s="21">
        <v>434.7</v>
      </c>
      <c r="V10312" s="21" t="s">
        <v>368</v>
      </c>
      <c r="W10312" t="str">
        <f>VLOOKUP(Table_Query_from_Actuarial___Production[[#This Row],[Kor1]],$AI$3:$AK$105,3,FALSE)</f>
        <v>Commissions</v>
      </c>
      <c r="X103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2"/>
      <c r="Z10312" t="s">
        <v>3</v>
      </c>
      <c r="AA10312" t="s">
        <v>255</v>
      </c>
      <c r="AB10312" t="s">
        <v>433</v>
      </c>
      <c r="AC10312" s="21">
        <v>245058</v>
      </c>
      <c r="AD10312" s="21" t="s">
        <v>368</v>
      </c>
      <c r="AE10312" t="str">
        <f>VLOOKUP(Table_Query_from_Actuarial___Production3[[#This Row],[Kor1]],$AI$3:$AK$105,3,FALSE)</f>
        <v>Premiums Written</v>
      </c>
      <c r="AF103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3" spans="18:32" x14ac:dyDescent="0.2">
      <c r="R10313" t="s">
        <v>37</v>
      </c>
      <c r="S10313" t="s">
        <v>242</v>
      </c>
      <c r="T10313" t="s">
        <v>433</v>
      </c>
      <c r="U10313" s="21">
        <v>164.81</v>
      </c>
      <c r="V10313" s="21" t="s">
        <v>368</v>
      </c>
      <c r="W10313" t="str">
        <f>VLOOKUP(Table_Query_from_Actuarial___Production[[#This Row],[Kor1]],$AI$3:$AK$105,3,FALSE)</f>
        <v>Misc. Expense</v>
      </c>
      <c r="X103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3"/>
      <c r="Z10313" t="s">
        <v>41</v>
      </c>
      <c r="AA10313" t="s">
        <v>260</v>
      </c>
      <c r="AB10313" t="s">
        <v>433</v>
      </c>
      <c r="AC10313" s="21">
        <v>250.01</v>
      </c>
      <c r="AD10313" s="21" t="s">
        <v>368</v>
      </c>
      <c r="AE10313" t="str">
        <f>VLOOKUP(Table_Query_from_Actuarial___Production3[[#This Row],[Kor1]],$AI$3:$AK$105,3,FALSE)</f>
        <v>Misc. Income</v>
      </c>
      <c r="AF103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4" spans="18:32" x14ac:dyDescent="0.2">
      <c r="R10314" t="s">
        <v>3</v>
      </c>
      <c r="S10314" t="s">
        <v>236</v>
      </c>
      <c r="T10314" t="s">
        <v>356</v>
      </c>
      <c r="U10314" s="21">
        <v>36400</v>
      </c>
      <c r="V10314" s="21" t="s">
        <v>368</v>
      </c>
      <c r="W10314" t="str">
        <f>VLOOKUP(Table_Query_from_Actuarial___Production[[#This Row],[Kor1]],$AI$3:$AK$105,3,FALSE)</f>
        <v>Premiums Written</v>
      </c>
      <c r="X103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4"/>
      <c r="Z10314" t="s">
        <v>19</v>
      </c>
      <c r="AA10314" t="s">
        <v>229</v>
      </c>
      <c r="AB10314" t="s">
        <v>7</v>
      </c>
      <c r="AC10314" s="21">
        <v>1</v>
      </c>
      <c r="AD10314" s="21" t="s">
        <v>368</v>
      </c>
      <c r="AE10314" t="str">
        <f>VLOOKUP(Table_Query_from_Actuarial___Production3[[#This Row],[Kor1]],$AI$3:$AK$105,3,FALSE)</f>
        <v>Misc. Expense for Insolvent Companies</v>
      </c>
      <c r="AF103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5" spans="18:32" x14ac:dyDescent="0.2">
      <c r="R10315" t="s">
        <v>37</v>
      </c>
      <c r="S10315" t="s">
        <v>231</v>
      </c>
      <c r="T10315" t="s">
        <v>442</v>
      </c>
      <c r="U10315" s="21">
        <v>2368.9899999999998</v>
      </c>
      <c r="V10315" s="21" t="s">
        <v>368</v>
      </c>
      <c r="W10315" t="str">
        <f>VLOOKUP(Table_Query_from_Actuarial___Production[[#This Row],[Kor1]],$AI$3:$AK$105,3,FALSE)</f>
        <v>Misc. Expense</v>
      </c>
      <c r="X103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5"/>
      <c r="Z10315" t="s">
        <v>26</v>
      </c>
      <c r="AA10315" t="s">
        <v>259</v>
      </c>
      <c r="AB10315" t="s">
        <v>9</v>
      </c>
      <c r="AC10315" s="21">
        <v>12232.28</v>
      </c>
      <c r="AD10315" s="21" t="s">
        <v>368</v>
      </c>
      <c r="AE10315" t="str">
        <f>VLOOKUP(Table_Query_from_Actuarial___Production3[[#This Row],[Kor1]],$AI$3:$AK$105,3,FALSE)</f>
        <v>Misc. Expense</v>
      </c>
      <c r="AF103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6" spans="18:32" x14ac:dyDescent="0.2">
      <c r="R10316" t="s">
        <v>3</v>
      </c>
      <c r="S10316" t="s">
        <v>238</v>
      </c>
      <c r="T10316" t="s">
        <v>6</v>
      </c>
      <c r="U10316" s="21">
        <v>42332</v>
      </c>
      <c r="V10316" s="21" t="s">
        <v>368</v>
      </c>
      <c r="W10316" t="str">
        <f>VLOOKUP(Table_Query_from_Actuarial___Production[[#This Row],[Kor1]],$AI$3:$AK$105,3,FALSE)</f>
        <v>Premiums Written</v>
      </c>
      <c r="X103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6"/>
      <c r="Z10316" t="s">
        <v>10</v>
      </c>
      <c r="AA10316" t="s">
        <v>248</v>
      </c>
      <c r="AB10316" t="s">
        <v>9</v>
      </c>
      <c r="AC10316" s="21">
        <v>3843.12</v>
      </c>
      <c r="AD10316" s="21" t="s">
        <v>368</v>
      </c>
      <c r="AE10316" t="str">
        <f>VLOOKUP(Table_Query_from_Actuarial___Production3[[#This Row],[Kor1]],$AI$3:$AK$105,3,FALSE)</f>
        <v>Commissions</v>
      </c>
      <c r="AF103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7" spans="18:32" x14ac:dyDescent="0.2">
      <c r="R10317" t="s">
        <v>19</v>
      </c>
      <c r="S10317" t="s">
        <v>233</v>
      </c>
      <c r="T10317" t="s">
        <v>6</v>
      </c>
      <c r="U10317" s="21">
        <v>36.01</v>
      </c>
      <c r="V10317" s="21" t="s">
        <v>368</v>
      </c>
      <c r="W10317" t="str">
        <f>VLOOKUP(Table_Query_from_Actuarial___Production[[#This Row],[Kor1]],$AI$3:$AK$105,3,FALSE)</f>
        <v>Misc. Expense for Insolvent Companies</v>
      </c>
      <c r="X103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7"/>
      <c r="Z10317" t="s">
        <v>107</v>
      </c>
      <c r="AA10317" t="s">
        <v>259</v>
      </c>
      <c r="AB10317" t="s">
        <v>7</v>
      </c>
      <c r="AC10317" s="21">
        <v>278.26</v>
      </c>
      <c r="AD10317" s="21" t="s">
        <v>368</v>
      </c>
      <c r="AE10317" t="str">
        <f>VLOOKUP(Table_Query_from_Actuarial___Production3[[#This Row],[Kor1]],$AI$3:$AK$105,3,FALSE)</f>
        <v>Misc. Expense</v>
      </c>
      <c r="AF103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18" spans="18:32" x14ac:dyDescent="0.2">
      <c r="R10318" t="s">
        <v>37</v>
      </c>
      <c r="S10318" t="s">
        <v>239</v>
      </c>
      <c r="T10318" t="s">
        <v>427</v>
      </c>
      <c r="U10318" s="21">
        <v>763.96</v>
      </c>
      <c r="V10318" s="21" t="s">
        <v>368</v>
      </c>
      <c r="W10318" t="str">
        <f>VLOOKUP(Table_Query_from_Actuarial___Production[[#This Row],[Kor1]],$AI$3:$AK$105,3,FALSE)</f>
        <v>Misc. Expense</v>
      </c>
      <c r="X103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8"/>
      <c r="Z10318" t="s">
        <v>3</v>
      </c>
      <c r="AA10318" t="s">
        <v>354</v>
      </c>
      <c r="AB10318" t="s">
        <v>356</v>
      </c>
      <c r="AC10318" s="21">
        <v>971928238.58000004</v>
      </c>
      <c r="AD10318" s="21" t="s">
        <v>369</v>
      </c>
      <c r="AE10318" t="str">
        <f>VLOOKUP(Table_Query_from_Actuarial___Production3[[#This Row],[Kor1]],$AI$3:$AK$105,3,FALSE)</f>
        <v>Premiums Written</v>
      </c>
      <c r="AF103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319" spans="18:32" x14ac:dyDescent="0.2">
      <c r="R10319" t="s">
        <v>10</v>
      </c>
      <c r="S10319" t="s">
        <v>255</v>
      </c>
      <c r="T10319" t="s">
        <v>7</v>
      </c>
      <c r="U10319" s="21">
        <v>12638.85</v>
      </c>
      <c r="V10319" s="21" t="s">
        <v>368</v>
      </c>
      <c r="W10319" t="str">
        <f>VLOOKUP(Table_Query_from_Actuarial___Production[[#This Row],[Kor1]],$AI$3:$AK$105,3,FALSE)</f>
        <v>Commissions</v>
      </c>
      <c r="X103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19"/>
      <c r="Z10319" t="s">
        <v>21</v>
      </c>
      <c r="AA10319" t="s">
        <v>250</v>
      </c>
      <c r="AB10319" t="s">
        <v>9</v>
      </c>
      <c r="AC10319" s="21">
        <v>892.22</v>
      </c>
      <c r="AD10319" s="21" t="s">
        <v>368</v>
      </c>
      <c r="AE10319" t="str">
        <f>VLOOKUP(Table_Query_from_Actuarial___Production3[[#This Row],[Kor1]],$AI$3:$AK$105,3,FALSE)</f>
        <v>Misc. Expense</v>
      </c>
      <c r="AF103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0" spans="18:32" x14ac:dyDescent="0.2">
      <c r="R10320" t="s">
        <v>47</v>
      </c>
      <c r="S10320" t="s">
        <v>228</v>
      </c>
      <c r="T10320" t="s">
        <v>7</v>
      </c>
      <c r="U10320" s="21">
        <v>0.04</v>
      </c>
      <c r="V10320" s="21" t="s">
        <v>368</v>
      </c>
      <c r="W10320" t="str">
        <f>VLOOKUP(Table_Query_from_Actuarial___Production[[#This Row],[Kor1]],$AI$3:$AK$105,3,FALSE)</f>
        <v>Investment Income</v>
      </c>
      <c r="X103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0"/>
      <c r="Z10320" t="s">
        <v>28</v>
      </c>
      <c r="AA10320" t="s">
        <v>4</v>
      </c>
      <c r="AB10320" t="s">
        <v>8</v>
      </c>
      <c r="AC10320" s="21">
        <v>-619.9</v>
      </c>
      <c r="AD10320" s="21" t="s">
        <v>368</v>
      </c>
      <c r="AE10320" t="str">
        <f>VLOOKUP(Table_Query_from_Actuarial___Production3[[#This Row],[Kor1]],$AI$3:$AK$105,3,FALSE)</f>
        <v>Misc. Expense</v>
      </c>
      <c r="AF103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1" spans="18:32" x14ac:dyDescent="0.2">
      <c r="R10321" t="s">
        <v>47</v>
      </c>
      <c r="S10321" t="s">
        <v>242</v>
      </c>
      <c r="T10321" t="s">
        <v>6</v>
      </c>
      <c r="U10321" s="21">
        <v>0.26</v>
      </c>
      <c r="V10321" s="21" t="s">
        <v>368</v>
      </c>
      <c r="W10321" t="str">
        <f>VLOOKUP(Table_Query_from_Actuarial___Production[[#This Row],[Kor1]],$AI$3:$AK$105,3,FALSE)</f>
        <v>Investment Income</v>
      </c>
      <c r="X103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1"/>
      <c r="Z10321" t="s">
        <v>36</v>
      </c>
      <c r="AA10321" t="s">
        <v>230</v>
      </c>
      <c r="AB10321" t="s">
        <v>443</v>
      </c>
      <c r="AC10321" s="21">
        <v>18651.37</v>
      </c>
      <c r="AD10321" s="21" t="s">
        <v>368</v>
      </c>
      <c r="AE10321" t="str">
        <f>VLOOKUP(Table_Query_from_Actuarial___Production3[[#This Row],[Kor1]],$AI$3:$AK$105,3,FALSE)</f>
        <v>Misc. Expense</v>
      </c>
      <c r="AF103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2" spans="18:32" x14ac:dyDescent="0.2">
      <c r="R10322" t="s">
        <v>44</v>
      </c>
      <c r="S10322" t="s">
        <v>226</v>
      </c>
      <c r="T10322" t="s">
        <v>356</v>
      </c>
      <c r="U10322" s="21">
        <v>30498.240000000002</v>
      </c>
      <c r="V10322" s="21" t="s">
        <v>368</v>
      </c>
      <c r="W10322" t="str">
        <f>VLOOKUP(Table_Query_from_Actuarial___Production[[#This Row],[Kor1]],$AI$3:$AK$105,3,FALSE)</f>
        <v>Charge-offs</v>
      </c>
      <c r="X103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322"/>
      <c r="Z10322" t="s">
        <v>3</v>
      </c>
      <c r="AA10322" t="s">
        <v>233</v>
      </c>
      <c r="AB10322" t="s">
        <v>5</v>
      </c>
      <c r="AC10322" s="21">
        <v>228951</v>
      </c>
      <c r="AD10322" s="21" t="s">
        <v>368</v>
      </c>
      <c r="AE10322" t="str">
        <f>VLOOKUP(Table_Query_from_Actuarial___Production3[[#This Row],[Kor1]],$AI$3:$AK$105,3,FALSE)</f>
        <v>Premiums Written</v>
      </c>
      <c r="AF103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3" spans="18:32" x14ac:dyDescent="0.2">
      <c r="R10323" t="s">
        <v>39</v>
      </c>
      <c r="S10323" t="s">
        <v>231</v>
      </c>
      <c r="T10323" t="s">
        <v>443</v>
      </c>
      <c r="U10323" s="21">
        <v>11.54</v>
      </c>
      <c r="V10323" s="21" t="s">
        <v>368</v>
      </c>
      <c r="W10323" t="str">
        <f>VLOOKUP(Table_Query_from_Actuarial___Production[[#This Row],[Kor1]],$AI$3:$AK$105,3,FALSE)</f>
        <v>Misc. Income for Insolvent Companies</v>
      </c>
      <c r="X103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3"/>
      <c r="Z10323" t="s">
        <v>14</v>
      </c>
      <c r="AA10323" t="s">
        <v>230</v>
      </c>
      <c r="AB10323" t="s">
        <v>8</v>
      </c>
      <c r="AC10323" s="21">
        <v>2442454.0299999998</v>
      </c>
      <c r="AD10323" s="21" t="s">
        <v>368</v>
      </c>
      <c r="AE10323" t="str">
        <f>VLOOKUP(Table_Query_from_Actuarial___Production3[[#This Row],[Kor1]],$AI$3:$AK$105,3,FALSE)</f>
        <v>Claims Expense</v>
      </c>
      <c r="AF103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4" spans="18:32" x14ac:dyDescent="0.2">
      <c r="R10324" t="s">
        <v>13</v>
      </c>
      <c r="S10324" t="s">
        <v>240</v>
      </c>
      <c r="T10324" t="s">
        <v>443</v>
      </c>
      <c r="U10324" s="21">
        <v>648952.94999999995</v>
      </c>
      <c r="V10324" s="21" t="s">
        <v>368</v>
      </c>
      <c r="W10324" t="str">
        <f>VLOOKUP(Table_Query_from_Actuarial___Production[[#This Row],[Kor1]],$AI$3:$AK$105,3,FALSE)</f>
        <v>Operating Service Fees</v>
      </c>
      <c r="X103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4"/>
      <c r="Z10324" t="s">
        <v>14</v>
      </c>
      <c r="AA10324" t="s">
        <v>257</v>
      </c>
      <c r="AB10324" t="s">
        <v>442</v>
      </c>
      <c r="AC10324" s="21">
        <v>184084.12</v>
      </c>
      <c r="AD10324" s="21" t="s">
        <v>368</v>
      </c>
      <c r="AE10324" t="str">
        <f>VLOOKUP(Table_Query_from_Actuarial___Production3[[#This Row],[Kor1]],$AI$3:$AK$105,3,FALSE)</f>
        <v>Claims Expense</v>
      </c>
      <c r="AF103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5" spans="18:32" x14ac:dyDescent="0.2">
      <c r="R10325" t="s">
        <v>39</v>
      </c>
      <c r="S10325" t="s">
        <v>268</v>
      </c>
      <c r="T10325" t="s">
        <v>441</v>
      </c>
      <c r="U10325" s="21">
        <v>333.37</v>
      </c>
      <c r="V10325" s="21" t="s">
        <v>368</v>
      </c>
      <c r="W10325" t="str">
        <f>VLOOKUP(Table_Query_from_Actuarial___Production[[#This Row],[Kor1]],$AI$3:$AK$105,3,FALSE)</f>
        <v>Misc. Income for Insolvent Companies</v>
      </c>
      <c r="X103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5"/>
      <c r="Z10325" t="s">
        <v>33</v>
      </c>
      <c r="AA10325" t="s">
        <v>236</v>
      </c>
      <c r="AB10325" t="s">
        <v>356</v>
      </c>
      <c r="AC10325" s="21">
        <v>11034.54</v>
      </c>
      <c r="AD10325" s="21" t="s">
        <v>368</v>
      </c>
      <c r="AE10325" t="str">
        <f>VLOOKUP(Table_Query_from_Actuarial___Production3[[#This Row],[Kor1]],$AI$3:$AK$105,3,FALSE)</f>
        <v>Misc. Expense</v>
      </c>
      <c r="AF103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6" spans="18:32" x14ac:dyDescent="0.2">
      <c r="R10326" t="s">
        <v>40</v>
      </c>
      <c r="S10326" t="s">
        <v>229</v>
      </c>
      <c r="T10326" t="s">
        <v>351</v>
      </c>
      <c r="U10326" s="21">
        <v>12</v>
      </c>
      <c r="V10326" s="21" t="s">
        <v>368</v>
      </c>
      <c r="W10326" t="str">
        <f>VLOOKUP(Table_Query_from_Actuarial___Production[[#This Row],[Kor1]],$AI$3:$AK$105,3,FALSE)</f>
        <v>Misc. Income</v>
      </c>
      <c r="X103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6"/>
      <c r="Z10326" t="s">
        <v>19</v>
      </c>
      <c r="AA10326" t="s">
        <v>244</v>
      </c>
      <c r="AB10326" t="s">
        <v>9</v>
      </c>
      <c r="AC10326" s="21">
        <v>326</v>
      </c>
      <c r="AD10326" s="21" t="s">
        <v>368</v>
      </c>
      <c r="AE10326" t="str">
        <f>VLOOKUP(Table_Query_from_Actuarial___Production3[[#This Row],[Kor1]],$AI$3:$AK$105,3,FALSE)</f>
        <v>Misc. Expense for Insolvent Companies</v>
      </c>
      <c r="AF103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7" spans="18:32" x14ac:dyDescent="0.2">
      <c r="R10327" t="s">
        <v>19</v>
      </c>
      <c r="S10327" t="s">
        <v>237</v>
      </c>
      <c r="T10327" t="s">
        <v>9</v>
      </c>
      <c r="U10327" s="21">
        <v>41074.379999999997</v>
      </c>
      <c r="V10327" s="21" t="s">
        <v>368</v>
      </c>
      <c r="W10327" t="str">
        <f>VLOOKUP(Table_Query_from_Actuarial___Production[[#This Row],[Kor1]],$AI$3:$AK$105,3,FALSE)</f>
        <v>Misc. Expense for Insolvent Companies</v>
      </c>
      <c r="X103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7"/>
      <c r="Z10327" t="s">
        <v>38</v>
      </c>
      <c r="AA10327" t="s">
        <v>224</v>
      </c>
      <c r="AB10327" t="s">
        <v>442</v>
      </c>
      <c r="AC10327" s="21">
        <v>2608.88</v>
      </c>
      <c r="AD10327" s="21" t="s">
        <v>369</v>
      </c>
      <c r="AE10327" t="str">
        <f>VLOOKUP(Table_Query_from_Actuarial___Production3[[#This Row],[Kor1]],$AI$3:$AK$105,3,FALSE)</f>
        <v>Misc. Income</v>
      </c>
      <c r="AF103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328" spans="18:32" x14ac:dyDescent="0.2">
      <c r="R10328" t="s">
        <v>16</v>
      </c>
      <c r="S10328" t="s">
        <v>257</v>
      </c>
      <c r="T10328" t="s">
        <v>443</v>
      </c>
      <c r="U10328" s="21">
        <v>749418</v>
      </c>
      <c r="V10328" s="21" t="s">
        <v>368</v>
      </c>
      <c r="W10328" t="str">
        <f>VLOOKUP(Table_Query_from_Actuarial___Production[[#This Row],[Kor1]],$AI$3:$AK$105,3,FALSE)</f>
        <v>Losses Outstanding</v>
      </c>
      <c r="X103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8"/>
      <c r="Z10328" t="s">
        <v>10</v>
      </c>
      <c r="AA10328" t="s">
        <v>247</v>
      </c>
      <c r="AB10328" t="s">
        <v>8</v>
      </c>
      <c r="AC10328" s="21">
        <v>434.7</v>
      </c>
      <c r="AD10328" s="21" t="s">
        <v>368</v>
      </c>
      <c r="AE10328" t="str">
        <f>VLOOKUP(Table_Query_from_Actuarial___Production3[[#This Row],[Kor1]],$AI$3:$AK$105,3,FALSE)</f>
        <v>Commissions</v>
      </c>
      <c r="AF103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29" spans="18:32" x14ac:dyDescent="0.2">
      <c r="R10329" t="s">
        <v>31</v>
      </c>
      <c r="S10329" t="s">
        <v>251</v>
      </c>
      <c r="T10329" t="s">
        <v>9</v>
      </c>
      <c r="U10329" s="21">
        <v>579.77</v>
      </c>
      <c r="V10329" s="21" t="s">
        <v>368</v>
      </c>
      <c r="W10329" t="str">
        <f>VLOOKUP(Table_Query_from_Actuarial___Production[[#This Row],[Kor1]],$AI$3:$AK$105,3,FALSE)</f>
        <v>Misc. Expense</v>
      </c>
      <c r="X103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29"/>
      <c r="Z10329" t="s">
        <v>37</v>
      </c>
      <c r="AA10329" t="s">
        <v>242</v>
      </c>
      <c r="AB10329" t="s">
        <v>433</v>
      </c>
      <c r="AC10329" s="21">
        <v>164.81</v>
      </c>
      <c r="AD10329" s="21" t="s">
        <v>368</v>
      </c>
      <c r="AE10329" t="str">
        <f>VLOOKUP(Table_Query_from_Actuarial___Production3[[#This Row],[Kor1]],$AI$3:$AK$105,3,FALSE)</f>
        <v>Misc. Expense</v>
      </c>
      <c r="AF103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0" spans="18:32" x14ac:dyDescent="0.2">
      <c r="R10330" t="s">
        <v>37</v>
      </c>
      <c r="S10330" t="s">
        <v>266</v>
      </c>
      <c r="T10330" t="s">
        <v>442</v>
      </c>
      <c r="U10330" s="21">
        <v>66.47</v>
      </c>
      <c r="V10330" s="21" t="s">
        <v>368</v>
      </c>
      <c r="W10330" t="str">
        <f>VLOOKUP(Table_Query_from_Actuarial___Production[[#This Row],[Kor1]],$AI$3:$AK$105,3,FALSE)</f>
        <v>Misc. Expense</v>
      </c>
      <c r="X103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0"/>
      <c r="Z10330" t="s">
        <v>3</v>
      </c>
      <c r="AA10330" t="s">
        <v>236</v>
      </c>
      <c r="AB10330" t="s">
        <v>356</v>
      </c>
      <c r="AC10330" s="21">
        <v>36400</v>
      </c>
      <c r="AD10330" s="21" t="s">
        <v>368</v>
      </c>
      <c r="AE10330" t="str">
        <f>VLOOKUP(Table_Query_from_Actuarial___Production3[[#This Row],[Kor1]],$AI$3:$AK$105,3,FALSE)</f>
        <v>Premiums Written</v>
      </c>
      <c r="AF103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1" spans="18:32" x14ac:dyDescent="0.2">
      <c r="R10331" t="s">
        <v>17</v>
      </c>
      <c r="S10331" t="s">
        <v>354</v>
      </c>
      <c r="T10331" t="s">
        <v>442</v>
      </c>
      <c r="U10331" s="21">
        <v>47038990.890000001</v>
      </c>
      <c r="V10331" s="21" t="s">
        <v>369</v>
      </c>
      <c r="W10331" t="str">
        <f>VLOOKUP(Table_Query_from_Actuarial___Production[[#This Row],[Kor1]],$AI$3:$AK$105,3,FALSE)</f>
        <v>IBNR</v>
      </c>
      <c r="X103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331"/>
      <c r="Z10331" t="s">
        <v>37</v>
      </c>
      <c r="AA10331" t="s">
        <v>231</v>
      </c>
      <c r="AB10331" t="s">
        <v>442</v>
      </c>
      <c r="AC10331" s="21">
        <v>2389.13</v>
      </c>
      <c r="AD10331" s="21" t="s">
        <v>368</v>
      </c>
      <c r="AE10331" t="str">
        <f>VLOOKUP(Table_Query_from_Actuarial___Production3[[#This Row],[Kor1]],$AI$3:$AK$105,3,FALSE)</f>
        <v>Misc. Expense</v>
      </c>
      <c r="AF103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2" spans="18:32" x14ac:dyDescent="0.2">
      <c r="R10332" t="s">
        <v>33</v>
      </c>
      <c r="S10332" t="s">
        <v>262</v>
      </c>
      <c r="T10332" t="s">
        <v>351</v>
      </c>
      <c r="U10332" s="21">
        <v>20361.009999999998</v>
      </c>
      <c r="V10332" s="21" t="s">
        <v>368</v>
      </c>
      <c r="W10332" t="str">
        <f>VLOOKUP(Table_Query_from_Actuarial___Production[[#This Row],[Kor1]],$AI$3:$AK$105,3,FALSE)</f>
        <v>Misc. Expense</v>
      </c>
      <c r="X103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2"/>
      <c r="Z10332" t="s">
        <v>3</v>
      </c>
      <c r="AA10332" t="s">
        <v>238</v>
      </c>
      <c r="AB10332" t="s">
        <v>6</v>
      </c>
      <c r="AC10332" s="21">
        <v>42332</v>
      </c>
      <c r="AD10332" s="21" t="s">
        <v>368</v>
      </c>
      <c r="AE10332" t="str">
        <f>VLOOKUP(Table_Query_from_Actuarial___Production3[[#This Row],[Kor1]],$AI$3:$AK$105,3,FALSE)</f>
        <v>Premiums Written</v>
      </c>
      <c r="AF103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3" spans="18:32" x14ac:dyDescent="0.2">
      <c r="R10333" t="s">
        <v>13</v>
      </c>
      <c r="S10333" t="s">
        <v>244</v>
      </c>
      <c r="T10333" t="s">
        <v>441</v>
      </c>
      <c r="U10333" s="21">
        <v>719302.76</v>
      </c>
      <c r="V10333" s="21" t="s">
        <v>368</v>
      </c>
      <c r="W10333" t="str">
        <f>VLOOKUP(Table_Query_from_Actuarial___Production[[#This Row],[Kor1]],$AI$3:$AK$105,3,FALSE)</f>
        <v>Operating Service Fees</v>
      </c>
      <c r="X103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3"/>
      <c r="Z10333" t="s">
        <v>19</v>
      </c>
      <c r="AA10333" t="s">
        <v>233</v>
      </c>
      <c r="AB10333" t="s">
        <v>6</v>
      </c>
      <c r="AC10333" s="21">
        <v>36.01</v>
      </c>
      <c r="AD10333" s="21" t="s">
        <v>368</v>
      </c>
      <c r="AE10333" t="str">
        <f>VLOOKUP(Table_Query_from_Actuarial___Production3[[#This Row],[Kor1]],$AI$3:$AK$105,3,FALSE)</f>
        <v>Misc. Expense for Insolvent Companies</v>
      </c>
      <c r="AF103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4" spans="18:32" x14ac:dyDescent="0.2">
      <c r="R10334" t="s">
        <v>44</v>
      </c>
      <c r="S10334" t="s">
        <v>224</v>
      </c>
      <c r="T10334" t="s">
        <v>6</v>
      </c>
      <c r="U10334" s="21">
        <v>1207.79</v>
      </c>
      <c r="V10334" s="21" t="s">
        <v>369</v>
      </c>
      <c r="W10334" t="str">
        <f>VLOOKUP(Table_Query_from_Actuarial___Production[[#This Row],[Kor1]],$AI$3:$AK$105,3,FALSE)</f>
        <v>Charge-offs</v>
      </c>
      <c r="X103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334"/>
      <c r="Z10334" t="s">
        <v>37</v>
      </c>
      <c r="AA10334" t="s">
        <v>239</v>
      </c>
      <c r="AB10334" t="s">
        <v>427</v>
      </c>
      <c r="AC10334" s="21">
        <v>763.96</v>
      </c>
      <c r="AD10334" s="21" t="s">
        <v>368</v>
      </c>
      <c r="AE10334" t="str">
        <f>VLOOKUP(Table_Query_from_Actuarial___Production3[[#This Row],[Kor1]],$AI$3:$AK$105,3,FALSE)</f>
        <v>Misc. Expense</v>
      </c>
      <c r="AF103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5" spans="18:32" x14ac:dyDescent="0.2">
      <c r="R10335" t="s">
        <v>47</v>
      </c>
      <c r="S10335" t="s">
        <v>4</v>
      </c>
      <c r="T10335" t="s">
        <v>351</v>
      </c>
      <c r="U10335" s="21">
        <v>32283.93</v>
      </c>
      <c r="V10335" s="21" t="s">
        <v>368</v>
      </c>
      <c r="W10335" t="str">
        <f>VLOOKUP(Table_Query_from_Actuarial___Production[[#This Row],[Kor1]],$AI$3:$AK$105,3,FALSE)</f>
        <v>Investment Income</v>
      </c>
      <c r="X103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5"/>
      <c r="Z10335" t="s">
        <v>10</v>
      </c>
      <c r="AA10335" t="s">
        <v>255</v>
      </c>
      <c r="AB10335" t="s">
        <v>7</v>
      </c>
      <c r="AC10335" s="21">
        <v>12638.85</v>
      </c>
      <c r="AD10335" s="21" t="s">
        <v>368</v>
      </c>
      <c r="AE10335" t="str">
        <f>VLOOKUP(Table_Query_from_Actuarial___Production3[[#This Row],[Kor1]],$AI$3:$AK$105,3,FALSE)</f>
        <v>Commissions</v>
      </c>
      <c r="AF103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6" spans="18:32" x14ac:dyDescent="0.2">
      <c r="R10336" t="s">
        <v>11</v>
      </c>
      <c r="S10336" t="s">
        <v>240</v>
      </c>
      <c r="T10336" t="s">
        <v>8</v>
      </c>
      <c r="U10336" s="21">
        <v>1126131.3899999999</v>
      </c>
      <c r="V10336" s="21" t="s">
        <v>368</v>
      </c>
      <c r="W10336" t="str">
        <f>VLOOKUP(Table_Query_from_Actuarial___Production[[#This Row],[Kor1]],$AI$3:$AK$105,3,FALSE)</f>
        <v>Losses Paid</v>
      </c>
      <c r="X103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6"/>
      <c r="Z10336" t="s">
        <v>47</v>
      </c>
      <c r="AA10336" t="s">
        <v>228</v>
      </c>
      <c r="AB10336" t="s">
        <v>7</v>
      </c>
      <c r="AC10336" s="21">
        <v>0.04</v>
      </c>
      <c r="AD10336" s="21" t="s">
        <v>368</v>
      </c>
      <c r="AE10336" t="str">
        <f>VLOOKUP(Table_Query_from_Actuarial___Production3[[#This Row],[Kor1]],$AI$3:$AK$105,3,FALSE)</f>
        <v>Investment Income</v>
      </c>
      <c r="AF103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7" spans="18:32" x14ac:dyDescent="0.2">
      <c r="R10337" t="s">
        <v>39</v>
      </c>
      <c r="S10337" t="s">
        <v>228</v>
      </c>
      <c r="T10337" t="s">
        <v>7</v>
      </c>
      <c r="U10337" s="21">
        <v>11</v>
      </c>
      <c r="V10337" s="21" t="s">
        <v>368</v>
      </c>
      <c r="W10337" t="str">
        <f>VLOOKUP(Table_Query_from_Actuarial___Production[[#This Row],[Kor1]],$AI$3:$AK$105,3,FALSE)</f>
        <v>Misc. Income for Insolvent Companies</v>
      </c>
      <c r="X103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7"/>
      <c r="Z10337" t="s">
        <v>3</v>
      </c>
      <c r="AA10337" t="s">
        <v>241</v>
      </c>
      <c r="AB10337" t="s">
        <v>5</v>
      </c>
      <c r="AC10337" s="21">
        <v>230796</v>
      </c>
      <c r="AD10337" s="21" t="s">
        <v>368</v>
      </c>
      <c r="AE10337" t="str">
        <f>VLOOKUP(Table_Query_from_Actuarial___Production3[[#This Row],[Kor1]],$AI$3:$AK$105,3,FALSE)</f>
        <v>Premiums Written</v>
      </c>
      <c r="AF103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8" spans="18:32" x14ac:dyDescent="0.2">
      <c r="R10338" t="s">
        <v>33</v>
      </c>
      <c r="S10338" t="s">
        <v>257</v>
      </c>
      <c r="T10338" t="s">
        <v>7</v>
      </c>
      <c r="U10338" s="21">
        <v>16338.47</v>
      </c>
      <c r="V10338" s="21" t="s">
        <v>368</v>
      </c>
      <c r="W10338" t="str">
        <f>VLOOKUP(Table_Query_from_Actuarial___Production[[#This Row],[Kor1]],$AI$3:$AK$105,3,FALSE)</f>
        <v>Misc. Expense</v>
      </c>
      <c r="X103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8"/>
      <c r="Z10338" t="s">
        <v>15</v>
      </c>
      <c r="AA10338" t="s">
        <v>235</v>
      </c>
      <c r="AB10338" t="s">
        <v>442</v>
      </c>
      <c r="AC10338" s="21">
        <v>20570.810000000001</v>
      </c>
      <c r="AD10338" s="21" t="s">
        <v>368</v>
      </c>
      <c r="AE10338" t="str">
        <f>VLOOKUP(Table_Query_from_Actuarial___Production3[[#This Row],[Kor1]],$AI$3:$AK$105,3,FALSE)</f>
        <v>Unearned Premiums</v>
      </c>
      <c r="AF103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39" spans="18:32" x14ac:dyDescent="0.2">
      <c r="R10339" t="s">
        <v>48</v>
      </c>
      <c r="S10339" t="s">
        <v>261</v>
      </c>
      <c r="T10339" t="s">
        <v>445</v>
      </c>
      <c r="U10339" s="21">
        <v>348.8</v>
      </c>
      <c r="V10339" s="21" t="s">
        <v>368</v>
      </c>
      <c r="W10339" t="str">
        <f>VLOOKUP(Table_Query_from_Actuarial___Production[[#This Row],[Kor1]],$AI$3:$AK$105,3,FALSE)</f>
        <v>Anticipated Salvage</v>
      </c>
      <c r="X103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39"/>
      <c r="Z10339" t="s">
        <v>47</v>
      </c>
      <c r="AA10339" t="s">
        <v>242</v>
      </c>
      <c r="AB10339" t="s">
        <v>6</v>
      </c>
      <c r="AC10339" s="21">
        <v>0.26</v>
      </c>
      <c r="AD10339" s="21" t="s">
        <v>368</v>
      </c>
      <c r="AE10339" t="str">
        <f>VLOOKUP(Table_Query_from_Actuarial___Production3[[#This Row],[Kor1]],$AI$3:$AK$105,3,FALSE)</f>
        <v>Investment Income</v>
      </c>
      <c r="AF103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0" spans="18:32" x14ac:dyDescent="0.2">
      <c r="R10340" t="s">
        <v>3</v>
      </c>
      <c r="S10340" t="s">
        <v>264</v>
      </c>
      <c r="T10340" t="s">
        <v>427</v>
      </c>
      <c r="U10340" s="21">
        <v>6254655</v>
      </c>
      <c r="V10340" s="21" t="s">
        <v>368</v>
      </c>
      <c r="W10340" t="str">
        <f>VLOOKUP(Table_Query_from_Actuarial___Production[[#This Row],[Kor1]],$AI$3:$AK$105,3,FALSE)</f>
        <v>Premiums Written</v>
      </c>
      <c r="X103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0"/>
      <c r="Z10340" t="s">
        <v>44</v>
      </c>
      <c r="AA10340" t="s">
        <v>226</v>
      </c>
      <c r="AB10340" t="s">
        <v>356</v>
      </c>
      <c r="AC10340" s="21">
        <v>30498.240000000002</v>
      </c>
      <c r="AD10340" s="21" t="s">
        <v>368</v>
      </c>
      <c r="AE10340" t="str">
        <f>VLOOKUP(Table_Query_from_Actuarial___Production3[[#This Row],[Kor1]],$AI$3:$AK$105,3,FALSE)</f>
        <v>Charge-offs</v>
      </c>
      <c r="AF103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341" spans="18:32" x14ac:dyDescent="0.2">
      <c r="R10341" t="s">
        <v>39</v>
      </c>
      <c r="S10341" t="s">
        <v>239</v>
      </c>
      <c r="T10341" t="s">
        <v>8</v>
      </c>
      <c r="U10341" s="21">
        <v>1386</v>
      </c>
      <c r="V10341" s="21" t="s">
        <v>368</v>
      </c>
      <c r="W10341" t="str">
        <f>VLOOKUP(Table_Query_from_Actuarial___Production[[#This Row],[Kor1]],$AI$3:$AK$105,3,FALSE)</f>
        <v>Misc. Income for Insolvent Companies</v>
      </c>
      <c r="X103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1"/>
      <c r="Z10341" t="s">
        <v>39</v>
      </c>
      <c r="AA10341" t="s">
        <v>231</v>
      </c>
      <c r="AB10341" t="s">
        <v>443</v>
      </c>
      <c r="AC10341" s="21">
        <v>11.54</v>
      </c>
      <c r="AD10341" s="21" t="s">
        <v>368</v>
      </c>
      <c r="AE10341" t="str">
        <f>VLOOKUP(Table_Query_from_Actuarial___Production3[[#This Row],[Kor1]],$AI$3:$AK$105,3,FALSE)</f>
        <v>Misc. Income for Insolvent Companies</v>
      </c>
      <c r="AF103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2" spans="18:32" x14ac:dyDescent="0.2">
      <c r="R10342" t="s">
        <v>21</v>
      </c>
      <c r="S10342" t="s">
        <v>251</v>
      </c>
      <c r="T10342" t="s">
        <v>356</v>
      </c>
      <c r="U10342" s="21">
        <v>492.19</v>
      </c>
      <c r="V10342" s="21" t="s">
        <v>368</v>
      </c>
      <c r="W10342" t="str">
        <f>VLOOKUP(Table_Query_from_Actuarial___Production[[#This Row],[Kor1]],$AI$3:$AK$105,3,FALSE)</f>
        <v>Misc. Expense</v>
      </c>
      <c r="X103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2"/>
      <c r="Z10342" t="s">
        <v>13</v>
      </c>
      <c r="AA10342" t="s">
        <v>240</v>
      </c>
      <c r="AB10342" t="s">
        <v>443</v>
      </c>
      <c r="AC10342" s="21">
        <v>197155.75</v>
      </c>
      <c r="AD10342" s="21" t="s">
        <v>368</v>
      </c>
      <c r="AE10342" t="str">
        <f>VLOOKUP(Table_Query_from_Actuarial___Production3[[#This Row],[Kor1]],$AI$3:$AK$105,3,FALSE)</f>
        <v>Operating Service Fees</v>
      </c>
      <c r="AF103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3" spans="18:32" x14ac:dyDescent="0.2">
      <c r="R10343" t="s">
        <v>40</v>
      </c>
      <c r="S10343" t="s">
        <v>261</v>
      </c>
      <c r="T10343" t="s">
        <v>351</v>
      </c>
      <c r="U10343" s="21">
        <v>503</v>
      </c>
      <c r="V10343" s="21" t="s">
        <v>368</v>
      </c>
      <c r="W10343" t="str">
        <f>VLOOKUP(Table_Query_from_Actuarial___Production[[#This Row],[Kor1]],$AI$3:$AK$105,3,FALSE)</f>
        <v>Misc. Income</v>
      </c>
      <c r="X103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3"/>
      <c r="Z10343" t="s">
        <v>39</v>
      </c>
      <c r="AA10343" t="s">
        <v>268</v>
      </c>
      <c r="AB10343" t="s">
        <v>441</v>
      </c>
      <c r="AC10343" s="21">
        <v>333.37</v>
      </c>
      <c r="AD10343" s="21" t="s">
        <v>368</v>
      </c>
      <c r="AE10343" t="str">
        <f>VLOOKUP(Table_Query_from_Actuarial___Production3[[#This Row],[Kor1]],$AI$3:$AK$105,3,FALSE)</f>
        <v>Misc. Income for Insolvent Companies</v>
      </c>
      <c r="AF103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4" spans="18:32" x14ac:dyDescent="0.2">
      <c r="R10344" t="s">
        <v>47</v>
      </c>
      <c r="S10344" t="s">
        <v>238</v>
      </c>
      <c r="T10344" t="s">
        <v>6</v>
      </c>
      <c r="U10344" s="21">
        <v>0.1</v>
      </c>
      <c r="V10344" s="21" t="s">
        <v>368</v>
      </c>
      <c r="W10344" t="str">
        <f>VLOOKUP(Table_Query_from_Actuarial___Production[[#This Row],[Kor1]],$AI$3:$AK$105,3,FALSE)</f>
        <v>Investment Income</v>
      </c>
      <c r="X103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4"/>
      <c r="Z10344" t="s">
        <v>40</v>
      </c>
      <c r="AA10344" t="s">
        <v>229</v>
      </c>
      <c r="AB10344" t="s">
        <v>351</v>
      </c>
      <c r="AC10344" s="21">
        <v>12</v>
      </c>
      <c r="AD10344" s="21" t="s">
        <v>368</v>
      </c>
      <c r="AE10344" t="str">
        <f>VLOOKUP(Table_Query_from_Actuarial___Production3[[#This Row],[Kor1]],$AI$3:$AK$105,3,FALSE)</f>
        <v>Misc. Income</v>
      </c>
      <c r="AF103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5" spans="18:32" x14ac:dyDescent="0.2">
      <c r="R10345" t="s">
        <v>10</v>
      </c>
      <c r="S10345" t="s">
        <v>240</v>
      </c>
      <c r="T10345" t="s">
        <v>442</v>
      </c>
      <c r="U10345" s="21">
        <v>198185.22</v>
      </c>
      <c r="V10345" s="21" t="s">
        <v>368</v>
      </c>
      <c r="W10345" t="str">
        <f>VLOOKUP(Table_Query_from_Actuarial___Production[[#This Row],[Kor1]],$AI$3:$AK$105,3,FALSE)</f>
        <v>Commissions</v>
      </c>
      <c r="X103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5"/>
      <c r="Z10345" t="s">
        <v>19</v>
      </c>
      <c r="AA10345" t="s">
        <v>237</v>
      </c>
      <c r="AB10345" t="s">
        <v>9</v>
      </c>
      <c r="AC10345" s="21">
        <v>41074.379999999997</v>
      </c>
      <c r="AD10345" s="21" t="s">
        <v>368</v>
      </c>
      <c r="AE10345" t="str">
        <f>VLOOKUP(Table_Query_from_Actuarial___Production3[[#This Row],[Kor1]],$AI$3:$AK$105,3,FALSE)</f>
        <v>Misc. Expense for Insolvent Companies</v>
      </c>
      <c r="AF103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6" spans="18:32" x14ac:dyDescent="0.2">
      <c r="R10346" t="s">
        <v>12</v>
      </c>
      <c r="S10346" t="s">
        <v>264</v>
      </c>
      <c r="T10346" t="s">
        <v>443</v>
      </c>
      <c r="U10346" s="21">
        <v>126330.62</v>
      </c>
      <c r="V10346" s="21" t="s">
        <v>368</v>
      </c>
      <c r="W10346" t="str">
        <f>VLOOKUP(Table_Query_from_Actuarial___Production[[#This Row],[Kor1]],$AI$3:$AK$105,3,FALSE)</f>
        <v>Premium Tax</v>
      </c>
      <c r="X103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6"/>
      <c r="Z10346" t="s">
        <v>16</v>
      </c>
      <c r="AA10346" t="s">
        <v>257</v>
      </c>
      <c r="AB10346" t="s">
        <v>443</v>
      </c>
      <c r="AC10346" s="21">
        <v>154035.47</v>
      </c>
      <c r="AD10346" s="21" t="s">
        <v>368</v>
      </c>
      <c r="AE10346" t="str">
        <f>VLOOKUP(Table_Query_from_Actuarial___Production3[[#This Row],[Kor1]],$AI$3:$AK$105,3,FALSE)</f>
        <v>Losses Outstanding</v>
      </c>
      <c r="AF103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7" spans="18:32" x14ac:dyDescent="0.2">
      <c r="R10347" t="s">
        <v>14</v>
      </c>
      <c r="S10347" t="s">
        <v>243</v>
      </c>
      <c r="T10347" t="s">
        <v>443</v>
      </c>
      <c r="U10347" s="21">
        <v>40640.17</v>
      </c>
      <c r="V10347" s="21" t="s">
        <v>368</v>
      </c>
      <c r="W10347" t="str">
        <f>VLOOKUP(Table_Query_from_Actuarial___Production[[#This Row],[Kor1]],$AI$3:$AK$105,3,FALSE)</f>
        <v>Claims Expense</v>
      </c>
      <c r="X103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7"/>
      <c r="Z10347" t="s">
        <v>31</v>
      </c>
      <c r="AA10347" t="s">
        <v>251</v>
      </c>
      <c r="AB10347" t="s">
        <v>9</v>
      </c>
      <c r="AC10347" s="21">
        <v>579.77</v>
      </c>
      <c r="AD10347" s="21" t="s">
        <v>368</v>
      </c>
      <c r="AE10347" t="str">
        <f>VLOOKUP(Table_Query_from_Actuarial___Production3[[#This Row],[Kor1]],$AI$3:$AK$105,3,FALSE)</f>
        <v>Misc. Expense</v>
      </c>
      <c r="AF103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8" spans="18:32" x14ac:dyDescent="0.2">
      <c r="R10348" t="s">
        <v>39</v>
      </c>
      <c r="S10348" t="s">
        <v>234</v>
      </c>
      <c r="T10348" t="s">
        <v>7</v>
      </c>
      <c r="U10348" s="21">
        <v>1086</v>
      </c>
      <c r="V10348" s="21" t="s">
        <v>368</v>
      </c>
      <c r="W10348" t="str">
        <f>VLOOKUP(Table_Query_from_Actuarial___Production[[#This Row],[Kor1]],$AI$3:$AK$105,3,FALSE)</f>
        <v>Misc. Income for Insolvent Companies</v>
      </c>
      <c r="X103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8"/>
      <c r="Z10348" t="s">
        <v>37</v>
      </c>
      <c r="AA10348" t="s">
        <v>266</v>
      </c>
      <c r="AB10348" t="s">
        <v>442</v>
      </c>
      <c r="AC10348" s="21">
        <v>65.31</v>
      </c>
      <c r="AD10348" s="21" t="s">
        <v>368</v>
      </c>
      <c r="AE10348" t="str">
        <f>VLOOKUP(Table_Query_from_Actuarial___Production3[[#This Row],[Kor1]],$AI$3:$AK$105,3,FALSE)</f>
        <v>Misc. Expense</v>
      </c>
      <c r="AF103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49" spans="18:32" x14ac:dyDescent="0.2">
      <c r="R10349" t="s">
        <v>48</v>
      </c>
      <c r="S10349" t="s">
        <v>238</v>
      </c>
      <c r="T10349" t="s">
        <v>442</v>
      </c>
      <c r="U10349" s="21">
        <v>12148.69</v>
      </c>
      <c r="V10349" s="21" t="s">
        <v>368</v>
      </c>
      <c r="W10349" t="str">
        <f>VLOOKUP(Table_Query_from_Actuarial___Production[[#This Row],[Kor1]],$AI$3:$AK$105,3,FALSE)</f>
        <v>Anticipated Salvage</v>
      </c>
      <c r="X103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49"/>
      <c r="Z10349" t="s">
        <v>17</v>
      </c>
      <c r="AA10349" t="s">
        <v>354</v>
      </c>
      <c r="AB10349" t="s">
        <v>442</v>
      </c>
      <c r="AC10349" s="21">
        <v>139412248.22999999</v>
      </c>
      <c r="AD10349" s="21" t="s">
        <v>369</v>
      </c>
      <c r="AE10349" t="str">
        <f>VLOOKUP(Table_Query_from_Actuarial___Production3[[#This Row],[Kor1]],$AI$3:$AK$105,3,FALSE)</f>
        <v>IBNR</v>
      </c>
      <c r="AF103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350" spans="18:32" x14ac:dyDescent="0.2">
      <c r="R10350" t="s">
        <v>49</v>
      </c>
      <c r="S10350" t="s">
        <v>248</v>
      </c>
      <c r="T10350" t="s">
        <v>442</v>
      </c>
      <c r="U10350" s="21">
        <v>2734.5</v>
      </c>
      <c r="V10350" s="21" t="s">
        <v>368</v>
      </c>
      <c r="W10350" t="str">
        <f>VLOOKUP(Table_Query_from_Actuarial___Production[[#This Row],[Kor1]],$AI$3:$AK$105,3,FALSE)</f>
        <v>ALAE Paid</v>
      </c>
      <c r="X103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0"/>
      <c r="Z10350" t="s">
        <v>33</v>
      </c>
      <c r="AA10350" t="s">
        <v>262</v>
      </c>
      <c r="AB10350" t="s">
        <v>351</v>
      </c>
      <c r="AC10350" s="21">
        <v>20361.009999999998</v>
      </c>
      <c r="AD10350" s="21" t="s">
        <v>368</v>
      </c>
      <c r="AE10350" t="str">
        <f>VLOOKUP(Table_Query_from_Actuarial___Production3[[#This Row],[Kor1]],$AI$3:$AK$105,3,FALSE)</f>
        <v>Misc. Expense</v>
      </c>
      <c r="AF103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1" spans="18:32" x14ac:dyDescent="0.2">
      <c r="R10351" t="s">
        <v>12</v>
      </c>
      <c r="S10351" t="s">
        <v>251</v>
      </c>
      <c r="T10351" t="s">
        <v>7</v>
      </c>
      <c r="U10351" s="21">
        <v>1442.7</v>
      </c>
      <c r="V10351" s="21" t="s">
        <v>368</v>
      </c>
      <c r="W10351" t="str">
        <f>VLOOKUP(Table_Query_from_Actuarial___Production[[#This Row],[Kor1]],$AI$3:$AK$105,3,FALSE)</f>
        <v>Premium Tax</v>
      </c>
      <c r="X103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1"/>
      <c r="Z10351" t="s">
        <v>13</v>
      </c>
      <c r="AA10351" t="s">
        <v>244</v>
      </c>
      <c r="AB10351" t="s">
        <v>441</v>
      </c>
      <c r="AC10351" s="21">
        <v>719302.76</v>
      </c>
      <c r="AD10351" s="21" t="s">
        <v>368</v>
      </c>
      <c r="AE10351" t="str">
        <f>VLOOKUP(Table_Query_from_Actuarial___Production3[[#This Row],[Kor1]],$AI$3:$AK$105,3,FALSE)</f>
        <v>Operating Service Fees</v>
      </c>
      <c r="AF103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2" spans="18:32" x14ac:dyDescent="0.2">
      <c r="R10352" t="s">
        <v>11</v>
      </c>
      <c r="S10352" t="s">
        <v>354</v>
      </c>
      <c r="T10352" t="s">
        <v>6</v>
      </c>
      <c r="U10352" s="21">
        <v>657275914.76999998</v>
      </c>
      <c r="V10352" s="21" t="s">
        <v>369</v>
      </c>
      <c r="W10352" t="str">
        <f>VLOOKUP(Table_Query_from_Actuarial___Production[[#This Row],[Kor1]],$AI$3:$AK$105,3,FALSE)</f>
        <v>Losses Paid</v>
      </c>
      <c r="X103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352"/>
      <c r="Z10352" t="s">
        <v>44</v>
      </c>
      <c r="AA10352" t="s">
        <v>224</v>
      </c>
      <c r="AB10352" t="s">
        <v>6</v>
      </c>
      <c r="AC10352" s="21">
        <v>1207.79</v>
      </c>
      <c r="AD10352" s="21" t="s">
        <v>369</v>
      </c>
      <c r="AE10352" t="str">
        <f>VLOOKUP(Table_Query_from_Actuarial___Production3[[#This Row],[Kor1]],$AI$3:$AK$105,3,FALSE)</f>
        <v>Charge-offs</v>
      </c>
      <c r="AF103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353" spans="18:32" x14ac:dyDescent="0.2">
      <c r="R10353" t="s">
        <v>43</v>
      </c>
      <c r="S10353" t="s">
        <v>249</v>
      </c>
      <c r="T10353" t="s">
        <v>351</v>
      </c>
      <c r="U10353" s="21">
        <v>214.5</v>
      </c>
      <c r="V10353" s="21" t="s">
        <v>368</v>
      </c>
      <c r="W10353" t="str">
        <f>VLOOKUP(Table_Query_from_Actuarial___Production[[#This Row],[Kor1]],$AI$3:$AK$105,3,FALSE)</f>
        <v>Charge-offs</v>
      </c>
      <c r="X103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3"/>
      <c r="Z10353" t="s">
        <v>14</v>
      </c>
      <c r="AA10353" t="s">
        <v>252</v>
      </c>
      <c r="AB10353" t="s">
        <v>5</v>
      </c>
      <c r="AC10353" s="21">
        <v>652075.57999999996</v>
      </c>
      <c r="AD10353" s="21" t="s">
        <v>368</v>
      </c>
      <c r="AE10353" t="str">
        <f>VLOOKUP(Table_Query_from_Actuarial___Production3[[#This Row],[Kor1]],$AI$3:$AK$105,3,FALSE)</f>
        <v>Claims Expense</v>
      </c>
      <c r="AF103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4" spans="18:32" x14ac:dyDescent="0.2">
      <c r="R10354" t="s">
        <v>31</v>
      </c>
      <c r="S10354" t="s">
        <v>245</v>
      </c>
      <c r="T10354" t="s">
        <v>443</v>
      </c>
      <c r="U10354" s="21">
        <v>802.67</v>
      </c>
      <c r="V10354" s="21" t="s">
        <v>368</v>
      </c>
      <c r="W10354" t="str">
        <f>VLOOKUP(Table_Query_from_Actuarial___Production[[#This Row],[Kor1]],$AI$3:$AK$105,3,FALSE)</f>
        <v>Misc. Expense</v>
      </c>
      <c r="X103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4"/>
      <c r="Z10354" t="s">
        <v>47</v>
      </c>
      <c r="AA10354" t="s">
        <v>4</v>
      </c>
      <c r="AB10354" t="s">
        <v>351</v>
      </c>
      <c r="AC10354" s="21">
        <v>32283.93</v>
      </c>
      <c r="AD10354" s="21" t="s">
        <v>368</v>
      </c>
      <c r="AE10354" t="str">
        <f>VLOOKUP(Table_Query_from_Actuarial___Production3[[#This Row],[Kor1]],$AI$3:$AK$105,3,FALSE)</f>
        <v>Investment Income</v>
      </c>
      <c r="AF103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5" spans="18:32" x14ac:dyDescent="0.2">
      <c r="R10355" t="s">
        <v>17</v>
      </c>
      <c r="S10355" t="s">
        <v>259</v>
      </c>
      <c r="T10355" t="s">
        <v>445</v>
      </c>
      <c r="U10355" s="21">
        <v>1036.73</v>
      </c>
      <c r="V10355" s="21" t="s">
        <v>368</v>
      </c>
      <c r="W10355" t="str">
        <f>VLOOKUP(Table_Query_from_Actuarial___Production[[#This Row],[Kor1]],$AI$3:$AK$105,3,FALSE)</f>
        <v>IBNR</v>
      </c>
      <c r="X103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5"/>
      <c r="Z10355" t="s">
        <v>11</v>
      </c>
      <c r="AA10355" t="s">
        <v>240</v>
      </c>
      <c r="AB10355" t="s">
        <v>8</v>
      </c>
      <c r="AC10355" s="21">
        <v>1126131.3899999999</v>
      </c>
      <c r="AD10355" s="21" t="s">
        <v>368</v>
      </c>
      <c r="AE10355" t="str">
        <f>VLOOKUP(Table_Query_from_Actuarial___Production3[[#This Row],[Kor1]],$AI$3:$AK$105,3,FALSE)</f>
        <v>Losses Paid</v>
      </c>
      <c r="AF103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6" spans="18:32" x14ac:dyDescent="0.2">
      <c r="R10356" t="s">
        <v>37</v>
      </c>
      <c r="S10356" t="s">
        <v>234</v>
      </c>
      <c r="T10356" t="s">
        <v>441</v>
      </c>
      <c r="U10356" s="21">
        <v>640.65</v>
      </c>
      <c r="V10356" s="21" t="s">
        <v>368</v>
      </c>
      <c r="W10356" t="str">
        <f>VLOOKUP(Table_Query_from_Actuarial___Production[[#This Row],[Kor1]],$AI$3:$AK$105,3,FALSE)</f>
        <v>Misc. Expense</v>
      </c>
      <c r="X103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6"/>
      <c r="Z10356" t="s">
        <v>39</v>
      </c>
      <c r="AA10356" t="s">
        <v>228</v>
      </c>
      <c r="AB10356" t="s">
        <v>7</v>
      </c>
      <c r="AC10356" s="21">
        <v>11</v>
      </c>
      <c r="AD10356" s="21" t="s">
        <v>368</v>
      </c>
      <c r="AE10356" t="str">
        <f>VLOOKUP(Table_Query_from_Actuarial___Production3[[#This Row],[Kor1]],$AI$3:$AK$105,3,FALSE)</f>
        <v>Misc. Income for Insolvent Companies</v>
      </c>
      <c r="AF103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7" spans="18:32" x14ac:dyDescent="0.2">
      <c r="R10357" t="s">
        <v>13</v>
      </c>
      <c r="S10357" t="s">
        <v>239</v>
      </c>
      <c r="T10357" t="s">
        <v>443</v>
      </c>
      <c r="U10357" s="21">
        <v>725868.63</v>
      </c>
      <c r="V10357" s="21" t="s">
        <v>368</v>
      </c>
      <c r="W10357" t="str">
        <f>VLOOKUP(Table_Query_from_Actuarial___Production[[#This Row],[Kor1]],$AI$3:$AK$105,3,FALSE)</f>
        <v>Operating Service Fees</v>
      </c>
      <c r="X103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7"/>
      <c r="Z10357" t="s">
        <v>49</v>
      </c>
      <c r="AA10357" t="s">
        <v>225</v>
      </c>
      <c r="AB10357" t="s">
        <v>5</v>
      </c>
      <c r="AC10357" s="21">
        <v>33342.39</v>
      </c>
      <c r="AD10357" s="21" t="s">
        <v>368</v>
      </c>
      <c r="AE10357" t="str">
        <f>VLOOKUP(Table_Query_from_Actuarial___Production3[[#This Row],[Kor1]],$AI$3:$AK$105,3,FALSE)</f>
        <v>ALAE Paid</v>
      </c>
      <c r="AF103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358" spans="18:32" x14ac:dyDescent="0.2">
      <c r="R10358" t="s">
        <v>19</v>
      </c>
      <c r="S10358" t="s">
        <v>261</v>
      </c>
      <c r="T10358" t="s">
        <v>356</v>
      </c>
      <c r="U10358" s="21">
        <v>592</v>
      </c>
      <c r="V10358" s="21" t="s">
        <v>368</v>
      </c>
      <c r="W10358" t="str">
        <f>VLOOKUP(Table_Query_from_Actuarial___Production[[#This Row],[Kor1]],$AI$3:$AK$105,3,FALSE)</f>
        <v>Misc. Expense for Insolvent Companies</v>
      </c>
      <c r="X103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8"/>
      <c r="Z10358" t="s">
        <v>33</v>
      </c>
      <c r="AA10358" t="s">
        <v>257</v>
      </c>
      <c r="AB10358" t="s">
        <v>7</v>
      </c>
      <c r="AC10358" s="21">
        <v>16338.47</v>
      </c>
      <c r="AD10358" s="21" t="s">
        <v>368</v>
      </c>
      <c r="AE10358" t="str">
        <f>VLOOKUP(Table_Query_from_Actuarial___Production3[[#This Row],[Kor1]],$AI$3:$AK$105,3,FALSE)</f>
        <v>Misc. Expense</v>
      </c>
      <c r="AF103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59" spans="18:32" x14ac:dyDescent="0.2">
      <c r="R10359" t="s">
        <v>10</v>
      </c>
      <c r="S10359" t="s">
        <v>253</v>
      </c>
      <c r="T10359" t="s">
        <v>443</v>
      </c>
      <c r="U10359" s="21">
        <v>50.25</v>
      </c>
      <c r="V10359" s="21" t="s">
        <v>368</v>
      </c>
      <c r="W10359" t="str">
        <f>VLOOKUP(Table_Query_from_Actuarial___Production[[#This Row],[Kor1]],$AI$3:$AK$105,3,FALSE)</f>
        <v>Commissions</v>
      </c>
      <c r="X103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59"/>
      <c r="Z10359" t="s">
        <v>3</v>
      </c>
      <c r="AA10359" t="s">
        <v>264</v>
      </c>
      <c r="AB10359" t="s">
        <v>427</v>
      </c>
      <c r="AC10359" s="21">
        <v>6254655</v>
      </c>
      <c r="AD10359" s="21" t="s">
        <v>368</v>
      </c>
      <c r="AE10359" t="str">
        <f>VLOOKUP(Table_Query_from_Actuarial___Production3[[#This Row],[Kor1]],$AI$3:$AK$105,3,FALSE)</f>
        <v>Premiums Written</v>
      </c>
      <c r="AF103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0" spans="18:32" x14ac:dyDescent="0.2">
      <c r="R10360" t="s">
        <v>41</v>
      </c>
      <c r="S10360" t="s">
        <v>235</v>
      </c>
      <c r="T10360" t="s">
        <v>7</v>
      </c>
      <c r="U10360" s="21">
        <v>613.96</v>
      </c>
      <c r="V10360" s="21" t="s">
        <v>368</v>
      </c>
      <c r="W10360" t="str">
        <f>VLOOKUP(Table_Query_from_Actuarial___Production[[#This Row],[Kor1]],$AI$3:$AK$105,3,FALSE)</f>
        <v>Misc. Income</v>
      </c>
      <c r="X103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0"/>
      <c r="Z10360" t="s">
        <v>39</v>
      </c>
      <c r="AA10360" t="s">
        <v>239</v>
      </c>
      <c r="AB10360" t="s">
        <v>8</v>
      </c>
      <c r="AC10360" s="21">
        <v>989</v>
      </c>
      <c r="AD10360" s="21" t="s">
        <v>368</v>
      </c>
      <c r="AE10360" t="str">
        <f>VLOOKUP(Table_Query_from_Actuarial___Production3[[#This Row],[Kor1]],$AI$3:$AK$105,3,FALSE)</f>
        <v>Misc. Income for Insolvent Companies</v>
      </c>
      <c r="AF103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1" spans="18:32" x14ac:dyDescent="0.2">
      <c r="R10361" t="s">
        <v>43</v>
      </c>
      <c r="S10361" t="s">
        <v>224</v>
      </c>
      <c r="T10361" t="s">
        <v>356</v>
      </c>
      <c r="U10361" s="21">
        <v>2.21</v>
      </c>
      <c r="V10361" s="21" t="s">
        <v>425</v>
      </c>
      <c r="W10361" t="str">
        <f>VLOOKUP(Table_Query_from_Actuarial___Production[[#This Row],[Kor1]],$AI$3:$AK$105,3,FALSE)</f>
        <v>Charge-offs</v>
      </c>
      <c r="X103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361"/>
      <c r="Z10361" t="s">
        <v>21</v>
      </c>
      <c r="AA10361" t="s">
        <v>251</v>
      </c>
      <c r="AB10361" t="s">
        <v>356</v>
      </c>
      <c r="AC10361" s="21">
        <v>492.19</v>
      </c>
      <c r="AD10361" s="21" t="s">
        <v>368</v>
      </c>
      <c r="AE10361" t="str">
        <f>VLOOKUP(Table_Query_from_Actuarial___Production3[[#This Row],[Kor1]],$AI$3:$AK$105,3,FALSE)</f>
        <v>Misc. Expense</v>
      </c>
      <c r="AF103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2" spans="18:32" x14ac:dyDescent="0.2">
      <c r="R10362" t="s">
        <v>31</v>
      </c>
      <c r="S10362" t="s">
        <v>263</v>
      </c>
      <c r="T10362" t="s">
        <v>7</v>
      </c>
      <c r="U10362" s="21">
        <v>896.62</v>
      </c>
      <c r="V10362" s="21" t="s">
        <v>368</v>
      </c>
      <c r="W10362" t="str">
        <f>VLOOKUP(Table_Query_from_Actuarial___Production[[#This Row],[Kor1]],$AI$3:$AK$105,3,FALSE)</f>
        <v>Misc. Expense</v>
      </c>
      <c r="X103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2"/>
      <c r="Z10362" t="s">
        <v>40</v>
      </c>
      <c r="AA10362" t="s">
        <v>261</v>
      </c>
      <c r="AB10362" t="s">
        <v>351</v>
      </c>
      <c r="AC10362" s="21">
        <v>503</v>
      </c>
      <c r="AD10362" s="21" t="s">
        <v>368</v>
      </c>
      <c r="AE10362" t="str">
        <f>VLOOKUP(Table_Query_from_Actuarial___Production3[[#This Row],[Kor1]],$AI$3:$AK$105,3,FALSE)</f>
        <v>Misc. Income</v>
      </c>
      <c r="AF103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3" spans="18:32" x14ac:dyDescent="0.2">
      <c r="R10363" t="s">
        <v>39</v>
      </c>
      <c r="S10363" t="s">
        <v>245</v>
      </c>
      <c r="T10363" t="s">
        <v>427</v>
      </c>
      <c r="U10363" s="21">
        <v>4691.21</v>
      </c>
      <c r="V10363" s="21" t="s">
        <v>368</v>
      </c>
      <c r="W10363" t="str">
        <f>VLOOKUP(Table_Query_from_Actuarial___Production[[#This Row],[Kor1]],$AI$3:$AK$105,3,FALSE)</f>
        <v>Misc. Income for Insolvent Companies</v>
      </c>
      <c r="X103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3"/>
      <c r="Z10363" t="s">
        <v>47</v>
      </c>
      <c r="AA10363" t="s">
        <v>238</v>
      </c>
      <c r="AB10363" t="s">
        <v>6</v>
      </c>
      <c r="AC10363" s="21">
        <v>0.1</v>
      </c>
      <c r="AD10363" s="21" t="s">
        <v>368</v>
      </c>
      <c r="AE10363" t="str">
        <f>VLOOKUP(Table_Query_from_Actuarial___Production3[[#This Row],[Kor1]],$AI$3:$AK$105,3,FALSE)</f>
        <v>Investment Income</v>
      </c>
      <c r="AF103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4" spans="18:32" x14ac:dyDescent="0.2">
      <c r="R10364" t="s">
        <v>20</v>
      </c>
      <c r="S10364" t="s">
        <v>242</v>
      </c>
      <c r="T10364" t="s">
        <v>7</v>
      </c>
      <c r="U10364" s="21">
        <v>1035.1300000000001</v>
      </c>
      <c r="V10364" s="21" t="s">
        <v>368</v>
      </c>
      <c r="W10364" t="str">
        <f>VLOOKUP(Table_Query_from_Actuarial___Production[[#This Row],[Kor1]],$AI$3:$AK$105,3,FALSE)</f>
        <v>Misc. Expense</v>
      </c>
      <c r="X103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4"/>
      <c r="Z10364" t="s">
        <v>10</v>
      </c>
      <c r="AA10364" t="s">
        <v>240</v>
      </c>
      <c r="AB10364" t="s">
        <v>442</v>
      </c>
      <c r="AC10364" s="21">
        <v>193420.18</v>
      </c>
      <c r="AD10364" s="21" t="s">
        <v>368</v>
      </c>
      <c r="AE10364" t="str">
        <f>VLOOKUP(Table_Query_from_Actuarial___Production3[[#This Row],[Kor1]],$AI$3:$AK$105,3,FALSE)</f>
        <v>Commissions</v>
      </c>
      <c r="AF103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5" spans="18:32" x14ac:dyDescent="0.2">
      <c r="R10365" t="s">
        <v>444</v>
      </c>
      <c r="S10365" t="s">
        <v>251</v>
      </c>
      <c r="T10365" t="s">
        <v>443</v>
      </c>
      <c r="U10365" s="21">
        <v>10167.82</v>
      </c>
      <c r="V10365" s="21" t="s">
        <v>368</v>
      </c>
      <c r="W10365" t="str">
        <f>VLOOKUP(Table_Query_from_Actuarial___Production[[#This Row],[Kor1]],$AI$3:$AK$105,3,FALSE)</f>
        <v>Misc. Expense</v>
      </c>
      <c r="X103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5"/>
      <c r="Z10365" t="s">
        <v>12</v>
      </c>
      <c r="AA10365" t="s">
        <v>264</v>
      </c>
      <c r="AB10365" t="s">
        <v>443</v>
      </c>
      <c r="AC10365" s="21">
        <v>38773.800000000003</v>
      </c>
      <c r="AD10365" s="21" t="s">
        <v>368</v>
      </c>
      <c r="AE10365" t="str">
        <f>VLOOKUP(Table_Query_from_Actuarial___Production3[[#This Row],[Kor1]],$AI$3:$AK$105,3,FALSE)</f>
        <v>Premium Tax</v>
      </c>
      <c r="AF103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6" spans="18:32" x14ac:dyDescent="0.2">
      <c r="R10366" t="s">
        <v>33</v>
      </c>
      <c r="S10366" t="s">
        <v>240</v>
      </c>
      <c r="T10366" t="s">
        <v>445</v>
      </c>
      <c r="U10366" s="21">
        <v>9111.27</v>
      </c>
      <c r="V10366" s="21" t="s">
        <v>368</v>
      </c>
      <c r="W10366" t="str">
        <f>VLOOKUP(Table_Query_from_Actuarial___Production[[#This Row],[Kor1]],$AI$3:$AK$105,3,FALSE)</f>
        <v>Misc. Expense</v>
      </c>
      <c r="X103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6"/>
      <c r="Z10366" t="s">
        <v>14</v>
      </c>
      <c r="AA10366" t="s">
        <v>243</v>
      </c>
      <c r="AB10366" t="s">
        <v>443</v>
      </c>
      <c r="AC10366" s="21">
        <v>4737.93</v>
      </c>
      <c r="AD10366" s="21" t="s">
        <v>368</v>
      </c>
      <c r="AE10366" t="str">
        <f>VLOOKUP(Table_Query_from_Actuarial___Production3[[#This Row],[Kor1]],$AI$3:$AK$105,3,FALSE)</f>
        <v>Claims Expense</v>
      </c>
      <c r="AF103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7" spans="18:32" x14ac:dyDescent="0.2">
      <c r="R10367" t="s">
        <v>44</v>
      </c>
      <c r="S10367" t="s">
        <v>224</v>
      </c>
      <c r="T10367" t="s">
        <v>441</v>
      </c>
      <c r="U10367" s="21">
        <v>731</v>
      </c>
      <c r="V10367" s="21" t="s">
        <v>425</v>
      </c>
      <c r="W10367" t="str">
        <f>VLOOKUP(Table_Query_from_Actuarial___Production[[#This Row],[Kor1]],$AI$3:$AK$105,3,FALSE)</f>
        <v>Charge-offs</v>
      </c>
      <c r="X103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367"/>
      <c r="Z10367" t="s">
        <v>39</v>
      </c>
      <c r="AA10367" t="s">
        <v>234</v>
      </c>
      <c r="AB10367" t="s">
        <v>7</v>
      </c>
      <c r="AC10367" s="21">
        <v>1086</v>
      </c>
      <c r="AD10367" s="21" t="s">
        <v>368</v>
      </c>
      <c r="AE10367" t="str">
        <f>VLOOKUP(Table_Query_from_Actuarial___Production3[[#This Row],[Kor1]],$AI$3:$AK$105,3,FALSE)</f>
        <v>Misc. Income for Insolvent Companies</v>
      </c>
      <c r="AF103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8" spans="18:32" x14ac:dyDescent="0.2">
      <c r="R10368" t="s">
        <v>37</v>
      </c>
      <c r="S10368" t="s">
        <v>244</v>
      </c>
      <c r="T10368" t="s">
        <v>445</v>
      </c>
      <c r="U10368" s="21">
        <v>377.21</v>
      </c>
      <c r="V10368" s="21" t="s">
        <v>368</v>
      </c>
      <c r="W10368" t="str">
        <f>VLOOKUP(Table_Query_from_Actuarial___Production[[#This Row],[Kor1]],$AI$3:$AK$105,3,FALSE)</f>
        <v>Misc. Expense</v>
      </c>
      <c r="X103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8"/>
      <c r="Z10368" t="s">
        <v>48</v>
      </c>
      <c r="AA10368" t="s">
        <v>238</v>
      </c>
      <c r="AB10368" t="s">
        <v>442</v>
      </c>
      <c r="AC10368" s="21">
        <v>6256.38</v>
      </c>
      <c r="AD10368" s="21" t="s">
        <v>368</v>
      </c>
      <c r="AE10368" t="str">
        <f>VLOOKUP(Table_Query_from_Actuarial___Production3[[#This Row],[Kor1]],$AI$3:$AK$105,3,FALSE)</f>
        <v>Anticipated Salvage</v>
      </c>
      <c r="AF103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69" spans="18:32" x14ac:dyDescent="0.2">
      <c r="R10369" t="s">
        <v>44</v>
      </c>
      <c r="S10369" t="s">
        <v>248</v>
      </c>
      <c r="T10369" t="s">
        <v>356</v>
      </c>
      <c r="U10369" s="21">
        <v>11</v>
      </c>
      <c r="V10369" s="21" t="s">
        <v>368</v>
      </c>
      <c r="W10369" t="str">
        <f>VLOOKUP(Table_Query_from_Actuarial___Production[[#This Row],[Kor1]],$AI$3:$AK$105,3,FALSE)</f>
        <v>Charge-offs</v>
      </c>
      <c r="X103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69"/>
      <c r="Z10369" t="s">
        <v>3</v>
      </c>
      <c r="AA10369" t="s">
        <v>237</v>
      </c>
      <c r="AB10369" t="s">
        <v>5</v>
      </c>
      <c r="AC10369" s="21">
        <v>1140214</v>
      </c>
      <c r="AD10369" s="21" t="s">
        <v>368</v>
      </c>
      <c r="AE10369" t="str">
        <f>VLOOKUP(Table_Query_from_Actuarial___Production3[[#This Row],[Kor1]],$AI$3:$AK$105,3,FALSE)</f>
        <v>Premiums Written</v>
      </c>
      <c r="AF103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0" spans="18:32" x14ac:dyDescent="0.2">
      <c r="R10370" t="s">
        <v>18</v>
      </c>
      <c r="S10370" t="s">
        <v>224</v>
      </c>
      <c r="T10370" t="s">
        <v>427</v>
      </c>
      <c r="U10370" s="21">
        <v>138088.06</v>
      </c>
      <c r="V10370" s="21" t="s">
        <v>368</v>
      </c>
      <c r="W10370" t="str">
        <f>VLOOKUP(Table_Query_from_Actuarial___Production[[#This Row],[Kor1]],$AI$3:$AK$105,3,FALSE)</f>
        <v>Misc. Expense</v>
      </c>
      <c r="X103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370"/>
      <c r="Z10370" t="s">
        <v>12</v>
      </c>
      <c r="AA10370" t="s">
        <v>251</v>
      </c>
      <c r="AB10370" t="s">
        <v>7</v>
      </c>
      <c r="AC10370" s="21">
        <v>1442.7</v>
      </c>
      <c r="AD10370" s="21" t="s">
        <v>368</v>
      </c>
      <c r="AE10370" t="str">
        <f>VLOOKUP(Table_Query_from_Actuarial___Production3[[#This Row],[Kor1]],$AI$3:$AK$105,3,FALSE)</f>
        <v>Premium Tax</v>
      </c>
      <c r="AF103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1" spans="18:32" x14ac:dyDescent="0.2">
      <c r="R10371" t="s">
        <v>13</v>
      </c>
      <c r="S10371" t="s">
        <v>268</v>
      </c>
      <c r="T10371" t="s">
        <v>351</v>
      </c>
      <c r="U10371" s="21">
        <v>3574.62</v>
      </c>
      <c r="V10371" s="21" t="s">
        <v>368</v>
      </c>
      <c r="W10371" t="str">
        <f>VLOOKUP(Table_Query_from_Actuarial___Production[[#This Row],[Kor1]],$AI$3:$AK$105,3,FALSE)</f>
        <v>Operating Service Fees</v>
      </c>
      <c r="X103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1"/>
      <c r="Z10371" t="s">
        <v>11</v>
      </c>
      <c r="AA10371" t="s">
        <v>354</v>
      </c>
      <c r="AB10371" t="s">
        <v>6</v>
      </c>
      <c r="AC10371" s="21">
        <v>657929037.69000006</v>
      </c>
      <c r="AD10371" s="21" t="s">
        <v>369</v>
      </c>
      <c r="AE10371" t="str">
        <f>VLOOKUP(Table_Query_from_Actuarial___Production3[[#This Row],[Kor1]],$AI$3:$AK$105,3,FALSE)</f>
        <v>Losses Paid</v>
      </c>
      <c r="AF103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372" spans="18:32" x14ac:dyDescent="0.2">
      <c r="R10372" t="s">
        <v>16</v>
      </c>
      <c r="S10372" t="s">
        <v>266</v>
      </c>
      <c r="T10372" t="s">
        <v>442</v>
      </c>
      <c r="U10372" s="21">
        <v>949128.84</v>
      </c>
      <c r="V10372" s="21" t="s">
        <v>368</v>
      </c>
      <c r="W10372" t="str">
        <f>VLOOKUP(Table_Query_from_Actuarial___Production[[#This Row],[Kor1]],$AI$3:$AK$105,3,FALSE)</f>
        <v>Losses Outstanding</v>
      </c>
      <c r="X103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2"/>
      <c r="Z10372" t="s">
        <v>43</v>
      </c>
      <c r="AA10372" t="s">
        <v>249</v>
      </c>
      <c r="AB10372" t="s">
        <v>351</v>
      </c>
      <c r="AC10372" s="21">
        <v>214.5</v>
      </c>
      <c r="AD10372" s="21" t="s">
        <v>368</v>
      </c>
      <c r="AE10372" t="str">
        <f>VLOOKUP(Table_Query_from_Actuarial___Production3[[#This Row],[Kor1]],$AI$3:$AK$105,3,FALSE)</f>
        <v>Charge-offs</v>
      </c>
      <c r="AF103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3" spans="18:32" x14ac:dyDescent="0.2">
      <c r="R10373" t="s">
        <v>439</v>
      </c>
      <c r="S10373" t="s">
        <v>4</v>
      </c>
      <c r="T10373" t="s">
        <v>433</v>
      </c>
      <c r="U10373" s="21">
        <v>855680</v>
      </c>
      <c r="V10373" s="21" t="s">
        <v>368</v>
      </c>
      <c r="W10373" t="str">
        <f>VLOOKUP(Table_Query_from_Actuarial___Production[[#This Row],[Kor1]],$AI$3:$AK$105,3,FALSE)</f>
        <v>Operating Service Fees</v>
      </c>
      <c r="X103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3"/>
      <c r="Z10373" t="s">
        <v>31</v>
      </c>
      <c r="AA10373" t="s">
        <v>245</v>
      </c>
      <c r="AB10373" t="s">
        <v>443</v>
      </c>
      <c r="AC10373" s="21">
        <v>270.07</v>
      </c>
      <c r="AD10373" s="21" t="s">
        <v>368</v>
      </c>
      <c r="AE10373" t="str">
        <f>VLOOKUP(Table_Query_from_Actuarial___Production3[[#This Row],[Kor1]],$AI$3:$AK$105,3,FALSE)</f>
        <v>Misc. Expense</v>
      </c>
      <c r="AF103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4" spans="18:32" x14ac:dyDescent="0.2">
      <c r="R10374" t="s">
        <v>33</v>
      </c>
      <c r="S10374" t="s">
        <v>233</v>
      </c>
      <c r="T10374" t="s">
        <v>441</v>
      </c>
      <c r="U10374" s="21">
        <v>14210.14</v>
      </c>
      <c r="V10374" s="21" t="s">
        <v>368</v>
      </c>
      <c r="W10374" t="str">
        <f>VLOOKUP(Table_Query_from_Actuarial___Production[[#This Row],[Kor1]],$AI$3:$AK$105,3,FALSE)</f>
        <v>Misc. Expense</v>
      </c>
      <c r="X103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4"/>
      <c r="Z10374" t="s">
        <v>15</v>
      </c>
      <c r="AA10374" t="s">
        <v>234</v>
      </c>
      <c r="AB10374" t="s">
        <v>442</v>
      </c>
      <c r="AC10374" s="21">
        <v>308467.63</v>
      </c>
      <c r="AD10374" s="21" t="s">
        <v>368</v>
      </c>
      <c r="AE10374" t="str">
        <f>VLOOKUP(Table_Query_from_Actuarial___Production3[[#This Row],[Kor1]],$AI$3:$AK$105,3,FALSE)</f>
        <v>Unearned Premiums</v>
      </c>
      <c r="AF103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5" spans="18:32" x14ac:dyDescent="0.2">
      <c r="R10375" t="s">
        <v>439</v>
      </c>
      <c r="S10375" t="s">
        <v>247</v>
      </c>
      <c r="T10375" t="s">
        <v>433</v>
      </c>
      <c r="U10375" s="21">
        <v>90</v>
      </c>
      <c r="V10375" s="21" t="s">
        <v>368</v>
      </c>
      <c r="W10375" t="str">
        <f>VLOOKUP(Table_Query_from_Actuarial___Production[[#This Row],[Kor1]],$AI$3:$AK$105,3,FALSE)</f>
        <v>Operating Service Fees</v>
      </c>
      <c r="X103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5"/>
      <c r="Z10375" t="s">
        <v>37</v>
      </c>
      <c r="AA10375" t="s">
        <v>234</v>
      </c>
      <c r="AB10375" t="s">
        <v>441</v>
      </c>
      <c r="AC10375" s="21">
        <v>640.65</v>
      </c>
      <c r="AD10375" s="21" t="s">
        <v>368</v>
      </c>
      <c r="AE10375" t="str">
        <f>VLOOKUP(Table_Query_from_Actuarial___Production3[[#This Row],[Kor1]],$AI$3:$AK$105,3,FALSE)</f>
        <v>Misc. Expense</v>
      </c>
      <c r="AF103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6" spans="18:32" x14ac:dyDescent="0.2">
      <c r="R10376" t="s">
        <v>77</v>
      </c>
      <c r="S10376" t="s">
        <v>257</v>
      </c>
      <c r="T10376" t="s">
        <v>445</v>
      </c>
      <c r="U10376" s="21">
        <v>366930</v>
      </c>
      <c r="V10376" s="21" t="s">
        <v>368</v>
      </c>
      <c r="W10376" t="str">
        <f>VLOOKUP(Table_Query_from_Actuarial___Production[[#This Row],[Kor1]],$AI$3:$AK$105,3,FALSE)</f>
        <v>PDR</v>
      </c>
      <c r="X103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6"/>
      <c r="Z10376" t="s">
        <v>47</v>
      </c>
      <c r="AA10376" t="s">
        <v>241</v>
      </c>
      <c r="AB10376" t="s">
        <v>5</v>
      </c>
      <c r="AC10376" s="21">
        <v>1.85</v>
      </c>
      <c r="AD10376" s="21" t="s">
        <v>368</v>
      </c>
      <c r="AE10376" t="str">
        <f>VLOOKUP(Table_Query_from_Actuarial___Production3[[#This Row],[Kor1]],$AI$3:$AK$105,3,FALSE)</f>
        <v>Investment Income</v>
      </c>
      <c r="AF103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7" spans="18:32" x14ac:dyDescent="0.2">
      <c r="R10377" t="s">
        <v>19</v>
      </c>
      <c r="S10377" t="s">
        <v>235</v>
      </c>
      <c r="T10377" t="s">
        <v>9</v>
      </c>
      <c r="U10377" s="21">
        <v>642.99</v>
      </c>
      <c r="V10377" s="21" t="s">
        <v>368</v>
      </c>
      <c r="W10377" t="str">
        <f>VLOOKUP(Table_Query_from_Actuarial___Production[[#This Row],[Kor1]],$AI$3:$AK$105,3,FALSE)</f>
        <v>Misc. Expense for Insolvent Companies</v>
      </c>
      <c r="X103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7"/>
      <c r="Z10377" t="s">
        <v>13</v>
      </c>
      <c r="AA10377" t="s">
        <v>239</v>
      </c>
      <c r="AB10377" t="s">
        <v>443</v>
      </c>
      <c r="AC10377" s="21">
        <v>270591.84000000003</v>
      </c>
      <c r="AD10377" s="21" t="s">
        <v>368</v>
      </c>
      <c r="AE10377" t="str">
        <f>VLOOKUP(Table_Query_from_Actuarial___Production3[[#This Row],[Kor1]],$AI$3:$AK$105,3,FALSE)</f>
        <v>Operating Service Fees</v>
      </c>
      <c r="AF103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8" spans="18:32" x14ac:dyDescent="0.2">
      <c r="R10378" t="s">
        <v>3</v>
      </c>
      <c r="S10378" t="s">
        <v>226</v>
      </c>
      <c r="T10378" t="s">
        <v>443</v>
      </c>
      <c r="U10378" s="21">
        <v>7278158</v>
      </c>
      <c r="V10378" s="21" t="s">
        <v>368</v>
      </c>
      <c r="W10378" t="str">
        <f>VLOOKUP(Table_Query_from_Actuarial___Production[[#This Row],[Kor1]],$AI$3:$AK$105,3,FALSE)</f>
        <v>Premiums Written</v>
      </c>
      <c r="X103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378"/>
      <c r="Z10378" t="s">
        <v>19</v>
      </c>
      <c r="AA10378" t="s">
        <v>261</v>
      </c>
      <c r="AB10378" t="s">
        <v>356</v>
      </c>
      <c r="AC10378" s="21">
        <v>592</v>
      </c>
      <c r="AD10378" s="21" t="s">
        <v>368</v>
      </c>
      <c r="AE10378" t="str">
        <f>VLOOKUP(Table_Query_from_Actuarial___Production3[[#This Row],[Kor1]],$AI$3:$AK$105,3,FALSE)</f>
        <v>Misc. Expense for Insolvent Companies</v>
      </c>
      <c r="AF103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79" spans="18:32" x14ac:dyDescent="0.2">
      <c r="R10379" t="s">
        <v>11</v>
      </c>
      <c r="S10379" t="s">
        <v>246</v>
      </c>
      <c r="T10379" t="s">
        <v>356</v>
      </c>
      <c r="U10379" s="21">
        <v>6899240.5199999996</v>
      </c>
      <c r="V10379" s="21" t="s">
        <v>368</v>
      </c>
      <c r="W10379" t="str">
        <f>VLOOKUP(Table_Query_from_Actuarial___Production[[#This Row],[Kor1]],$AI$3:$AK$105,3,FALSE)</f>
        <v>Losses Paid</v>
      </c>
      <c r="X103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79"/>
      <c r="Z10379" t="s">
        <v>41</v>
      </c>
      <c r="AA10379" t="s">
        <v>235</v>
      </c>
      <c r="AB10379" t="s">
        <v>7</v>
      </c>
      <c r="AC10379" s="21">
        <v>613.96</v>
      </c>
      <c r="AD10379" s="21" t="s">
        <v>368</v>
      </c>
      <c r="AE10379" t="str">
        <f>VLOOKUP(Table_Query_from_Actuarial___Production3[[#This Row],[Kor1]],$AI$3:$AK$105,3,FALSE)</f>
        <v>Misc. Income</v>
      </c>
      <c r="AF103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0" spans="18:32" x14ac:dyDescent="0.2">
      <c r="R10380" t="s">
        <v>31</v>
      </c>
      <c r="S10380" t="s">
        <v>231</v>
      </c>
      <c r="T10380" t="s">
        <v>7</v>
      </c>
      <c r="U10380" s="21">
        <v>1065.71</v>
      </c>
      <c r="V10380" s="21" t="s">
        <v>368</v>
      </c>
      <c r="W10380" t="str">
        <f>VLOOKUP(Table_Query_from_Actuarial___Production[[#This Row],[Kor1]],$AI$3:$AK$105,3,FALSE)</f>
        <v>Misc. Expense</v>
      </c>
      <c r="X103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0"/>
      <c r="Z10380" t="s">
        <v>43</v>
      </c>
      <c r="AA10380" t="s">
        <v>224</v>
      </c>
      <c r="AB10380" t="s">
        <v>356</v>
      </c>
      <c r="AC10380" s="21">
        <v>2.21</v>
      </c>
      <c r="AD10380" s="21" t="s">
        <v>425</v>
      </c>
      <c r="AE10380" t="str">
        <f>VLOOKUP(Table_Query_from_Actuarial___Production3[[#This Row],[Kor1]],$AI$3:$AK$105,3,FALSE)</f>
        <v>Charge-offs</v>
      </c>
      <c r="AF103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381" spans="18:32" x14ac:dyDescent="0.2">
      <c r="R10381" t="s">
        <v>34</v>
      </c>
      <c r="S10381" t="s">
        <v>252</v>
      </c>
      <c r="T10381" t="s">
        <v>351</v>
      </c>
      <c r="U10381" s="21">
        <v>3898.3</v>
      </c>
      <c r="V10381" s="21" t="s">
        <v>368</v>
      </c>
      <c r="W10381" t="str">
        <f>VLOOKUP(Table_Query_from_Actuarial___Production[[#This Row],[Kor1]],$AI$3:$AK$105,3,FALSE)</f>
        <v>Misc. Expense</v>
      </c>
      <c r="X103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1"/>
      <c r="Z10381" t="s">
        <v>10</v>
      </c>
      <c r="AA10381" t="s">
        <v>231</v>
      </c>
      <c r="AB10381" t="s">
        <v>5</v>
      </c>
      <c r="AC10381" s="21">
        <v>2345.85</v>
      </c>
      <c r="AD10381" s="21" t="s">
        <v>368</v>
      </c>
      <c r="AE10381" t="str">
        <f>VLOOKUP(Table_Query_from_Actuarial___Production3[[#This Row],[Kor1]],$AI$3:$AK$105,3,FALSE)</f>
        <v>Commissions</v>
      </c>
      <c r="AF103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2" spans="18:32" x14ac:dyDescent="0.2">
      <c r="R10382" t="s">
        <v>16</v>
      </c>
      <c r="S10382" t="s">
        <v>226</v>
      </c>
      <c r="T10382" t="s">
        <v>351</v>
      </c>
      <c r="U10382" s="21">
        <v>291332.7</v>
      </c>
      <c r="V10382" s="21" t="s">
        <v>368</v>
      </c>
      <c r="W10382" t="str">
        <f>VLOOKUP(Table_Query_from_Actuarial___Production[[#This Row],[Kor1]],$AI$3:$AK$105,3,FALSE)</f>
        <v>Losses Outstanding</v>
      </c>
      <c r="X103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382"/>
      <c r="Z10382" t="s">
        <v>31</v>
      </c>
      <c r="AA10382" t="s">
        <v>263</v>
      </c>
      <c r="AB10382" t="s">
        <v>7</v>
      </c>
      <c r="AC10382" s="21">
        <v>896.62</v>
      </c>
      <c r="AD10382" s="21" t="s">
        <v>368</v>
      </c>
      <c r="AE10382" t="str">
        <f>VLOOKUP(Table_Query_from_Actuarial___Production3[[#This Row],[Kor1]],$AI$3:$AK$105,3,FALSE)</f>
        <v>Misc. Expense</v>
      </c>
      <c r="AF103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3" spans="18:32" x14ac:dyDescent="0.2">
      <c r="R10383" t="s">
        <v>31</v>
      </c>
      <c r="S10383" t="s">
        <v>242</v>
      </c>
      <c r="T10383" t="s">
        <v>433</v>
      </c>
      <c r="U10383" s="21">
        <v>919.96</v>
      </c>
      <c r="V10383" s="21" t="s">
        <v>368</v>
      </c>
      <c r="W10383" t="str">
        <f>VLOOKUP(Table_Query_from_Actuarial___Production[[#This Row],[Kor1]],$AI$3:$AK$105,3,FALSE)</f>
        <v>Misc. Expense</v>
      </c>
      <c r="X103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3"/>
      <c r="Z10383" t="s">
        <v>39</v>
      </c>
      <c r="AA10383" t="s">
        <v>245</v>
      </c>
      <c r="AB10383" t="s">
        <v>427</v>
      </c>
      <c r="AC10383" s="21">
        <v>4691.21</v>
      </c>
      <c r="AD10383" s="21" t="s">
        <v>368</v>
      </c>
      <c r="AE10383" t="str">
        <f>VLOOKUP(Table_Query_from_Actuarial___Production3[[#This Row],[Kor1]],$AI$3:$AK$105,3,FALSE)</f>
        <v>Misc. Income for Insolvent Companies</v>
      </c>
      <c r="AF103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4" spans="18:32" x14ac:dyDescent="0.2">
      <c r="R10384" t="s">
        <v>17</v>
      </c>
      <c r="S10384" t="s">
        <v>236</v>
      </c>
      <c r="T10384" t="s">
        <v>442</v>
      </c>
      <c r="U10384" s="21">
        <v>31529.81</v>
      </c>
      <c r="V10384" s="21" t="s">
        <v>368</v>
      </c>
      <c r="W10384" t="str">
        <f>VLOOKUP(Table_Query_from_Actuarial___Production[[#This Row],[Kor1]],$AI$3:$AK$105,3,FALSE)</f>
        <v>IBNR</v>
      </c>
      <c r="X103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4"/>
      <c r="Z10384" t="s">
        <v>20</v>
      </c>
      <c r="AA10384" t="s">
        <v>242</v>
      </c>
      <c r="AB10384" t="s">
        <v>7</v>
      </c>
      <c r="AC10384" s="21">
        <v>1035.1300000000001</v>
      </c>
      <c r="AD10384" s="21" t="s">
        <v>368</v>
      </c>
      <c r="AE10384" t="str">
        <f>VLOOKUP(Table_Query_from_Actuarial___Production3[[#This Row],[Kor1]],$AI$3:$AK$105,3,FALSE)</f>
        <v>Misc. Expense</v>
      </c>
      <c r="AF103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5" spans="18:32" x14ac:dyDescent="0.2">
      <c r="R10385" t="s">
        <v>41</v>
      </c>
      <c r="S10385" t="s">
        <v>249</v>
      </c>
      <c r="T10385" t="s">
        <v>441</v>
      </c>
      <c r="U10385" s="21">
        <v>449.98</v>
      </c>
      <c r="V10385" s="21" t="s">
        <v>368</v>
      </c>
      <c r="W10385" t="str">
        <f>VLOOKUP(Table_Query_from_Actuarial___Production[[#This Row],[Kor1]],$AI$3:$AK$105,3,FALSE)</f>
        <v>Misc. Income</v>
      </c>
      <c r="X103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5"/>
      <c r="Z10385" t="s">
        <v>44</v>
      </c>
      <c r="AA10385" t="s">
        <v>224</v>
      </c>
      <c r="AB10385" t="s">
        <v>441</v>
      </c>
      <c r="AC10385" s="21">
        <v>230</v>
      </c>
      <c r="AD10385" s="21" t="s">
        <v>425</v>
      </c>
      <c r="AE10385" t="str">
        <f>VLOOKUP(Table_Query_from_Actuarial___Production3[[#This Row],[Kor1]],$AI$3:$AK$105,3,FALSE)</f>
        <v>Charge-offs</v>
      </c>
      <c r="AF103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386" spans="18:32" x14ac:dyDescent="0.2">
      <c r="R10386" t="s">
        <v>19</v>
      </c>
      <c r="S10386" t="s">
        <v>239</v>
      </c>
      <c r="T10386" t="s">
        <v>8</v>
      </c>
      <c r="U10386" s="21">
        <v>7</v>
      </c>
      <c r="V10386" s="21" t="s">
        <v>368</v>
      </c>
      <c r="W10386" t="str">
        <f>VLOOKUP(Table_Query_from_Actuarial___Production[[#This Row],[Kor1]],$AI$3:$AK$105,3,FALSE)</f>
        <v>Misc. Expense for Insolvent Companies</v>
      </c>
      <c r="X103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6"/>
      <c r="Z10386" t="s">
        <v>44</v>
      </c>
      <c r="AA10386" t="s">
        <v>248</v>
      </c>
      <c r="AB10386" t="s">
        <v>356</v>
      </c>
      <c r="AC10386" s="21">
        <v>11</v>
      </c>
      <c r="AD10386" s="21" t="s">
        <v>368</v>
      </c>
      <c r="AE10386" t="str">
        <f>VLOOKUP(Table_Query_from_Actuarial___Production3[[#This Row],[Kor1]],$AI$3:$AK$105,3,FALSE)</f>
        <v>Charge-offs</v>
      </c>
      <c r="AF103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7" spans="18:32" x14ac:dyDescent="0.2">
      <c r="R10387" t="s">
        <v>37</v>
      </c>
      <c r="S10387" t="s">
        <v>235</v>
      </c>
      <c r="T10387" t="s">
        <v>7</v>
      </c>
      <c r="U10387" s="21">
        <v>1528.3</v>
      </c>
      <c r="V10387" s="21" t="s">
        <v>368</v>
      </c>
      <c r="W10387" t="str">
        <f>VLOOKUP(Table_Query_from_Actuarial___Production[[#This Row],[Kor1]],$AI$3:$AK$105,3,FALSE)</f>
        <v>Misc. Expense</v>
      </c>
      <c r="X103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7"/>
      <c r="Z10387" t="s">
        <v>18</v>
      </c>
      <c r="AA10387" t="s">
        <v>224</v>
      </c>
      <c r="AB10387" t="s">
        <v>427</v>
      </c>
      <c r="AC10387" s="21">
        <v>138088.06</v>
      </c>
      <c r="AD10387" s="21" t="s">
        <v>368</v>
      </c>
      <c r="AE10387" t="str">
        <f>VLOOKUP(Table_Query_from_Actuarial___Production3[[#This Row],[Kor1]],$AI$3:$AK$105,3,FALSE)</f>
        <v>Misc. Expense</v>
      </c>
      <c r="AF103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388" spans="18:32" x14ac:dyDescent="0.2">
      <c r="R10388" t="s">
        <v>13</v>
      </c>
      <c r="S10388" t="s">
        <v>259</v>
      </c>
      <c r="T10388" t="s">
        <v>433</v>
      </c>
      <c r="U10388" s="21">
        <v>19861.84</v>
      </c>
      <c r="V10388" s="21" t="s">
        <v>368</v>
      </c>
      <c r="W10388" t="str">
        <f>VLOOKUP(Table_Query_from_Actuarial___Production[[#This Row],[Kor1]],$AI$3:$AK$105,3,FALSE)</f>
        <v>Operating Service Fees</v>
      </c>
      <c r="X103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8"/>
      <c r="Z10388" t="s">
        <v>13</v>
      </c>
      <c r="AA10388" t="s">
        <v>268</v>
      </c>
      <c r="AB10388" t="s">
        <v>351</v>
      </c>
      <c r="AC10388" s="21">
        <v>3574.62</v>
      </c>
      <c r="AD10388" s="21" t="s">
        <v>368</v>
      </c>
      <c r="AE10388" t="str">
        <f>VLOOKUP(Table_Query_from_Actuarial___Production3[[#This Row],[Kor1]],$AI$3:$AK$105,3,FALSE)</f>
        <v>Operating Service Fees</v>
      </c>
      <c r="AF103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89" spans="18:32" x14ac:dyDescent="0.2">
      <c r="R10389" t="s">
        <v>39</v>
      </c>
      <c r="S10389" t="s">
        <v>228</v>
      </c>
      <c r="T10389" t="s">
        <v>427</v>
      </c>
      <c r="U10389" s="21">
        <v>67424.710000000006</v>
      </c>
      <c r="V10389" s="21" t="s">
        <v>368</v>
      </c>
      <c r="W10389" t="str">
        <f>VLOOKUP(Table_Query_from_Actuarial___Production[[#This Row],[Kor1]],$AI$3:$AK$105,3,FALSE)</f>
        <v>Misc. Income for Insolvent Companies</v>
      </c>
      <c r="X103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89"/>
      <c r="Z10389" t="s">
        <v>16</v>
      </c>
      <c r="AA10389" t="s">
        <v>266</v>
      </c>
      <c r="AB10389" t="s">
        <v>442</v>
      </c>
      <c r="AC10389" s="21">
        <v>924831.32</v>
      </c>
      <c r="AD10389" s="21" t="s">
        <v>368</v>
      </c>
      <c r="AE10389" t="str">
        <f>VLOOKUP(Table_Query_from_Actuarial___Production3[[#This Row],[Kor1]],$AI$3:$AK$105,3,FALSE)</f>
        <v>Losses Outstanding</v>
      </c>
      <c r="AF103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0" spans="18:32" x14ac:dyDescent="0.2">
      <c r="R10390" t="s">
        <v>44</v>
      </c>
      <c r="S10390" t="s">
        <v>225</v>
      </c>
      <c r="T10390" t="s">
        <v>441</v>
      </c>
      <c r="U10390" s="21">
        <v>135747.32999999999</v>
      </c>
      <c r="V10390" s="21" t="s">
        <v>368</v>
      </c>
      <c r="W10390" t="str">
        <f>VLOOKUP(Table_Query_from_Actuarial___Production[[#This Row],[Kor1]],$AI$3:$AK$105,3,FALSE)</f>
        <v>Charge-offs</v>
      </c>
      <c r="X103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390"/>
      <c r="Z10390" t="s">
        <v>439</v>
      </c>
      <c r="AA10390" t="s">
        <v>4</v>
      </c>
      <c r="AB10390" t="s">
        <v>433</v>
      </c>
      <c r="AC10390" s="21">
        <v>855680</v>
      </c>
      <c r="AD10390" s="21" t="s">
        <v>368</v>
      </c>
      <c r="AE10390" t="str">
        <f>VLOOKUP(Table_Query_from_Actuarial___Production3[[#This Row],[Kor1]],$AI$3:$AK$105,3,FALSE)</f>
        <v>Operating Service Fees</v>
      </c>
      <c r="AF103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1" spans="18:32" x14ac:dyDescent="0.2">
      <c r="R10391" t="s">
        <v>17</v>
      </c>
      <c r="S10391" t="s">
        <v>247</v>
      </c>
      <c r="T10391" t="s">
        <v>433</v>
      </c>
      <c r="U10391" s="21">
        <v>588.77</v>
      </c>
      <c r="V10391" s="21" t="s">
        <v>368</v>
      </c>
      <c r="W10391" t="str">
        <f>VLOOKUP(Table_Query_from_Actuarial___Production[[#This Row],[Kor1]],$AI$3:$AK$105,3,FALSE)</f>
        <v>IBNR</v>
      </c>
      <c r="X103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1"/>
      <c r="Z10391" t="s">
        <v>33</v>
      </c>
      <c r="AA10391" t="s">
        <v>233</v>
      </c>
      <c r="AB10391" t="s">
        <v>441</v>
      </c>
      <c r="AC10391" s="21">
        <v>14210.14</v>
      </c>
      <c r="AD10391" s="21" t="s">
        <v>368</v>
      </c>
      <c r="AE10391" t="str">
        <f>VLOOKUP(Table_Query_from_Actuarial___Production3[[#This Row],[Kor1]],$AI$3:$AK$105,3,FALSE)</f>
        <v>Misc. Expense</v>
      </c>
      <c r="AF103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2" spans="18:32" x14ac:dyDescent="0.2">
      <c r="R10392" t="s">
        <v>41</v>
      </c>
      <c r="S10392" t="s">
        <v>260</v>
      </c>
      <c r="T10392" t="s">
        <v>427</v>
      </c>
      <c r="U10392" s="21">
        <v>50</v>
      </c>
      <c r="V10392" s="21" t="s">
        <v>368</v>
      </c>
      <c r="W10392" t="str">
        <f>VLOOKUP(Table_Query_from_Actuarial___Production[[#This Row],[Kor1]],$AI$3:$AK$105,3,FALSE)</f>
        <v>Misc. Income</v>
      </c>
      <c r="X103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2"/>
      <c r="Z10392" t="s">
        <v>439</v>
      </c>
      <c r="AA10392" t="s">
        <v>247</v>
      </c>
      <c r="AB10392" t="s">
        <v>433</v>
      </c>
      <c r="AC10392" s="21">
        <v>90</v>
      </c>
      <c r="AD10392" s="21" t="s">
        <v>368</v>
      </c>
      <c r="AE10392" t="str">
        <f>VLOOKUP(Table_Query_from_Actuarial___Production3[[#This Row],[Kor1]],$AI$3:$AK$105,3,FALSE)</f>
        <v>Operating Service Fees</v>
      </c>
      <c r="AF103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3" spans="18:32" x14ac:dyDescent="0.2">
      <c r="R10393" t="s">
        <v>107</v>
      </c>
      <c r="S10393" t="s">
        <v>259</v>
      </c>
      <c r="T10393" t="s">
        <v>443</v>
      </c>
      <c r="U10393" s="21">
        <v>14.97</v>
      </c>
      <c r="V10393" s="21" t="s">
        <v>368</v>
      </c>
      <c r="W10393" t="str">
        <f>VLOOKUP(Table_Query_from_Actuarial___Production[[#This Row],[Kor1]],$AI$3:$AK$105,3,FALSE)</f>
        <v>Misc. Expense</v>
      </c>
      <c r="X103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3"/>
      <c r="Z10393" t="s">
        <v>3</v>
      </c>
      <c r="AA10393" t="s">
        <v>227</v>
      </c>
      <c r="AB10393" t="s">
        <v>5</v>
      </c>
      <c r="AC10393" s="21">
        <v>276649</v>
      </c>
      <c r="AD10393" s="21" t="s">
        <v>368</v>
      </c>
      <c r="AE10393" t="str">
        <f>VLOOKUP(Table_Query_from_Actuarial___Production3[[#This Row],[Kor1]],$AI$3:$AK$105,3,FALSE)</f>
        <v>Premiums Written</v>
      </c>
      <c r="AF103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4" spans="18:32" x14ac:dyDescent="0.2">
      <c r="R10394" t="s">
        <v>33</v>
      </c>
      <c r="S10394" t="s">
        <v>266</v>
      </c>
      <c r="T10394" t="s">
        <v>433</v>
      </c>
      <c r="U10394" s="21">
        <v>13994.99</v>
      </c>
      <c r="V10394" s="21" t="s">
        <v>368</v>
      </c>
      <c r="W10394" t="str">
        <f>VLOOKUP(Table_Query_from_Actuarial___Production[[#This Row],[Kor1]],$AI$3:$AK$105,3,FALSE)</f>
        <v>Misc. Expense</v>
      </c>
      <c r="X103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4"/>
      <c r="Z10394" t="s">
        <v>19</v>
      </c>
      <c r="AA10394" t="s">
        <v>235</v>
      </c>
      <c r="AB10394" t="s">
        <v>9</v>
      </c>
      <c r="AC10394" s="21">
        <v>642.99</v>
      </c>
      <c r="AD10394" s="21" t="s">
        <v>368</v>
      </c>
      <c r="AE10394" t="str">
        <f>VLOOKUP(Table_Query_from_Actuarial___Production3[[#This Row],[Kor1]],$AI$3:$AK$105,3,FALSE)</f>
        <v>Misc. Expense for Insolvent Companies</v>
      </c>
      <c r="AF103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5" spans="18:32" x14ac:dyDescent="0.2">
      <c r="R10395" t="s">
        <v>44</v>
      </c>
      <c r="S10395" t="s">
        <v>232</v>
      </c>
      <c r="T10395" t="s">
        <v>7</v>
      </c>
      <c r="U10395" s="21">
        <v>2562.25</v>
      </c>
      <c r="V10395" s="21" t="s">
        <v>368</v>
      </c>
      <c r="W10395" t="str">
        <f>VLOOKUP(Table_Query_from_Actuarial___Production[[#This Row],[Kor1]],$AI$3:$AK$105,3,FALSE)</f>
        <v>Charge-offs</v>
      </c>
      <c r="X103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5"/>
      <c r="Z10395" t="s">
        <v>3</v>
      </c>
      <c r="AA10395" t="s">
        <v>226</v>
      </c>
      <c r="AB10395" t="s">
        <v>443</v>
      </c>
      <c r="AC10395" s="21">
        <v>6976244</v>
      </c>
      <c r="AD10395" s="21" t="s">
        <v>368</v>
      </c>
      <c r="AE10395" t="str">
        <f>VLOOKUP(Table_Query_from_Actuarial___Production3[[#This Row],[Kor1]],$AI$3:$AK$105,3,FALSE)</f>
        <v>Premiums Written</v>
      </c>
      <c r="AF103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396" spans="18:32" x14ac:dyDescent="0.2">
      <c r="R10396" t="s">
        <v>18</v>
      </c>
      <c r="S10396" t="s">
        <v>225</v>
      </c>
      <c r="T10396" t="s">
        <v>9</v>
      </c>
      <c r="U10396" s="21">
        <v>1033984.53</v>
      </c>
      <c r="V10396" s="21" t="s">
        <v>369</v>
      </c>
      <c r="W10396" t="str">
        <f>VLOOKUP(Table_Query_from_Actuarial___Production[[#This Row],[Kor1]],$AI$3:$AK$105,3,FALSE)</f>
        <v>Misc. Expense</v>
      </c>
      <c r="X103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396"/>
      <c r="Z10396" t="s">
        <v>11</v>
      </c>
      <c r="AA10396" t="s">
        <v>246</v>
      </c>
      <c r="AB10396" t="s">
        <v>356</v>
      </c>
      <c r="AC10396" s="21">
        <v>5549240.5199999996</v>
      </c>
      <c r="AD10396" s="21" t="s">
        <v>368</v>
      </c>
      <c r="AE10396" t="str">
        <f>VLOOKUP(Table_Query_from_Actuarial___Production3[[#This Row],[Kor1]],$AI$3:$AK$105,3,FALSE)</f>
        <v>Losses Paid</v>
      </c>
      <c r="AF103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7" spans="18:32" x14ac:dyDescent="0.2">
      <c r="R10397" t="s">
        <v>13</v>
      </c>
      <c r="S10397" t="s">
        <v>261</v>
      </c>
      <c r="T10397" t="s">
        <v>443</v>
      </c>
      <c r="U10397" s="21">
        <v>33500.36</v>
      </c>
      <c r="V10397" s="21" t="s">
        <v>368</v>
      </c>
      <c r="W10397" t="str">
        <f>VLOOKUP(Table_Query_from_Actuarial___Production[[#This Row],[Kor1]],$AI$3:$AK$105,3,FALSE)</f>
        <v>Operating Service Fees</v>
      </c>
      <c r="X103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7"/>
      <c r="Z10397" t="s">
        <v>31</v>
      </c>
      <c r="AA10397" t="s">
        <v>231</v>
      </c>
      <c r="AB10397" t="s">
        <v>7</v>
      </c>
      <c r="AC10397" s="21">
        <v>1065.71</v>
      </c>
      <c r="AD10397" s="21" t="s">
        <v>368</v>
      </c>
      <c r="AE10397" t="str">
        <f>VLOOKUP(Table_Query_from_Actuarial___Production3[[#This Row],[Kor1]],$AI$3:$AK$105,3,FALSE)</f>
        <v>Misc. Expense</v>
      </c>
      <c r="AF103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8" spans="18:32" x14ac:dyDescent="0.2">
      <c r="R10398" t="s">
        <v>10</v>
      </c>
      <c r="S10398" t="s">
        <v>266</v>
      </c>
      <c r="T10398" t="s">
        <v>442</v>
      </c>
      <c r="U10398" s="21">
        <v>119655.02</v>
      </c>
      <c r="V10398" s="21" t="s">
        <v>368</v>
      </c>
      <c r="W10398" t="str">
        <f>VLOOKUP(Table_Query_from_Actuarial___Production[[#This Row],[Kor1]],$AI$3:$AK$105,3,FALSE)</f>
        <v>Commissions</v>
      </c>
      <c r="X103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398"/>
      <c r="Z10398" t="s">
        <v>34</v>
      </c>
      <c r="AA10398" t="s">
        <v>252</v>
      </c>
      <c r="AB10398" t="s">
        <v>351</v>
      </c>
      <c r="AC10398" s="21">
        <v>3898.3</v>
      </c>
      <c r="AD10398" s="21" t="s">
        <v>368</v>
      </c>
      <c r="AE10398" t="str">
        <f>VLOOKUP(Table_Query_from_Actuarial___Production3[[#This Row],[Kor1]],$AI$3:$AK$105,3,FALSE)</f>
        <v>Misc. Expense</v>
      </c>
      <c r="AF103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399" spans="18:32" x14ac:dyDescent="0.2">
      <c r="R10399" t="s">
        <v>77</v>
      </c>
      <c r="S10399" t="s">
        <v>224</v>
      </c>
      <c r="T10399" t="s">
        <v>443</v>
      </c>
      <c r="U10399" s="21">
        <v>42340</v>
      </c>
      <c r="V10399" s="21" t="s">
        <v>370</v>
      </c>
      <c r="W10399" t="str">
        <f>VLOOKUP(Table_Query_from_Actuarial___Production[[#This Row],[Kor1]],$AI$3:$AK$105,3,FALSE)</f>
        <v>PDR</v>
      </c>
      <c r="X103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399"/>
      <c r="Z10399" t="s">
        <v>16</v>
      </c>
      <c r="AA10399" t="s">
        <v>226</v>
      </c>
      <c r="AB10399" t="s">
        <v>351</v>
      </c>
      <c r="AC10399" s="21">
        <v>351432.7</v>
      </c>
      <c r="AD10399" s="21" t="s">
        <v>368</v>
      </c>
      <c r="AE10399" t="str">
        <f>VLOOKUP(Table_Query_from_Actuarial___Production3[[#This Row],[Kor1]],$AI$3:$AK$105,3,FALSE)</f>
        <v>Losses Outstanding</v>
      </c>
      <c r="AF103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400" spans="18:32" x14ac:dyDescent="0.2">
      <c r="R10400" t="s">
        <v>10</v>
      </c>
      <c r="S10400" t="s">
        <v>245</v>
      </c>
      <c r="T10400" t="s">
        <v>9</v>
      </c>
      <c r="U10400" s="21">
        <v>1091.55</v>
      </c>
      <c r="V10400" s="21" t="s">
        <v>368</v>
      </c>
      <c r="W10400" t="str">
        <f>VLOOKUP(Table_Query_from_Actuarial___Production[[#This Row],[Kor1]],$AI$3:$AK$105,3,FALSE)</f>
        <v>Commissions</v>
      </c>
      <c r="X104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0"/>
      <c r="Z10400" t="s">
        <v>31</v>
      </c>
      <c r="AA10400" t="s">
        <v>242</v>
      </c>
      <c r="AB10400" t="s">
        <v>433</v>
      </c>
      <c r="AC10400" s="21">
        <v>919.96</v>
      </c>
      <c r="AD10400" s="21" t="s">
        <v>368</v>
      </c>
      <c r="AE10400" t="str">
        <f>VLOOKUP(Table_Query_from_Actuarial___Production3[[#This Row],[Kor1]],$AI$3:$AK$105,3,FALSE)</f>
        <v>Misc. Expense</v>
      </c>
      <c r="AF104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1" spans="18:32" x14ac:dyDescent="0.2">
      <c r="R10401" t="s">
        <v>39</v>
      </c>
      <c r="S10401" t="s">
        <v>267</v>
      </c>
      <c r="T10401" t="s">
        <v>8</v>
      </c>
      <c r="U10401" s="21">
        <v>2576</v>
      </c>
      <c r="V10401" s="21" t="s">
        <v>368</v>
      </c>
      <c r="W10401" t="str">
        <f>VLOOKUP(Table_Query_from_Actuarial___Production[[#This Row],[Kor1]],$AI$3:$AK$105,3,FALSE)</f>
        <v>Misc. Income for Insolvent Companies</v>
      </c>
      <c r="X104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1"/>
      <c r="Z10401" t="s">
        <v>17</v>
      </c>
      <c r="AA10401" t="s">
        <v>236</v>
      </c>
      <c r="AB10401" t="s">
        <v>442</v>
      </c>
      <c r="AC10401" s="21">
        <v>63571.09</v>
      </c>
      <c r="AD10401" s="21" t="s">
        <v>368</v>
      </c>
      <c r="AE10401" t="str">
        <f>VLOOKUP(Table_Query_from_Actuarial___Production3[[#This Row],[Kor1]],$AI$3:$AK$105,3,FALSE)</f>
        <v>IBNR</v>
      </c>
      <c r="AF104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2" spans="18:32" x14ac:dyDescent="0.2">
      <c r="R10402" t="s">
        <v>3</v>
      </c>
      <c r="S10402" t="s">
        <v>224</v>
      </c>
      <c r="T10402" t="s">
        <v>441</v>
      </c>
      <c r="U10402" s="21">
        <v>108718.79</v>
      </c>
      <c r="V10402" s="21" t="s">
        <v>369</v>
      </c>
      <c r="W10402" t="str">
        <f>VLOOKUP(Table_Query_from_Actuarial___Production[[#This Row],[Kor1]],$AI$3:$AK$105,3,FALSE)</f>
        <v>Premiums Written</v>
      </c>
      <c r="X104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402"/>
      <c r="Z10402" t="s">
        <v>41</v>
      </c>
      <c r="AA10402" t="s">
        <v>249</v>
      </c>
      <c r="AB10402" t="s">
        <v>441</v>
      </c>
      <c r="AC10402" s="21">
        <v>449.98</v>
      </c>
      <c r="AD10402" s="21" t="s">
        <v>368</v>
      </c>
      <c r="AE10402" t="str">
        <f>VLOOKUP(Table_Query_from_Actuarial___Production3[[#This Row],[Kor1]],$AI$3:$AK$105,3,FALSE)</f>
        <v>Misc. Income</v>
      </c>
      <c r="AF104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3" spans="18:32" x14ac:dyDescent="0.2">
      <c r="R10403" t="s">
        <v>12</v>
      </c>
      <c r="S10403" t="s">
        <v>228</v>
      </c>
      <c r="T10403" t="s">
        <v>433</v>
      </c>
      <c r="U10403" s="21">
        <v>629.26</v>
      </c>
      <c r="V10403" s="21" t="s">
        <v>368</v>
      </c>
      <c r="W10403" t="str">
        <f>VLOOKUP(Table_Query_from_Actuarial___Production[[#This Row],[Kor1]],$AI$3:$AK$105,3,FALSE)</f>
        <v>Premium Tax</v>
      </c>
      <c r="X104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3"/>
      <c r="Z10403" t="s">
        <v>19</v>
      </c>
      <c r="AA10403" t="s">
        <v>239</v>
      </c>
      <c r="AB10403" t="s">
        <v>8</v>
      </c>
      <c r="AC10403" s="21">
        <v>7</v>
      </c>
      <c r="AD10403" s="21" t="s">
        <v>368</v>
      </c>
      <c r="AE10403" t="str">
        <f>VLOOKUP(Table_Query_from_Actuarial___Production3[[#This Row],[Kor1]],$AI$3:$AK$105,3,FALSE)</f>
        <v>Misc. Expense for Insolvent Companies</v>
      </c>
      <c r="AF104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4" spans="18:32" x14ac:dyDescent="0.2">
      <c r="R10404" t="s">
        <v>34</v>
      </c>
      <c r="S10404" t="s">
        <v>246</v>
      </c>
      <c r="T10404" t="s">
        <v>427</v>
      </c>
      <c r="U10404" s="21">
        <v>162.4</v>
      </c>
      <c r="V10404" s="21" t="s">
        <v>368</v>
      </c>
      <c r="W10404" t="str">
        <f>VLOOKUP(Table_Query_from_Actuarial___Production[[#This Row],[Kor1]],$AI$3:$AK$105,3,FALSE)</f>
        <v>Misc. Expense</v>
      </c>
      <c r="X104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4"/>
      <c r="Z10404" t="s">
        <v>37</v>
      </c>
      <c r="AA10404" t="s">
        <v>235</v>
      </c>
      <c r="AB10404" t="s">
        <v>7</v>
      </c>
      <c r="AC10404" s="21">
        <v>1528.3</v>
      </c>
      <c r="AD10404" s="21" t="s">
        <v>368</v>
      </c>
      <c r="AE10404" t="str">
        <f>VLOOKUP(Table_Query_from_Actuarial___Production3[[#This Row],[Kor1]],$AI$3:$AK$105,3,FALSE)</f>
        <v>Misc. Expense</v>
      </c>
      <c r="AF104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5" spans="18:32" x14ac:dyDescent="0.2">
      <c r="R10405" t="s">
        <v>19</v>
      </c>
      <c r="S10405" t="s">
        <v>254</v>
      </c>
      <c r="T10405" t="s">
        <v>356</v>
      </c>
      <c r="U10405" s="21">
        <v>416</v>
      </c>
      <c r="V10405" s="21" t="s">
        <v>368</v>
      </c>
      <c r="W10405" t="str">
        <f>VLOOKUP(Table_Query_from_Actuarial___Production[[#This Row],[Kor1]],$AI$3:$AK$105,3,FALSE)</f>
        <v>Misc. Expense for Insolvent Companies</v>
      </c>
      <c r="X104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5"/>
      <c r="Z10405" t="s">
        <v>13</v>
      </c>
      <c r="AA10405" t="s">
        <v>259</v>
      </c>
      <c r="AB10405" t="s">
        <v>433</v>
      </c>
      <c r="AC10405" s="21">
        <v>19861.84</v>
      </c>
      <c r="AD10405" s="21" t="s">
        <v>368</v>
      </c>
      <c r="AE10405" t="str">
        <f>VLOOKUP(Table_Query_from_Actuarial___Production3[[#This Row],[Kor1]],$AI$3:$AK$105,3,FALSE)</f>
        <v>Operating Service Fees</v>
      </c>
      <c r="AF104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6" spans="18:32" x14ac:dyDescent="0.2">
      <c r="R10406" t="s">
        <v>130</v>
      </c>
      <c r="S10406" t="s">
        <v>224</v>
      </c>
      <c r="T10406" t="s">
        <v>7</v>
      </c>
      <c r="U10406" s="21">
        <v>2951587.91</v>
      </c>
      <c r="V10406" s="21" t="s">
        <v>370</v>
      </c>
      <c r="W10406" t="str">
        <f>VLOOKUP(Table_Query_from_Actuarial___Production[[#This Row],[Kor1]],$AI$3:$AK$105,3,FALSE)</f>
        <v>CPAI Charge-offs</v>
      </c>
      <c r="X104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406"/>
      <c r="Z10406" t="s">
        <v>39</v>
      </c>
      <c r="AA10406" t="s">
        <v>228</v>
      </c>
      <c r="AB10406" t="s">
        <v>427</v>
      </c>
      <c r="AC10406" s="21">
        <v>67424.710000000006</v>
      </c>
      <c r="AD10406" s="21" t="s">
        <v>368</v>
      </c>
      <c r="AE10406" t="str">
        <f>VLOOKUP(Table_Query_from_Actuarial___Production3[[#This Row],[Kor1]],$AI$3:$AK$105,3,FALSE)</f>
        <v>Misc. Income for Insolvent Companies</v>
      </c>
      <c r="AF104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7" spans="18:32" x14ac:dyDescent="0.2">
      <c r="R10407" t="s">
        <v>15</v>
      </c>
      <c r="S10407" t="s">
        <v>236</v>
      </c>
      <c r="T10407" t="s">
        <v>443</v>
      </c>
      <c r="U10407" s="21">
        <v>6005.96</v>
      </c>
      <c r="V10407" s="21" t="s">
        <v>368</v>
      </c>
      <c r="W10407" t="str">
        <f>VLOOKUP(Table_Query_from_Actuarial___Production[[#This Row],[Kor1]],$AI$3:$AK$105,3,FALSE)</f>
        <v>Unearned Premiums</v>
      </c>
      <c r="X104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7"/>
      <c r="Z10407" t="s">
        <v>44</v>
      </c>
      <c r="AA10407" t="s">
        <v>225</v>
      </c>
      <c r="AB10407" t="s">
        <v>441</v>
      </c>
      <c r="AC10407" s="21">
        <v>135747.32999999999</v>
      </c>
      <c r="AD10407" s="21" t="s">
        <v>368</v>
      </c>
      <c r="AE10407" t="str">
        <f>VLOOKUP(Table_Query_from_Actuarial___Production3[[#This Row],[Kor1]],$AI$3:$AK$105,3,FALSE)</f>
        <v>Charge-offs</v>
      </c>
      <c r="AF104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408" spans="18:32" x14ac:dyDescent="0.2">
      <c r="R10408" t="s">
        <v>17</v>
      </c>
      <c r="S10408" t="s">
        <v>233</v>
      </c>
      <c r="T10408" t="s">
        <v>441</v>
      </c>
      <c r="U10408" s="21">
        <v>73482.41</v>
      </c>
      <c r="V10408" s="21" t="s">
        <v>368</v>
      </c>
      <c r="W10408" t="str">
        <f>VLOOKUP(Table_Query_from_Actuarial___Production[[#This Row],[Kor1]],$AI$3:$AK$105,3,FALSE)</f>
        <v>IBNR</v>
      </c>
      <c r="X104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08"/>
      <c r="Z10408" t="s">
        <v>17</v>
      </c>
      <c r="AA10408" t="s">
        <v>247</v>
      </c>
      <c r="AB10408" t="s">
        <v>433</v>
      </c>
      <c r="AC10408" s="21">
        <v>375.73</v>
      </c>
      <c r="AD10408" s="21" t="s">
        <v>368</v>
      </c>
      <c r="AE10408" t="str">
        <f>VLOOKUP(Table_Query_from_Actuarial___Production3[[#This Row],[Kor1]],$AI$3:$AK$105,3,FALSE)</f>
        <v>IBNR</v>
      </c>
      <c r="AF104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09" spans="18:32" x14ac:dyDescent="0.2">
      <c r="R10409" t="s">
        <v>38</v>
      </c>
      <c r="S10409" t="s">
        <v>352</v>
      </c>
      <c r="T10409" t="s">
        <v>8</v>
      </c>
      <c r="U10409" s="21">
        <v>792.25</v>
      </c>
      <c r="V10409" s="21" t="s">
        <v>368</v>
      </c>
      <c r="W10409" t="str">
        <f>VLOOKUP(Table_Query_from_Actuarial___Production[[#This Row],[Kor1]],$AI$3:$AK$105,3,FALSE)</f>
        <v>Misc. Income</v>
      </c>
      <c r="X104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Commercial</v>
      </c>
      <c r="Y10409"/>
      <c r="Z10409" t="s">
        <v>41</v>
      </c>
      <c r="AA10409" t="s">
        <v>260</v>
      </c>
      <c r="AB10409" t="s">
        <v>427</v>
      </c>
      <c r="AC10409" s="21">
        <v>50</v>
      </c>
      <c r="AD10409" s="21" t="s">
        <v>368</v>
      </c>
      <c r="AE10409" t="str">
        <f>VLOOKUP(Table_Query_from_Actuarial___Production3[[#This Row],[Kor1]],$AI$3:$AK$105,3,FALSE)</f>
        <v>Misc. Income</v>
      </c>
      <c r="AF104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0" spans="18:32" x14ac:dyDescent="0.2">
      <c r="R10410" t="s">
        <v>12</v>
      </c>
      <c r="S10410" t="s">
        <v>257</v>
      </c>
      <c r="T10410" t="s">
        <v>9</v>
      </c>
      <c r="U10410" s="21">
        <v>41673.760000000002</v>
      </c>
      <c r="V10410" s="21" t="s">
        <v>368</v>
      </c>
      <c r="W10410" t="str">
        <f>VLOOKUP(Table_Query_from_Actuarial___Production[[#This Row],[Kor1]],$AI$3:$AK$105,3,FALSE)</f>
        <v>Premium Tax</v>
      </c>
      <c r="X104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0"/>
      <c r="Z10410" t="s">
        <v>107</v>
      </c>
      <c r="AA10410" t="s">
        <v>259</v>
      </c>
      <c r="AB10410" t="s">
        <v>443</v>
      </c>
      <c r="AC10410" s="21">
        <v>2.59</v>
      </c>
      <c r="AD10410" s="21" t="s">
        <v>368</v>
      </c>
      <c r="AE10410" t="str">
        <f>VLOOKUP(Table_Query_from_Actuarial___Production3[[#This Row],[Kor1]],$AI$3:$AK$105,3,FALSE)</f>
        <v>Misc. Expense</v>
      </c>
      <c r="AF104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1" spans="18:32" x14ac:dyDescent="0.2">
      <c r="R10411" t="s">
        <v>3</v>
      </c>
      <c r="S10411" t="s">
        <v>233</v>
      </c>
      <c r="T10411" t="s">
        <v>433</v>
      </c>
      <c r="U10411" s="21">
        <v>956454</v>
      </c>
      <c r="V10411" s="21" t="s">
        <v>368</v>
      </c>
      <c r="W10411" t="str">
        <f>VLOOKUP(Table_Query_from_Actuarial___Production[[#This Row],[Kor1]],$AI$3:$AK$105,3,FALSE)</f>
        <v>Premiums Written</v>
      </c>
      <c r="X104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1"/>
      <c r="Z10411" t="s">
        <v>33</v>
      </c>
      <c r="AA10411" t="s">
        <v>266</v>
      </c>
      <c r="AB10411" t="s">
        <v>433</v>
      </c>
      <c r="AC10411" s="21">
        <v>13994.99</v>
      </c>
      <c r="AD10411" s="21" t="s">
        <v>368</v>
      </c>
      <c r="AE10411" t="str">
        <f>VLOOKUP(Table_Query_from_Actuarial___Production3[[#This Row],[Kor1]],$AI$3:$AK$105,3,FALSE)</f>
        <v>Misc. Expense</v>
      </c>
      <c r="AF104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2" spans="18:32" x14ac:dyDescent="0.2">
      <c r="R10412" t="s">
        <v>47</v>
      </c>
      <c r="S10412" t="s">
        <v>249</v>
      </c>
      <c r="T10412" t="s">
        <v>7</v>
      </c>
      <c r="U10412" s="21">
        <v>0.03</v>
      </c>
      <c r="V10412" s="21" t="s">
        <v>368</v>
      </c>
      <c r="W10412" t="str">
        <f>VLOOKUP(Table_Query_from_Actuarial___Production[[#This Row],[Kor1]],$AI$3:$AK$105,3,FALSE)</f>
        <v>Investment Income</v>
      </c>
      <c r="X104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2"/>
      <c r="Z10412" t="s">
        <v>44</v>
      </c>
      <c r="AA10412" t="s">
        <v>232</v>
      </c>
      <c r="AB10412" t="s">
        <v>7</v>
      </c>
      <c r="AC10412" s="21">
        <v>2562.25</v>
      </c>
      <c r="AD10412" s="21" t="s">
        <v>368</v>
      </c>
      <c r="AE10412" t="str">
        <f>VLOOKUP(Table_Query_from_Actuarial___Production3[[#This Row],[Kor1]],$AI$3:$AK$105,3,FALSE)</f>
        <v>Charge-offs</v>
      </c>
      <c r="AF104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3" spans="18:32" x14ac:dyDescent="0.2">
      <c r="R10413" t="s">
        <v>14</v>
      </c>
      <c r="S10413" t="s">
        <v>255</v>
      </c>
      <c r="T10413" t="s">
        <v>7</v>
      </c>
      <c r="U10413" s="21">
        <v>8014.89</v>
      </c>
      <c r="V10413" s="21" t="s">
        <v>368</v>
      </c>
      <c r="W10413" t="str">
        <f>VLOOKUP(Table_Query_from_Actuarial___Production[[#This Row],[Kor1]],$AI$3:$AK$105,3,FALSE)</f>
        <v>Claims Expense</v>
      </c>
      <c r="X104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3"/>
      <c r="Z10413" t="s">
        <v>18</v>
      </c>
      <c r="AA10413" t="s">
        <v>225</v>
      </c>
      <c r="AB10413" t="s">
        <v>9</v>
      </c>
      <c r="AC10413" s="21">
        <v>1033984.53</v>
      </c>
      <c r="AD10413" s="21" t="s">
        <v>369</v>
      </c>
      <c r="AE10413" t="str">
        <f>VLOOKUP(Table_Query_from_Actuarial___Production3[[#This Row],[Kor1]],$AI$3:$AK$105,3,FALSE)</f>
        <v>Misc. Expense</v>
      </c>
      <c r="AF104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414" spans="18:32" x14ac:dyDescent="0.2">
      <c r="R10414" t="s">
        <v>47</v>
      </c>
      <c r="S10414" t="s">
        <v>263</v>
      </c>
      <c r="T10414" t="s">
        <v>8</v>
      </c>
      <c r="U10414" s="21">
        <v>7.0000000000000007E-2</v>
      </c>
      <c r="V10414" s="21" t="s">
        <v>368</v>
      </c>
      <c r="W10414" t="str">
        <f>VLOOKUP(Table_Query_from_Actuarial___Production[[#This Row],[Kor1]],$AI$3:$AK$105,3,FALSE)</f>
        <v>Investment Income</v>
      </c>
      <c r="X104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4"/>
      <c r="Z10414" t="s">
        <v>13</v>
      </c>
      <c r="AA10414" t="s">
        <v>261</v>
      </c>
      <c r="AB10414" t="s">
        <v>443</v>
      </c>
      <c r="AC10414" s="21">
        <v>3483.5</v>
      </c>
      <c r="AD10414" s="21" t="s">
        <v>368</v>
      </c>
      <c r="AE10414" t="str">
        <f>VLOOKUP(Table_Query_from_Actuarial___Production3[[#This Row],[Kor1]],$AI$3:$AK$105,3,FALSE)</f>
        <v>Operating Service Fees</v>
      </c>
      <c r="AF104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5" spans="18:32" x14ac:dyDescent="0.2">
      <c r="R10415" t="s">
        <v>14</v>
      </c>
      <c r="S10415" t="s">
        <v>265</v>
      </c>
      <c r="T10415" t="s">
        <v>8</v>
      </c>
      <c r="U10415" s="21">
        <v>53179.95</v>
      </c>
      <c r="V10415" s="21" t="s">
        <v>368</v>
      </c>
      <c r="W10415" t="str">
        <f>VLOOKUP(Table_Query_from_Actuarial___Production[[#This Row],[Kor1]],$AI$3:$AK$105,3,FALSE)</f>
        <v>Claims Expense</v>
      </c>
      <c r="X104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5"/>
      <c r="Z10415" t="s">
        <v>10</v>
      </c>
      <c r="AA10415" t="s">
        <v>266</v>
      </c>
      <c r="AB10415" t="s">
        <v>442</v>
      </c>
      <c r="AC10415" s="21">
        <v>119653.45</v>
      </c>
      <c r="AD10415" s="21" t="s">
        <v>368</v>
      </c>
      <c r="AE10415" t="str">
        <f>VLOOKUP(Table_Query_from_Actuarial___Production3[[#This Row],[Kor1]],$AI$3:$AK$105,3,FALSE)</f>
        <v>Commissions</v>
      </c>
      <c r="AF104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6" spans="18:32" x14ac:dyDescent="0.2">
      <c r="R10416" t="s">
        <v>32</v>
      </c>
      <c r="S10416" t="s">
        <v>230</v>
      </c>
      <c r="T10416" t="s">
        <v>8</v>
      </c>
      <c r="U10416" s="21">
        <v>118838.42</v>
      </c>
      <c r="V10416" s="21" t="s">
        <v>368</v>
      </c>
      <c r="W10416" t="str">
        <f>VLOOKUP(Table_Query_from_Actuarial___Production[[#This Row],[Kor1]],$AI$3:$AK$105,3,FALSE)</f>
        <v>Misc. Expense</v>
      </c>
      <c r="X104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6"/>
      <c r="Z10416" t="s">
        <v>77</v>
      </c>
      <c r="AA10416" t="s">
        <v>224</v>
      </c>
      <c r="AB10416" t="s">
        <v>443</v>
      </c>
      <c r="AC10416" s="21">
        <v>129227</v>
      </c>
      <c r="AD10416" s="21" t="s">
        <v>370</v>
      </c>
      <c r="AE10416" t="str">
        <f>VLOOKUP(Table_Query_from_Actuarial___Production3[[#This Row],[Kor1]],$AI$3:$AK$105,3,FALSE)</f>
        <v>PDR</v>
      </c>
      <c r="AF104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417" spans="18:32" x14ac:dyDescent="0.2">
      <c r="R10417" t="s">
        <v>3</v>
      </c>
      <c r="S10417" t="s">
        <v>258</v>
      </c>
      <c r="T10417" t="s">
        <v>433</v>
      </c>
      <c r="U10417" s="21">
        <v>3090105</v>
      </c>
      <c r="V10417" s="21" t="s">
        <v>368</v>
      </c>
      <c r="W10417" t="str">
        <f>VLOOKUP(Table_Query_from_Actuarial___Production[[#This Row],[Kor1]],$AI$3:$AK$105,3,FALSE)</f>
        <v>Premiums Written</v>
      </c>
      <c r="X104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7"/>
      <c r="Z10417" t="s">
        <v>10</v>
      </c>
      <c r="AA10417" t="s">
        <v>245</v>
      </c>
      <c r="AB10417" t="s">
        <v>9</v>
      </c>
      <c r="AC10417" s="21">
        <v>1091.55</v>
      </c>
      <c r="AD10417" s="21" t="s">
        <v>368</v>
      </c>
      <c r="AE10417" t="str">
        <f>VLOOKUP(Table_Query_from_Actuarial___Production3[[#This Row],[Kor1]],$AI$3:$AK$105,3,FALSE)</f>
        <v>Commissions</v>
      </c>
      <c r="AF104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8" spans="18:32" x14ac:dyDescent="0.2">
      <c r="R10418" t="s">
        <v>15</v>
      </c>
      <c r="S10418" t="s">
        <v>251</v>
      </c>
      <c r="T10418" t="s">
        <v>445</v>
      </c>
      <c r="U10418" s="21">
        <v>408205.47</v>
      </c>
      <c r="V10418" s="21" t="s">
        <v>368</v>
      </c>
      <c r="W10418" t="str">
        <f>VLOOKUP(Table_Query_from_Actuarial___Production[[#This Row],[Kor1]],$AI$3:$AK$105,3,FALSE)</f>
        <v>Unearned Premiums</v>
      </c>
      <c r="X104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8"/>
      <c r="Z10418" t="s">
        <v>39</v>
      </c>
      <c r="AA10418" t="s">
        <v>267</v>
      </c>
      <c r="AB10418" t="s">
        <v>8</v>
      </c>
      <c r="AC10418" s="21">
        <v>1966</v>
      </c>
      <c r="AD10418" s="21" t="s">
        <v>368</v>
      </c>
      <c r="AE10418" t="str">
        <f>VLOOKUP(Table_Query_from_Actuarial___Production3[[#This Row],[Kor1]],$AI$3:$AK$105,3,FALSE)</f>
        <v>Misc. Income for Insolvent Companies</v>
      </c>
      <c r="AF104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19" spans="18:32" x14ac:dyDescent="0.2">
      <c r="R10419" t="s">
        <v>47</v>
      </c>
      <c r="S10419" t="s">
        <v>239</v>
      </c>
      <c r="T10419" t="s">
        <v>356</v>
      </c>
      <c r="U10419" s="21">
        <v>1963.15</v>
      </c>
      <c r="V10419" s="21" t="s">
        <v>368</v>
      </c>
      <c r="W10419" t="str">
        <f>VLOOKUP(Table_Query_from_Actuarial___Production[[#This Row],[Kor1]],$AI$3:$AK$105,3,FALSE)</f>
        <v>Investment Income</v>
      </c>
      <c r="X104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19"/>
      <c r="Z10419" t="s">
        <v>3</v>
      </c>
      <c r="AA10419" t="s">
        <v>224</v>
      </c>
      <c r="AB10419" t="s">
        <v>441</v>
      </c>
      <c r="AC10419" s="21">
        <v>108718.79</v>
      </c>
      <c r="AD10419" s="21" t="s">
        <v>369</v>
      </c>
      <c r="AE10419" t="str">
        <f>VLOOKUP(Table_Query_from_Actuarial___Production3[[#This Row],[Kor1]],$AI$3:$AK$105,3,FALSE)</f>
        <v>Premiums Written</v>
      </c>
      <c r="AF104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420" spans="18:32" x14ac:dyDescent="0.2">
      <c r="R10420" t="s">
        <v>439</v>
      </c>
      <c r="S10420" t="s">
        <v>265</v>
      </c>
      <c r="T10420" t="s">
        <v>433</v>
      </c>
      <c r="U10420" s="21">
        <v>5981</v>
      </c>
      <c r="V10420" s="21" t="s">
        <v>368</v>
      </c>
      <c r="W10420" t="str">
        <f>VLOOKUP(Table_Query_from_Actuarial___Production[[#This Row],[Kor1]],$AI$3:$AK$105,3,FALSE)</f>
        <v>Operating Service Fees</v>
      </c>
      <c r="X104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0"/>
      <c r="Z10420" t="s">
        <v>12</v>
      </c>
      <c r="AA10420" t="s">
        <v>228</v>
      </c>
      <c r="AB10420" t="s">
        <v>433</v>
      </c>
      <c r="AC10420" s="21">
        <v>629.26</v>
      </c>
      <c r="AD10420" s="21" t="s">
        <v>368</v>
      </c>
      <c r="AE10420" t="str">
        <f>VLOOKUP(Table_Query_from_Actuarial___Production3[[#This Row],[Kor1]],$AI$3:$AK$105,3,FALSE)</f>
        <v>Premium Tax</v>
      </c>
      <c r="AF104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1" spans="18:32" x14ac:dyDescent="0.2">
      <c r="R10421" t="s">
        <v>41</v>
      </c>
      <c r="S10421" t="s">
        <v>263</v>
      </c>
      <c r="T10421" t="s">
        <v>427</v>
      </c>
      <c r="U10421" s="21">
        <v>50</v>
      </c>
      <c r="V10421" s="21" t="s">
        <v>368</v>
      </c>
      <c r="W10421" t="str">
        <f>VLOOKUP(Table_Query_from_Actuarial___Production[[#This Row],[Kor1]],$AI$3:$AK$105,3,FALSE)</f>
        <v>Misc. Income</v>
      </c>
      <c r="X104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1"/>
      <c r="Z10421" t="s">
        <v>34</v>
      </c>
      <c r="AA10421" t="s">
        <v>246</v>
      </c>
      <c r="AB10421" t="s">
        <v>427</v>
      </c>
      <c r="AC10421" s="21">
        <v>162.4</v>
      </c>
      <c r="AD10421" s="21" t="s">
        <v>368</v>
      </c>
      <c r="AE10421" t="str">
        <f>VLOOKUP(Table_Query_from_Actuarial___Production3[[#This Row],[Kor1]],$AI$3:$AK$105,3,FALSE)</f>
        <v>Misc. Expense</v>
      </c>
      <c r="AF104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2" spans="18:32" x14ac:dyDescent="0.2">
      <c r="R10422" t="s">
        <v>39</v>
      </c>
      <c r="S10422" t="s">
        <v>228</v>
      </c>
      <c r="T10422" t="s">
        <v>443</v>
      </c>
      <c r="U10422" s="21">
        <v>287.19</v>
      </c>
      <c r="V10422" s="21" t="s">
        <v>368</v>
      </c>
      <c r="W10422" t="str">
        <f>VLOOKUP(Table_Query_from_Actuarial___Production[[#This Row],[Kor1]],$AI$3:$AK$105,3,FALSE)</f>
        <v>Misc. Income for Insolvent Companies</v>
      </c>
      <c r="X104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2"/>
      <c r="Z10422" t="s">
        <v>19</v>
      </c>
      <c r="AA10422" t="s">
        <v>254</v>
      </c>
      <c r="AB10422" t="s">
        <v>356</v>
      </c>
      <c r="AC10422" s="21">
        <v>416</v>
      </c>
      <c r="AD10422" s="21" t="s">
        <v>368</v>
      </c>
      <c r="AE10422" t="str">
        <f>VLOOKUP(Table_Query_from_Actuarial___Production3[[#This Row],[Kor1]],$AI$3:$AK$105,3,FALSE)</f>
        <v>Misc. Expense for Insolvent Companies</v>
      </c>
      <c r="AF104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3" spans="18:32" x14ac:dyDescent="0.2">
      <c r="R10423" t="s">
        <v>40</v>
      </c>
      <c r="S10423" t="s">
        <v>264</v>
      </c>
      <c r="T10423" t="s">
        <v>6</v>
      </c>
      <c r="U10423" s="21">
        <v>35.01</v>
      </c>
      <c r="V10423" s="21" t="s">
        <v>368</v>
      </c>
      <c r="W10423" t="str">
        <f>VLOOKUP(Table_Query_from_Actuarial___Production[[#This Row],[Kor1]],$AI$3:$AK$105,3,FALSE)</f>
        <v>Misc. Income</v>
      </c>
      <c r="X104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3"/>
      <c r="Z10423" t="s">
        <v>130</v>
      </c>
      <c r="AA10423" t="s">
        <v>224</v>
      </c>
      <c r="AB10423" t="s">
        <v>7</v>
      </c>
      <c r="AC10423" s="21">
        <v>2951587.91</v>
      </c>
      <c r="AD10423" s="21" t="s">
        <v>370</v>
      </c>
      <c r="AE10423" t="str">
        <f>VLOOKUP(Table_Query_from_Actuarial___Production3[[#This Row],[Kor1]],$AI$3:$AK$105,3,FALSE)</f>
        <v>CPAI Charge-offs</v>
      </c>
      <c r="AF104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424" spans="18:32" x14ac:dyDescent="0.2">
      <c r="R10424" t="s">
        <v>41</v>
      </c>
      <c r="S10424" t="s">
        <v>238</v>
      </c>
      <c r="T10424" t="s">
        <v>441</v>
      </c>
      <c r="U10424" s="21">
        <v>199.98</v>
      </c>
      <c r="V10424" s="21" t="s">
        <v>368</v>
      </c>
      <c r="W10424" t="str">
        <f>VLOOKUP(Table_Query_from_Actuarial___Production[[#This Row],[Kor1]],$AI$3:$AK$105,3,FALSE)</f>
        <v>Misc. Income</v>
      </c>
      <c r="X104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4"/>
      <c r="Z10424" t="s">
        <v>15</v>
      </c>
      <c r="AA10424" t="s">
        <v>236</v>
      </c>
      <c r="AB10424" t="s">
        <v>443</v>
      </c>
      <c r="AC10424" s="21">
        <v>7119.69</v>
      </c>
      <c r="AD10424" s="21" t="s">
        <v>368</v>
      </c>
      <c r="AE10424" t="str">
        <f>VLOOKUP(Table_Query_from_Actuarial___Production3[[#This Row],[Kor1]],$AI$3:$AK$105,3,FALSE)</f>
        <v>Unearned Premiums</v>
      </c>
      <c r="AF104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5" spans="18:32" x14ac:dyDescent="0.2">
      <c r="R10425" t="s">
        <v>3</v>
      </c>
      <c r="S10425" t="s">
        <v>268</v>
      </c>
      <c r="T10425" t="s">
        <v>441</v>
      </c>
      <c r="U10425" s="21">
        <v>250886</v>
      </c>
      <c r="V10425" s="21" t="s">
        <v>368</v>
      </c>
      <c r="W10425" t="str">
        <f>VLOOKUP(Table_Query_from_Actuarial___Production[[#This Row],[Kor1]],$AI$3:$AK$105,3,FALSE)</f>
        <v>Premiums Written</v>
      </c>
      <c r="X104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5"/>
      <c r="Z10425" t="s">
        <v>17</v>
      </c>
      <c r="AA10425" t="s">
        <v>233</v>
      </c>
      <c r="AB10425" t="s">
        <v>441</v>
      </c>
      <c r="AC10425" s="21">
        <v>115895.48</v>
      </c>
      <c r="AD10425" s="21" t="s">
        <v>368</v>
      </c>
      <c r="AE10425" t="str">
        <f>VLOOKUP(Table_Query_from_Actuarial___Production3[[#This Row],[Kor1]],$AI$3:$AK$105,3,FALSE)</f>
        <v>IBNR</v>
      </c>
      <c r="AF104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6" spans="18:32" x14ac:dyDescent="0.2">
      <c r="R10426" t="s">
        <v>17</v>
      </c>
      <c r="S10426" t="s">
        <v>261</v>
      </c>
      <c r="T10426" t="s">
        <v>433</v>
      </c>
      <c r="U10426" s="21">
        <v>16084.52</v>
      </c>
      <c r="V10426" s="21" t="s">
        <v>368</v>
      </c>
      <c r="W10426" t="str">
        <f>VLOOKUP(Table_Query_from_Actuarial___Production[[#This Row],[Kor1]],$AI$3:$AK$105,3,FALSE)</f>
        <v>IBNR</v>
      </c>
      <c r="X104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6"/>
      <c r="Z10426" t="s">
        <v>10</v>
      </c>
      <c r="AA10426" t="s">
        <v>258</v>
      </c>
      <c r="AB10426" t="s">
        <v>5</v>
      </c>
      <c r="AC10426" s="21">
        <v>106419.3</v>
      </c>
      <c r="AD10426" s="21" t="s">
        <v>368</v>
      </c>
      <c r="AE10426" t="str">
        <f>VLOOKUP(Table_Query_from_Actuarial___Production3[[#This Row],[Kor1]],$AI$3:$AK$105,3,FALSE)</f>
        <v>Commissions</v>
      </c>
      <c r="AF104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7" spans="18:32" x14ac:dyDescent="0.2">
      <c r="R10427" t="s">
        <v>11</v>
      </c>
      <c r="S10427" t="s">
        <v>230</v>
      </c>
      <c r="T10427" t="s">
        <v>351</v>
      </c>
      <c r="U10427" s="21">
        <v>22579156.890000001</v>
      </c>
      <c r="V10427" s="21" t="s">
        <v>368</v>
      </c>
      <c r="W10427" t="str">
        <f>VLOOKUP(Table_Query_from_Actuarial___Production[[#This Row],[Kor1]],$AI$3:$AK$105,3,FALSE)</f>
        <v>Losses Paid</v>
      </c>
      <c r="X104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7"/>
      <c r="Z10427" t="s">
        <v>38</v>
      </c>
      <c r="AA10427" t="s">
        <v>352</v>
      </c>
      <c r="AB10427" t="s">
        <v>8</v>
      </c>
      <c r="AC10427" s="21">
        <v>792.25</v>
      </c>
      <c r="AD10427" s="21" t="s">
        <v>368</v>
      </c>
      <c r="AE10427" t="str">
        <f>VLOOKUP(Table_Query_from_Actuarial___Production3[[#This Row],[Kor1]],$AI$3:$AK$105,3,FALSE)</f>
        <v>Misc. Income</v>
      </c>
      <c r="AF104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Commercial</v>
      </c>
    </row>
    <row r="10428" spans="18:32" x14ac:dyDescent="0.2">
      <c r="R10428" t="s">
        <v>17</v>
      </c>
      <c r="S10428" t="s">
        <v>238</v>
      </c>
      <c r="T10428" t="s">
        <v>442</v>
      </c>
      <c r="U10428" s="21">
        <v>345790.86</v>
      </c>
      <c r="V10428" s="21" t="s">
        <v>368</v>
      </c>
      <c r="W10428" t="str">
        <f>VLOOKUP(Table_Query_from_Actuarial___Production[[#This Row],[Kor1]],$AI$3:$AK$105,3,FALSE)</f>
        <v>IBNR</v>
      </c>
      <c r="X104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8"/>
      <c r="Z10428" t="s">
        <v>10</v>
      </c>
      <c r="AA10428" t="s">
        <v>233</v>
      </c>
      <c r="AB10428" t="s">
        <v>5</v>
      </c>
      <c r="AC10428" s="21">
        <v>16950.75</v>
      </c>
      <c r="AD10428" s="21" t="s">
        <v>368</v>
      </c>
      <c r="AE10428" t="str">
        <f>VLOOKUP(Table_Query_from_Actuarial___Production3[[#This Row],[Kor1]],$AI$3:$AK$105,3,FALSE)</f>
        <v>Commissions</v>
      </c>
      <c r="AF104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29" spans="18:32" x14ac:dyDescent="0.2">
      <c r="R10429" t="s">
        <v>41</v>
      </c>
      <c r="S10429" t="s">
        <v>267</v>
      </c>
      <c r="T10429" t="s">
        <v>445</v>
      </c>
      <c r="U10429" s="21">
        <v>650</v>
      </c>
      <c r="V10429" s="21" t="s">
        <v>368</v>
      </c>
      <c r="W10429" t="str">
        <f>VLOOKUP(Table_Query_from_Actuarial___Production[[#This Row],[Kor1]],$AI$3:$AK$105,3,FALSE)</f>
        <v>Misc. Income</v>
      </c>
      <c r="X104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29"/>
      <c r="Z10429" t="s">
        <v>12</v>
      </c>
      <c r="AA10429" t="s">
        <v>257</v>
      </c>
      <c r="AB10429" t="s">
        <v>9</v>
      </c>
      <c r="AC10429" s="21">
        <v>41673.760000000002</v>
      </c>
      <c r="AD10429" s="21" t="s">
        <v>368</v>
      </c>
      <c r="AE10429" t="str">
        <f>VLOOKUP(Table_Query_from_Actuarial___Production3[[#This Row],[Kor1]],$AI$3:$AK$105,3,FALSE)</f>
        <v>Premium Tax</v>
      </c>
      <c r="AF104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0" spans="18:32" x14ac:dyDescent="0.2">
      <c r="R10430" t="s">
        <v>47</v>
      </c>
      <c r="S10430" t="s">
        <v>230</v>
      </c>
      <c r="T10430" t="s">
        <v>7</v>
      </c>
      <c r="U10430" s="21">
        <v>2683.35</v>
      </c>
      <c r="V10430" s="21" t="s">
        <v>368</v>
      </c>
      <c r="W10430" t="str">
        <f>VLOOKUP(Table_Query_from_Actuarial___Production[[#This Row],[Kor1]],$AI$3:$AK$105,3,FALSE)</f>
        <v>Investment Income</v>
      </c>
      <c r="X104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0"/>
      <c r="Z10430" t="s">
        <v>3</v>
      </c>
      <c r="AA10430" t="s">
        <v>233</v>
      </c>
      <c r="AB10430" t="s">
        <v>433</v>
      </c>
      <c r="AC10430" s="21">
        <v>956454</v>
      </c>
      <c r="AD10430" s="21" t="s">
        <v>368</v>
      </c>
      <c r="AE10430" t="str">
        <f>VLOOKUP(Table_Query_from_Actuarial___Production3[[#This Row],[Kor1]],$AI$3:$AK$105,3,FALSE)</f>
        <v>Premiums Written</v>
      </c>
      <c r="AF104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1" spans="18:32" x14ac:dyDescent="0.2">
      <c r="R10431" t="s">
        <v>3</v>
      </c>
      <c r="S10431" t="s">
        <v>241</v>
      </c>
      <c r="T10431" t="s">
        <v>441</v>
      </c>
      <c r="U10431" s="21">
        <v>271962</v>
      </c>
      <c r="V10431" s="21" t="s">
        <v>368</v>
      </c>
      <c r="W10431" t="str">
        <f>VLOOKUP(Table_Query_from_Actuarial___Production[[#This Row],[Kor1]],$AI$3:$AK$105,3,FALSE)</f>
        <v>Premiums Written</v>
      </c>
      <c r="X104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1"/>
      <c r="Z10431" t="s">
        <v>47</v>
      </c>
      <c r="AA10431" t="s">
        <v>249</v>
      </c>
      <c r="AB10431" t="s">
        <v>7</v>
      </c>
      <c r="AC10431" s="21">
        <v>0.03</v>
      </c>
      <c r="AD10431" s="21" t="s">
        <v>368</v>
      </c>
      <c r="AE10431" t="str">
        <f>VLOOKUP(Table_Query_from_Actuarial___Production3[[#This Row],[Kor1]],$AI$3:$AK$105,3,FALSE)</f>
        <v>Investment Income</v>
      </c>
      <c r="AF104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2" spans="18:32" x14ac:dyDescent="0.2">
      <c r="R10432" t="s">
        <v>34</v>
      </c>
      <c r="S10432" t="s">
        <v>267</v>
      </c>
      <c r="T10432" t="s">
        <v>8</v>
      </c>
      <c r="U10432" s="21">
        <v>11.59</v>
      </c>
      <c r="V10432" s="21" t="s">
        <v>368</v>
      </c>
      <c r="W10432" t="str">
        <f>VLOOKUP(Table_Query_from_Actuarial___Production[[#This Row],[Kor1]],$AI$3:$AK$105,3,FALSE)</f>
        <v>Misc. Expense</v>
      </c>
      <c r="X104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2"/>
      <c r="Z10432" t="s">
        <v>14</v>
      </c>
      <c r="AA10432" t="s">
        <v>255</v>
      </c>
      <c r="AB10432" t="s">
        <v>7</v>
      </c>
      <c r="AC10432" s="21">
        <v>8014.89</v>
      </c>
      <c r="AD10432" s="21" t="s">
        <v>368</v>
      </c>
      <c r="AE10432" t="str">
        <f>VLOOKUP(Table_Query_from_Actuarial___Production3[[#This Row],[Kor1]],$AI$3:$AK$105,3,FALSE)</f>
        <v>Claims Expense</v>
      </c>
      <c r="AF104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3" spans="18:32" x14ac:dyDescent="0.2">
      <c r="R10433" t="s">
        <v>39</v>
      </c>
      <c r="S10433" t="s">
        <v>245</v>
      </c>
      <c r="T10433" t="s">
        <v>443</v>
      </c>
      <c r="U10433" s="21">
        <v>128.01</v>
      </c>
      <c r="V10433" s="21" t="s">
        <v>368</v>
      </c>
      <c r="W10433" t="str">
        <f>VLOOKUP(Table_Query_from_Actuarial___Production[[#This Row],[Kor1]],$AI$3:$AK$105,3,FALSE)</f>
        <v>Misc. Income for Insolvent Companies</v>
      </c>
      <c r="X104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3"/>
      <c r="Z10433" t="s">
        <v>47</v>
      </c>
      <c r="AA10433" t="s">
        <v>263</v>
      </c>
      <c r="AB10433" t="s">
        <v>8</v>
      </c>
      <c r="AC10433" s="21">
        <v>7.0000000000000007E-2</v>
      </c>
      <c r="AD10433" s="21" t="s">
        <v>368</v>
      </c>
      <c r="AE10433" t="str">
        <f>VLOOKUP(Table_Query_from_Actuarial___Production3[[#This Row],[Kor1]],$AI$3:$AK$105,3,FALSE)</f>
        <v>Investment Income</v>
      </c>
      <c r="AF104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4" spans="18:32" x14ac:dyDescent="0.2">
      <c r="R10434" t="s">
        <v>50</v>
      </c>
      <c r="S10434" t="s">
        <v>244</v>
      </c>
      <c r="T10434" t="s">
        <v>441</v>
      </c>
      <c r="U10434" s="21">
        <v>84558.62</v>
      </c>
      <c r="V10434" s="21" t="s">
        <v>368</v>
      </c>
      <c r="W10434" t="str">
        <f>VLOOKUP(Table_Query_from_Actuarial___Production[[#This Row],[Kor1]],$AI$3:$AK$105,3,FALSE)</f>
        <v>ALAE Reserve</v>
      </c>
      <c r="X104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4"/>
      <c r="Z10434" t="s">
        <v>14</v>
      </c>
      <c r="AA10434" t="s">
        <v>265</v>
      </c>
      <c r="AB10434" t="s">
        <v>8</v>
      </c>
      <c r="AC10434" s="21">
        <v>53179.95</v>
      </c>
      <c r="AD10434" s="21" t="s">
        <v>368</v>
      </c>
      <c r="AE10434" t="str">
        <f>VLOOKUP(Table_Query_from_Actuarial___Production3[[#This Row],[Kor1]],$AI$3:$AK$105,3,FALSE)</f>
        <v>Claims Expense</v>
      </c>
      <c r="AF104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5" spans="18:32" x14ac:dyDescent="0.2">
      <c r="R10435" t="s">
        <v>14</v>
      </c>
      <c r="S10435" t="s">
        <v>259</v>
      </c>
      <c r="T10435" t="s">
        <v>9</v>
      </c>
      <c r="U10435" s="21">
        <v>49075.59</v>
      </c>
      <c r="V10435" s="21" t="s">
        <v>368</v>
      </c>
      <c r="W10435" t="str">
        <f>VLOOKUP(Table_Query_from_Actuarial___Production[[#This Row],[Kor1]],$AI$3:$AK$105,3,FALSE)</f>
        <v>Claims Expense</v>
      </c>
      <c r="X104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5"/>
      <c r="Z10435" t="s">
        <v>32</v>
      </c>
      <c r="AA10435" t="s">
        <v>230</v>
      </c>
      <c r="AB10435" t="s">
        <v>8</v>
      </c>
      <c r="AC10435" s="21">
        <v>118838.42</v>
      </c>
      <c r="AD10435" s="21" t="s">
        <v>368</v>
      </c>
      <c r="AE10435" t="str">
        <f>VLOOKUP(Table_Query_from_Actuarial___Production3[[#This Row],[Kor1]],$AI$3:$AK$105,3,FALSE)</f>
        <v>Misc. Expense</v>
      </c>
      <c r="AF104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6" spans="18:32" x14ac:dyDescent="0.2">
      <c r="R10436" t="s">
        <v>20</v>
      </c>
      <c r="S10436" t="s">
        <v>256</v>
      </c>
      <c r="T10436" t="s">
        <v>7</v>
      </c>
      <c r="U10436" s="21">
        <v>113.37</v>
      </c>
      <c r="V10436" s="21" t="s">
        <v>368</v>
      </c>
      <c r="W10436" t="str">
        <f>VLOOKUP(Table_Query_from_Actuarial___Production[[#This Row],[Kor1]],$AI$3:$AK$105,3,FALSE)</f>
        <v>Misc. Expense</v>
      </c>
      <c r="X104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6"/>
      <c r="Z10436" t="s">
        <v>3</v>
      </c>
      <c r="AA10436" t="s">
        <v>258</v>
      </c>
      <c r="AB10436" t="s">
        <v>433</v>
      </c>
      <c r="AC10436" s="21">
        <v>3090105</v>
      </c>
      <c r="AD10436" s="21" t="s">
        <v>368</v>
      </c>
      <c r="AE10436" t="str">
        <f>VLOOKUP(Table_Query_from_Actuarial___Production3[[#This Row],[Kor1]],$AI$3:$AK$105,3,FALSE)</f>
        <v>Premiums Written</v>
      </c>
      <c r="AF104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7" spans="18:32" x14ac:dyDescent="0.2">
      <c r="R10437" t="s">
        <v>36</v>
      </c>
      <c r="S10437" t="s">
        <v>230</v>
      </c>
      <c r="T10437" t="s">
        <v>427</v>
      </c>
      <c r="U10437" s="21">
        <v>29712.07</v>
      </c>
      <c r="V10437" s="21" t="s">
        <v>368</v>
      </c>
      <c r="W10437" t="str">
        <f>VLOOKUP(Table_Query_from_Actuarial___Production[[#This Row],[Kor1]],$AI$3:$AK$105,3,FALSE)</f>
        <v>Misc. Expense</v>
      </c>
      <c r="X104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7"/>
      <c r="Z10437" t="s">
        <v>47</v>
      </c>
      <c r="AA10437" t="s">
        <v>239</v>
      </c>
      <c r="AB10437" t="s">
        <v>356</v>
      </c>
      <c r="AC10437" s="21">
        <v>1963.15</v>
      </c>
      <c r="AD10437" s="21" t="s">
        <v>368</v>
      </c>
      <c r="AE10437" t="str">
        <f>VLOOKUP(Table_Query_from_Actuarial___Production3[[#This Row],[Kor1]],$AI$3:$AK$105,3,FALSE)</f>
        <v>Investment Income</v>
      </c>
      <c r="AF104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8" spans="18:32" x14ac:dyDescent="0.2">
      <c r="R10438" t="s">
        <v>3</v>
      </c>
      <c r="S10438" t="s">
        <v>240</v>
      </c>
      <c r="T10438" t="s">
        <v>356</v>
      </c>
      <c r="U10438" s="21">
        <v>4064620</v>
      </c>
      <c r="V10438" s="21" t="s">
        <v>368</v>
      </c>
      <c r="W10438" t="str">
        <f>VLOOKUP(Table_Query_from_Actuarial___Production[[#This Row],[Kor1]],$AI$3:$AK$105,3,FALSE)</f>
        <v>Premiums Written</v>
      </c>
      <c r="X104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38"/>
      <c r="Z10438" t="s">
        <v>439</v>
      </c>
      <c r="AA10438" t="s">
        <v>265</v>
      </c>
      <c r="AB10438" t="s">
        <v>433</v>
      </c>
      <c r="AC10438" s="21">
        <v>5981</v>
      </c>
      <c r="AD10438" s="21" t="s">
        <v>368</v>
      </c>
      <c r="AE10438" t="str">
        <f>VLOOKUP(Table_Query_from_Actuarial___Production3[[#This Row],[Kor1]],$AI$3:$AK$105,3,FALSE)</f>
        <v>Operating Service Fees</v>
      </c>
      <c r="AF104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39" spans="18:32" x14ac:dyDescent="0.2">
      <c r="R10439" t="s">
        <v>130</v>
      </c>
      <c r="S10439" t="s">
        <v>224</v>
      </c>
      <c r="T10439" t="s">
        <v>427</v>
      </c>
      <c r="U10439" s="21">
        <v>1825779.7</v>
      </c>
      <c r="V10439" s="21" t="s">
        <v>370</v>
      </c>
      <c r="W10439" t="str">
        <f>VLOOKUP(Table_Query_from_Actuarial___Production[[#This Row],[Kor1]],$AI$3:$AK$105,3,FALSE)</f>
        <v>CPAI Charge-offs</v>
      </c>
      <c r="X104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439"/>
      <c r="Z10439" t="s">
        <v>41</v>
      </c>
      <c r="AA10439" t="s">
        <v>263</v>
      </c>
      <c r="AB10439" t="s">
        <v>427</v>
      </c>
      <c r="AC10439" s="21">
        <v>50</v>
      </c>
      <c r="AD10439" s="21" t="s">
        <v>368</v>
      </c>
      <c r="AE10439" t="str">
        <f>VLOOKUP(Table_Query_from_Actuarial___Production3[[#This Row],[Kor1]],$AI$3:$AK$105,3,FALSE)</f>
        <v>Misc. Income</v>
      </c>
      <c r="AF104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0" spans="18:32" x14ac:dyDescent="0.2">
      <c r="R10440" t="s">
        <v>13</v>
      </c>
      <c r="S10440" t="s">
        <v>259</v>
      </c>
      <c r="T10440" t="s">
        <v>351</v>
      </c>
      <c r="U10440" s="21">
        <v>237352.18</v>
      </c>
      <c r="V10440" s="21" t="s">
        <v>368</v>
      </c>
      <c r="W10440" t="str">
        <f>VLOOKUP(Table_Query_from_Actuarial___Production[[#This Row],[Kor1]],$AI$3:$AK$105,3,FALSE)</f>
        <v>Operating Service Fees</v>
      </c>
      <c r="X104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0"/>
      <c r="Z10440" t="s">
        <v>39</v>
      </c>
      <c r="AA10440" t="s">
        <v>228</v>
      </c>
      <c r="AB10440" t="s">
        <v>443</v>
      </c>
      <c r="AC10440" s="21">
        <v>287.19</v>
      </c>
      <c r="AD10440" s="21" t="s">
        <v>368</v>
      </c>
      <c r="AE10440" t="str">
        <f>VLOOKUP(Table_Query_from_Actuarial___Production3[[#This Row],[Kor1]],$AI$3:$AK$105,3,FALSE)</f>
        <v>Misc. Income for Insolvent Companies</v>
      </c>
      <c r="AF104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1" spans="18:32" x14ac:dyDescent="0.2">
      <c r="R10441" t="s">
        <v>33</v>
      </c>
      <c r="S10441" t="s">
        <v>255</v>
      </c>
      <c r="T10441" t="s">
        <v>356</v>
      </c>
      <c r="U10441" s="21">
        <v>11106.53</v>
      </c>
      <c r="V10441" s="21" t="s">
        <v>368</v>
      </c>
      <c r="W10441" t="str">
        <f>VLOOKUP(Table_Query_from_Actuarial___Production[[#This Row],[Kor1]],$AI$3:$AK$105,3,FALSE)</f>
        <v>Misc. Expense</v>
      </c>
      <c r="X104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1"/>
      <c r="Z10441" t="s">
        <v>40</v>
      </c>
      <c r="AA10441" t="s">
        <v>264</v>
      </c>
      <c r="AB10441" t="s">
        <v>6</v>
      </c>
      <c r="AC10441" s="21">
        <v>35.01</v>
      </c>
      <c r="AD10441" s="21" t="s">
        <v>368</v>
      </c>
      <c r="AE10441" t="str">
        <f>VLOOKUP(Table_Query_from_Actuarial___Production3[[#This Row],[Kor1]],$AI$3:$AK$105,3,FALSE)</f>
        <v>Misc. Income</v>
      </c>
      <c r="AF104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2" spans="18:32" x14ac:dyDescent="0.2">
      <c r="R10442" t="s">
        <v>31</v>
      </c>
      <c r="S10442" t="s">
        <v>263</v>
      </c>
      <c r="T10442" t="s">
        <v>443</v>
      </c>
      <c r="U10442" s="21">
        <v>1117.6300000000001</v>
      </c>
      <c r="V10442" s="21" t="s">
        <v>368</v>
      </c>
      <c r="W10442" t="str">
        <f>VLOOKUP(Table_Query_from_Actuarial___Production[[#This Row],[Kor1]],$AI$3:$AK$105,3,FALSE)</f>
        <v>Misc. Expense</v>
      </c>
      <c r="X104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2"/>
      <c r="Z10442" t="s">
        <v>41</v>
      </c>
      <c r="AA10442" t="s">
        <v>238</v>
      </c>
      <c r="AB10442" t="s">
        <v>441</v>
      </c>
      <c r="AC10442" s="21">
        <v>199.98</v>
      </c>
      <c r="AD10442" s="21" t="s">
        <v>368</v>
      </c>
      <c r="AE10442" t="str">
        <f>VLOOKUP(Table_Query_from_Actuarial___Production3[[#This Row],[Kor1]],$AI$3:$AK$105,3,FALSE)</f>
        <v>Misc. Income</v>
      </c>
      <c r="AF104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3" spans="18:32" x14ac:dyDescent="0.2">
      <c r="R10443" t="s">
        <v>13</v>
      </c>
      <c r="S10443" t="s">
        <v>235</v>
      </c>
      <c r="T10443" t="s">
        <v>356</v>
      </c>
      <c r="U10443" s="21">
        <v>134039.34</v>
      </c>
      <c r="V10443" s="21" t="s">
        <v>368</v>
      </c>
      <c r="W10443" t="str">
        <f>VLOOKUP(Table_Query_from_Actuarial___Production[[#This Row],[Kor1]],$AI$3:$AK$105,3,FALSE)</f>
        <v>Operating Service Fees</v>
      </c>
      <c r="X104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3"/>
      <c r="Z10443" t="s">
        <v>3</v>
      </c>
      <c r="AA10443" t="s">
        <v>268</v>
      </c>
      <c r="AB10443" t="s">
        <v>441</v>
      </c>
      <c r="AC10443" s="21">
        <v>250886</v>
      </c>
      <c r="AD10443" s="21" t="s">
        <v>368</v>
      </c>
      <c r="AE10443" t="str">
        <f>VLOOKUP(Table_Query_from_Actuarial___Production3[[#This Row],[Kor1]],$AI$3:$AK$105,3,FALSE)</f>
        <v>Premiums Written</v>
      </c>
      <c r="AF104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4" spans="18:32" x14ac:dyDescent="0.2">
      <c r="R10444" t="s">
        <v>34</v>
      </c>
      <c r="S10444" t="s">
        <v>246</v>
      </c>
      <c r="T10444" t="s">
        <v>443</v>
      </c>
      <c r="U10444" s="21">
        <v>18382.11</v>
      </c>
      <c r="V10444" s="21" t="s">
        <v>368</v>
      </c>
      <c r="W10444" t="str">
        <f>VLOOKUP(Table_Query_from_Actuarial___Production[[#This Row],[Kor1]],$AI$3:$AK$105,3,FALSE)</f>
        <v>Misc. Expense</v>
      </c>
      <c r="X104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4"/>
      <c r="Z10444" t="s">
        <v>17</v>
      </c>
      <c r="AA10444" t="s">
        <v>261</v>
      </c>
      <c r="AB10444" t="s">
        <v>433</v>
      </c>
      <c r="AC10444" s="21">
        <v>13621.69</v>
      </c>
      <c r="AD10444" s="21" t="s">
        <v>368</v>
      </c>
      <c r="AE10444" t="str">
        <f>VLOOKUP(Table_Query_from_Actuarial___Production3[[#This Row],[Kor1]],$AI$3:$AK$105,3,FALSE)</f>
        <v>IBNR</v>
      </c>
      <c r="AF104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5" spans="18:32" x14ac:dyDescent="0.2">
      <c r="R10445" t="s">
        <v>40</v>
      </c>
      <c r="S10445" t="s">
        <v>4</v>
      </c>
      <c r="T10445" t="s">
        <v>351</v>
      </c>
      <c r="U10445" s="21">
        <v>5007.71</v>
      </c>
      <c r="V10445" s="21" t="s">
        <v>368</v>
      </c>
      <c r="W10445" t="str">
        <f>VLOOKUP(Table_Query_from_Actuarial___Production[[#This Row],[Kor1]],$AI$3:$AK$105,3,FALSE)</f>
        <v>Misc. Income</v>
      </c>
      <c r="X104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5"/>
      <c r="Z10445" t="s">
        <v>11</v>
      </c>
      <c r="AA10445" t="s">
        <v>230</v>
      </c>
      <c r="AB10445" t="s">
        <v>351</v>
      </c>
      <c r="AC10445" s="21">
        <v>22026636.18</v>
      </c>
      <c r="AD10445" s="21" t="s">
        <v>368</v>
      </c>
      <c r="AE10445" t="str">
        <f>VLOOKUP(Table_Query_from_Actuarial___Production3[[#This Row],[Kor1]],$AI$3:$AK$105,3,FALSE)</f>
        <v>Losses Paid</v>
      </c>
      <c r="AF104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6" spans="18:32" x14ac:dyDescent="0.2">
      <c r="R10446" t="s">
        <v>47</v>
      </c>
      <c r="S10446" t="s">
        <v>233</v>
      </c>
      <c r="T10446" t="s">
        <v>9</v>
      </c>
      <c r="U10446" s="21">
        <v>234.12</v>
      </c>
      <c r="V10446" s="21" t="s">
        <v>368</v>
      </c>
      <c r="W10446" t="str">
        <f>VLOOKUP(Table_Query_from_Actuarial___Production[[#This Row],[Kor1]],$AI$3:$AK$105,3,FALSE)</f>
        <v>Investment Income</v>
      </c>
      <c r="X104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6"/>
      <c r="Z10446" t="s">
        <v>17</v>
      </c>
      <c r="AA10446" t="s">
        <v>238</v>
      </c>
      <c r="AB10446" t="s">
        <v>442</v>
      </c>
      <c r="AC10446" s="21">
        <v>491483.47</v>
      </c>
      <c r="AD10446" s="21" t="s">
        <v>368</v>
      </c>
      <c r="AE10446" t="str">
        <f>VLOOKUP(Table_Query_from_Actuarial___Production3[[#This Row],[Kor1]],$AI$3:$AK$105,3,FALSE)</f>
        <v>IBNR</v>
      </c>
      <c r="AF104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7" spans="18:32" x14ac:dyDescent="0.2">
      <c r="R10447" t="s">
        <v>13</v>
      </c>
      <c r="S10447" t="s">
        <v>267</v>
      </c>
      <c r="T10447" t="s">
        <v>356</v>
      </c>
      <c r="U10447" s="21">
        <v>69068</v>
      </c>
      <c r="V10447" s="21" t="s">
        <v>368</v>
      </c>
      <c r="W10447" t="str">
        <f>VLOOKUP(Table_Query_from_Actuarial___Production[[#This Row],[Kor1]],$AI$3:$AK$105,3,FALSE)</f>
        <v>Operating Service Fees</v>
      </c>
      <c r="X104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7"/>
      <c r="Z10447" t="s">
        <v>47</v>
      </c>
      <c r="AA10447" t="s">
        <v>230</v>
      </c>
      <c r="AB10447" t="s">
        <v>7</v>
      </c>
      <c r="AC10447" s="21">
        <v>2683.35</v>
      </c>
      <c r="AD10447" s="21" t="s">
        <v>368</v>
      </c>
      <c r="AE10447" t="str">
        <f>VLOOKUP(Table_Query_from_Actuarial___Production3[[#This Row],[Kor1]],$AI$3:$AK$105,3,FALSE)</f>
        <v>Investment Income</v>
      </c>
      <c r="AF104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8" spans="18:32" x14ac:dyDescent="0.2">
      <c r="R10448" t="s">
        <v>31</v>
      </c>
      <c r="S10448" t="s">
        <v>254</v>
      </c>
      <c r="T10448" t="s">
        <v>433</v>
      </c>
      <c r="U10448" s="21">
        <v>922.92</v>
      </c>
      <c r="V10448" s="21" t="s">
        <v>368</v>
      </c>
      <c r="W10448" t="str">
        <f>VLOOKUP(Table_Query_from_Actuarial___Production[[#This Row],[Kor1]],$AI$3:$AK$105,3,FALSE)</f>
        <v>Misc. Expense</v>
      </c>
      <c r="X104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8"/>
      <c r="Z10448" t="s">
        <v>3</v>
      </c>
      <c r="AA10448" t="s">
        <v>241</v>
      </c>
      <c r="AB10448" t="s">
        <v>441</v>
      </c>
      <c r="AC10448" s="21">
        <v>271962</v>
      </c>
      <c r="AD10448" s="21" t="s">
        <v>368</v>
      </c>
      <c r="AE10448" t="str">
        <f>VLOOKUP(Table_Query_from_Actuarial___Production3[[#This Row],[Kor1]],$AI$3:$AK$105,3,FALSE)</f>
        <v>Premiums Written</v>
      </c>
      <c r="AF104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49" spans="18:32" x14ac:dyDescent="0.2">
      <c r="R10449" t="s">
        <v>48</v>
      </c>
      <c r="S10449" t="s">
        <v>254</v>
      </c>
      <c r="T10449" t="s">
        <v>433</v>
      </c>
      <c r="U10449" s="21">
        <v>42546.68</v>
      </c>
      <c r="V10449" s="21" t="s">
        <v>368</v>
      </c>
      <c r="W10449" t="str">
        <f>VLOOKUP(Table_Query_from_Actuarial___Production[[#This Row],[Kor1]],$AI$3:$AK$105,3,FALSE)</f>
        <v>Anticipated Salvage</v>
      </c>
      <c r="X104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49"/>
      <c r="Z10449" t="s">
        <v>34</v>
      </c>
      <c r="AA10449" t="s">
        <v>267</v>
      </c>
      <c r="AB10449" t="s">
        <v>8</v>
      </c>
      <c r="AC10449" s="21">
        <v>11.59</v>
      </c>
      <c r="AD10449" s="21" t="s">
        <v>368</v>
      </c>
      <c r="AE10449" t="str">
        <f>VLOOKUP(Table_Query_from_Actuarial___Production3[[#This Row],[Kor1]],$AI$3:$AK$105,3,FALSE)</f>
        <v>Misc. Expense</v>
      </c>
      <c r="AF104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0" spans="18:32" x14ac:dyDescent="0.2">
      <c r="R10450" t="s">
        <v>48</v>
      </c>
      <c r="S10450" t="s">
        <v>264</v>
      </c>
      <c r="T10450" t="s">
        <v>445</v>
      </c>
      <c r="U10450" s="21">
        <v>4454.3500000000004</v>
      </c>
      <c r="V10450" s="21" t="s">
        <v>368</v>
      </c>
      <c r="W10450" t="str">
        <f>VLOOKUP(Table_Query_from_Actuarial___Production[[#This Row],[Kor1]],$AI$3:$AK$105,3,FALSE)</f>
        <v>Anticipated Salvage</v>
      </c>
      <c r="X104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0"/>
      <c r="Z10450" t="s">
        <v>39</v>
      </c>
      <c r="AA10450" t="s">
        <v>245</v>
      </c>
      <c r="AB10450" t="s">
        <v>443</v>
      </c>
      <c r="AC10450" s="21">
        <v>128.01</v>
      </c>
      <c r="AD10450" s="21" t="s">
        <v>368</v>
      </c>
      <c r="AE10450" t="str">
        <f>VLOOKUP(Table_Query_from_Actuarial___Production3[[#This Row],[Kor1]],$AI$3:$AK$105,3,FALSE)</f>
        <v>Misc. Income for Insolvent Companies</v>
      </c>
      <c r="AF104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1" spans="18:32" x14ac:dyDescent="0.2">
      <c r="R10451" t="s">
        <v>3</v>
      </c>
      <c r="S10451" t="s">
        <v>255</v>
      </c>
      <c r="T10451" t="s">
        <v>441</v>
      </c>
      <c r="U10451" s="21">
        <v>643418</v>
      </c>
      <c r="V10451" s="21" t="s">
        <v>368</v>
      </c>
      <c r="W10451" t="str">
        <f>VLOOKUP(Table_Query_from_Actuarial___Production[[#This Row],[Kor1]],$AI$3:$AK$105,3,FALSE)</f>
        <v>Premiums Written</v>
      </c>
      <c r="X104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1"/>
      <c r="Z10451" t="s">
        <v>50</v>
      </c>
      <c r="AA10451" t="s">
        <v>244</v>
      </c>
      <c r="AB10451" t="s">
        <v>441</v>
      </c>
      <c r="AC10451" s="21">
        <v>115370.73</v>
      </c>
      <c r="AD10451" s="21" t="s">
        <v>368</v>
      </c>
      <c r="AE10451" t="str">
        <f>VLOOKUP(Table_Query_from_Actuarial___Production3[[#This Row],[Kor1]],$AI$3:$AK$105,3,FALSE)</f>
        <v>ALAE Reserve</v>
      </c>
      <c r="AF104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2" spans="18:32" x14ac:dyDescent="0.2">
      <c r="R10452" t="s">
        <v>3</v>
      </c>
      <c r="S10452" t="s">
        <v>226</v>
      </c>
      <c r="T10452" t="s">
        <v>7</v>
      </c>
      <c r="U10452" s="21">
        <v>6606795.5300000003</v>
      </c>
      <c r="V10452" s="21" t="s">
        <v>368</v>
      </c>
      <c r="W10452" t="str">
        <f>VLOOKUP(Table_Query_from_Actuarial___Production[[#This Row],[Kor1]],$AI$3:$AK$105,3,FALSE)</f>
        <v>Premiums Written</v>
      </c>
      <c r="X104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452"/>
      <c r="Z10452" t="s">
        <v>14</v>
      </c>
      <c r="AA10452" t="s">
        <v>259</v>
      </c>
      <c r="AB10452" t="s">
        <v>9</v>
      </c>
      <c r="AC10452" s="21">
        <v>49075.59</v>
      </c>
      <c r="AD10452" s="21" t="s">
        <v>368</v>
      </c>
      <c r="AE10452" t="str">
        <f>VLOOKUP(Table_Query_from_Actuarial___Production3[[#This Row],[Kor1]],$AI$3:$AK$105,3,FALSE)</f>
        <v>Claims Expense</v>
      </c>
      <c r="AF104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3" spans="18:32" x14ac:dyDescent="0.2">
      <c r="R10453" t="s">
        <v>3</v>
      </c>
      <c r="S10453" t="s">
        <v>243</v>
      </c>
      <c r="T10453" t="s">
        <v>7</v>
      </c>
      <c r="U10453" s="21">
        <v>462152</v>
      </c>
      <c r="V10453" s="21" t="s">
        <v>368</v>
      </c>
      <c r="W10453" t="str">
        <f>VLOOKUP(Table_Query_from_Actuarial___Production[[#This Row],[Kor1]],$AI$3:$AK$105,3,FALSE)</f>
        <v>Premiums Written</v>
      </c>
      <c r="X104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3"/>
      <c r="Z10453" t="s">
        <v>20</v>
      </c>
      <c r="AA10453" t="s">
        <v>256</v>
      </c>
      <c r="AB10453" t="s">
        <v>7</v>
      </c>
      <c r="AC10453" s="21">
        <v>113.37</v>
      </c>
      <c r="AD10453" s="21" t="s">
        <v>368</v>
      </c>
      <c r="AE10453" t="str">
        <f>VLOOKUP(Table_Query_from_Actuarial___Production3[[#This Row],[Kor1]],$AI$3:$AK$105,3,FALSE)</f>
        <v>Misc. Expense</v>
      </c>
      <c r="AF104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4" spans="18:32" x14ac:dyDescent="0.2">
      <c r="R10454" t="s">
        <v>13</v>
      </c>
      <c r="S10454" t="s">
        <v>250</v>
      </c>
      <c r="T10454" t="s">
        <v>445</v>
      </c>
      <c r="U10454" s="21">
        <v>94994.67</v>
      </c>
      <c r="V10454" s="21" t="s">
        <v>368</v>
      </c>
      <c r="W10454" t="str">
        <f>VLOOKUP(Table_Query_from_Actuarial___Production[[#This Row],[Kor1]],$AI$3:$AK$105,3,FALSE)</f>
        <v>Operating Service Fees</v>
      </c>
      <c r="X104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4"/>
      <c r="Z10454" t="s">
        <v>36</v>
      </c>
      <c r="AA10454" t="s">
        <v>230</v>
      </c>
      <c r="AB10454" t="s">
        <v>427</v>
      </c>
      <c r="AC10454" s="21">
        <v>29712.07</v>
      </c>
      <c r="AD10454" s="21" t="s">
        <v>368</v>
      </c>
      <c r="AE10454" t="str">
        <f>VLOOKUP(Table_Query_from_Actuarial___Production3[[#This Row],[Kor1]],$AI$3:$AK$105,3,FALSE)</f>
        <v>Misc. Expense</v>
      </c>
      <c r="AF104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5" spans="18:32" x14ac:dyDescent="0.2">
      <c r="R10455" t="s">
        <v>10</v>
      </c>
      <c r="S10455" t="s">
        <v>233</v>
      </c>
      <c r="T10455" t="s">
        <v>351</v>
      </c>
      <c r="U10455" s="21">
        <v>59089.01</v>
      </c>
      <c r="V10455" s="21" t="s">
        <v>368</v>
      </c>
      <c r="W10455" t="str">
        <f>VLOOKUP(Table_Query_from_Actuarial___Production[[#This Row],[Kor1]],$AI$3:$AK$105,3,FALSE)</f>
        <v>Commissions</v>
      </c>
      <c r="X104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5"/>
      <c r="Z10455" t="s">
        <v>14</v>
      </c>
      <c r="AA10455" t="s">
        <v>262</v>
      </c>
      <c r="AB10455" t="s">
        <v>5</v>
      </c>
      <c r="AC10455" s="21">
        <v>1111.48</v>
      </c>
      <c r="AD10455" s="21" t="s">
        <v>368</v>
      </c>
      <c r="AE10455" t="str">
        <f>VLOOKUP(Table_Query_from_Actuarial___Production3[[#This Row],[Kor1]],$AI$3:$AK$105,3,FALSE)</f>
        <v>Claims Expense</v>
      </c>
      <c r="AF104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6" spans="18:32" x14ac:dyDescent="0.2">
      <c r="R10456" t="s">
        <v>43</v>
      </c>
      <c r="S10456" t="s">
        <v>237</v>
      </c>
      <c r="T10456" t="s">
        <v>445</v>
      </c>
      <c r="U10456" s="21">
        <v>-2649.85</v>
      </c>
      <c r="V10456" s="21" t="s">
        <v>368</v>
      </c>
      <c r="W10456" t="str">
        <f>VLOOKUP(Table_Query_from_Actuarial___Production[[#This Row],[Kor1]],$AI$3:$AK$105,3,FALSE)</f>
        <v>Charge-offs</v>
      </c>
      <c r="X104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6"/>
      <c r="Z10456" t="s">
        <v>3</v>
      </c>
      <c r="AA10456" t="s">
        <v>240</v>
      </c>
      <c r="AB10456" t="s">
        <v>356</v>
      </c>
      <c r="AC10456" s="21">
        <v>4064620</v>
      </c>
      <c r="AD10456" s="21" t="s">
        <v>368</v>
      </c>
      <c r="AE10456" t="str">
        <f>VLOOKUP(Table_Query_from_Actuarial___Production3[[#This Row],[Kor1]],$AI$3:$AK$105,3,FALSE)</f>
        <v>Premiums Written</v>
      </c>
      <c r="AF104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57" spans="18:32" x14ac:dyDescent="0.2">
      <c r="R10457" t="s">
        <v>40</v>
      </c>
      <c r="S10457" t="s">
        <v>265</v>
      </c>
      <c r="T10457" t="s">
        <v>351</v>
      </c>
      <c r="U10457" s="21">
        <v>111.01</v>
      </c>
      <c r="V10457" s="21" t="s">
        <v>368</v>
      </c>
      <c r="W10457" t="str">
        <f>VLOOKUP(Table_Query_from_Actuarial___Production[[#This Row],[Kor1]],$AI$3:$AK$105,3,FALSE)</f>
        <v>Misc. Income</v>
      </c>
      <c r="X104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7"/>
      <c r="Z10457" t="s">
        <v>130</v>
      </c>
      <c r="AA10457" t="s">
        <v>224</v>
      </c>
      <c r="AB10457" t="s">
        <v>427</v>
      </c>
      <c r="AC10457" s="21">
        <v>1825779.7</v>
      </c>
      <c r="AD10457" s="21" t="s">
        <v>370</v>
      </c>
      <c r="AE10457" t="str">
        <f>VLOOKUP(Table_Query_from_Actuarial___Production3[[#This Row],[Kor1]],$AI$3:$AK$105,3,FALSE)</f>
        <v>CPAI Charge-offs</v>
      </c>
      <c r="AF104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458" spans="18:32" x14ac:dyDescent="0.2">
      <c r="R10458" t="s">
        <v>439</v>
      </c>
      <c r="S10458" t="s">
        <v>246</v>
      </c>
      <c r="T10458" t="s">
        <v>443</v>
      </c>
      <c r="U10458" s="21">
        <v>-94040.49</v>
      </c>
      <c r="V10458" s="21" t="s">
        <v>368</v>
      </c>
      <c r="W10458" t="str">
        <f>VLOOKUP(Table_Query_from_Actuarial___Production[[#This Row],[Kor1]],$AI$3:$AK$105,3,FALSE)</f>
        <v>Operating Service Fees</v>
      </c>
      <c r="X104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8"/>
      <c r="Z10458" t="s">
        <v>44</v>
      </c>
      <c r="AA10458" t="s">
        <v>224</v>
      </c>
      <c r="AB10458" t="s">
        <v>5</v>
      </c>
      <c r="AC10458" s="21">
        <v>4821.1000000000004</v>
      </c>
      <c r="AD10458" s="21" t="s">
        <v>425</v>
      </c>
      <c r="AE10458" t="str">
        <f>VLOOKUP(Table_Query_from_Actuarial___Production3[[#This Row],[Kor1]],$AI$3:$AK$105,3,FALSE)</f>
        <v>Charge-offs</v>
      </c>
      <c r="AF104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459" spans="18:32" x14ac:dyDescent="0.2">
      <c r="R10459" t="s">
        <v>43</v>
      </c>
      <c r="S10459" t="s">
        <v>251</v>
      </c>
      <c r="T10459" t="s">
        <v>443</v>
      </c>
      <c r="U10459" s="21">
        <v>754.7</v>
      </c>
      <c r="V10459" s="21" t="s">
        <v>368</v>
      </c>
      <c r="W10459" t="str">
        <f>VLOOKUP(Table_Query_from_Actuarial___Production[[#This Row],[Kor1]],$AI$3:$AK$105,3,FALSE)</f>
        <v>Charge-offs</v>
      </c>
      <c r="X104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59"/>
      <c r="Z10459" t="s">
        <v>13</v>
      </c>
      <c r="AA10459" t="s">
        <v>259</v>
      </c>
      <c r="AB10459" t="s">
        <v>351</v>
      </c>
      <c r="AC10459" s="21">
        <v>237352.18</v>
      </c>
      <c r="AD10459" s="21" t="s">
        <v>368</v>
      </c>
      <c r="AE10459" t="str">
        <f>VLOOKUP(Table_Query_from_Actuarial___Production3[[#This Row],[Kor1]],$AI$3:$AK$105,3,FALSE)</f>
        <v>Operating Service Fees</v>
      </c>
      <c r="AF104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0" spans="18:32" x14ac:dyDescent="0.2">
      <c r="R10460" t="s">
        <v>3</v>
      </c>
      <c r="S10460" t="s">
        <v>267</v>
      </c>
      <c r="T10460" t="s">
        <v>6</v>
      </c>
      <c r="U10460" s="21">
        <v>318565</v>
      </c>
      <c r="V10460" s="21" t="s">
        <v>368</v>
      </c>
      <c r="W10460" t="str">
        <f>VLOOKUP(Table_Query_from_Actuarial___Production[[#This Row],[Kor1]],$AI$3:$AK$105,3,FALSE)</f>
        <v>Premiums Written</v>
      </c>
      <c r="X104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0"/>
      <c r="Z10460" t="s">
        <v>33</v>
      </c>
      <c r="AA10460" t="s">
        <v>255</v>
      </c>
      <c r="AB10460" t="s">
        <v>356</v>
      </c>
      <c r="AC10460" s="21">
        <v>11106.53</v>
      </c>
      <c r="AD10460" s="21" t="s">
        <v>368</v>
      </c>
      <c r="AE10460" t="str">
        <f>VLOOKUP(Table_Query_from_Actuarial___Production3[[#This Row],[Kor1]],$AI$3:$AK$105,3,FALSE)</f>
        <v>Misc. Expense</v>
      </c>
      <c r="AF104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1" spans="18:32" x14ac:dyDescent="0.2">
      <c r="R10461" t="s">
        <v>12</v>
      </c>
      <c r="S10461" t="s">
        <v>259</v>
      </c>
      <c r="T10461" t="s">
        <v>441</v>
      </c>
      <c r="U10461" s="21">
        <v>728.6</v>
      </c>
      <c r="V10461" s="21" t="s">
        <v>368</v>
      </c>
      <c r="W10461" t="str">
        <f>VLOOKUP(Table_Query_from_Actuarial___Production[[#This Row],[Kor1]],$AI$3:$AK$105,3,FALSE)</f>
        <v>Premium Tax</v>
      </c>
      <c r="X104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1"/>
      <c r="Z10461" t="s">
        <v>31</v>
      </c>
      <c r="AA10461" t="s">
        <v>263</v>
      </c>
      <c r="AB10461" t="s">
        <v>443</v>
      </c>
      <c r="AC10461" s="21">
        <v>677.15</v>
      </c>
      <c r="AD10461" s="21" t="s">
        <v>368</v>
      </c>
      <c r="AE10461" t="str">
        <f>VLOOKUP(Table_Query_from_Actuarial___Production3[[#This Row],[Kor1]],$AI$3:$AK$105,3,FALSE)</f>
        <v>Misc. Expense</v>
      </c>
      <c r="AF104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2" spans="18:32" x14ac:dyDescent="0.2">
      <c r="R10462" t="s">
        <v>16</v>
      </c>
      <c r="S10462" t="s">
        <v>252</v>
      </c>
      <c r="T10462" t="s">
        <v>7</v>
      </c>
      <c r="U10462" s="21">
        <v>41650.160000000003</v>
      </c>
      <c r="V10462" s="21" t="s">
        <v>368</v>
      </c>
      <c r="W10462" t="str">
        <f>VLOOKUP(Table_Query_from_Actuarial___Production[[#This Row],[Kor1]],$AI$3:$AK$105,3,FALSE)</f>
        <v>Losses Outstanding</v>
      </c>
      <c r="X104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2"/>
      <c r="Z10462" t="s">
        <v>13</v>
      </c>
      <c r="AA10462" t="s">
        <v>235</v>
      </c>
      <c r="AB10462" t="s">
        <v>356</v>
      </c>
      <c r="AC10462" s="21">
        <v>134039.34</v>
      </c>
      <c r="AD10462" s="21" t="s">
        <v>368</v>
      </c>
      <c r="AE10462" t="str">
        <f>VLOOKUP(Table_Query_from_Actuarial___Production3[[#This Row],[Kor1]],$AI$3:$AK$105,3,FALSE)</f>
        <v>Operating Service Fees</v>
      </c>
      <c r="AF104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3" spans="18:32" x14ac:dyDescent="0.2">
      <c r="R10463" t="s">
        <v>12</v>
      </c>
      <c r="S10463" t="s">
        <v>245</v>
      </c>
      <c r="T10463" t="s">
        <v>7</v>
      </c>
      <c r="U10463" s="21">
        <v>770.4</v>
      </c>
      <c r="V10463" s="21" t="s">
        <v>368</v>
      </c>
      <c r="W10463" t="str">
        <f>VLOOKUP(Table_Query_from_Actuarial___Production[[#This Row],[Kor1]],$AI$3:$AK$105,3,FALSE)</f>
        <v>Premium Tax</v>
      </c>
      <c r="X104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3"/>
      <c r="Z10463" t="s">
        <v>34</v>
      </c>
      <c r="AA10463" t="s">
        <v>246</v>
      </c>
      <c r="AB10463" t="s">
        <v>443</v>
      </c>
      <c r="AC10463" s="21">
        <v>9573.08</v>
      </c>
      <c r="AD10463" s="21" t="s">
        <v>368</v>
      </c>
      <c r="AE10463" t="str">
        <f>VLOOKUP(Table_Query_from_Actuarial___Production3[[#This Row],[Kor1]],$AI$3:$AK$105,3,FALSE)</f>
        <v>Misc. Expense</v>
      </c>
      <c r="AF104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4" spans="18:32" x14ac:dyDescent="0.2">
      <c r="R10464" t="s">
        <v>37</v>
      </c>
      <c r="S10464" t="s">
        <v>241</v>
      </c>
      <c r="T10464" t="s">
        <v>7</v>
      </c>
      <c r="U10464" s="21">
        <v>946.48</v>
      </c>
      <c r="V10464" s="21" t="s">
        <v>368</v>
      </c>
      <c r="W10464" t="str">
        <f>VLOOKUP(Table_Query_from_Actuarial___Production[[#This Row],[Kor1]],$AI$3:$AK$105,3,FALSE)</f>
        <v>Misc. Expense</v>
      </c>
      <c r="X104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4"/>
      <c r="Z10464" t="s">
        <v>40</v>
      </c>
      <c r="AA10464" t="s">
        <v>4</v>
      </c>
      <c r="AB10464" t="s">
        <v>351</v>
      </c>
      <c r="AC10464" s="21">
        <v>5007.71</v>
      </c>
      <c r="AD10464" s="21" t="s">
        <v>368</v>
      </c>
      <c r="AE10464" t="str">
        <f>VLOOKUP(Table_Query_from_Actuarial___Production3[[#This Row],[Kor1]],$AI$3:$AK$105,3,FALSE)</f>
        <v>Misc. Income</v>
      </c>
      <c r="AF104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5" spans="18:32" x14ac:dyDescent="0.2">
      <c r="R10465" t="s">
        <v>44</v>
      </c>
      <c r="S10465" t="s">
        <v>244</v>
      </c>
      <c r="T10465" t="s">
        <v>442</v>
      </c>
      <c r="U10465" s="21">
        <v>5833.32</v>
      </c>
      <c r="V10465" s="21" t="s">
        <v>368</v>
      </c>
      <c r="W10465" t="str">
        <f>VLOOKUP(Table_Query_from_Actuarial___Production[[#This Row],[Kor1]],$AI$3:$AK$105,3,FALSE)</f>
        <v>Charge-offs</v>
      </c>
      <c r="X104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5"/>
      <c r="Z10465" t="s">
        <v>47</v>
      </c>
      <c r="AA10465" t="s">
        <v>233</v>
      </c>
      <c r="AB10465" t="s">
        <v>9</v>
      </c>
      <c r="AC10465" s="21">
        <v>234.12</v>
      </c>
      <c r="AD10465" s="21" t="s">
        <v>368</v>
      </c>
      <c r="AE10465" t="str">
        <f>VLOOKUP(Table_Query_from_Actuarial___Production3[[#This Row],[Kor1]],$AI$3:$AK$105,3,FALSE)</f>
        <v>Investment Income</v>
      </c>
      <c r="AF104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6" spans="18:32" x14ac:dyDescent="0.2">
      <c r="R10466" t="s">
        <v>16</v>
      </c>
      <c r="S10466" t="s">
        <v>225</v>
      </c>
      <c r="T10466" t="s">
        <v>445</v>
      </c>
      <c r="U10466" s="21">
        <v>45101</v>
      </c>
      <c r="V10466" s="21" t="s">
        <v>368</v>
      </c>
      <c r="W10466" t="str">
        <f>VLOOKUP(Table_Query_from_Actuarial___Production[[#This Row],[Kor1]],$AI$3:$AK$105,3,FALSE)</f>
        <v>Losses Outstanding</v>
      </c>
      <c r="X104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466"/>
      <c r="Z10466" t="s">
        <v>13</v>
      </c>
      <c r="AA10466" t="s">
        <v>267</v>
      </c>
      <c r="AB10466" t="s">
        <v>356</v>
      </c>
      <c r="AC10466" s="21">
        <v>69068</v>
      </c>
      <c r="AD10466" s="21" t="s">
        <v>368</v>
      </c>
      <c r="AE10466" t="str">
        <f>VLOOKUP(Table_Query_from_Actuarial___Production3[[#This Row],[Kor1]],$AI$3:$AK$105,3,FALSE)</f>
        <v>Operating Service Fees</v>
      </c>
      <c r="AF104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7" spans="18:32" x14ac:dyDescent="0.2">
      <c r="R10467" t="s">
        <v>14</v>
      </c>
      <c r="S10467" t="s">
        <v>252</v>
      </c>
      <c r="T10467" t="s">
        <v>445</v>
      </c>
      <c r="U10467" s="21">
        <v>438522.98</v>
      </c>
      <c r="V10467" s="21" t="s">
        <v>368</v>
      </c>
      <c r="W10467" t="str">
        <f>VLOOKUP(Table_Query_from_Actuarial___Production[[#This Row],[Kor1]],$AI$3:$AK$105,3,FALSE)</f>
        <v>Claims Expense</v>
      </c>
      <c r="X104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7"/>
      <c r="Z10467" t="s">
        <v>31</v>
      </c>
      <c r="AA10467" t="s">
        <v>254</v>
      </c>
      <c r="AB10467" t="s">
        <v>433</v>
      </c>
      <c r="AC10467" s="21">
        <v>922.92</v>
      </c>
      <c r="AD10467" s="21" t="s">
        <v>368</v>
      </c>
      <c r="AE10467" t="str">
        <f>VLOOKUP(Table_Query_from_Actuarial___Production3[[#This Row],[Kor1]],$AI$3:$AK$105,3,FALSE)</f>
        <v>Misc. Expense</v>
      </c>
      <c r="AF104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8" spans="18:32" x14ac:dyDescent="0.2">
      <c r="R10468" t="s">
        <v>14</v>
      </c>
      <c r="S10468" t="s">
        <v>244</v>
      </c>
      <c r="T10468" t="s">
        <v>9</v>
      </c>
      <c r="U10468" s="21">
        <v>113774.95</v>
      </c>
      <c r="V10468" s="21" t="s">
        <v>368</v>
      </c>
      <c r="W10468" t="str">
        <f>VLOOKUP(Table_Query_from_Actuarial___Production[[#This Row],[Kor1]],$AI$3:$AK$105,3,FALSE)</f>
        <v>Claims Expense</v>
      </c>
      <c r="X104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8"/>
      <c r="Z10468" t="s">
        <v>48</v>
      </c>
      <c r="AA10468" t="s">
        <v>254</v>
      </c>
      <c r="AB10468" t="s">
        <v>433</v>
      </c>
      <c r="AC10468" s="21">
        <v>71215.19</v>
      </c>
      <c r="AD10468" s="21" t="s">
        <v>368</v>
      </c>
      <c r="AE10468" t="str">
        <f>VLOOKUP(Table_Query_from_Actuarial___Production3[[#This Row],[Kor1]],$AI$3:$AK$105,3,FALSE)</f>
        <v>Anticipated Salvage</v>
      </c>
      <c r="AF104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69" spans="18:32" x14ac:dyDescent="0.2">
      <c r="R10469" t="s">
        <v>14</v>
      </c>
      <c r="S10469" t="s">
        <v>258</v>
      </c>
      <c r="T10469" t="s">
        <v>445</v>
      </c>
      <c r="U10469" s="21">
        <v>23553.27</v>
      </c>
      <c r="V10469" s="21" t="s">
        <v>368</v>
      </c>
      <c r="W10469" t="str">
        <f>VLOOKUP(Table_Query_from_Actuarial___Production[[#This Row],[Kor1]],$AI$3:$AK$105,3,FALSE)</f>
        <v>Claims Expense</v>
      </c>
      <c r="X104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69"/>
      <c r="Z10469" t="s">
        <v>3</v>
      </c>
      <c r="AA10469" t="s">
        <v>255</v>
      </c>
      <c r="AB10469" t="s">
        <v>441</v>
      </c>
      <c r="AC10469" s="21">
        <v>643418</v>
      </c>
      <c r="AD10469" s="21" t="s">
        <v>368</v>
      </c>
      <c r="AE10469" t="str">
        <f>VLOOKUP(Table_Query_from_Actuarial___Production3[[#This Row],[Kor1]],$AI$3:$AK$105,3,FALSE)</f>
        <v>Premiums Written</v>
      </c>
      <c r="AF104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0" spans="18:32" x14ac:dyDescent="0.2">
      <c r="R10470" t="s">
        <v>3</v>
      </c>
      <c r="S10470" t="s">
        <v>224</v>
      </c>
      <c r="T10470" t="s">
        <v>442</v>
      </c>
      <c r="U10470" s="21">
        <v>1119990.3899999999</v>
      </c>
      <c r="V10470" s="21" t="s">
        <v>370</v>
      </c>
      <c r="W10470" t="str">
        <f>VLOOKUP(Table_Query_from_Actuarial___Production[[#This Row],[Kor1]],$AI$3:$AK$105,3,FALSE)</f>
        <v>Premiums Written</v>
      </c>
      <c r="X104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470"/>
      <c r="Z10470" t="s">
        <v>3</v>
      </c>
      <c r="AA10470" t="s">
        <v>226</v>
      </c>
      <c r="AB10470" t="s">
        <v>7</v>
      </c>
      <c r="AC10470" s="21">
        <v>6606795.5300000003</v>
      </c>
      <c r="AD10470" s="21" t="s">
        <v>368</v>
      </c>
      <c r="AE10470" t="str">
        <f>VLOOKUP(Table_Query_from_Actuarial___Production3[[#This Row],[Kor1]],$AI$3:$AK$105,3,FALSE)</f>
        <v>Premiums Written</v>
      </c>
      <c r="AF104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471" spans="18:32" x14ac:dyDescent="0.2">
      <c r="R10471" t="s">
        <v>46</v>
      </c>
      <c r="S10471" t="s">
        <v>225</v>
      </c>
      <c r="T10471" t="s">
        <v>351</v>
      </c>
      <c r="U10471" s="21">
        <v>32641.79</v>
      </c>
      <c r="V10471" s="21" t="s">
        <v>369</v>
      </c>
      <c r="W10471" t="str">
        <f>VLOOKUP(Table_Query_from_Actuarial___Production[[#This Row],[Kor1]],$AI$3:$AK$105,3,FALSE)</f>
        <v>Investment Income</v>
      </c>
      <c r="X104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471"/>
      <c r="Z10471" t="s">
        <v>3</v>
      </c>
      <c r="AA10471" t="s">
        <v>243</v>
      </c>
      <c r="AB10471" t="s">
        <v>7</v>
      </c>
      <c r="AC10471" s="21">
        <v>462152</v>
      </c>
      <c r="AD10471" s="21" t="s">
        <v>368</v>
      </c>
      <c r="AE10471" t="str">
        <f>VLOOKUP(Table_Query_from_Actuarial___Production3[[#This Row],[Kor1]],$AI$3:$AK$105,3,FALSE)</f>
        <v>Premiums Written</v>
      </c>
      <c r="AF104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2" spans="18:32" x14ac:dyDescent="0.2">
      <c r="R10472" t="s">
        <v>48</v>
      </c>
      <c r="S10472" t="s">
        <v>252</v>
      </c>
      <c r="T10472" t="s">
        <v>433</v>
      </c>
      <c r="U10472" s="21">
        <v>43053.52</v>
      </c>
      <c r="V10472" s="21" t="s">
        <v>368</v>
      </c>
      <c r="W10472" t="str">
        <f>VLOOKUP(Table_Query_from_Actuarial___Production[[#This Row],[Kor1]],$AI$3:$AK$105,3,FALSE)</f>
        <v>Anticipated Salvage</v>
      </c>
      <c r="X104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2"/>
      <c r="Z10472" t="s">
        <v>10</v>
      </c>
      <c r="AA10472" t="s">
        <v>233</v>
      </c>
      <c r="AB10472" t="s">
        <v>351</v>
      </c>
      <c r="AC10472" s="21">
        <v>59089.01</v>
      </c>
      <c r="AD10472" s="21" t="s">
        <v>368</v>
      </c>
      <c r="AE10472" t="str">
        <f>VLOOKUP(Table_Query_from_Actuarial___Production3[[#This Row],[Kor1]],$AI$3:$AK$105,3,FALSE)</f>
        <v>Commissions</v>
      </c>
      <c r="AF104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3" spans="18:32" x14ac:dyDescent="0.2">
      <c r="R10473" t="s">
        <v>36</v>
      </c>
      <c r="S10473" t="s">
        <v>234</v>
      </c>
      <c r="T10473" t="s">
        <v>442</v>
      </c>
      <c r="U10473" s="21">
        <v>500.02</v>
      </c>
      <c r="V10473" s="21" t="s">
        <v>368</v>
      </c>
      <c r="W10473" t="str">
        <f>VLOOKUP(Table_Query_from_Actuarial___Production[[#This Row],[Kor1]],$AI$3:$AK$105,3,FALSE)</f>
        <v>Misc. Expense</v>
      </c>
      <c r="X104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3"/>
      <c r="Z10473" t="s">
        <v>14</v>
      </c>
      <c r="AA10473" t="s">
        <v>250</v>
      </c>
      <c r="AB10473" t="s">
        <v>5</v>
      </c>
      <c r="AC10473" s="21">
        <v>79297.600000000006</v>
      </c>
      <c r="AD10473" s="21" t="s">
        <v>368</v>
      </c>
      <c r="AE10473" t="str">
        <f>VLOOKUP(Table_Query_from_Actuarial___Production3[[#This Row],[Kor1]],$AI$3:$AK$105,3,FALSE)</f>
        <v>Claims Expense</v>
      </c>
      <c r="AF104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4" spans="18:32" x14ac:dyDescent="0.2">
      <c r="R10474" t="s">
        <v>14</v>
      </c>
      <c r="S10474" t="s">
        <v>238</v>
      </c>
      <c r="T10474" t="s">
        <v>356</v>
      </c>
      <c r="U10474" s="21">
        <v>133379.79</v>
      </c>
      <c r="V10474" s="21" t="s">
        <v>368</v>
      </c>
      <c r="W10474" t="str">
        <f>VLOOKUP(Table_Query_from_Actuarial___Production[[#This Row],[Kor1]],$AI$3:$AK$105,3,FALSE)</f>
        <v>Claims Expense</v>
      </c>
      <c r="X104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4"/>
      <c r="Z10474" t="s">
        <v>40</v>
      </c>
      <c r="AA10474" t="s">
        <v>265</v>
      </c>
      <c r="AB10474" t="s">
        <v>351</v>
      </c>
      <c r="AC10474" s="21">
        <v>111.01</v>
      </c>
      <c r="AD10474" s="21" t="s">
        <v>368</v>
      </c>
      <c r="AE10474" t="str">
        <f>VLOOKUP(Table_Query_from_Actuarial___Production3[[#This Row],[Kor1]],$AI$3:$AK$105,3,FALSE)</f>
        <v>Misc. Income</v>
      </c>
      <c r="AF104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5" spans="18:32" x14ac:dyDescent="0.2">
      <c r="R10475" t="s">
        <v>48</v>
      </c>
      <c r="S10475" t="s">
        <v>354</v>
      </c>
      <c r="T10475" t="s">
        <v>445</v>
      </c>
      <c r="U10475" s="21">
        <v>6106964.4800000004</v>
      </c>
      <c r="V10475" s="21" t="s">
        <v>369</v>
      </c>
      <c r="W10475" t="str">
        <f>VLOOKUP(Table_Query_from_Actuarial___Production[[#This Row],[Kor1]],$AI$3:$AK$105,3,FALSE)</f>
        <v>Anticipated Salvage</v>
      </c>
      <c r="X104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475"/>
      <c r="Z10475" t="s">
        <v>439</v>
      </c>
      <c r="AA10475" t="s">
        <v>246</v>
      </c>
      <c r="AB10475" t="s">
        <v>443</v>
      </c>
      <c r="AC10475" s="21">
        <v>-94040.49</v>
      </c>
      <c r="AD10475" s="21" t="s">
        <v>368</v>
      </c>
      <c r="AE10475" t="str">
        <f>VLOOKUP(Table_Query_from_Actuarial___Production3[[#This Row],[Kor1]],$AI$3:$AK$105,3,FALSE)</f>
        <v>Operating Service Fees</v>
      </c>
      <c r="AF104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6" spans="18:32" x14ac:dyDescent="0.2">
      <c r="R10476" t="s">
        <v>12</v>
      </c>
      <c r="S10476" t="s">
        <v>255</v>
      </c>
      <c r="T10476" t="s">
        <v>445</v>
      </c>
      <c r="U10476" s="21">
        <v>6045.3</v>
      </c>
      <c r="V10476" s="21" t="s">
        <v>368</v>
      </c>
      <c r="W10476" t="str">
        <f>VLOOKUP(Table_Query_from_Actuarial___Production[[#This Row],[Kor1]],$AI$3:$AK$105,3,FALSE)</f>
        <v>Premium Tax</v>
      </c>
      <c r="X104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6"/>
      <c r="Z10476" t="s">
        <v>43</v>
      </c>
      <c r="AA10476" t="s">
        <v>251</v>
      </c>
      <c r="AB10476" t="s">
        <v>443</v>
      </c>
      <c r="AC10476" s="21">
        <v>754.7</v>
      </c>
      <c r="AD10476" s="21" t="s">
        <v>368</v>
      </c>
      <c r="AE10476" t="str">
        <f>VLOOKUP(Table_Query_from_Actuarial___Production3[[#This Row],[Kor1]],$AI$3:$AK$105,3,FALSE)</f>
        <v>Charge-offs</v>
      </c>
      <c r="AF104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7" spans="18:32" x14ac:dyDescent="0.2">
      <c r="R10477" t="s">
        <v>10</v>
      </c>
      <c r="S10477" t="s">
        <v>244</v>
      </c>
      <c r="T10477" t="s">
        <v>441</v>
      </c>
      <c r="U10477" s="21">
        <v>279862.27</v>
      </c>
      <c r="V10477" s="21" t="s">
        <v>368</v>
      </c>
      <c r="W10477" t="str">
        <f>VLOOKUP(Table_Query_from_Actuarial___Production[[#This Row],[Kor1]],$AI$3:$AK$105,3,FALSE)</f>
        <v>Commissions</v>
      </c>
      <c r="X104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7"/>
      <c r="Z10477" t="s">
        <v>3</v>
      </c>
      <c r="AA10477" t="s">
        <v>267</v>
      </c>
      <c r="AB10477" t="s">
        <v>6</v>
      </c>
      <c r="AC10477" s="21">
        <v>318565</v>
      </c>
      <c r="AD10477" s="21" t="s">
        <v>368</v>
      </c>
      <c r="AE10477" t="str">
        <f>VLOOKUP(Table_Query_from_Actuarial___Production3[[#This Row],[Kor1]],$AI$3:$AK$105,3,FALSE)</f>
        <v>Premiums Written</v>
      </c>
      <c r="AF104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8" spans="18:32" x14ac:dyDescent="0.2">
      <c r="R10478" t="s">
        <v>49</v>
      </c>
      <c r="S10478" t="s">
        <v>233</v>
      </c>
      <c r="T10478" t="s">
        <v>6</v>
      </c>
      <c r="U10478" s="21">
        <v>2935.66</v>
      </c>
      <c r="V10478" s="21" t="s">
        <v>368</v>
      </c>
      <c r="W10478" t="str">
        <f>VLOOKUP(Table_Query_from_Actuarial___Production[[#This Row],[Kor1]],$AI$3:$AK$105,3,FALSE)</f>
        <v>ALAE Paid</v>
      </c>
      <c r="X104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8"/>
      <c r="Z10478" t="s">
        <v>12</v>
      </c>
      <c r="AA10478" t="s">
        <v>259</v>
      </c>
      <c r="AB10478" t="s">
        <v>441</v>
      </c>
      <c r="AC10478" s="21">
        <v>728.6</v>
      </c>
      <c r="AD10478" s="21" t="s">
        <v>368</v>
      </c>
      <c r="AE10478" t="str">
        <f>VLOOKUP(Table_Query_from_Actuarial___Production3[[#This Row],[Kor1]],$AI$3:$AK$105,3,FALSE)</f>
        <v>Premium Tax</v>
      </c>
      <c r="AF104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79" spans="18:32" x14ac:dyDescent="0.2">
      <c r="R10479" t="s">
        <v>11</v>
      </c>
      <c r="S10479" t="s">
        <v>267</v>
      </c>
      <c r="T10479" t="s">
        <v>443</v>
      </c>
      <c r="U10479" s="21">
        <v>173698.73</v>
      </c>
      <c r="V10479" s="21" t="s">
        <v>368</v>
      </c>
      <c r="W10479" t="str">
        <f>VLOOKUP(Table_Query_from_Actuarial___Production[[#This Row],[Kor1]],$AI$3:$AK$105,3,FALSE)</f>
        <v>Losses Paid</v>
      </c>
      <c r="X104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79"/>
      <c r="Z10479" t="s">
        <v>16</v>
      </c>
      <c r="AA10479" t="s">
        <v>252</v>
      </c>
      <c r="AB10479" t="s">
        <v>7</v>
      </c>
      <c r="AC10479" s="21">
        <v>30026.89</v>
      </c>
      <c r="AD10479" s="21" t="s">
        <v>368</v>
      </c>
      <c r="AE10479" t="str">
        <f>VLOOKUP(Table_Query_from_Actuarial___Production3[[#This Row],[Kor1]],$AI$3:$AK$105,3,FALSE)</f>
        <v>Losses Outstanding</v>
      </c>
      <c r="AF104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0" spans="18:32" x14ac:dyDescent="0.2">
      <c r="R10480" t="s">
        <v>16</v>
      </c>
      <c r="S10480" t="s">
        <v>240</v>
      </c>
      <c r="T10480" t="s">
        <v>445</v>
      </c>
      <c r="U10480" s="21">
        <v>19876.099999999999</v>
      </c>
      <c r="V10480" s="21" t="s">
        <v>368</v>
      </c>
      <c r="W10480" t="str">
        <f>VLOOKUP(Table_Query_from_Actuarial___Production[[#This Row],[Kor1]],$AI$3:$AK$105,3,FALSE)</f>
        <v>Losses Outstanding</v>
      </c>
      <c r="X104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0"/>
      <c r="Z10480" t="s">
        <v>12</v>
      </c>
      <c r="AA10480" t="s">
        <v>245</v>
      </c>
      <c r="AB10480" t="s">
        <v>7</v>
      </c>
      <c r="AC10480" s="21">
        <v>770.4</v>
      </c>
      <c r="AD10480" s="21" t="s">
        <v>368</v>
      </c>
      <c r="AE10480" t="str">
        <f>VLOOKUP(Table_Query_from_Actuarial___Production3[[#This Row],[Kor1]],$AI$3:$AK$105,3,FALSE)</f>
        <v>Premium Tax</v>
      </c>
      <c r="AF104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1" spans="18:32" x14ac:dyDescent="0.2">
      <c r="R10481" t="s">
        <v>20</v>
      </c>
      <c r="S10481" t="s">
        <v>236</v>
      </c>
      <c r="T10481" t="s">
        <v>8</v>
      </c>
      <c r="U10481" s="21">
        <v>14.43</v>
      </c>
      <c r="V10481" s="21" t="s">
        <v>368</v>
      </c>
      <c r="W10481" t="str">
        <f>VLOOKUP(Table_Query_from_Actuarial___Production[[#This Row],[Kor1]],$AI$3:$AK$105,3,FALSE)</f>
        <v>Misc. Expense</v>
      </c>
      <c r="X104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1"/>
      <c r="Z10481" t="s">
        <v>37</v>
      </c>
      <c r="AA10481" t="s">
        <v>241</v>
      </c>
      <c r="AB10481" t="s">
        <v>7</v>
      </c>
      <c r="AC10481" s="21">
        <v>946.48</v>
      </c>
      <c r="AD10481" s="21" t="s">
        <v>368</v>
      </c>
      <c r="AE10481" t="str">
        <f>VLOOKUP(Table_Query_from_Actuarial___Production3[[#This Row],[Kor1]],$AI$3:$AK$105,3,FALSE)</f>
        <v>Misc. Expense</v>
      </c>
      <c r="AF104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2" spans="18:32" x14ac:dyDescent="0.2">
      <c r="R10482" t="s">
        <v>32</v>
      </c>
      <c r="S10482" t="s">
        <v>246</v>
      </c>
      <c r="T10482" t="s">
        <v>9</v>
      </c>
      <c r="U10482" s="21">
        <v>4899.88</v>
      </c>
      <c r="V10482" s="21" t="s">
        <v>368</v>
      </c>
      <c r="W10482" t="str">
        <f>VLOOKUP(Table_Query_from_Actuarial___Production[[#This Row],[Kor1]],$AI$3:$AK$105,3,FALSE)</f>
        <v>Misc. Expense</v>
      </c>
      <c r="X104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2"/>
      <c r="Z10482" t="s">
        <v>44</v>
      </c>
      <c r="AA10482" t="s">
        <v>244</v>
      </c>
      <c r="AB10482" t="s">
        <v>442</v>
      </c>
      <c r="AC10482" s="21">
        <v>10266.799999999999</v>
      </c>
      <c r="AD10482" s="21" t="s">
        <v>368</v>
      </c>
      <c r="AE10482" t="str">
        <f>VLOOKUP(Table_Query_from_Actuarial___Production3[[#This Row],[Kor1]],$AI$3:$AK$105,3,FALSE)</f>
        <v>Charge-offs</v>
      </c>
      <c r="AF104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3" spans="18:32" x14ac:dyDescent="0.2">
      <c r="R10483" t="s">
        <v>439</v>
      </c>
      <c r="S10483" t="s">
        <v>262</v>
      </c>
      <c r="T10483" t="s">
        <v>443</v>
      </c>
      <c r="U10483" s="21">
        <v>-6394.75</v>
      </c>
      <c r="V10483" s="21" t="s">
        <v>368</v>
      </c>
      <c r="W10483" t="str">
        <f>VLOOKUP(Table_Query_from_Actuarial___Production[[#This Row],[Kor1]],$AI$3:$AK$105,3,FALSE)</f>
        <v>Operating Service Fees</v>
      </c>
      <c r="X104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3"/>
      <c r="Z10483" t="s">
        <v>31</v>
      </c>
      <c r="AA10483" t="s">
        <v>237</v>
      </c>
      <c r="AB10483" t="s">
        <v>5</v>
      </c>
      <c r="AC10483" s="21">
        <v>14981.11</v>
      </c>
      <c r="AD10483" s="21" t="s">
        <v>368</v>
      </c>
      <c r="AE10483" t="str">
        <f>VLOOKUP(Table_Query_from_Actuarial___Production3[[#This Row],[Kor1]],$AI$3:$AK$105,3,FALSE)</f>
        <v>Misc. Expense</v>
      </c>
      <c r="AF104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4" spans="18:32" x14ac:dyDescent="0.2">
      <c r="R10484" t="s">
        <v>13</v>
      </c>
      <c r="S10484" t="s">
        <v>242</v>
      </c>
      <c r="T10484" t="s">
        <v>441</v>
      </c>
      <c r="U10484" s="21">
        <v>86951.5</v>
      </c>
      <c r="V10484" s="21" t="s">
        <v>368</v>
      </c>
      <c r="W10484" t="str">
        <f>VLOOKUP(Table_Query_from_Actuarial___Production[[#This Row],[Kor1]],$AI$3:$AK$105,3,FALSE)</f>
        <v>Operating Service Fees</v>
      </c>
      <c r="X104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4"/>
      <c r="Z10484" t="s">
        <v>14</v>
      </c>
      <c r="AA10484" t="s">
        <v>244</v>
      </c>
      <c r="AB10484" t="s">
        <v>9</v>
      </c>
      <c r="AC10484" s="21">
        <v>113774.95</v>
      </c>
      <c r="AD10484" s="21" t="s">
        <v>368</v>
      </c>
      <c r="AE10484" t="str">
        <f>VLOOKUP(Table_Query_from_Actuarial___Production3[[#This Row],[Kor1]],$AI$3:$AK$105,3,FALSE)</f>
        <v>Claims Expense</v>
      </c>
      <c r="AF104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5" spans="18:32" x14ac:dyDescent="0.2">
      <c r="R10485" t="s">
        <v>11</v>
      </c>
      <c r="S10485" t="s">
        <v>224</v>
      </c>
      <c r="T10485" t="s">
        <v>433</v>
      </c>
      <c r="U10485" s="21">
        <v>385608.3</v>
      </c>
      <c r="V10485" s="21" t="s">
        <v>370</v>
      </c>
      <c r="W10485" t="str">
        <f>VLOOKUP(Table_Query_from_Actuarial___Production[[#This Row],[Kor1]],$AI$3:$AK$105,3,FALSE)</f>
        <v>Losses Paid</v>
      </c>
      <c r="X104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485"/>
      <c r="Z10485" t="s">
        <v>3</v>
      </c>
      <c r="AA10485" t="s">
        <v>224</v>
      </c>
      <c r="AB10485" t="s">
        <v>442</v>
      </c>
      <c r="AC10485" s="21">
        <v>1120214.3899999999</v>
      </c>
      <c r="AD10485" s="21" t="s">
        <v>370</v>
      </c>
      <c r="AE10485" t="str">
        <f>VLOOKUP(Table_Query_from_Actuarial___Production3[[#This Row],[Kor1]],$AI$3:$AK$105,3,FALSE)</f>
        <v>Premiums Written</v>
      </c>
      <c r="AF104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486" spans="18:32" x14ac:dyDescent="0.2">
      <c r="R10486" t="s">
        <v>33</v>
      </c>
      <c r="S10486" t="s">
        <v>227</v>
      </c>
      <c r="T10486" t="s">
        <v>9</v>
      </c>
      <c r="U10486" s="21">
        <v>21135.5</v>
      </c>
      <c r="V10486" s="21" t="s">
        <v>368</v>
      </c>
      <c r="W10486" t="str">
        <f>VLOOKUP(Table_Query_from_Actuarial___Production[[#This Row],[Kor1]],$AI$3:$AK$105,3,FALSE)</f>
        <v>Misc. Expense</v>
      </c>
      <c r="X104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6"/>
      <c r="Z10486" t="s">
        <v>46</v>
      </c>
      <c r="AA10486" t="s">
        <v>225</v>
      </c>
      <c r="AB10486" t="s">
        <v>351</v>
      </c>
      <c r="AC10486" s="21">
        <v>32641.79</v>
      </c>
      <c r="AD10486" s="21" t="s">
        <v>369</v>
      </c>
      <c r="AE10486" t="str">
        <f>VLOOKUP(Table_Query_from_Actuarial___Production3[[#This Row],[Kor1]],$AI$3:$AK$105,3,FALSE)</f>
        <v>Investment Income</v>
      </c>
      <c r="AF104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487" spans="18:32" x14ac:dyDescent="0.2">
      <c r="R10487" t="s">
        <v>20</v>
      </c>
      <c r="S10487" t="s">
        <v>234</v>
      </c>
      <c r="T10487" t="s">
        <v>445</v>
      </c>
      <c r="U10487" s="21">
        <v>56.96</v>
      </c>
      <c r="V10487" s="21" t="s">
        <v>368</v>
      </c>
      <c r="W10487" t="str">
        <f>VLOOKUP(Table_Query_from_Actuarial___Production[[#This Row],[Kor1]],$AI$3:$AK$105,3,FALSE)</f>
        <v>Misc. Expense</v>
      </c>
      <c r="X104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7"/>
      <c r="Z10487" t="s">
        <v>48</v>
      </c>
      <c r="AA10487" t="s">
        <v>252</v>
      </c>
      <c r="AB10487" t="s">
        <v>433</v>
      </c>
      <c r="AC10487" s="21">
        <v>71280</v>
      </c>
      <c r="AD10487" s="21" t="s">
        <v>368</v>
      </c>
      <c r="AE10487" t="str">
        <f>VLOOKUP(Table_Query_from_Actuarial___Production3[[#This Row],[Kor1]],$AI$3:$AK$105,3,FALSE)</f>
        <v>Anticipated Salvage</v>
      </c>
      <c r="AF104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88" spans="18:32" x14ac:dyDescent="0.2">
      <c r="R10488" t="s">
        <v>3</v>
      </c>
      <c r="S10488" t="s">
        <v>255</v>
      </c>
      <c r="T10488" t="s">
        <v>351</v>
      </c>
      <c r="U10488" s="21">
        <v>155445</v>
      </c>
      <c r="V10488" s="21" t="s">
        <v>368</v>
      </c>
      <c r="W10488" t="str">
        <f>VLOOKUP(Table_Query_from_Actuarial___Production[[#This Row],[Kor1]],$AI$3:$AK$105,3,FALSE)</f>
        <v>Premiums Written</v>
      </c>
      <c r="X104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8"/>
      <c r="Z10488" t="s">
        <v>3</v>
      </c>
      <c r="AA10488" t="s">
        <v>224</v>
      </c>
      <c r="AB10488" t="s">
        <v>5</v>
      </c>
      <c r="AC10488" s="21">
        <v>155572.01</v>
      </c>
      <c r="AD10488" s="21" t="s">
        <v>369</v>
      </c>
      <c r="AE10488" t="str">
        <f>VLOOKUP(Table_Query_from_Actuarial___Production3[[#This Row],[Kor1]],$AI$3:$AK$105,3,FALSE)</f>
        <v>Premiums Written</v>
      </c>
      <c r="AF104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489" spans="18:32" x14ac:dyDescent="0.2">
      <c r="R10489" t="s">
        <v>47</v>
      </c>
      <c r="S10489" t="s">
        <v>230</v>
      </c>
      <c r="T10489" t="s">
        <v>443</v>
      </c>
      <c r="U10489" s="21">
        <v>143466.1</v>
      </c>
      <c r="V10489" s="21" t="s">
        <v>368</v>
      </c>
      <c r="W10489" t="str">
        <f>VLOOKUP(Table_Query_from_Actuarial___Production[[#This Row],[Kor1]],$AI$3:$AK$105,3,FALSE)</f>
        <v>Investment Income</v>
      </c>
      <c r="X104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89"/>
      <c r="Z10489" t="s">
        <v>36</v>
      </c>
      <c r="AA10489" t="s">
        <v>234</v>
      </c>
      <c r="AB10489" t="s">
        <v>442</v>
      </c>
      <c r="AC10489" s="21">
        <v>500.02</v>
      </c>
      <c r="AD10489" s="21" t="s">
        <v>368</v>
      </c>
      <c r="AE10489" t="str">
        <f>VLOOKUP(Table_Query_from_Actuarial___Production3[[#This Row],[Kor1]],$AI$3:$AK$105,3,FALSE)</f>
        <v>Misc. Expense</v>
      </c>
      <c r="AF104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0" spans="18:32" x14ac:dyDescent="0.2">
      <c r="R10490" t="s">
        <v>46</v>
      </c>
      <c r="S10490" t="s">
        <v>354</v>
      </c>
      <c r="T10490" t="s">
        <v>445</v>
      </c>
      <c r="U10490" s="21">
        <v>1790356.21</v>
      </c>
      <c r="V10490" s="21" t="s">
        <v>368</v>
      </c>
      <c r="W10490" t="str">
        <f>VLOOKUP(Table_Query_from_Actuarial___Production[[#This Row],[Kor1]],$AI$3:$AK$105,3,FALSE)</f>
        <v>Investment Income</v>
      </c>
      <c r="X104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Commercial</v>
      </c>
      <c r="Y10490"/>
      <c r="Z10490" t="s">
        <v>14</v>
      </c>
      <c r="AA10490" t="s">
        <v>238</v>
      </c>
      <c r="AB10490" t="s">
        <v>356</v>
      </c>
      <c r="AC10490" s="21">
        <v>133379.79</v>
      </c>
      <c r="AD10490" s="21" t="s">
        <v>368</v>
      </c>
      <c r="AE10490" t="str">
        <f>VLOOKUP(Table_Query_from_Actuarial___Production3[[#This Row],[Kor1]],$AI$3:$AK$105,3,FALSE)</f>
        <v>Claims Expense</v>
      </c>
      <c r="AF104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1" spans="18:32" x14ac:dyDescent="0.2">
      <c r="R10491" t="s">
        <v>130</v>
      </c>
      <c r="S10491" t="s">
        <v>224</v>
      </c>
      <c r="T10491" t="s">
        <v>443</v>
      </c>
      <c r="U10491" s="21">
        <v>987995</v>
      </c>
      <c r="V10491" s="21" t="s">
        <v>370</v>
      </c>
      <c r="W10491" t="str">
        <f>VLOOKUP(Table_Query_from_Actuarial___Production[[#This Row],[Kor1]],$AI$3:$AK$105,3,FALSE)</f>
        <v>CPAI Charge-offs</v>
      </c>
      <c r="X104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491"/>
      <c r="Z10491" t="s">
        <v>10</v>
      </c>
      <c r="AA10491" t="s">
        <v>244</v>
      </c>
      <c r="AB10491" t="s">
        <v>441</v>
      </c>
      <c r="AC10491" s="21">
        <v>279862.27</v>
      </c>
      <c r="AD10491" s="21" t="s">
        <v>368</v>
      </c>
      <c r="AE10491" t="str">
        <f>VLOOKUP(Table_Query_from_Actuarial___Production3[[#This Row],[Kor1]],$AI$3:$AK$105,3,FALSE)</f>
        <v>Commissions</v>
      </c>
      <c r="AF104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2" spans="18:32" x14ac:dyDescent="0.2">
      <c r="R10492" t="s">
        <v>41</v>
      </c>
      <c r="S10492" t="s">
        <v>241</v>
      </c>
      <c r="T10492" t="s">
        <v>441</v>
      </c>
      <c r="U10492" s="21">
        <v>400</v>
      </c>
      <c r="V10492" s="21" t="s">
        <v>368</v>
      </c>
      <c r="W10492" t="str">
        <f>VLOOKUP(Table_Query_from_Actuarial___Production[[#This Row],[Kor1]],$AI$3:$AK$105,3,FALSE)</f>
        <v>Misc. Income</v>
      </c>
      <c r="X104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2"/>
      <c r="Z10492" t="s">
        <v>49</v>
      </c>
      <c r="AA10492" t="s">
        <v>233</v>
      </c>
      <c r="AB10492" t="s">
        <v>6</v>
      </c>
      <c r="AC10492" s="21">
        <v>2935.66</v>
      </c>
      <c r="AD10492" s="21" t="s">
        <v>368</v>
      </c>
      <c r="AE10492" t="str">
        <f>VLOOKUP(Table_Query_from_Actuarial___Production3[[#This Row],[Kor1]],$AI$3:$AK$105,3,FALSE)</f>
        <v>ALAE Paid</v>
      </c>
      <c r="AF104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3" spans="18:32" x14ac:dyDescent="0.2">
      <c r="R10493" t="s">
        <v>31</v>
      </c>
      <c r="S10493" t="s">
        <v>263</v>
      </c>
      <c r="T10493" t="s">
        <v>427</v>
      </c>
      <c r="U10493" s="21">
        <v>720.06</v>
      </c>
      <c r="V10493" s="21" t="s">
        <v>368</v>
      </c>
      <c r="W10493" t="str">
        <f>VLOOKUP(Table_Query_from_Actuarial___Production[[#This Row],[Kor1]],$AI$3:$AK$105,3,FALSE)</f>
        <v>Misc. Expense</v>
      </c>
      <c r="X104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3"/>
      <c r="Z10493" t="s">
        <v>11</v>
      </c>
      <c r="AA10493" t="s">
        <v>267</v>
      </c>
      <c r="AB10493" t="s">
        <v>443</v>
      </c>
      <c r="AC10493" s="21">
        <v>9340.06</v>
      </c>
      <c r="AD10493" s="21" t="s">
        <v>368</v>
      </c>
      <c r="AE10493" t="str">
        <f>VLOOKUP(Table_Query_from_Actuarial___Production3[[#This Row],[Kor1]],$AI$3:$AK$105,3,FALSE)</f>
        <v>Losses Paid</v>
      </c>
      <c r="AF104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4" spans="18:32" x14ac:dyDescent="0.2">
      <c r="R10494" t="s">
        <v>47</v>
      </c>
      <c r="S10494" t="s">
        <v>235</v>
      </c>
      <c r="T10494" t="s">
        <v>445</v>
      </c>
      <c r="U10494" s="21">
        <v>10455.91</v>
      </c>
      <c r="V10494" s="21" t="s">
        <v>368</v>
      </c>
      <c r="W10494" t="str">
        <f>VLOOKUP(Table_Query_from_Actuarial___Production[[#This Row],[Kor1]],$AI$3:$AK$105,3,FALSE)</f>
        <v>Investment Income</v>
      </c>
      <c r="X104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4"/>
      <c r="Z10494" t="s">
        <v>20</v>
      </c>
      <c r="AA10494" t="s">
        <v>236</v>
      </c>
      <c r="AB10494" t="s">
        <v>8</v>
      </c>
      <c r="AC10494" s="21">
        <v>14.43</v>
      </c>
      <c r="AD10494" s="21" t="s">
        <v>368</v>
      </c>
      <c r="AE10494" t="str">
        <f>VLOOKUP(Table_Query_from_Actuarial___Production3[[#This Row],[Kor1]],$AI$3:$AK$105,3,FALSE)</f>
        <v>Misc. Expense</v>
      </c>
      <c r="AF104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5" spans="18:32" x14ac:dyDescent="0.2">
      <c r="R10495" t="s">
        <v>11</v>
      </c>
      <c r="S10495" t="s">
        <v>239</v>
      </c>
      <c r="T10495" t="s">
        <v>8</v>
      </c>
      <c r="U10495" s="21">
        <v>849517.33</v>
      </c>
      <c r="V10495" s="21" t="s">
        <v>368</v>
      </c>
      <c r="W10495" t="str">
        <f>VLOOKUP(Table_Query_from_Actuarial___Production[[#This Row],[Kor1]],$AI$3:$AK$105,3,FALSE)</f>
        <v>Losses Paid</v>
      </c>
      <c r="X104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5"/>
      <c r="Z10495" t="s">
        <v>32</v>
      </c>
      <c r="AA10495" t="s">
        <v>246</v>
      </c>
      <c r="AB10495" t="s">
        <v>9</v>
      </c>
      <c r="AC10495" s="21">
        <v>4899.88</v>
      </c>
      <c r="AD10495" s="21" t="s">
        <v>368</v>
      </c>
      <c r="AE10495" t="str">
        <f>VLOOKUP(Table_Query_from_Actuarial___Production3[[#This Row],[Kor1]],$AI$3:$AK$105,3,FALSE)</f>
        <v>Misc. Expense</v>
      </c>
      <c r="AF104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6" spans="18:32" x14ac:dyDescent="0.2">
      <c r="R10496" t="s">
        <v>10</v>
      </c>
      <c r="S10496" t="s">
        <v>253</v>
      </c>
      <c r="T10496" t="s">
        <v>427</v>
      </c>
      <c r="U10496" s="21">
        <v>240.2</v>
      </c>
      <c r="V10496" s="21" t="s">
        <v>368</v>
      </c>
      <c r="W10496" t="str">
        <f>VLOOKUP(Table_Query_from_Actuarial___Production[[#This Row],[Kor1]],$AI$3:$AK$105,3,FALSE)</f>
        <v>Commissions</v>
      </c>
      <c r="X104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6"/>
      <c r="Z10496" t="s">
        <v>439</v>
      </c>
      <c r="AA10496" t="s">
        <v>262</v>
      </c>
      <c r="AB10496" t="s">
        <v>443</v>
      </c>
      <c r="AC10496" s="21">
        <v>-6394.75</v>
      </c>
      <c r="AD10496" s="21" t="s">
        <v>368</v>
      </c>
      <c r="AE10496" t="str">
        <f>VLOOKUP(Table_Query_from_Actuarial___Production3[[#This Row],[Kor1]],$AI$3:$AK$105,3,FALSE)</f>
        <v>Operating Service Fees</v>
      </c>
      <c r="AF104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7" spans="18:32" x14ac:dyDescent="0.2">
      <c r="R10497" t="s">
        <v>32</v>
      </c>
      <c r="S10497" t="s">
        <v>239</v>
      </c>
      <c r="T10497" t="s">
        <v>433</v>
      </c>
      <c r="U10497" s="21">
        <v>51991.94</v>
      </c>
      <c r="V10497" s="21" t="s">
        <v>368</v>
      </c>
      <c r="W10497" t="str">
        <f>VLOOKUP(Table_Query_from_Actuarial___Production[[#This Row],[Kor1]],$AI$3:$AK$105,3,FALSE)</f>
        <v>Misc. Expense</v>
      </c>
      <c r="X104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7"/>
      <c r="Z10497" t="s">
        <v>13</v>
      </c>
      <c r="AA10497" t="s">
        <v>242</v>
      </c>
      <c r="AB10497" t="s">
        <v>441</v>
      </c>
      <c r="AC10497" s="21">
        <v>86951.5</v>
      </c>
      <c r="AD10497" s="21" t="s">
        <v>368</v>
      </c>
      <c r="AE10497" t="str">
        <f>VLOOKUP(Table_Query_from_Actuarial___Production3[[#This Row],[Kor1]],$AI$3:$AK$105,3,FALSE)</f>
        <v>Operating Service Fees</v>
      </c>
      <c r="AF104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498" spans="18:32" x14ac:dyDescent="0.2">
      <c r="R10498" t="s">
        <v>49</v>
      </c>
      <c r="S10498" t="s">
        <v>228</v>
      </c>
      <c r="T10498" t="s">
        <v>7</v>
      </c>
      <c r="U10498" s="21">
        <v>98.4</v>
      </c>
      <c r="V10498" s="21" t="s">
        <v>368</v>
      </c>
      <c r="W10498" t="str">
        <f>VLOOKUP(Table_Query_from_Actuarial___Production[[#This Row],[Kor1]],$AI$3:$AK$105,3,FALSE)</f>
        <v>ALAE Paid</v>
      </c>
      <c r="X104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498"/>
      <c r="Z10498" t="s">
        <v>11</v>
      </c>
      <c r="AA10498" t="s">
        <v>224</v>
      </c>
      <c r="AB10498" t="s">
        <v>433</v>
      </c>
      <c r="AC10498" s="21">
        <v>375919.92</v>
      </c>
      <c r="AD10498" s="21" t="s">
        <v>370</v>
      </c>
      <c r="AE10498" t="str">
        <f>VLOOKUP(Table_Query_from_Actuarial___Production3[[#This Row],[Kor1]],$AI$3:$AK$105,3,FALSE)</f>
        <v>Losses Paid</v>
      </c>
      <c r="AF104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499" spans="18:32" x14ac:dyDescent="0.2">
      <c r="R10499" t="s">
        <v>43</v>
      </c>
      <c r="S10499" t="s">
        <v>226</v>
      </c>
      <c r="T10499" t="s">
        <v>442</v>
      </c>
      <c r="U10499" s="21">
        <v>185.7</v>
      </c>
      <c r="V10499" s="21" t="s">
        <v>368</v>
      </c>
      <c r="W10499" t="str">
        <f>VLOOKUP(Table_Query_from_Actuarial___Production[[#This Row],[Kor1]],$AI$3:$AK$105,3,FALSE)</f>
        <v>Charge-offs</v>
      </c>
      <c r="X104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499"/>
      <c r="Z10499" t="s">
        <v>33</v>
      </c>
      <c r="AA10499" t="s">
        <v>227</v>
      </c>
      <c r="AB10499" t="s">
        <v>9</v>
      </c>
      <c r="AC10499" s="21">
        <v>21135.5</v>
      </c>
      <c r="AD10499" s="21" t="s">
        <v>368</v>
      </c>
      <c r="AE10499" t="str">
        <f>VLOOKUP(Table_Query_from_Actuarial___Production3[[#This Row],[Kor1]],$AI$3:$AK$105,3,FALSE)</f>
        <v>Misc. Expense</v>
      </c>
      <c r="AF104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0" spans="18:32" x14ac:dyDescent="0.2">
      <c r="R10500" t="s">
        <v>10</v>
      </c>
      <c r="S10500" t="s">
        <v>258</v>
      </c>
      <c r="T10500" t="s">
        <v>441</v>
      </c>
      <c r="U10500" s="21">
        <v>229497.84</v>
      </c>
      <c r="V10500" s="21" t="s">
        <v>368</v>
      </c>
      <c r="W10500" t="str">
        <f>VLOOKUP(Table_Query_from_Actuarial___Production[[#This Row],[Kor1]],$AI$3:$AK$105,3,FALSE)</f>
        <v>Commissions</v>
      </c>
      <c r="X105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0"/>
      <c r="Z10500" t="s">
        <v>14</v>
      </c>
      <c r="AA10500" t="s">
        <v>246</v>
      </c>
      <c r="AB10500" t="s">
        <v>5</v>
      </c>
      <c r="AC10500" s="21">
        <v>9800.8799999999992</v>
      </c>
      <c r="AD10500" s="21" t="s">
        <v>368</v>
      </c>
      <c r="AE10500" t="str">
        <f>VLOOKUP(Table_Query_from_Actuarial___Production3[[#This Row],[Kor1]],$AI$3:$AK$105,3,FALSE)</f>
        <v>Claims Expense</v>
      </c>
      <c r="AF105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1" spans="18:32" x14ac:dyDescent="0.2">
      <c r="R10501" t="s">
        <v>49</v>
      </c>
      <c r="S10501" t="s">
        <v>231</v>
      </c>
      <c r="T10501" t="s">
        <v>9</v>
      </c>
      <c r="U10501" s="21">
        <v>19902.37</v>
      </c>
      <c r="V10501" s="21" t="s">
        <v>368</v>
      </c>
      <c r="W10501" t="str">
        <f>VLOOKUP(Table_Query_from_Actuarial___Production[[#This Row],[Kor1]],$AI$3:$AK$105,3,FALSE)</f>
        <v>ALAE Paid</v>
      </c>
      <c r="X105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1"/>
      <c r="Z10501" t="s">
        <v>3</v>
      </c>
      <c r="AA10501" t="s">
        <v>255</v>
      </c>
      <c r="AB10501" t="s">
        <v>351</v>
      </c>
      <c r="AC10501" s="21">
        <v>155445</v>
      </c>
      <c r="AD10501" s="21" t="s">
        <v>368</v>
      </c>
      <c r="AE10501" t="str">
        <f>VLOOKUP(Table_Query_from_Actuarial___Production3[[#This Row],[Kor1]],$AI$3:$AK$105,3,FALSE)</f>
        <v>Premiums Written</v>
      </c>
      <c r="AF105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2" spans="18:32" x14ac:dyDescent="0.2">
      <c r="R10502" t="s">
        <v>14</v>
      </c>
      <c r="S10502" t="s">
        <v>236</v>
      </c>
      <c r="T10502" t="s">
        <v>8</v>
      </c>
      <c r="U10502" s="21">
        <v>2991.15</v>
      </c>
      <c r="V10502" s="21" t="s">
        <v>368</v>
      </c>
      <c r="W10502" t="str">
        <f>VLOOKUP(Table_Query_from_Actuarial___Production[[#This Row],[Kor1]],$AI$3:$AK$105,3,FALSE)</f>
        <v>Claims Expense</v>
      </c>
      <c r="X105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2"/>
      <c r="Z10502" t="s">
        <v>47</v>
      </c>
      <c r="AA10502" t="s">
        <v>230</v>
      </c>
      <c r="AB10502" t="s">
        <v>443</v>
      </c>
      <c r="AC10502" s="21">
        <v>47826.16</v>
      </c>
      <c r="AD10502" s="21" t="s">
        <v>368</v>
      </c>
      <c r="AE10502" t="str">
        <f>VLOOKUP(Table_Query_from_Actuarial___Production3[[#This Row],[Kor1]],$AI$3:$AK$105,3,FALSE)</f>
        <v>Investment Income</v>
      </c>
      <c r="AF105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3" spans="18:32" x14ac:dyDescent="0.2">
      <c r="R10503" t="s">
        <v>15</v>
      </c>
      <c r="S10503" t="s">
        <v>252</v>
      </c>
      <c r="T10503" t="s">
        <v>443</v>
      </c>
      <c r="U10503" s="21">
        <v>3249429.97</v>
      </c>
      <c r="V10503" s="21" t="s">
        <v>368</v>
      </c>
      <c r="W10503" t="str">
        <f>VLOOKUP(Table_Query_from_Actuarial___Production[[#This Row],[Kor1]],$AI$3:$AK$105,3,FALSE)</f>
        <v>Unearned Premiums</v>
      </c>
      <c r="X105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3"/>
      <c r="Z10503" t="s">
        <v>130</v>
      </c>
      <c r="AA10503" t="s">
        <v>224</v>
      </c>
      <c r="AB10503" t="s">
        <v>443</v>
      </c>
      <c r="AC10503" s="21">
        <v>492888</v>
      </c>
      <c r="AD10503" s="21" t="s">
        <v>370</v>
      </c>
      <c r="AE10503" t="str">
        <f>VLOOKUP(Table_Query_from_Actuarial___Production3[[#This Row],[Kor1]],$AI$3:$AK$105,3,FALSE)</f>
        <v>CPAI Charge-offs</v>
      </c>
      <c r="AF105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504" spans="18:32" x14ac:dyDescent="0.2">
      <c r="R10504" t="s">
        <v>31</v>
      </c>
      <c r="S10504" t="s">
        <v>4</v>
      </c>
      <c r="T10504" t="s">
        <v>427</v>
      </c>
      <c r="U10504" s="21">
        <v>-7060.09</v>
      </c>
      <c r="V10504" s="21" t="s">
        <v>368</v>
      </c>
      <c r="W10504" t="str">
        <f>VLOOKUP(Table_Query_from_Actuarial___Production[[#This Row],[Kor1]],$AI$3:$AK$105,3,FALSE)</f>
        <v>Misc. Expense</v>
      </c>
      <c r="X105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4"/>
      <c r="Z10504" t="s">
        <v>41</v>
      </c>
      <c r="AA10504" t="s">
        <v>241</v>
      </c>
      <c r="AB10504" t="s">
        <v>441</v>
      </c>
      <c r="AC10504" s="21">
        <v>400</v>
      </c>
      <c r="AD10504" s="21" t="s">
        <v>368</v>
      </c>
      <c r="AE10504" t="str">
        <f>VLOOKUP(Table_Query_from_Actuarial___Production3[[#This Row],[Kor1]],$AI$3:$AK$105,3,FALSE)</f>
        <v>Misc. Income</v>
      </c>
      <c r="AF105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5" spans="18:32" x14ac:dyDescent="0.2">
      <c r="R10505" t="s">
        <v>33</v>
      </c>
      <c r="S10505" t="s">
        <v>243</v>
      </c>
      <c r="T10505" t="s">
        <v>443</v>
      </c>
      <c r="U10505" s="21">
        <v>16385.349999999999</v>
      </c>
      <c r="V10505" s="21" t="s">
        <v>368</v>
      </c>
      <c r="W10505" t="str">
        <f>VLOOKUP(Table_Query_from_Actuarial___Production[[#This Row],[Kor1]],$AI$3:$AK$105,3,FALSE)</f>
        <v>Misc. Expense</v>
      </c>
      <c r="X105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5"/>
      <c r="Z10505" t="s">
        <v>31</v>
      </c>
      <c r="AA10505" t="s">
        <v>263</v>
      </c>
      <c r="AB10505" t="s">
        <v>427</v>
      </c>
      <c r="AC10505" s="21">
        <v>720.06</v>
      </c>
      <c r="AD10505" s="21" t="s">
        <v>368</v>
      </c>
      <c r="AE10505" t="str">
        <f>VLOOKUP(Table_Query_from_Actuarial___Production3[[#This Row],[Kor1]],$AI$3:$AK$105,3,FALSE)</f>
        <v>Misc. Expense</v>
      </c>
      <c r="AF105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6" spans="18:32" x14ac:dyDescent="0.2">
      <c r="R10506" t="s">
        <v>10</v>
      </c>
      <c r="S10506" t="s">
        <v>233</v>
      </c>
      <c r="T10506" t="s">
        <v>441</v>
      </c>
      <c r="U10506" s="21">
        <v>65916.66</v>
      </c>
      <c r="V10506" s="21" t="s">
        <v>368</v>
      </c>
      <c r="W10506" t="str">
        <f>VLOOKUP(Table_Query_from_Actuarial___Production[[#This Row],[Kor1]],$AI$3:$AK$105,3,FALSE)</f>
        <v>Commissions</v>
      </c>
      <c r="X105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6"/>
      <c r="Z10506" t="s">
        <v>11</v>
      </c>
      <c r="AA10506" t="s">
        <v>239</v>
      </c>
      <c r="AB10506" t="s">
        <v>8</v>
      </c>
      <c r="AC10506" s="21">
        <v>849517.33</v>
      </c>
      <c r="AD10506" s="21" t="s">
        <v>368</v>
      </c>
      <c r="AE10506" t="str">
        <f>VLOOKUP(Table_Query_from_Actuarial___Production3[[#This Row],[Kor1]],$AI$3:$AK$105,3,FALSE)</f>
        <v>Losses Paid</v>
      </c>
      <c r="AF105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7" spans="18:32" x14ac:dyDescent="0.2">
      <c r="R10507" t="s">
        <v>47</v>
      </c>
      <c r="S10507" t="s">
        <v>229</v>
      </c>
      <c r="T10507" t="s">
        <v>356</v>
      </c>
      <c r="U10507" s="21">
        <v>553.51</v>
      </c>
      <c r="V10507" s="21" t="s">
        <v>368</v>
      </c>
      <c r="W10507" t="str">
        <f>VLOOKUP(Table_Query_from_Actuarial___Production[[#This Row],[Kor1]],$AI$3:$AK$105,3,FALSE)</f>
        <v>Investment Income</v>
      </c>
      <c r="X105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7"/>
      <c r="Z10507" t="s">
        <v>10</v>
      </c>
      <c r="AA10507" t="s">
        <v>253</v>
      </c>
      <c r="AB10507" t="s">
        <v>427</v>
      </c>
      <c r="AC10507" s="21">
        <v>240.2</v>
      </c>
      <c r="AD10507" s="21" t="s">
        <v>368</v>
      </c>
      <c r="AE10507" t="str">
        <f>VLOOKUP(Table_Query_from_Actuarial___Production3[[#This Row],[Kor1]],$AI$3:$AK$105,3,FALSE)</f>
        <v>Commissions</v>
      </c>
      <c r="AF105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8" spans="18:32" x14ac:dyDescent="0.2">
      <c r="R10508" t="s">
        <v>10</v>
      </c>
      <c r="S10508" t="s">
        <v>243</v>
      </c>
      <c r="T10508" t="s">
        <v>7</v>
      </c>
      <c r="U10508" s="21">
        <v>36201.589999999997</v>
      </c>
      <c r="V10508" s="21" t="s">
        <v>368</v>
      </c>
      <c r="W10508" t="str">
        <f>VLOOKUP(Table_Query_from_Actuarial___Production[[#This Row],[Kor1]],$AI$3:$AK$105,3,FALSE)</f>
        <v>Commissions</v>
      </c>
      <c r="X105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8"/>
      <c r="Z10508" t="s">
        <v>32</v>
      </c>
      <c r="AA10508" t="s">
        <v>239</v>
      </c>
      <c r="AB10508" t="s">
        <v>433</v>
      </c>
      <c r="AC10508" s="21">
        <v>51991.94</v>
      </c>
      <c r="AD10508" s="21" t="s">
        <v>368</v>
      </c>
      <c r="AE10508" t="str">
        <f>VLOOKUP(Table_Query_from_Actuarial___Production3[[#This Row],[Kor1]],$AI$3:$AK$105,3,FALSE)</f>
        <v>Misc. Expense</v>
      </c>
      <c r="AF105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09" spans="18:32" x14ac:dyDescent="0.2">
      <c r="R10509" t="s">
        <v>13</v>
      </c>
      <c r="S10509" t="s">
        <v>242</v>
      </c>
      <c r="T10509" t="s">
        <v>351</v>
      </c>
      <c r="U10509" s="21">
        <v>59120.93</v>
      </c>
      <c r="V10509" s="21" t="s">
        <v>368</v>
      </c>
      <c r="W10509" t="str">
        <f>VLOOKUP(Table_Query_from_Actuarial___Production[[#This Row],[Kor1]],$AI$3:$AK$105,3,FALSE)</f>
        <v>Operating Service Fees</v>
      </c>
      <c r="X105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09"/>
      <c r="Z10509" t="s">
        <v>49</v>
      </c>
      <c r="AA10509" t="s">
        <v>228</v>
      </c>
      <c r="AB10509" t="s">
        <v>7</v>
      </c>
      <c r="AC10509" s="21">
        <v>98.4</v>
      </c>
      <c r="AD10509" s="21" t="s">
        <v>368</v>
      </c>
      <c r="AE10509" t="str">
        <f>VLOOKUP(Table_Query_from_Actuarial___Production3[[#This Row],[Kor1]],$AI$3:$AK$105,3,FALSE)</f>
        <v>ALAE Paid</v>
      </c>
      <c r="AF105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0" spans="18:32" x14ac:dyDescent="0.2">
      <c r="R10510" t="s">
        <v>43</v>
      </c>
      <c r="S10510" t="s">
        <v>251</v>
      </c>
      <c r="T10510" t="s">
        <v>427</v>
      </c>
      <c r="U10510" s="21">
        <v>-292.31</v>
      </c>
      <c r="V10510" s="21" t="s">
        <v>368</v>
      </c>
      <c r="W10510" t="str">
        <f>VLOOKUP(Table_Query_from_Actuarial___Production[[#This Row],[Kor1]],$AI$3:$AK$105,3,FALSE)</f>
        <v>Charge-offs</v>
      </c>
      <c r="X105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0"/>
      <c r="Z10510" t="s">
        <v>43</v>
      </c>
      <c r="AA10510" t="s">
        <v>226</v>
      </c>
      <c r="AB10510" t="s">
        <v>442</v>
      </c>
      <c r="AC10510" s="21">
        <v>185.7</v>
      </c>
      <c r="AD10510" s="21" t="s">
        <v>368</v>
      </c>
      <c r="AE10510" t="str">
        <f>VLOOKUP(Table_Query_from_Actuarial___Production3[[#This Row],[Kor1]],$AI$3:$AK$105,3,FALSE)</f>
        <v>Charge-offs</v>
      </c>
      <c r="AF105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511" spans="18:32" x14ac:dyDescent="0.2">
      <c r="R10511" t="s">
        <v>107</v>
      </c>
      <c r="S10511" t="s">
        <v>259</v>
      </c>
      <c r="T10511" t="s">
        <v>427</v>
      </c>
      <c r="U10511" s="21">
        <v>22.1</v>
      </c>
      <c r="V10511" s="21" t="s">
        <v>368</v>
      </c>
      <c r="W10511" t="str">
        <f>VLOOKUP(Table_Query_from_Actuarial___Production[[#This Row],[Kor1]],$AI$3:$AK$105,3,FALSE)</f>
        <v>Misc. Expense</v>
      </c>
      <c r="X105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1"/>
      <c r="Z10511" t="s">
        <v>10</v>
      </c>
      <c r="AA10511" t="s">
        <v>258</v>
      </c>
      <c r="AB10511" t="s">
        <v>441</v>
      </c>
      <c r="AC10511" s="21">
        <v>229476.59</v>
      </c>
      <c r="AD10511" s="21" t="s">
        <v>368</v>
      </c>
      <c r="AE10511" t="str">
        <f>VLOOKUP(Table_Query_from_Actuarial___Production3[[#This Row],[Kor1]],$AI$3:$AK$105,3,FALSE)</f>
        <v>Commissions</v>
      </c>
      <c r="AF105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2" spans="18:32" x14ac:dyDescent="0.2">
      <c r="R10512" t="s">
        <v>3</v>
      </c>
      <c r="S10512" t="s">
        <v>262</v>
      </c>
      <c r="T10512" t="s">
        <v>9</v>
      </c>
      <c r="U10512" s="21">
        <v>243284</v>
      </c>
      <c r="V10512" s="21" t="s">
        <v>368</v>
      </c>
      <c r="W10512" t="str">
        <f>VLOOKUP(Table_Query_from_Actuarial___Production[[#This Row],[Kor1]],$AI$3:$AK$105,3,FALSE)</f>
        <v>Premiums Written</v>
      </c>
      <c r="X105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2"/>
      <c r="Z10512" t="s">
        <v>34</v>
      </c>
      <c r="AA10512" t="s">
        <v>257</v>
      </c>
      <c r="AB10512" t="s">
        <v>5</v>
      </c>
      <c r="AC10512" s="21">
        <v>104.34</v>
      </c>
      <c r="AD10512" s="21" t="s">
        <v>368</v>
      </c>
      <c r="AE10512" t="str">
        <f>VLOOKUP(Table_Query_from_Actuarial___Production3[[#This Row],[Kor1]],$AI$3:$AK$105,3,FALSE)</f>
        <v>Misc. Expense</v>
      </c>
      <c r="AF105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3" spans="18:32" x14ac:dyDescent="0.2">
      <c r="R10513" t="s">
        <v>13</v>
      </c>
      <c r="S10513" t="s">
        <v>246</v>
      </c>
      <c r="T10513" t="s">
        <v>442</v>
      </c>
      <c r="U10513" s="21">
        <v>402624.56</v>
      </c>
      <c r="V10513" s="21" t="s">
        <v>368</v>
      </c>
      <c r="W10513" t="str">
        <f>VLOOKUP(Table_Query_from_Actuarial___Production[[#This Row],[Kor1]],$AI$3:$AK$105,3,FALSE)</f>
        <v>Operating Service Fees</v>
      </c>
      <c r="X105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3"/>
      <c r="Z10513" t="s">
        <v>49</v>
      </c>
      <c r="AA10513" t="s">
        <v>231</v>
      </c>
      <c r="AB10513" t="s">
        <v>9</v>
      </c>
      <c r="AC10513" s="21">
        <v>19902.37</v>
      </c>
      <c r="AD10513" s="21" t="s">
        <v>368</v>
      </c>
      <c r="AE10513" t="str">
        <f>VLOOKUP(Table_Query_from_Actuarial___Production3[[#This Row],[Kor1]],$AI$3:$AK$105,3,FALSE)</f>
        <v>ALAE Paid</v>
      </c>
      <c r="AF105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4" spans="18:32" x14ac:dyDescent="0.2">
      <c r="R10514" t="s">
        <v>14</v>
      </c>
      <c r="S10514" t="s">
        <v>255</v>
      </c>
      <c r="T10514" t="s">
        <v>443</v>
      </c>
      <c r="U10514" s="21">
        <v>18659.03</v>
      </c>
      <c r="V10514" s="21" t="s">
        <v>368</v>
      </c>
      <c r="W10514" t="str">
        <f>VLOOKUP(Table_Query_from_Actuarial___Production[[#This Row],[Kor1]],$AI$3:$AK$105,3,FALSE)</f>
        <v>Claims Expense</v>
      </c>
      <c r="X105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4"/>
      <c r="Z10514" t="s">
        <v>14</v>
      </c>
      <c r="AA10514" t="s">
        <v>236</v>
      </c>
      <c r="AB10514" t="s">
        <v>8</v>
      </c>
      <c r="AC10514" s="21">
        <v>2991.15</v>
      </c>
      <c r="AD10514" s="21" t="s">
        <v>368</v>
      </c>
      <c r="AE10514" t="str">
        <f>VLOOKUP(Table_Query_from_Actuarial___Production3[[#This Row],[Kor1]],$AI$3:$AK$105,3,FALSE)</f>
        <v>Claims Expense</v>
      </c>
      <c r="AF105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5" spans="18:32" x14ac:dyDescent="0.2">
      <c r="R10515" t="s">
        <v>11</v>
      </c>
      <c r="S10515" t="s">
        <v>268</v>
      </c>
      <c r="T10515" t="s">
        <v>433</v>
      </c>
      <c r="U10515" s="21">
        <v>9554.98</v>
      </c>
      <c r="V10515" s="21" t="s">
        <v>368</v>
      </c>
      <c r="W10515" t="str">
        <f>VLOOKUP(Table_Query_from_Actuarial___Production[[#This Row],[Kor1]],$AI$3:$AK$105,3,FALSE)</f>
        <v>Losses Paid</v>
      </c>
      <c r="X105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5"/>
      <c r="Z10515" t="s">
        <v>15</v>
      </c>
      <c r="AA10515" t="s">
        <v>252</v>
      </c>
      <c r="AB10515" t="s">
        <v>443</v>
      </c>
      <c r="AC10515" s="21">
        <v>6744547.4100000001</v>
      </c>
      <c r="AD10515" s="21" t="s">
        <v>368</v>
      </c>
      <c r="AE10515" t="str">
        <f>VLOOKUP(Table_Query_from_Actuarial___Production3[[#This Row],[Kor1]],$AI$3:$AK$105,3,FALSE)</f>
        <v>Unearned Premiums</v>
      </c>
      <c r="AF105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6" spans="18:32" x14ac:dyDescent="0.2">
      <c r="R10516" t="s">
        <v>12</v>
      </c>
      <c r="S10516" t="s">
        <v>243</v>
      </c>
      <c r="T10516" t="s">
        <v>9</v>
      </c>
      <c r="U10516" s="21">
        <v>5316.1</v>
      </c>
      <c r="V10516" s="21" t="s">
        <v>368</v>
      </c>
      <c r="W10516" t="str">
        <f>VLOOKUP(Table_Query_from_Actuarial___Production[[#This Row],[Kor1]],$AI$3:$AK$105,3,FALSE)</f>
        <v>Premium Tax</v>
      </c>
      <c r="X105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6"/>
      <c r="Z10516" t="s">
        <v>31</v>
      </c>
      <c r="AA10516" t="s">
        <v>4</v>
      </c>
      <c r="AB10516" t="s">
        <v>427</v>
      </c>
      <c r="AC10516" s="21">
        <v>-7060.09</v>
      </c>
      <c r="AD10516" s="21" t="s">
        <v>368</v>
      </c>
      <c r="AE10516" t="str">
        <f>VLOOKUP(Table_Query_from_Actuarial___Production3[[#This Row],[Kor1]],$AI$3:$AK$105,3,FALSE)</f>
        <v>Misc. Expense</v>
      </c>
      <c r="AF105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7" spans="18:32" x14ac:dyDescent="0.2">
      <c r="R10517" t="s">
        <v>43</v>
      </c>
      <c r="S10517" t="s">
        <v>252</v>
      </c>
      <c r="T10517" t="s">
        <v>442</v>
      </c>
      <c r="U10517" s="21">
        <v>80612.53</v>
      </c>
      <c r="V10517" s="21" t="s">
        <v>368</v>
      </c>
      <c r="W10517" t="str">
        <f>VLOOKUP(Table_Query_from_Actuarial___Production[[#This Row],[Kor1]],$AI$3:$AK$105,3,FALSE)</f>
        <v>Charge-offs</v>
      </c>
      <c r="X105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7"/>
      <c r="Z10517" t="s">
        <v>33</v>
      </c>
      <c r="AA10517" t="s">
        <v>243</v>
      </c>
      <c r="AB10517" t="s">
        <v>443</v>
      </c>
      <c r="AC10517" s="21">
        <v>8374.26</v>
      </c>
      <c r="AD10517" s="21" t="s">
        <v>368</v>
      </c>
      <c r="AE10517" t="str">
        <f>VLOOKUP(Table_Query_from_Actuarial___Production3[[#This Row],[Kor1]],$AI$3:$AK$105,3,FALSE)</f>
        <v>Misc. Expense</v>
      </c>
      <c r="AF105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8" spans="18:32" x14ac:dyDescent="0.2">
      <c r="R10518" t="s">
        <v>13</v>
      </c>
      <c r="S10518" t="s">
        <v>247</v>
      </c>
      <c r="T10518" t="s">
        <v>442</v>
      </c>
      <c r="U10518" s="21">
        <v>1189.9000000000001</v>
      </c>
      <c r="V10518" s="21" t="s">
        <v>368</v>
      </c>
      <c r="W10518" t="str">
        <f>VLOOKUP(Table_Query_from_Actuarial___Production[[#This Row],[Kor1]],$AI$3:$AK$105,3,FALSE)</f>
        <v>Operating Service Fees</v>
      </c>
      <c r="X105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8"/>
      <c r="Z10518" t="s">
        <v>10</v>
      </c>
      <c r="AA10518" t="s">
        <v>233</v>
      </c>
      <c r="AB10518" t="s">
        <v>441</v>
      </c>
      <c r="AC10518" s="21">
        <v>65916.66</v>
      </c>
      <c r="AD10518" s="21" t="s">
        <v>368</v>
      </c>
      <c r="AE10518" t="str">
        <f>VLOOKUP(Table_Query_from_Actuarial___Production3[[#This Row],[Kor1]],$AI$3:$AK$105,3,FALSE)</f>
        <v>Commissions</v>
      </c>
      <c r="AF105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19" spans="18:32" x14ac:dyDescent="0.2">
      <c r="R10519" t="s">
        <v>16</v>
      </c>
      <c r="S10519" t="s">
        <v>258</v>
      </c>
      <c r="T10519" t="s">
        <v>433</v>
      </c>
      <c r="U10519" s="21">
        <v>27187.48</v>
      </c>
      <c r="V10519" s="21" t="s">
        <v>368</v>
      </c>
      <c r="W10519" t="str">
        <f>VLOOKUP(Table_Query_from_Actuarial___Production[[#This Row],[Kor1]],$AI$3:$AK$105,3,FALSE)</f>
        <v>Losses Outstanding</v>
      </c>
      <c r="X105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19"/>
      <c r="Z10519" t="s">
        <v>47</v>
      </c>
      <c r="AA10519" t="s">
        <v>229</v>
      </c>
      <c r="AB10519" t="s">
        <v>356</v>
      </c>
      <c r="AC10519" s="21">
        <v>553.51</v>
      </c>
      <c r="AD10519" s="21" t="s">
        <v>368</v>
      </c>
      <c r="AE10519" t="str">
        <f>VLOOKUP(Table_Query_from_Actuarial___Production3[[#This Row],[Kor1]],$AI$3:$AK$105,3,FALSE)</f>
        <v>Investment Income</v>
      </c>
      <c r="AF105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0" spans="18:32" x14ac:dyDescent="0.2">
      <c r="R10520" t="s">
        <v>34</v>
      </c>
      <c r="S10520" t="s">
        <v>254</v>
      </c>
      <c r="T10520" t="s">
        <v>433</v>
      </c>
      <c r="U10520" s="21">
        <v>276.06</v>
      </c>
      <c r="V10520" s="21" t="s">
        <v>368</v>
      </c>
      <c r="W10520" t="str">
        <f>VLOOKUP(Table_Query_from_Actuarial___Production[[#This Row],[Kor1]],$AI$3:$AK$105,3,FALSE)</f>
        <v>Misc. Expense</v>
      </c>
      <c r="X105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0"/>
      <c r="Z10520" t="s">
        <v>10</v>
      </c>
      <c r="AA10520" t="s">
        <v>243</v>
      </c>
      <c r="AB10520" t="s">
        <v>7</v>
      </c>
      <c r="AC10520" s="21">
        <v>36201.589999999997</v>
      </c>
      <c r="AD10520" s="21" t="s">
        <v>368</v>
      </c>
      <c r="AE10520" t="str">
        <f>VLOOKUP(Table_Query_from_Actuarial___Production3[[#This Row],[Kor1]],$AI$3:$AK$105,3,FALSE)</f>
        <v>Commissions</v>
      </c>
      <c r="AF105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1" spans="18:32" x14ac:dyDescent="0.2">
      <c r="R10521" t="s">
        <v>12</v>
      </c>
      <c r="S10521" t="s">
        <v>262</v>
      </c>
      <c r="T10521" t="s">
        <v>6</v>
      </c>
      <c r="U10521" s="21">
        <v>6787.79</v>
      </c>
      <c r="V10521" s="21" t="s">
        <v>368</v>
      </c>
      <c r="W10521" t="str">
        <f>VLOOKUP(Table_Query_from_Actuarial___Production[[#This Row],[Kor1]],$AI$3:$AK$105,3,FALSE)</f>
        <v>Premium Tax</v>
      </c>
      <c r="X105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1"/>
      <c r="Z10521" t="s">
        <v>13</v>
      </c>
      <c r="AA10521" t="s">
        <v>242</v>
      </c>
      <c r="AB10521" t="s">
        <v>351</v>
      </c>
      <c r="AC10521" s="21">
        <v>59120.93</v>
      </c>
      <c r="AD10521" s="21" t="s">
        <v>368</v>
      </c>
      <c r="AE10521" t="str">
        <f>VLOOKUP(Table_Query_from_Actuarial___Production3[[#This Row],[Kor1]],$AI$3:$AK$105,3,FALSE)</f>
        <v>Operating Service Fees</v>
      </c>
      <c r="AF105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2" spans="18:32" x14ac:dyDescent="0.2">
      <c r="R10522" t="s">
        <v>3</v>
      </c>
      <c r="S10522" t="s">
        <v>251</v>
      </c>
      <c r="T10522" t="s">
        <v>9</v>
      </c>
      <c r="U10522" s="21">
        <v>63593</v>
      </c>
      <c r="V10522" s="21" t="s">
        <v>368</v>
      </c>
      <c r="W10522" t="str">
        <f>VLOOKUP(Table_Query_from_Actuarial___Production[[#This Row],[Kor1]],$AI$3:$AK$105,3,FALSE)</f>
        <v>Premiums Written</v>
      </c>
      <c r="X105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2"/>
      <c r="Z10522" t="s">
        <v>43</v>
      </c>
      <c r="AA10522" t="s">
        <v>251</v>
      </c>
      <c r="AB10522" t="s">
        <v>427</v>
      </c>
      <c r="AC10522" s="21">
        <v>-292.31</v>
      </c>
      <c r="AD10522" s="21" t="s">
        <v>368</v>
      </c>
      <c r="AE10522" t="str">
        <f>VLOOKUP(Table_Query_from_Actuarial___Production3[[#This Row],[Kor1]],$AI$3:$AK$105,3,FALSE)</f>
        <v>Charge-offs</v>
      </c>
      <c r="AF105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3" spans="18:32" x14ac:dyDescent="0.2">
      <c r="R10523" t="s">
        <v>12</v>
      </c>
      <c r="S10523" t="s">
        <v>259</v>
      </c>
      <c r="T10523" t="s">
        <v>351</v>
      </c>
      <c r="U10523" s="21">
        <v>49974.07</v>
      </c>
      <c r="V10523" s="21" t="s">
        <v>368</v>
      </c>
      <c r="W10523" t="str">
        <f>VLOOKUP(Table_Query_from_Actuarial___Production[[#This Row],[Kor1]],$AI$3:$AK$105,3,FALSE)</f>
        <v>Premium Tax</v>
      </c>
      <c r="X105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3"/>
      <c r="Z10523" t="s">
        <v>107</v>
      </c>
      <c r="AA10523" t="s">
        <v>259</v>
      </c>
      <c r="AB10523" t="s">
        <v>427</v>
      </c>
      <c r="AC10523" s="21">
        <v>22.1</v>
      </c>
      <c r="AD10523" s="21" t="s">
        <v>368</v>
      </c>
      <c r="AE10523" t="str">
        <f>VLOOKUP(Table_Query_from_Actuarial___Production3[[#This Row],[Kor1]],$AI$3:$AK$105,3,FALSE)</f>
        <v>Misc. Expense</v>
      </c>
      <c r="AF105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4" spans="18:32" x14ac:dyDescent="0.2">
      <c r="R10524" t="s">
        <v>11</v>
      </c>
      <c r="S10524" t="s">
        <v>4</v>
      </c>
      <c r="T10524" t="s">
        <v>351</v>
      </c>
      <c r="U10524" s="21">
        <v>32270189.760000002</v>
      </c>
      <c r="V10524" s="21" t="s">
        <v>368</v>
      </c>
      <c r="W10524" t="str">
        <f>VLOOKUP(Table_Query_from_Actuarial___Production[[#This Row],[Kor1]],$AI$3:$AK$105,3,FALSE)</f>
        <v>Losses Paid</v>
      </c>
      <c r="X105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4"/>
      <c r="Z10524" t="s">
        <v>3</v>
      </c>
      <c r="AA10524" t="s">
        <v>262</v>
      </c>
      <c r="AB10524" t="s">
        <v>9</v>
      </c>
      <c r="AC10524" s="21">
        <v>243284</v>
      </c>
      <c r="AD10524" s="21" t="s">
        <v>368</v>
      </c>
      <c r="AE10524" t="str">
        <f>VLOOKUP(Table_Query_from_Actuarial___Production3[[#This Row],[Kor1]],$AI$3:$AK$105,3,FALSE)</f>
        <v>Premiums Written</v>
      </c>
      <c r="AF105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5" spans="18:32" x14ac:dyDescent="0.2">
      <c r="R10525" t="s">
        <v>39</v>
      </c>
      <c r="S10525" t="s">
        <v>262</v>
      </c>
      <c r="T10525" t="s">
        <v>445</v>
      </c>
      <c r="U10525" s="21">
        <v>18.89</v>
      </c>
      <c r="V10525" s="21" t="s">
        <v>368</v>
      </c>
      <c r="W10525" t="str">
        <f>VLOOKUP(Table_Query_from_Actuarial___Production[[#This Row],[Kor1]],$AI$3:$AK$105,3,FALSE)</f>
        <v>Misc. Income for Insolvent Companies</v>
      </c>
      <c r="X105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5"/>
      <c r="Z10525" t="s">
        <v>13</v>
      </c>
      <c r="AA10525" t="s">
        <v>246</v>
      </c>
      <c r="AB10525" t="s">
        <v>442</v>
      </c>
      <c r="AC10525" s="21">
        <v>383715.02</v>
      </c>
      <c r="AD10525" s="21" t="s">
        <v>368</v>
      </c>
      <c r="AE10525" t="str">
        <f>VLOOKUP(Table_Query_from_Actuarial___Production3[[#This Row],[Kor1]],$AI$3:$AK$105,3,FALSE)</f>
        <v>Operating Service Fees</v>
      </c>
      <c r="AF105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6" spans="18:32" x14ac:dyDescent="0.2">
      <c r="R10526" t="s">
        <v>13</v>
      </c>
      <c r="S10526" t="s">
        <v>261</v>
      </c>
      <c r="T10526" t="s">
        <v>351</v>
      </c>
      <c r="U10526" s="21">
        <v>131099.01999999999</v>
      </c>
      <c r="V10526" s="21" t="s">
        <v>368</v>
      </c>
      <c r="W10526" t="str">
        <f>VLOOKUP(Table_Query_from_Actuarial___Production[[#This Row],[Kor1]],$AI$3:$AK$105,3,FALSE)</f>
        <v>Operating Service Fees</v>
      </c>
      <c r="X105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6"/>
      <c r="Z10526" t="s">
        <v>14</v>
      </c>
      <c r="AA10526" t="s">
        <v>255</v>
      </c>
      <c r="AB10526" t="s">
        <v>443</v>
      </c>
      <c r="AC10526" s="21">
        <v>2031.08</v>
      </c>
      <c r="AD10526" s="21" t="s">
        <v>368</v>
      </c>
      <c r="AE10526" t="str">
        <f>VLOOKUP(Table_Query_from_Actuarial___Production3[[#This Row],[Kor1]],$AI$3:$AK$105,3,FALSE)</f>
        <v>Claims Expense</v>
      </c>
      <c r="AF105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7" spans="18:32" x14ac:dyDescent="0.2">
      <c r="R10527" t="s">
        <v>37</v>
      </c>
      <c r="S10527" t="s">
        <v>263</v>
      </c>
      <c r="T10527" t="s">
        <v>9</v>
      </c>
      <c r="U10527" s="21">
        <v>106.73</v>
      </c>
      <c r="V10527" s="21" t="s">
        <v>368</v>
      </c>
      <c r="W10527" t="str">
        <f>VLOOKUP(Table_Query_from_Actuarial___Production[[#This Row],[Kor1]],$AI$3:$AK$105,3,FALSE)</f>
        <v>Misc. Expense</v>
      </c>
      <c r="X105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7"/>
      <c r="Z10527" t="s">
        <v>11</v>
      </c>
      <c r="AA10527" t="s">
        <v>268</v>
      </c>
      <c r="AB10527" t="s">
        <v>433</v>
      </c>
      <c r="AC10527" s="21">
        <v>9554.98</v>
      </c>
      <c r="AD10527" s="21" t="s">
        <v>368</v>
      </c>
      <c r="AE10527" t="str">
        <f>VLOOKUP(Table_Query_from_Actuarial___Production3[[#This Row],[Kor1]],$AI$3:$AK$105,3,FALSE)</f>
        <v>Losses Paid</v>
      </c>
      <c r="AF105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8" spans="18:32" x14ac:dyDescent="0.2">
      <c r="R10528" t="s">
        <v>14</v>
      </c>
      <c r="S10528" t="s">
        <v>250</v>
      </c>
      <c r="T10528" t="s">
        <v>441</v>
      </c>
      <c r="U10528" s="21">
        <v>157859.75</v>
      </c>
      <c r="V10528" s="21" t="s">
        <v>368</v>
      </c>
      <c r="W10528" t="str">
        <f>VLOOKUP(Table_Query_from_Actuarial___Production[[#This Row],[Kor1]],$AI$3:$AK$105,3,FALSE)</f>
        <v>Claims Expense</v>
      </c>
      <c r="X105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8"/>
      <c r="Z10528" t="s">
        <v>12</v>
      </c>
      <c r="AA10528" t="s">
        <v>243</v>
      </c>
      <c r="AB10528" t="s">
        <v>9</v>
      </c>
      <c r="AC10528" s="21">
        <v>5316.1</v>
      </c>
      <c r="AD10528" s="21" t="s">
        <v>368</v>
      </c>
      <c r="AE10528" t="str">
        <f>VLOOKUP(Table_Query_from_Actuarial___Production3[[#This Row],[Kor1]],$AI$3:$AK$105,3,FALSE)</f>
        <v>Premium Tax</v>
      </c>
      <c r="AF105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29" spans="18:32" x14ac:dyDescent="0.2">
      <c r="R10529" t="s">
        <v>11</v>
      </c>
      <c r="S10529" t="s">
        <v>238</v>
      </c>
      <c r="T10529" t="s">
        <v>356</v>
      </c>
      <c r="U10529" s="21">
        <v>672395.86</v>
      </c>
      <c r="V10529" s="21" t="s">
        <v>368</v>
      </c>
      <c r="W10529" t="str">
        <f>VLOOKUP(Table_Query_from_Actuarial___Production[[#This Row],[Kor1]],$AI$3:$AK$105,3,FALSE)</f>
        <v>Losses Paid</v>
      </c>
      <c r="X105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29"/>
      <c r="Z10529" t="s">
        <v>43</v>
      </c>
      <c r="AA10529" t="s">
        <v>252</v>
      </c>
      <c r="AB10529" t="s">
        <v>442</v>
      </c>
      <c r="AC10529" s="21">
        <v>61288.79</v>
      </c>
      <c r="AD10529" s="21" t="s">
        <v>368</v>
      </c>
      <c r="AE10529" t="str">
        <f>VLOOKUP(Table_Query_from_Actuarial___Production3[[#This Row],[Kor1]],$AI$3:$AK$105,3,FALSE)</f>
        <v>Charge-offs</v>
      </c>
      <c r="AF105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0" spans="18:32" x14ac:dyDescent="0.2">
      <c r="R10530" t="s">
        <v>31</v>
      </c>
      <c r="S10530" t="s">
        <v>249</v>
      </c>
      <c r="T10530" t="s">
        <v>9</v>
      </c>
      <c r="U10530" s="21">
        <v>418.75</v>
      </c>
      <c r="V10530" s="21" t="s">
        <v>368</v>
      </c>
      <c r="W10530" t="str">
        <f>VLOOKUP(Table_Query_from_Actuarial___Production[[#This Row],[Kor1]],$AI$3:$AK$105,3,FALSE)</f>
        <v>Misc. Expense</v>
      </c>
      <c r="X105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0"/>
      <c r="Z10530" t="s">
        <v>13</v>
      </c>
      <c r="AA10530" t="s">
        <v>247</v>
      </c>
      <c r="AB10530" t="s">
        <v>442</v>
      </c>
      <c r="AC10530" s="21">
        <v>1189.9000000000001</v>
      </c>
      <c r="AD10530" s="21" t="s">
        <v>368</v>
      </c>
      <c r="AE10530" t="str">
        <f>VLOOKUP(Table_Query_from_Actuarial___Production3[[#This Row],[Kor1]],$AI$3:$AK$105,3,FALSE)</f>
        <v>Operating Service Fees</v>
      </c>
      <c r="AF105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1" spans="18:32" x14ac:dyDescent="0.2">
      <c r="R10531" t="s">
        <v>21</v>
      </c>
      <c r="S10531" t="s">
        <v>237</v>
      </c>
      <c r="T10531" t="s">
        <v>441</v>
      </c>
      <c r="U10531" s="21">
        <v>18476.29</v>
      </c>
      <c r="V10531" s="21" t="s">
        <v>368</v>
      </c>
      <c r="W10531" t="str">
        <f>VLOOKUP(Table_Query_from_Actuarial___Production[[#This Row],[Kor1]],$AI$3:$AK$105,3,FALSE)</f>
        <v>Misc. Expense</v>
      </c>
      <c r="X105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1"/>
      <c r="Z10531" t="s">
        <v>16</v>
      </c>
      <c r="AA10531" t="s">
        <v>258</v>
      </c>
      <c r="AB10531" t="s">
        <v>433</v>
      </c>
      <c r="AC10531" s="21">
        <v>2789301.13</v>
      </c>
      <c r="AD10531" s="21" t="s">
        <v>368</v>
      </c>
      <c r="AE10531" t="str">
        <f>VLOOKUP(Table_Query_from_Actuarial___Production3[[#This Row],[Kor1]],$AI$3:$AK$105,3,FALSE)</f>
        <v>Losses Outstanding</v>
      </c>
      <c r="AF105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2" spans="18:32" x14ac:dyDescent="0.2">
      <c r="R10532" t="s">
        <v>20</v>
      </c>
      <c r="S10532" t="s">
        <v>230</v>
      </c>
      <c r="T10532" t="s">
        <v>442</v>
      </c>
      <c r="U10532" s="21">
        <v>3211.21</v>
      </c>
      <c r="V10532" s="21" t="s">
        <v>368</v>
      </c>
      <c r="W10532" t="str">
        <f>VLOOKUP(Table_Query_from_Actuarial___Production[[#This Row],[Kor1]],$AI$3:$AK$105,3,FALSE)</f>
        <v>Misc. Expense</v>
      </c>
      <c r="X105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2"/>
      <c r="Z10532" t="s">
        <v>34</v>
      </c>
      <c r="AA10532" t="s">
        <v>254</v>
      </c>
      <c r="AB10532" t="s">
        <v>433</v>
      </c>
      <c r="AC10532" s="21">
        <v>276.06</v>
      </c>
      <c r="AD10532" s="21" t="s">
        <v>368</v>
      </c>
      <c r="AE10532" t="str">
        <f>VLOOKUP(Table_Query_from_Actuarial___Production3[[#This Row],[Kor1]],$AI$3:$AK$105,3,FALSE)</f>
        <v>Misc. Expense</v>
      </c>
      <c r="AF105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3" spans="18:32" x14ac:dyDescent="0.2">
      <c r="R10533" t="s">
        <v>31</v>
      </c>
      <c r="S10533" t="s">
        <v>241</v>
      </c>
      <c r="T10533" t="s">
        <v>442</v>
      </c>
      <c r="U10533" s="21">
        <v>1038.8800000000001</v>
      </c>
      <c r="V10533" s="21" t="s">
        <v>368</v>
      </c>
      <c r="W10533" t="str">
        <f>VLOOKUP(Table_Query_from_Actuarial___Production[[#This Row],[Kor1]],$AI$3:$AK$105,3,FALSE)</f>
        <v>Misc. Expense</v>
      </c>
      <c r="X105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3"/>
      <c r="Z10533" t="s">
        <v>12</v>
      </c>
      <c r="AA10533" t="s">
        <v>262</v>
      </c>
      <c r="AB10533" t="s">
        <v>6</v>
      </c>
      <c r="AC10533" s="21">
        <v>6787.79</v>
      </c>
      <c r="AD10533" s="21" t="s">
        <v>368</v>
      </c>
      <c r="AE10533" t="str">
        <f>VLOOKUP(Table_Query_from_Actuarial___Production3[[#This Row],[Kor1]],$AI$3:$AK$105,3,FALSE)</f>
        <v>Premium Tax</v>
      </c>
      <c r="AF105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4" spans="18:32" x14ac:dyDescent="0.2">
      <c r="R10534" t="s">
        <v>44</v>
      </c>
      <c r="S10534" t="s">
        <v>256</v>
      </c>
      <c r="T10534" t="s">
        <v>6</v>
      </c>
      <c r="U10534" s="21">
        <v>4</v>
      </c>
      <c r="V10534" s="21" t="s">
        <v>368</v>
      </c>
      <c r="W10534" t="str">
        <f>VLOOKUP(Table_Query_from_Actuarial___Production[[#This Row],[Kor1]],$AI$3:$AK$105,3,FALSE)</f>
        <v>Charge-offs</v>
      </c>
      <c r="X105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4"/>
      <c r="Z10534" t="s">
        <v>3</v>
      </c>
      <c r="AA10534" t="s">
        <v>251</v>
      </c>
      <c r="AB10534" t="s">
        <v>9</v>
      </c>
      <c r="AC10534" s="21">
        <v>63593</v>
      </c>
      <c r="AD10534" s="21" t="s">
        <v>368</v>
      </c>
      <c r="AE10534" t="str">
        <f>VLOOKUP(Table_Query_from_Actuarial___Production3[[#This Row],[Kor1]],$AI$3:$AK$105,3,FALSE)</f>
        <v>Premiums Written</v>
      </c>
      <c r="AF105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5" spans="18:32" x14ac:dyDescent="0.2">
      <c r="R10535" t="s">
        <v>3</v>
      </c>
      <c r="S10535" t="s">
        <v>224</v>
      </c>
      <c r="T10535" t="s">
        <v>433</v>
      </c>
      <c r="U10535" s="21">
        <v>113189.7</v>
      </c>
      <c r="V10535" s="21" t="s">
        <v>369</v>
      </c>
      <c r="W10535" t="str">
        <f>VLOOKUP(Table_Query_from_Actuarial___Production[[#This Row],[Kor1]],$AI$3:$AK$105,3,FALSE)</f>
        <v>Premiums Written</v>
      </c>
      <c r="X105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535"/>
      <c r="Z10535" t="s">
        <v>12</v>
      </c>
      <c r="AA10535" t="s">
        <v>259</v>
      </c>
      <c r="AB10535" t="s">
        <v>351</v>
      </c>
      <c r="AC10535" s="21">
        <v>49974.07</v>
      </c>
      <c r="AD10535" s="21" t="s">
        <v>368</v>
      </c>
      <c r="AE10535" t="str">
        <f>VLOOKUP(Table_Query_from_Actuarial___Production3[[#This Row],[Kor1]],$AI$3:$AK$105,3,FALSE)</f>
        <v>Premium Tax</v>
      </c>
      <c r="AF105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6" spans="18:32" x14ac:dyDescent="0.2">
      <c r="R10536" t="s">
        <v>17</v>
      </c>
      <c r="S10536" t="s">
        <v>260</v>
      </c>
      <c r="T10536" t="s">
        <v>441</v>
      </c>
      <c r="U10536" s="21">
        <v>3556.15</v>
      </c>
      <c r="V10536" s="21" t="s">
        <v>368</v>
      </c>
      <c r="W10536" t="str">
        <f>VLOOKUP(Table_Query_from_Actuarial___Production[[#This Row],[Kor1]],$AI$3:$AK$105,3,FALSE)</f>
        <v>IBNR</v>
      </c>
      <c r="X105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6"/>
      <c r="Z10536" t="s">
        <v>14</v>
      </c>
      <c r="AA10536" t="s">
        <v>264</v>
      </c>
      <c r="AB10536" t="s">
        <v>5</v>
      </c>
      <c r="AC10536" s="21">
        <v>156509.59</v>
      </c>
      <c r="AD10536" s="21" t="s">
        <v>368</v>
      </c>
      <c r="AE10536" t="str">
        <f>VLOOKUP(Table_Query_from_Actuarial___Production3[[#This Row],[Kor1]],$AI$3:$AK$105,3,FALSE)</f>
        <v>Claims Expense</v>
      </c>
      <c r="AF105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7" spans="18:32" x14ac:dyDescent="0.2">
      <c r="R10537" t="s">
        <v>48</v>
      </c>
      <c r="S10537" t="s">
        <v>244</v>
      </c>
      <c r="T10537" t="s">
        <v>442</v>
      </c>
      <c r="U10537" s="21">
        <v>4220.71</v>
      </c>
      <c r="V10537" s="21" t="s">
        <v>368</v>
      </c>
      <c r="W10537" t="str">
        <f>VLOOKUP(Table_Query_from_Actuarial___Production[[#This Row],[Kor1]],$AI$3:$AK$105,3,FALSE)</f>
        <v>Anticipated Salvage</v>
      </c>
      <c r="X105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7"/>
      <c r="Z10537" t="s">
        <v>3</v>
      </c>
      <c r="AA10537" t="s">
        <v>255</v>
      </c>
      <c r="AB10537" t="s">
        <v>5</v>
      </c>
      <c r="AC10537" s="21">
        <v>243775</v>
      </c>
      <c r="AD10537" s="21" t="s">
        <v>368</v>
      </c>
      <c r="AE10537" t="str">
        <f>VLOOKUP(Table_Query_from_Actuarial___Production3[[#This Row],[Kor1]],$AI$3:$AK$105,3,FALSE)</f>
        <v>Premiums Written</v>
      </c>
      <c r="AF105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8" spans="18:32" x14ac:dyDescent="0.2">
      <c r="R10538" t="s">
        <v>3</v>
      </c>
      <c r="S10538" t="s">
        <v>257</v>
      </c>
      <c r="T10538" t="s">
        <v>8</v>
      </c>
      <c r="U10538" s="21">
        <v>1693874</v>
      </c>
      <c r="V10538" s="21" t="s">
        <v>368</v>
      </c>
      <c r="W10538" t="str">
        <f>VLOOKUP(Table_Query_from_Actuarial___Production[[#This Row],[Kor1]],$AI$3:$AK$105,3,FALSE)</f>
        <v>Premiums Written</v>
      </c>
      <c r="X105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8"/>
      <c r="Z10538" t="s">
        <v>11</v>
      </c>
      <c r="AA10538" t="s">
        <v>4</v>
      </c>
      <c r="AB10538" t="s">
        <v>351</v>
      </c>
      <c r="AC10538" s="21">
        <v>30220646.780000001</v>
      </c>
      <c r="AD10538" s="21" t="s">
        <v>368</v>
      </c>
      <c r="AE10538" t="str">
        <f>VLOOKUP(Table_Query_from_Actuarial___Production3[[#This Row],[Kor1]],$AI$3:$AK$105,3,FALSE)</f>
        <v>Losses Paid</v>
      </c>
      <c r="AF105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39" spans="18:32" x14ac:dyDescent="0.2">
      <c r="R10539" t="s">
        <v>40</v>
      </c>
      <c r="S10539" t="s">
        <v>238</v>
      </c>
      <c r="T10539" t="s">
        <v>351</v>
      </c>
      <c r="U10539" s="21">
        <v>170</v>
      </c>
      <c r="V10539" s="21" t="s">
        <v>368</v>
      </c>
      <c r="W10539" t="str">
        <f>VLOOKUP(Table_Query_from_Actuarial___Production[[#This Row],[Kor1]],$AI$3:$AK$105,3,FALSE)</f>
        <v>Misc. Income</v>
      </c>
      <c r="X105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39"/>
      <c r="Z10539" t="s">
        <v>13</v>
      </c>
      <c r="AA10539" t="s">
        <v>261</v>
      </c>
      <c r="AB10539" t="s">
        <v>351</v>
      </c>
      <c r="AC10539" s="21">
        <v>131099.01999999999</v>
      </c>
      <c r="AD10539" s="21" t="s">
        <v>368</v>
      </c>
      <c r="AE10539" t="str">
        <f>VLOOKUP(Table_Query_from_Actuarial___Production3[[#This Row],[Kor1]],$AI$3:$AK$105,3,FALSE)</f>
        <v>Operating Service Fees</v>
      </c>
      <c r="AF105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0" spans="18:32" x14ac:dyDescent="0.2">
      <c r="R10540" t="s">
        <v>3</v>
      </c>
      <c r="S10540" t="s">
        <v>232</v>
      </c>
      <c r="T10540" t="s">
        <v>8</v>
      </c>
      <c r="U10540" s="21">
        <v>957123</v>
      </c>
      <c r="V10540" s="21" t="s">
        <v>368</v>
      </c>
      <c r="W10540" t="str">
        <f>VLOOKUP(Table_Query_from_Actuarial___Production[[#This Row],[Kor1]],$AI$3:$AK$105,3,FALSE)</f>
        <v>Premiums Written</v>
      </c>
      <c r="X105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0"/>
      <c r="Z10540" t="s">
        <v>37</v>
      </c>
      <c r="AA10540" t="s">
        <v>263</v>
      </c>
      <c r="AB10540" t="s">
        <v>9</v>
      </c>
      <c r="AC10540" s="21">
        <v>106.73</v>
      </c>
      <c r="AD10540" s="21" t="s">
        <v>368</v>
      </c>
      <c r="AE10540" t="str">
        <f>VLOOKUP(Table_Query_from_Actuarial___Production3[[#This Row],[Kor1]],$AI$3:$AK$105,3,FALSE)</f>
        <v>Misc. Expense</v>
      </c>
      <c r="AF105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1" spans="18:32" x14ac:dyDescent="0.2">
      <c r="R10541" t="s">
        <v>14</v>
      </c>
      <c r="S10541" t="s">
        <v>262</v>
      </c>
      <c r="T10541" t="s">
        <v>433</v>
      </c>
      <c r="U10541" s="21">
        <v>20550.830000000002</v>
      </c>
      <c r="V10541" s="21" t="s">
        <v>368</v>
      </c>
      <c r="W10541" t="str">
        <f>VLOOKUP(Table_Query_from_Actuarial___Production[[#This Row],[Kor1]],$AI$3:$AK$105,3,FALSE)</f>
        <v>Claims Expense</v>
      </c>
      <c r="X105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1"/>
      <c r="Z10541" t="s">
        <v>14</v>
      </c>
      <c r="AA10541" t="s">
        <v>250</v>
      </c>
      <c r="AB10541" t="s">
        <v>441</v>
      </c>
      <c r="AC10541" s="21">
        <v>157903.22</v>
      </c>
      <c r="AD10541" s="21" t="s">
        <v>368</v>
      </c>
      <c r="AE10541" t="str">
        <f>VLOOKUP(Table_Query_from_Actuarial___Production3[[#This Row],[Kor1]],$AI$3:$AK$105,3,FALSE)</f>
        <v>Claims Expense</v>
      </c>
      <c r="AF105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2" spans="18:32" x14ac:dyDescent="0.2">
      <c r="R10542" t="s">
        <v>47</v>
      </c>
      <c r="S10542" t="s">
        <v>234</v>
      </c>
      <c r="T10542" t="s">
        <v>445</v>
      </c>
      <c r="U10542" s="21">
        <v>12808.69</v>
      </c>
      <c r="V10542" s="21" t="s">
        <v>368</v>
      </c>
      <c r="W10542" t="str">
        <f>VLOOKUP(Table_Query_from_Actuarial___Production[[#This Row],[Kor1]],$AI$3:$AK$105,3,FALSE)</f>
        <v>Investment Income</v>
      </c>
      <c r="X105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2"/>
      <c r="Z10542" t="s">
        <v>11</v>
      </c>
      <c r="AA10542" t="s">
        <v>238</v>
      </c>
      <c r="AB10542" t="s">
        <v>356</v>
      </c>
      <c r="AC10542" s="21">
        <v>672395.86</v>
      </c>
      <c r="AD10542" s="21" t="s">
        <v>368</v>
      </c>
      <c r="AE10542" t="str">
        <f>VLOOKUP(Table_Query_from_Actuarial___Production3[[#This Row],[Kor1]],$AI$3:$AK$105,3,FALSE)</f>
        <v>Losses Paid</v>
      </c>
      <c r="AF105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3" spans="18:32" x14ac:dyDescent="0.2">
      <c r="R10543" t="s">
        <v>32</v>
      </c>
      <c r="S10543" t="s">
        <v>264</v>
      </c>
      <c r="T10543" t="s">
        <v>427</v>
      </c>
      <c r="U10543" s="21">
        <v>10449.92</v>
      </c>
      <c r="V10543" s="21" t="s">
        <v>368</v>
      </c>
      <c r="W10543" t="str">
        <f>VLOOKUP(Table_Query_from_Actuarial___Production[[#This Row],[Kor1]],$AI$3:$AK$105,3,FALSE)</f>
        <v>Misc. Expense</v>
      </c>
      <c r="X105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3"/>
      <c r="Z10543" t="s">
        <v>31</v>
      </c>
      <c r="AA10543" t="s">
        <v>249</v>
      </c>
      <c r="AB10543" t="s">
        <v>9</v>
      </c>
      <c r="AC10543" s="21">
        <v>418.75</v>
      </c>
      <c r="AD10543" s="21" t="s">
        <v>368</v>
      </c>
      <c r="AE10543" t="str">
        <f>VLOOKUP(Table_Query_from_Actuarial___Production3[[#This Row],[Kor1]],$AI$3:$AK$105,3,FALSE)</f>
        <v>Misc. Expense</v>
      </c>
      <c r="AF105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4" spans="18:32" x14ac:dyDescent="0.2">
      <c r="R10544" t="s">
        <v>41</v>
      </c>
      <c r="S10544" t="s">
        <v>239</v>
      </c>
      <c r="T10544" t="s">
        <v>445</v>
      </c>
      <c r="U10544" s="21">
        <v>599.86</v>
      </c>
      <c r="V10544" s="21" t="s">
        <v>368</v>
      </c>
      <c r="W10544" t="str">
        <f>VLOOKUP(Table_Query_from_Actuarial___Production[[#This Row],[Kor1]],$AI$3:$AK$105,3,FALSE)</f>
        <v>Misc. Income</v>
      </c>
      <c r="X105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4"/>
      <c r="Z10544" t="s">
        <v>21</v>
      </c>
      <c r="AA10544" t="s">
        <v>237</v>
      </c>
      <c r="AB10544" t="s">
        <v>441</v>
      </c>
      <c r="AC10544" s="21">
        <v>18476.29</v>
      </c>
      <c r="AD10544" s="21" t="s">
        <v>368</v>
      </c>
      <c r="AE10544" t="str">
        <f>VLOOKUP(Table_Query_from_Actuarial___Production3[[#This Row],[Kor1]],$AI$3:$AK$105,3,FALSE)</f>
        <v>Misc. Expense</v>
      </c>
      <c r="AF105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5" spans="18:32" x14ac:dyDescent="0.2">
      <c r="R10545" t="s">
        <v>48</v>
      </c>
      <c r="S10545" t="s">
        <v>239</v>
      </c>
      <c r="T10545" t="s">
        <v>441</v>
      </c>
      <c r="U10545" s="21">
        <v>25459.45</v>
      </c>
      <c r="V10545" s="21" t="s">
        <v>368</v>
      </c>
      <c r="W10545" t="str">
        <f>VLOOKUP(Table_Query_from_Actuarial___Production[[#This Row],[Kor1]],$AI$3:$AK$105,3,FALSE)</f>
        <v>Anticipated Salvage</v>
      </c>
      <c r="X105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5"/>
      <c r="Z10545" t="s">
        <v>20</v>
      </c>
      <c r="AA10545" t="s">
        <v>230</v>
      </c>
      <c r="AB10545" t="s">
        <v>442</v>
      </c>
      <c r="AC10545" s="21">
        <v>3211.21</v>
      </c>
      <c r="AD10545" s="21" t="s">
        <v>368</v>
      </c>
      <c r="AE10545" t="str">
        <f>VLOOKUP(Table_Query_from_Actuarial___Production3[[#This Row],[Kor1]],$AI$3:$AK$105,3,FALSE)</f>
        <v>Misc. Expense</v>
      </c>
      <c r="AF105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6" spans="18:32" x14ac:dyDescent="0.2">
      <c r="R10546" t="s">
        <v>41</v>
      </c>
      <c r="S10546" t="s">
        <v>246</v>
      </c>
      <c r="T10546" t="s">
        <v>8</v>
      </c>
      <c r="U10546" s="21">
        <v>350</v>
      </c>
      <c r="V10546" s="21" t="s">
        <v>368</v>
      </c>
      <c r="W10546" t="str">
        <f>VLOOKUP(Table_Query_from_Actuarial___Production[[#This Row],[Kor1]],$AI$3:$AK$105,3,FALSE)</f>
        <v>Misc. Income</v>
      </c>
      <c r="X105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6"/>
      <c r="Z10546" t="s">
        <v>31</v>
      </c>
      <c r="AA10546" t="s">
        <v>241</v>
      </c>
      <c r="AB10546" t="s">
        <v>442</v>
      </c>
      <c r="AC10546" s="21">
        <v>1038.8800000000001</v>
      </c>
      <c r="AD10546" s="21" t="s">
        <v>368</v>
      </c>
      <c r="AE10546" t="str">
        <f>VLOOKUP(Table_Query_from_Actuarial___Production3[[#This Row],[Kor1]],$AI$3:$AK$105,3,FALSE)</f>
        <v>Misc. Expense</v>
      </c>
      <c r="AF105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7" spans="18:32" x14ac:dyDescent="0.2">
      <c r="R10547" t="s">
        <v>40</v>
      </c>
      <c r="S10547" t="s">
        <v>265</v>
      </c>
      <c r="T10547" t="s">
        <v>441</v>
      </c>
      <c r="U10547" s="21">
        <v>2.0099999999999998</v>
      </c>
      <c r="V10547" s="21" t="s">
        <v>368</v>
      </c>
      <c r="W10547" t="str">
        <f>VLOOKUP(Table_Query_from_Actuarial___Production[[#This Row],[Kor1]],$AI$3:$AK$105,3,FALSE)</f>
        <v>Misc. Income</v>
      </c>
      <c r="X105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7"/>
      <c r="Z10547" t="s">
        <v>44</v>
      </c>
      <c r="AA10547" t="s">
        <v>256</v>
      </c>
      <c r="AB10547" t="s">
        <v>6</v>
      </c>
      <c r="AC10547" s="21">
        <v>4</v>
      </c>
      <c r="AD10547" s="21" t="s">
        <v>368</v>
      </c>
      <c r="AE10547" t="str">
        <f>VLOOKUP(Table_Query_from_Actuarial___Production3[[#This Row],[Kor1]],$AI$3:$AK$105,3,FALSE)</f>
        <v>Charge-offs</v>
      </c>
      <c r="AF105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48" spans="18:32" x14ac:dyDescent="0.2">
      <c r="R10548" t="s">
        <v>19</v>
      </c>
      <c r="S10548" t="s">
        <v>255</v>
      </c>
      <c r="T10548" t="s">
        <v>7</v>
      </c>
      <c r="U10548" s="21">
        <v>652</v>
      </c>
      <c r="V10548" s="21" t="s">
        <v>368</v>
      </c>
      <c r="W10548" t="str">
        <f>VLOOKUP(Table_Query_from_Actuarial___Production[[#This Row],[Kor1]],$AI$3:$AK$105,3,FALSE)</f>
        <v>Misc. Expense for Insolvent Companies</v>
      </c>
      <c r="X105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8"/>
      <c r="Z10548" t="s">
        <v>3</v>
      </c>
      <c r="AA10548" t="s">
        <v>224</v>
      </c>
      <c r="AB10548" t="s">
        <v>433</v>
      </c>
      <c r="AC10548" s="21">
        <v>113189.7</v>
      </c>
      <c r="AD10548" s="21" t="s">
        <v>369</v>
      </c>
      <c r="AE10548" t="str">
        <f>VLOOKUP(Table_Query_from_Actuarial___Production3[[#This Row],[Kor1]],$AI$3:$AK$105,3,FALSE)</f>
        <v>Premiums Written</v>
      </c>
      <c r="AF105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549" spans="18:32" x14ac:dyDescent="0.2">
      <c r="R10549" t="s">
        <v>43</v>
      </c>
      <c r="S10549" t="s">
        <v>257</v>
      </c>
      <c r="T10549" t="s">
        <v>7</v>
      </c>
      <c r="U10549" s="21">
        <v>1426.11</v>
      </c>
      <c r="V10549" s="21" t="s">
        <v>368</v>
      </c>
      <c r="W10549" t="str">
        <f>VLOOKUP(Table_Query_from_Actuarial___Production[[#This Row],[Kor1]],$AI$3:$AK$105,3,FALSE)</f>
        <v>Charge-offs</v>
      </c>
      <c r="X105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49"/>
      <c r="Z10549" t="s">
        <v>14</v>
      </c>
      <c r="AA10549" t="s">
        <v>242</v>
      </c>
      <c r="AB10549" t="s">
        <v>5</v>
      </c>
      <c r="AC10549" s="21">
        <v>46801.99</v>
      </c>
      <c r="AD10549" s="21" t="s">
        <v>368</v>
      </c>
      <c r="AE10549" t="str">
        <f>VLOOKUP(Table_Query_from_Actuarial___Production3[[#This Row],[Kor1]],$AI$3:$AK$105,3,FALSE)</f>
        <v>Claims Expense</v>
      </c>
      <c r="AF105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0" spans="18:32" x14ac:dyDescent="0.2">
      <c r="R10550" t="s">
        <v>47</v>
      </c>
      <c r="S10550" t="s">
        <v>227</v>
      </c>
      <c r="T10550" t="s">
        <v>7</v>
      </c>
      <c r="U10550" s="21">
        <v>0.11</v>
      </c>
      <c r="V10550" s="21" t="s">
        <v>368</v>
      </c>
      <c r="W10550" t="str">
        <f>VLOOKUP(Table_Query_from_Actuarial___Production[[#This Row],[Kor1]],$AI$3:$AK$105,3,FALSE)</f>
        <v>Investment Income</v>
      </c>
      <c r="X105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0"/>
      <c r="Z10550" t="s">
        <v>17</v>
      </c>
      <c r="AA10550" t="s">
        <v>260</v>
      </c>
      <c r="AB10550" t="s">
        <v>441</v>
      </c>
      <c r="AC10550" s="21">
        <v>5436.36</v>
      </c>
      <c r="AD10550" s="21" t="s">
        <v>368</v>
      </c>
      <c r="AE10550" t="str">
        <f>VLOOKUP(Table_Query_from_Actuarial___Production3[[#This Row],[Kor1]],$AI$3:$AK$105,3,FALSE)</f>
        <v>IBNR</v>
      </c>
      <c r="AF105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1" spans="18:32" x14ac:dyDescent="0.2">
      <c r="R10551" t="s">
        <v>47</v>
      </c>
      <c r="S10551" t="s">
        <v>237</v>
      </c>
      <c r="T10551" t="s">
        <v>445</v>
      </c>
      <c r="U10551" s="21">
        <v>220578.93</v>
      </c>
      <c r="V10551" s="21" t="s">
        <v>368</v>
      </c>
      <c r="W10551" t="str">
        <f>VLOOKUP(Table_Query_from_Actuarial___Production[[#This Row],[Kor1]],$AI$3:$AK$105,3,FALSE)</f>
        <v>Investment Income</v>
      </c>
      <c r="X105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1"/>
      <c r="Z10551" t="s">
        <v>48</v>
      </c>
      <c r="AA10551" t="s">
        <v>244</v>
      </c>
      <c r="AB10551" t="s">
        <v>442</v>
      </c>
      <c r="AC10551" s="21">
        <v>6423.44</v>
      </c>
      <c r="AD10551" s="21" t="s">
        <v>368</v>
      </c>
      <c r="AE10551" t="str">
        <f>VLOOKUP(Table_Query_from_Actuarial___Production3[[#This Row],[Kor1]],$AI$3:$AK$105,3,FALSE)</f>
        <v>Anticipated Salvage</v>
      </c>
      <c r="AF105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2" spans="18:32" x14ac:dyDescent="0.2">
      <c r="R10552" t="s">
        <v>41</v>
      </c>
      <c r="S10552" t="s">
        <v>261</v>
      </c>
      <c r="T10552" t="s">
        <v>427</v>
      </c>
      <c r="U10552" s="21">
        <v>150</v>
      </c>
      <c r="V10552" s="21" t="s">
        <v>368</v>
      </c>
      <c r="W10552" t="str">
        <f>VLOOKUP(Table_Query_from_Actuarial___Production[[#This Row],[Kor1]],$AI$3:$AK$105,3,FALSE)</f>
        <v>Misc. Income</v>
      </c>
      <c r="X105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2"/>
      <c r="Z10552" t="s">
        <v>3</v>
      </c>
      <c r="AA10552" t="s">
        <v>257</v>
      </c>
      <c r="AB10552" t="s">
        <v>8</v>
      </c>
      <c r="AC10552" s="21">
        <v>1693874</v>
      </c>
      <c r="AD10552" s="21" t="s">
        <v>368</v>
      </c>
      <c r="AE10552" t="str">
        <f>VLOOKUP(Table_Query_from_Actuarial___Production3[[#This Row],[Kor1]],$AI$3:$AK$105,3,FALSE)</f>
        <v>Premiums Written</v>
      </c>
      <c r="AF105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3" spans="18:32" x14ac:dyDescent="0.2">
      <c r="R10553" t="s">
        <v>77</v>
      </c>
      <c r="S10553" t="s">
        <v>254</v>
      </c>
      <c r="T10553" t="s">
        <v>445</v>
      </c>
      <c r="U10553" s="21">
        <v>4394681</v>
      </c>
      <c r="V10553" s="21" t="s">
        <v>368</v>
      </c>
      <c r="W10553" t="str">
        <f>VLOOKUP(Table_Query_from_Actuarial___Production[[#This Row],[Kor1]],$AI$3:$AK$105,3,FALSE)</f>
        <v>PDR</v>
      </c>
      <c r="X105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3"/>
      <c r="Z10553" t="s">
        <v>40</v>
      </c>
      <c r="AA10553" t="s">
        <v>238</v>
      </c>
      <c r="AB10553" t="s">
        <v>351</v>
      </c>
      <c r="AC10553" s="21">
        <v>170</v>
      </c>
      <c r="AD10553" s="21" t="s">
        <v>368</v>
      </c>
      <c r="AE10553" t="str">
        <f>VLOOKUP(Table_Query_from_Actuarial___Production3[[#This Row],[Kor1]],$AI$3:$AK$105,3,FALSE)</f>
        <v>Misc. Income</v>
      </c>
      <c r="AF105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4" spans="18:32" x14ac:dyDescent="0.2">
      <c r="R10554" t="s">
        <v>43</v>
      </c>
      <c r="S10554" t="s">
        <v>224</v>
      </c>
      <c r="T10554" t="s">
        <v>427</v>
      </c>
      <c r="U10554" s="21">
        <v>3</v>
      </c>
      <c r="V10554" s="21" t="s">
        <v>369</v>
      </c>
      <c r="W10554" t="str">
        <f>VLOOKUP(Table_Query_from_Actuarial___Production[[#This Row],[Kor1]],$AI$3:$AK$105,3,FALSE)</f>
        <v>Charge-offs</v>
      </c>
      <c r="X105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554"/>
      <c r="Z10554" t="s">
        <v>3</v>
      </c>
      <c r="AA10554" t="s">
        <v>232</v>
      </c>
      <c r="AB10554" t="s">
        <v>8</v>
      </c>
      <c r="AC10554" s="21">
        <v>957123</v>
      </c>
      <c r="AD10554" s="21" t="s">
        <v>368</v>
      </c>
      <c r="AE10554" t="str">
        <f>VLOOKUP(Table_Query_from_Actuarial___Production3[[#This Row],[Kor1]],$AI$3:$AK$105,3,FALSE)</f>
        <v>Premiums Written</v>
      </c>
      <c r="AF105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5" spans="18:32" x14ac:dyDescent="0.2">
      <c r="R10555" t="s">
        <v>12</v>
      </c>
      <c r="S10555" t="s">
        <v>261</v>
      </c>
      <c r="T10555" t="s">
        <v>7</v>
      </c>
      <c r="U10555" s="21">
        <v>14044.11</v>
      </c>
      <c r="V10555" s="21" t="s">
        <v>368</v>
      </c>
      <c r="W10555" t="str">
        <f>VLOOKUP(Table_Query_from_Actuarial___Production[[#This Row],[Kor1]],$AI$3:$AK$105,3,FALSE)</f>
        <v>Premium Tax</v>
      </c>
      <c r="X105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5"/>
      <c r="Z10555" t="s">
        <v>14</v>
      </c>
      <c r="AA10555" t="s">
        <v>262</v>
      </c>
      <c r="AB10555" t="s">
        <v>433</v>
      </c>
      <c r="AC10555" s="21">
        <v>20550.830000000002</v>
      </c>
      <c r="AD10555" s="21" t="s">
        <v>368</v>
      </c>
      <c r="AE10555" t="str">
        <f>VLOOKUP(Table_Query_from_Actuarial___Production3[[#This Row],[Kor1]],$AI$3:$AK$105,3,FALSE)</f>
        <v>Claims Expense</v>
      </c>
      <c r="AF105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6" spans="18:32" x14ac:dyDescent="0.2">
      <c r="R10556" t="s">
        <v>43</v>
      </c>
      <c r="S10556" t="s">
        <v>258</v>
      </c>
      <c r="T10556" t="s">
        <v>9</v>
      </c>
      <c r="U10556" s="21">
        <v>-555.12</v>
      </c>
      <c r="V10556" s="21" t="s">
        <v>368</v>
      </c>
      <c r="W10556" t="str">
        <f>VLOOKUP(Table_Query_from_Actuarial___Production[[#This Row],[Kor1]],$AI$3:$AK$105,3,FALSE)</f>
        <v>Charge-offs</v>
      </c>
      <c r="X105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6"/>
      <c r="Z10556" t="s">
        <v>32</v>
      </c>
      <c r="AA10556" t="s">
        <v>264</v>
      </c>
      <c r="AB10556" t="s">
        <v>427</v>
      </c>
      <c r="AC10556" s="21">
        <v>10449.92</v>
      </c>
      <c r="AD10556" s="21" t="s">
        <v>368</v>
      </c>
      <c r="AE10556" t="str">
        <f>VLOOKUP(Table_Query_from_Actuarial___Production3[[#This Row],[Kor1]],$AI$3:$AK$105,3,FALSE)</f>
        <v>Misc. Expense</v>
      </c>
      <c r="AF105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7" spans="18:32" x14ac:dyDescent="0.2">
      <c r="R10557" t="s">
        <v>3</v>
      </c>
      <c r="S10557" t="s">
        <v>228</v>
      </c>
      <c r="T10557" t="s">
        <v>9</v>
      </c>
      <c r="U10557" s="21">
        <v>34166</v>
      </c>
      <c r="V10557" s="21" t="s">
        <v>368</v>
      </c>
      <c r="W10557" t="str">
        <f>VLOOKUP(Table_Query_from_Actuarial___Production[[#This Row],[Kor1]],$AI$3:$AK$105,3,FALSE)</f>
        <v>Premiums Written</v>
      </c>
      <c r="X105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7"/>
      <c r="Z10557" t="s">
        <v>13</v>
      </c>
      <c r="AA10557" t="s">
        <v>242</v>
      </c>
      <c r="AB10557" t="s">
        <v>5</v>
      </c>
      <c r="AC10557" s="21">
        <v>53945.78</v>
      </c>
      <c r="AD10557" s="21" t="s">
        <v>368</v>
      </c>
      <c r="AE10557" t="str">
        <f>VLOOKUP(Table_Query_from_Actuarial___Production3[[#This Row],[Kor1]],$AI$3:$AK$105,3,FALSE)</f>
        <v>Operating Service Fees</v>
      </c>
      <c r="AF105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8" spans="18:32" x14ac:dyDescent="0.2">
      <c r="R10558" t="s">
        <v>37</v>
      </c>
      <c r="S10558" t="s">
        <v>233</v>
      </c>
      <c r="T10558" t="s">
        <v>7</v>
      </c>
      <c r="U10558" s="21">
        <v>717.14</v>
      </c>
      <c r="V10558" s="21" t="s">
        <v>368</v>
      </c>
      <c r="W10558" t="str">
        <f>VLOOKUP(Table_Query_from_Actuarial___Production[[#This Row],[Kor1]],$AI$3:$AK$105,3,FALSE)</f>
        <v>Misc. Expense</v>
      </c>
      <c r="X105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8"/>
      <c r="Z10558" t="s">
        <v>48</v>
      </c>
      <c r="AA10558" t="s">
        <v>239</v>
      </c>
      <c r="AB10558" t="s">
        <v>441</v>
      </c>
      <c r="AC10558" s="21">
        <v>37195.599999999999</v>
      </c>
      <c r="AD10558" s="21" t="s">
        <v>368</v>
      </c>
      <c r="AE10558" t="str">
        <f>VLOOKUP(Table_Query_from_Actuarial___Production3[[#This Row],[Kor1]],$AI$3:$AK$105,3,FALSE)</f>
        <v>Anticipated Salvage</v>
      </c>
      <c r="AF105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59" spans="18:32" x14ac:dyDescent="0.2">
      <c r="R10559" t="s">
        <v>10</v>
      </c>
      <c r="S10559" t="s">
        <v>237</v>
      </c>
      <c r="T10559" t="s">
        <v>433</v>
      </c>
      <c r="U10559" s="21">
        <v>2625394.81</v>
      </c>
      <c r="V10559" s="21" t="s">
        <v>368</v>
      </c>
      <c r="W10559" t="str">
        <f>VLOOKUP(Table_Query_from_Actuarial___Production[[#This Row],[Kor1]],$AI$3:$AK$105,3,FALSE)</f>
        <v>Commissions</v>
      </c>
      <c r="X105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59"/>
      <c r="Z10559" t="s">
        <v>41</v>
      </c>
      <c r="AA10559" t="s">
        <v>246</v>
      </c>
      <c r="AB10559" t="s">
        <v>8</v>
      </c>
      <c r="AC10559" s="21">
        <v>350</v>
      </c>
      <c r="AD10559" s="21" t="s">
        <v>368</v>
      </c>
      <c r="AE10559" t="str">
        <f>VLOOKUP(Table_Query_from_Actuarial___Production3[[#This Row],[Kor1]],$AI$3:$AK$105,3,FALSE)</f>
        <v>Misc. Income</v>
      </c>
      <c r="AF105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0" spans="18:32" x14ac:dyDescent="0.2">
      <c r="R10560" t="s">
        <v>47</v>
      </c>
      <c r="S10560" t="s">
        <v>232</v>
      </c>
      <c r="T10560" t="s">
        <v>442</v>
      </c>
      <c r="U10560" s="21">
        <v>3373.36</v>
      </c>
      <c r="V10560" s="21" t="s">
        <v>368</v>
      </c>
      <c r="W10560" t="str">
        <f>VLOOKUP(Table_Query_from_Actuarial___Production[[#This Row],[Kor1]],$AI$3:$AK$105,3,FALSE)</f>
        <v>Investment Income</v>
      </c>
      <c r="X105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0"/>
      <c r="Z10560" t="s">
        <v>40</v>
      </c>
      <c r="AA10560" t="s">
        <v>265</v>
      </c>
      <c r="AB10560" t="s">
        <v>441</v>
      </c>
      <c r="AC10560" s="21">
        <v>2.0099999999999998</v>
      </c>
      <c r="AD10560" s="21" t="s">
        <v>368</v>
      </c>
      <c r="AE10560" t="str">
        <f>VLOOKUP(Table_Query_from_Actuarial___Production3[[#This Row],[Kor1]],$AI$3:$AK$105,3,FALSE)</f>
        <v>Misc. Income</v>
      </c>
      <c r="AF105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1" spans="18:32" x14ac:dyDescent="0.2">
      <c r="R10561" t="s">
        <v>13</v>
      </c>
      <c r="S10561" t="s">
        <v>259</v>
      </c>
      <c r="T10561" t="s">
        <v>441</v>
      </c>
      <c r="U10561" s="21">
        <v>6571.95</v>
      </c>
      <c r="V10561" s="21" t="s">
        <v>368</v>
      </c>
      <c r="W10561" t="str">
        <f>VLOOKUP(Table_Query_from_Actuarial___Production[[#This Row],[Kor1]],$AI$3:$AK$105,3,FALSE)</f>
        <v>Operating Service Fees</v>
      </c>
      <c r="X105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1"/>
      <c r="Z10561" t="s">
        <v>19</v>
      </c>
      <c r="AA10561" t="s">
        <v>255</v>
      </c>
      <c r="AB10561" t="s">
        <v>7</v>
      </c>
      <c r="AC10561" s="21">
        <v>652</v>
      </c>
      <c r="AD10561" s="21" t="s">
        <v>368</v>
      </c>
      <c r="AE10561" t="str">
        <f>VLOOKUP(Table_Query_from_Actuarial___Production3[[#This Row],[Kor1]],$AI$3:$AK$105,3,FALSE)</f>
        <v>Misc. Expense for Insolvent Companies</v>
      </c>
      <c r="AF105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2" spans="18:32" x14ac:dyDescent="0.2">
      <c r="R10562" t="s">
        <v>17</v>
      </c>
      <c r="S10562" t="s">
        <v>265</v>
      </c>
      <c r="T10562" t="s">
        <v>445</v>
      </c>
      <c r="U10562" s="21">
        <v>30031.4</v>
      </c>
      <c r="V10562" s="21" t="s">
        <v>368</v>
      </c>
      <c r="W10562" t="str">
        <f>VLOOKUP(Table_Query_from_Actuarial___Production[[#This Row],[Kor1]],$AI$3:$AK$105,3,FALSE)</f>
        <v>IBNR</v>
      </c>
      <c r="X105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2"/>
      <c r="Z10562" t="s">
        <v>43</v>
      </c>
      <c r="AA10562" t="s">
        <v>257</v>
      </c>
      <c r="AB10562" t="s">
        <v>7</v>
      </c>
      <c r="AC10562" s="21">
        <v>1426.11</v>
      </c>
      <c r="AD10562" s="21" t="s">
        <v>368</v>
      </c>
      <c r="AE10562" t="str">
        <f>VLOOKUP(Table_Query_from_Actuarial___Production3[[#This Row],[Kor1]],$AI$3:$AK$105,3,FALSE)</f>
        <v>Charge-offs</v>
      </c>
      <c r="AF105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3" spans="18:32" x14ac:dyDescent="0.2">
      <c r="R10563" t="s">
        <v>11</v>
      </c>
      <c r="S10563" t="s">
        <v>254</v>
      </c>
      <c r="T10563" t="s">
        <v>356</v>
      </c>
      <c r="U10563" s="21">
        <v>4133936.68</v>
      </c>
      <c r="V10563" s="21" t="s">
        <v>368</v>
      </c>
      <c r="W10563" t="str">
        <f>VLOOKUP(Table_Query_from_Actuarial___Production[[#This Row],[Kor1]],$AI$3:$AK$105,3,FALSE)</f>
        <v>Losses Paid</v>
      </c>
      <c r="X105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3"/>
      <c r="Z10563" t="s">
        <v>47</v>
      </c>
      <c r="AA10563" t="s">
        <v>227</v>
      </c>
      <c r="AB10563" t="s">
        <v>7</v>
      </c>
      <c r="AC10563" s="21">
        <v>0.11</v>
      </c>
      <c r="AD10563" s="21" t="s">
        <v>368</v>
      </c>
      <c r="AE10563" t="str">
        <f>VLOOKUP(Table_Query_from_Actuarial___Production3[[#This Row],[Kor1]],$AI$3:$AK$105,3,FALSE)</f>
        <v>Investment Income</v>
      </c>
      <c r="AF105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4" spans="18:32" x14ac:dyDescent="0.2">
      <c r="R10564" t="s">
        <v>40</v>
      </c>
      <c r="S10564" t="s">
        <v>239</v>
      </c>
      <c r="T10564" t="s">
        <v>6</v>
      </c>
      <c r="U10564" s="21">
        <v>51.99</v>
      </c>
      <c r="V10564" s="21" t="s">
        <v>368</v>
      </c>
      <c r="W10564" t="str">
        <f>VLOOKUP(Table_Query_from_Actuarial___Production[[#This Row],[Kor1]],$AI$3:$AK$105,3,FALSE)</f>
        <v>Misc. Income</v>
      </c>
      <c r="X105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4"/>
      <c r="Z10564" t="s">
        <v>41</v>
      </c>
      <c r="AA10564" t="s">
        <v>261</v>
      </c>
      <c r="AB10564" t="s">
        <v>427</v>
      </c>
      <c r="AC10564" s="21">
        <v>150</v>
      </c>
      <c r="AD10564" s="21" t="s">
        <v>368</v>
      </c>
      <c r="AE10564" t="str">
        <f>VLOOKUP(Table_Query_from_Actuarial___Production3[[#This Row],[Kor1]],$AI$3:$AK$105,3,FALSE)</f>
        <v>Misc. Income</v>
      </c>
      <c r="AF105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5" spans="18:32" x14ac:dyDescent="0.2">
      <c r="R10565" t="s">
        <v>31</v>
      </c>
      <c r="S10565" t="s">
        <v>232</v>
      </c>
      <c r="T10565" t="s">
        <v>6</v>
      </c>
      <c r="U10565" s="21">
        <v>24.98</v>
      </c>
      <c r="V10565" s="21" t="s">
        <v>368</v>
      </c>
      <c r="W10565" t="str">
        <f>VLOOKUP(Table_Query_from_Actuarial___Production[[#This Row],[Kor1]],$AI$3:$AK$105,3,FALSE)</f>
        <v>Misc. Expense</v>
      </c>
      <c r="X105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5"/>
      <c r="Z10565" t="s">
        <v>43</v>
      </c>
      <c r="AA10565" t="s">
        <v>224</v>
      </c>
      <c r="AB10565" t="s">
        <v>427</v>
      </c>
      <c r="AC10565" s="21">
        <v>3</v>
      </c>
      <c r="AD10565" s="21" t="s">
        <v>369</v>
      </c>
      <c r="AE10565" t="str">
        <f>VLOOKUP(Table_Query_from_Actuarial___Production3[[#This Row],[Kor1]],$AI$3:$AK$105,3,FALSE)</f>
        <v>Charge-offs</v>
      </c>
      <c r="AF105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566" spans="18:32" x14ac:dyDescent="0.2">
      <c r="R10566" t="s">
        <v>11</v>
      </c>
      <c r="S10566" t="s">
        <v>229</v>
      </c>
      <c r="T10566" t="s">
        <v>6</v>
      </c>
      <c r="U10566" s="21">
        <v>1720.85</v>
      </c>
      <c r="V10566" s="21" t="s">
        <v>368</v>
      </c>
      <c r="W10566" t="str">
        <f>VLOOKUP(Table_Query_from_Actuarial___Production[[#This Row],[Kor1]],$AI$3:$AK$105,3,FALSE)</f>
        <v>Losses Paid</v>
      </c>
      <c r="X105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6"/>
      <c r="Z10566" t="s">
        <v>10</v>
      </c>
      <c r="AA10566" t="s">
        <v>232</v>
      </c>
      <c r="AB10566" t="s">
        <v>5</v>
      </c>
      <c r="AC10566" s="21">
        <v>64153</v>
      </c>
      <c r="AD10566" s="21" t="s">
        <v>368</v>
      </c>
      <c r="AE10566" t="str">
        <f>VLOOKUP(Table_Query_from_Actuarial___Production3[[#This Row],[Kor1]],$AI$3:$AK$105,3,FALSE)</f>
        <v>Commissions</v>
      </c>
      <c r="AF105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7" spans="18:32" x14ac:dyDescent="0.2">
      <c r="R10567" t="s">
        <v>33</v>
      </c>
      <c r="S10567" t="s">
        <v>266</v>
      </c>
      <c r="T10567" t="s">
        <v>441</v>
      </c>
      <c r="U10567" s="21">
        <v>14395.85</v>
      </c>
      <c r="V10567" s="21" t="s">
        <v>368</v>
      </c>
      <c r="W10567" t="str">
        <f>VLOOKUP(Table_Query_from_Actuarial___Production[[#This Row],[Kor1]],$AI$3:$AK$105,3,FALSE)</f>
        <v>Misc. Expense</v>
      </c>
      <c r="X105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7"/>
      <c r="Z10567" t="s">
        <v>12</v>
      </c>
      <c r="AA10567" t="s">
        <v>261</v>
      </c>
      <c r="AB10567" t="s">
        <v>7</v>
      </c>
      <c r="AC10567" s="21">
        <v>14044.11</v>
      </c>
      <c r="AD10567" s="21" t="s">
        <v>368</v>
      </c>
      <c r="AE10567" t="str">
        <f>VLOOKUP(Table_Query_from_Actuarial___Production3[[#This Row],[Kor1]],$AI$3:$AK$105,3,FALSE)</f>
        <v>Premium Tax</v>
      </c>
      <c r="AF105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8" spans="18:32" x14ac:dyDescent="0.2">
      <c r="R10568" t="s">
        <v>13</v>
      </c>
      <c r="S10568" t="s">
        <v>4</v>
      </c>
      <c r="T10568" t="s">
        <v>9</v>
      </c>
      <c r="U10568" s="21">
        <v>4102326.71</v>
      </c>
      <c r="V10568" s="21" t="s">
        <v>368</v>
      </c>
      <c r="W10568" t="str">
        <f>VLOOKUP(Table_Query_from_Actuarial___Production[[#This Row],[Kor1]],$AI$3:$AK$105,3,FALSE)</f>
        <v>Operating Service Fees</v>
      </c>
      <c r="X105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8"/>
      <c r="Z10568" t="s">
        <v>43</v>
      </c>
      <c r="AA10568" t="s">
        <v>258</v>
      </c>
      <c r="AB10568" t="s">
        <v>9</v>
      </c>
      <c r="AC10568" s="21">
        <v>-555.12</v>
      </c>
      <c r="AD10568" s="21" t="s">
        <v>368</v>
      </c>
      <c r="AE10568" t="str">
        <f>VLOOKUP(Table_Query_from_Actuarial___Production3[[#This Row],[Kor1]],$AI$3:$AK$105,3,FALSE)</f>
        <v>Charge-offs</v>
      </c>
      <c r="AF105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69" spans="18:32" x14ac:dyDescent="0.2">
      <c r="R10569" t="s">
        <v>31</v>
      </c>
      <c r="S10569" t="s">
        <v>248</v>
      </c>
      <c r="T10569" t="s">
        <v>6</v>
      </c>
      <c r="U10569" s="21">
        <v>4</v>
      </c>
      <c r="V10569" s="21" t="s">
        <v>368</v>
      </c>
      <c r="W10569" t="str">
        <f>VLOOKUP(Table_Query_from_Actuarial___Production[[#This Row],[Kor1]],$AI$3:$AK$105,3,FALSE)</f>
        <v>Misc. Expense</v>
      </c>
      <c r="X105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69"/>
      <c r="Z10569" t="s">
        <v>44</v>
      </c>
      <c r="AA10569" t="s">
        <v>249</v>
      </c>
      <c r="AB10569" t="s">
        <v>5</v>
      </c>
      <c r="AC10569" s="21">
        <v>3</v>
      </c>
      <c r="AD10569" s="21" t="s">
        <v>368</v>
      </c>
      <c r="AE10569" t="str">
        <f>VLOOKUP(Table_Query_from_Actuarial___Production3[[#This Row],[Kor1]],$AI$3:$AK$105,3,FALSE)</f>
        <v>Charge-offs</v>
      </c>
      <c r="AF105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0" spans="18:32" x14ac:dyDescent="0.2">
      <c r="R10570" t="s">
        <v>3</v>
      </c>
      <c r="S10570" t="s">
        <v>262</v>
      </c>
      <c r="T10570" t="s">
        <v>427</v>
      </c>
      <c r="U10570" s="21">
        <v>361327</v>
      </c>
      <c r="V10570" s="21" t="s">
        <v>368</v>
      </c>
      <c r="W10570" t="str">
        <f>VLOOKUP(Table_Query_from_Actuarial___Production[[#This Row],[Kor1]],$AI$3:$AK$105,3,FALSE)</f>
        <v>Premiums Written</v>
      </c>
      <c r="X105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0"/>
      <c r="Z10570" t="s">
        <v>3</v>
      </c>
      <c r="AA10570" t="s">
        <v>228</v>
      </c>
      <c r="AB10570" t="s">
        <v>9</v>
      </c>
      <c r="AC10570" s="21">
        <v>34166</v>
      </c>
      <c r="AD10570" s="21" t="s">
        <v>368</v>
      </c>
      <c r="AE10570" t="str">
        <f>VLOOKUP(Table_Query_from_Actuarial___Production3[[#This Row],[Kor1]],$AI$3:$AK$105,3,FALSE)</f>
        <v>Premiums Written</v>
      </c>
      <c r="AF105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1" spans="18:32" x14ac:dyDescent="0.2">
      <c r="R10571" t="s">
        <v>33</v>
      </c>
      <c r="S10571" t="s">
        <v>247</v>
      </c>
      <c r="T10571" t="s">
        <v>427</v>
      </c>
      <c r="U10571" s="21">
        <v>20230.16</v>
      </c>
      <c r="V10571" s="21" t="s">
        <v>368</v>
      </c>
      <c r="W10571" t="str">
        <f>VLOOKUP(Table_Query_from_Actuarial___Production[[#This Row],[Kor1]],$AI$3:$AK$105,3,FALSE)</f>
        <v>Misc. Expense</v>
      </c>
      <c r="X105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1"/>
      <c r="Z10571" t="s">
        <v>37</v>
      </c>
      <c r="AA10571" t="s">
        <v>233</v>
      </c>
      <c r="AB10571" t="s">
        <v>7</v>
      </c>
      <c r="AC10571" s="21">
        <v>717.14</v>
      </c>
      <c r="AD10571" s="21" t="s">
        <v>368</v>
      </c>
      <c r="AE10571" t="str">
        <f>VLOOKUP(Table_Query_from_Actuarial___Production3[[#This Row],[Kor1]],$AI$3:$AK$105,3,FALSE)</f>
        <v>Misc. Expense</v>
      </c>
      <c r="AF105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2" spans="18:32" x14ac:dyDescent="0.2">
      <c r="R10572" t="s">
        <v>44</v>
      </c>
      <c r="S10572" t="s">
        <v>237</v>
      </c>
      <c r="T10572" t="s">
        <v>6</v>
      </c>
      <c r="U10572" s="21">
        <v>78134.62</v>
      </c>
      <c r="V10572" s="21" t="s">
        <v>368</v>
      </c>
      <c r="W10572" t="str">
        <f>VLOOKUP(Table_Query_from_Actuarial___Production[[#This Row],[Kor1]],$AI$3:$AK$105,3,FALSE)</f>
        <v>Charge-offs</v>
      </c>
      <c r="X105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2"/>
      <c r="Z10572" t="s">
        <v>10</v>
      </c>
      <c r="AA10572" t="s">
        <v>237</v>
      </c>
      <c r="AB10572" t="s">
        <v>433</v>
      </c>
      <c r="AC10572" s="21">
        <v>2625394.81</v>
      </c>
      <c r="AD10572" s="21" t="s">
        <v>368</v>
      </c>
      <c r="AE10572" t="str">
        <f>VLOOKUP(Table_Query_from_Actuarial___Production3[[#This Row],[Kor1]],$AI$3:$AK$105,3,FALSE)</f>
        <v>Commissions</v>
      </c>
      <c r="AF105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3" spans="18:32" x14ac:dyDescent="0.2">
      <c r="R10573" t="s">
        <v>47</v>
      </c>
      <c r="S10573" t="s">
        <v>256</v>
      </c>
      <c r="T10573" t="s">
        <v>9</v>
      </c>
      <c r="U10573" s="21">
        <v>115.86</v>
      </c>
      <c r="V10573" s="21" t="s">
        <v>368</v>
      </c>
      <c r="W10573" t="str">
        <f>VLOOKUP(Table_Query_from_Actuarial___Production[[#This Row],[Kor1]],$AI$3:$AK$105,3,FALSE)</f>
        <v>Investment Income</v>
      </c>
      <c r="X105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3"/>
      <c r="Z10573" t="s">
        <v>40</v>
      </c>
      <c r="AA10573" t="s">
        <v>4</v>
      </c>
      <c r="AB10573" t="s">
        <v>5</v>
      </c>
      <c r="AC10573" s="21">
        <v>462.81</v>
      </c>
      <c r="AD10573" s="21" t="s">
        <v>368</v>
      </c>
      <c r="AE10573" t="str">
        <f>VLOOKUP(Table_Query_from_Actuarial___Production3[[#This Row],[Kor1]],$AI$3:$AK$105,3,FALSE)</f>
        <v>Misc. Income</v>
      </c>
      <c r="AF105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4" spans="18:32" x14ac:dyDescent="0.2">
      <c r="R10574" t="s">
        <v>48</v>
      </c>
      <c r="S10574" t="s">
        <v>237</v>
      </c>
      <c r="T10574" t="s">
        <v>442</v>
      </c>
      <c r="U10574" s="21">
        <v>767123.19</v>
      </c>
      <c r="V10574" s="21" t="s">
        <v>368</v>
      </c>
      <c r="W10574" t="str">
        <f>VLOOKUP(Table_Query_from_Actuarial___Production[[#This Row],[Kor1]],$AI$3:$AK$105,3,FALSE)</f>
        <v>Anticipated Salvage</v>
      </c>
      <c r="X105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4"/>
      <c r="Z10574" t="s">
        <v>47</v>
      </c>
      <c r="AA10574" t="s">
        <v>232</v>
      </c>
      <c r="AB10574" t="s">
        <v>442</v>
      </c>
      <c r="AC10574" s="21">
        <v>3373.36</v>
      </c>
      <c r="AD10574" s="21" t="s">
        <v>368</v>
      </c>
      <c r="AE10574" t="str">
        <f>VLOOKUP(Table_Query_from_Actuarial___Production3[[#This Row],[Kor1]],$AI$3:$AK$105,3,FALSE)</f>
        <v>Investment Income</v>
      </c>
      <c r="AF105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5" spans="18:32" x14ac:dyDescent="0.2">
      <c r="R10575" t="s">
        <v>15</v>
      </c>
      <c r="S10575" t="s">
        <v>247</v>
      </c>
      <c r="T10575" t="s">
        <v>443</v>
      </c>
      <c r="U10575" s="21">
        <v>3547.13</v>
      </c>
      <c r="V10575" s="21" t="s">
        <v>368</v>
      </c>
      <c r="W10575" t="str">
        <f>VLOOKUP(Table_Query_from_Actuarial___Production[[#This Row],[Kor1]],$AI$3:$AK$105,3,FALSE)</f>
        <v>Unearned Premiums</v>
      </c>
      <c r="X105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5"/>
      <c r="Z10575" t="s">
        <v>13</v>
      </c>
      <c r="AA10575" t="s">
        <v>259</v>
      </c>
      <c r="AB10575" t="s">
        <v>441</v>
      </c>
      <c r="AC10575" s="21">
        <v>6571.95</v>
      </c>
      <c r="AD10575" s="21" t="s">
        <v>368</v>
      </c>
      <c r="AE10575" t="str">
        <f>VLOOKUP(Table_Query_from_Actuarial___Production3[[#This Row],[Kor1]],$AI$3:$AK$105,3,FALSE)</f>
        <v>Operating Service Fees</v>
      </c>
      <c r="AF105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6" spans="18:32" x14ac:dyDescent="0.2">
      <c r="R10576" t="s">
        <v>21</v>
      </c>
      <c r="S10576" t="s">
        <v>237</v>
      </c>
      <c r="T10576" t="s">
        <v>351</v>
      </c>
      <c r="U10576" s="21">
        <v>17720.11</v>
      </c>
      <c r="V10576" s="21" t="s">
        <v>368</v>
      </c>
      <c r="W10576" t="str">
        <f>VLOOKUP(Table_Query_from_Actuarial___Production[[#This Row],[Kor1]],$AI$3:$AK$105,3,FALSE)</f>
        <v>Misc. Expense</v>
      </c>
      <c r="X105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6"/>
      <c r="Z10576" t="s">
        <v>11</v>
      </c>
      <c r="AA10576" t="s">
        <v>254</v>
      </c>
      <c r="AB10576" t="s">
        <v>356</v>
      </c>
      <c r="AC10576" s="21">
        <v>4133936.68</v>
      </c>
      <c r="AD10576" s="21" t="s">
        <v>368</v>
      </c>
      <c r="AE10576" t="str">
        <f>VLOOKUP(Table_Query_from_Actuarial___Production3[[#This Row],[Kor1]],$AI$3:$AK$105,3,FALSE)</f>
        <v>Losses Paid</v>
      </c>
      <c r="AF105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7" spans="18:32" x14ac:dyDescent="0.2">
      <c r="R10577" t="s">
        <v>41</v>
      </c>
      <c r="S10577" t="s">
        <v>229</v>
      </c>
      <c r="T10577" t="s">
        <v>443</v>
      </c>
      <c r="U10577" s="21">
        <v>250</v>
      </c>
      <c r="V10577" s="21" t="s">
        <v>368</v>
      </c>
      <c r="W10577" t="str">
        <f>VLOOKUP(Table_Query_from_Actuarial___Production[[#This Row],[Kor1]],$AI$3:$AK$105,3,FALSE)</f>
        <v>Misc. Income</v>
      </c>
      <c r="X105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7"/>
      <c r="Z10577" t="s">
        <v>40</v>
      </c>
      <c r="AA10577" t="s">
        <v>235</v>
      </c>
      <c r="AB10577" t="s">
        <v>5</v>
      </c>
      <c r="AC10577" s="21">
        <v>286</v>
      </c>
      <c r="AD10577" s="21" t="s">
        <v>368</v>
      </c>
      <c r="AE10577" t="str">
        <f>VLOOKUP(Table_Query_from_Actuarial___Production3[[#This Row],[Kor1]],$AI$3:$AK$105,3,FALSE)</f>
        <v>Misc. Income</v>
      </c>
      <c r="AF105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78" spans="18:32" x14ac:dyDescent="0.2">
      <c r="R10578" t="s">
        <v>14</v>
      </c>
      <c r="S10578" t="s">
        <v>246</v>
      </c>
      <c r="T10578" t="s">
        <v>441</v>
      </c>
      <c r="U10578" s="21">
        <v>589632.38</v>
      </c>
      <c r="V10578" s="21" t="s">
        <v>368</v>
      </c>
      <c r="W10578" t="str">
        <f>VLOOKUP(Table_Query_from_Actuarial___Production[[#This Row],[Kor1]],$AI$3:$AK$105,3,FALSE)</f>
        <v>Claims Expense</v>
      </c>
      <c r="X105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8"/>
      <c r="Z10578" t="s">
        <v>10</v>
      </c>
      <c r="AA10578" t="s">
        <v>224</v>
      </c>
      <c r="AB10578" t="s">
        <v>5</v>
      </c>
      <c r="AC10578" s="21">
        <v>3962.13</v>
      </c>
      <c r="AD10578" s="21" t="s">
        <v>369</v>
      </c>
      <c r="AE10578" t="str">
        <f>VLOOKUP(Table_Query_from_Actuarial___Production3[[#This Row],[Kor1]],$AI$3:$AK$105,3,FALSE)</f>
        <v>Commissions</v>
      </c>
      <c r="AF105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579" spans="18:32" x14ac:dyDescent="0.2">
      <c r="R10579" t="s">
        <v>33</v>
      </c>
      <c r="S10579" t="s">
        <v>267</v>
      </c>
      <c r="T10579" t="s">
        <v>351</v>
      </c>
      <c r="U10579" s="21">
        <v>15793.96</v>
      </c>
      <c r="V10579" s="21" t="s">
        <v>368</v>
      </c>
      <c r="W10579" t="str">
        <f>VLOOKUP(Table_Query_from_Actuarial___Production[[#This Row],[Kor1]],$AI$3:$AK$105,3,FALSE)</f>
        <v>Misc. Expense</v>
      </c>
      <c r="X105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79"/>
      <c r="Z10579" t="s">
        <v>11</v>
      </c>
      <c r="AA10579" t="s">
        <v>230</v>
      </c>
      <c r="AB10579" t="s">
        <v>5</v>
      </c>
      <c r="AC10579" s="21">
        <v>8190443.9900000002</v>
      </c>
      <c r="AD10579" s="21" t="s">
        <v>368</v>
      </c>
      <c r="AE10579" t="str">
        <f>VLOOKUP(Table_Query_from_Actuarial___Production3[[#This Row],[Kor1]],$AI$3:$AK$105,3,FALSE)</f>
        <v>Losses Paid</v>
      </c>
      <c r="AF105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0" spans="18:32" x14ac:dyDescent="0.2">
      <c r="R10580" t="s">
        <v>21</v>
      </c>
      <c r="S10580" t="s">
        <v>265</v>
      </c>
      <c r="T10580" t="s">
        <v>442</v>
      </c>
      <c r="U10580" s="21">
        <v>2236.2600000000002</v>
      </c>
      <c r="V10580" s="21" t="s">
        <v>368</v>
      </c>
      <c r="W10580" t="str">
        <f>VLOOKUP(Table_Query_from_Actuarial___Production[[#This Row],[Kor1]],$AI$3:$AK$105,3,FALSE)</f>
        <v>Misc. Expense</v>
      </c>
      <c r="X105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0"/>
      <c r="Z10580" t="s">
        <v>40</v>
      </c>
      <c r="AA10580" t="s">
        <v>239</v>
      </c>
      <c r="AB10580" t="s">
        <v>6</v>
      </c>
      <c r="AC10580" s="21">
        <v>51.99</v>
      </c>
      <c r="AD10580" s="21" t="s">
        <v>368</v>
      </c>
      <c r="AE10580" t="str">
        <f>VLOOKUP(Table_Query_from_Actuarial___Production3[[#This Row],[Kor1]],$AI$3:$AK$105,3,FALSE)</f>
        <v>Misc. Income</v>
      </c>
      <c r="AF105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1" spans="18:32" x14ac:dyDescent="0.2">
      <c r="R10581" t="s">
        <v>10</v>
      </c>
      <c r="S10581" t="s">
        <v>245</v>
      </c>
      <c r="T10581" t="s">
        <v>427</v>
      </c>
      <c r="U10581" s="21">
        <v>319.35000000000002</v>
      </c>
      <c r="V10581" s="21" t="s">
        <v>368</v>
      </c>
      <c r="W10581" t="str">
        <f>VLOOKUP(Table_Query_from_Actuarial___Production[[#This Row],[Kor1]],$AI$3:$AK$105,3,FALSE)</f>
        <v>Commissions</v>
      </c>
      <c r="X105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1"/>
      <c r="Z10581" t="s">
        <v>31</v>
      </c>
      <c r="AA10581" t="s">
        <v>232</v>
      </c>
      <c r="AB10581" t="s">
        <v>6</v>
      </c>
      <c r="AC10581" s="21">
        <v>24.98</v>
      </c>
      <c r="AD10581" s="21" t="s">
        <v>368</v>
      </c>
      <c r="AE10581" t="str">
        <f>VLOOKUP(Table_Query_from_Actuarial___Production3[[#This Row],[Kor1]],$AI$3:$AK$105,3,FALSE)</f>
        <v>Misc. Expense</v>
      </c>
      <c r="AF105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2" spans="18:32" x14ac:dyDescent="0.2">
      <c r="R10582" t="s">
        <v>47</v>
      </c>
      <c r="S10582" t="s">
        <v>237</v>
      </c>
      <c r="T10582" t="s">
        <v>6</v>
      </c>
      <c r="U10582" s="21">
        <v>0.17</v>
      </c>
      <c r="V10582" s="21" t="s">
        <v>368</v>
      </c>
      <c r="W10582" t="str">
        <f>VLOOKUP(Table_Query_from_Actuarial___Production[[#This Row],[Kor1]],$AI$3:$AK$105,3,FALSE)</f>
        <v>Investment Income</v>
      </c>
      <c r="X105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2"/>
      <c r="Z10582" t="s">
        <v>11</v>
      </c>
      <c r="AA10582" t="s">
        <v>229</v>
      </c>
      <c r="AB10582" t="s">
        <v>6</v>
      </c>
      <c r="AC10582" s="21">
        <v>1720.85</v>
      </c>
      <c r="AD10582" s="21" t="s">
        <v>368</v>
      </c>
      <c r="AE10582" t="str">
        <f>VLOOKUP(Table_Query_from_Actuarial___Production3[[#This Row],[Kor1]],$AI$3:$AK$105,3,FALSE)</f>
        <v>Losses Paid</v>
      </c>
      <c r="AF105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3" spans="18:32" x14ac:dyDescent="0.2">
      <c r="R10583" t="s">
        <v>49</v>
      </c>
      <c r="S10583" t="s">
        <v>266</v>
      </c>
      <c r="T10583" t="s">
        <v>9</v>
      </c>
      <c r="U10583" s="21">
        <v>3252</v>
      </c>
      <c r="V10583" s="21" t="s">
        <v>368</v>
      </c>
      <c r="W10583" t="str">
        <f>VLOOKUP(Table_Query_from_Actuarial___Production[[#This Row],[Kor1]],$AI$3:$AK$105,3,FALSE)</f>
        <v>ALAE Paid</v>
      </c>
      <c r="X105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3"/>
      <c r="Z10583" t="s">
        <v>33</v>
      </c>
      <c r="AA10583" t="s">
        <v>266</v>
      </c>
      <c r="AB10583" t="s">
        <v>441</v>
      </c>
      <c r="AC10583" s="21">
        <v>14395.85</v>
      </c>
      <c r="AD10583" s="21" t="s">
        <v>368</v>
      </c>
      <c r="AE10583" t="str">
        <f>VLOOKUP(Table_Query_from_Actuarial___Production3[[#This Row],[Kor1]],$AI$3:$AK$105,3,FALSE)</f>
        <v>Misc. Expense</v>
      </c>
      <c r="AF105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4" spans="18:32" x14ac:dyDescent="0.2">
      <c r="R10584" t="s">
        <v>46</v>
      </c>
      <c r="S10584" t="s">
        <v>354</v>
      </c>
      <c r="T10584" t="s">
        <v>9</v>
      </c>
      <c r="U10584" s="21">
        <v>21118150.010000002</v>
      </c>
      <c r="V10584" s="21" t="s">
        <v>369</v>
      </c>
      <c r="W10584" t="str">
        <f>VLOOKUP(Table_Query_from_Actuarial___Production[[#This Row],[Kor1]],$AI$3:$AK$105,3,FALSE)</f>
        <v>Investment Income</v>
      </c>
      <c r="X105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North Carolina Facility Private Passenger</v>
      </c>
      <c r="Y10584"/>
      <c r="Z10584" t="s">
        <v>13</v>
      </c>
      <c r="AA10584" t="s">
        <v>4</v>
      </c>
      <c r="AB10584" t="s">
        <v>9</v>
      </c>
      <c r="AC10584" s="21">
        <v>4102326.71</v>
      </c>
      <c r="AD10584" s="21" t="s">
        <v>368</v>
      </c>
      <c r="AE10584" t="str">
        <f>VLOOKUP(Table_Query_from_Actuarial___Production3[[#This Row],[Kor1]],$AI$3:$AK$105,3,FALSE)</f>
        <v>Operating Service Fees</v>
      </c>
      <c r="AF105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5" spans="18:32" x14ac:dyDescent="0.2">
      <c r="R10585" t="s">
        <v>33</v>
      </c>
      <c r="S10585" t="s">
        <v>251</v>
      </c>
      <c r="T10585" t="s">
        <v>445</v>
      </c>
      <c r="U10585" s="21">
        <v>8631.27</v>
      </c>
      <c r="V10585" s="21" t="s">
        <v>368</v>
      </c>
      <c r="W10585" t="str">
        <f>VLOOKUP(Table_Query_from_Actuarial___Production[[#This Row],[Kor1]],$AI$3:$AK$105,3,FALSE)</f>
        <v>Misc. Expense</v>
      </c>
      <c r="X1058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5"/>
      <c r="Z10585" t="s">
        <v>31</v>
      </c>
      <c r="AA10585" t="s">
        <v>248</v>
      </c>
      <c r="AB10585" t="s">
        <v>6</v>
      </c>
      <c r="AC10585" s="21">
        <v>4</v>
      </c>
      <c r="AD10585" s="21" t="s">
        <v>368</v>
      </c>
      <c r="AE10585" t="str">
        <f>VLOOKUP(Table_Query_from_Actuarial___Production3[[#This Row],[Kor1]],$AI$3:$AK$105,3,FALSE)</f>
        <v>Misc. Expense</v>
      </c>
      <c r="AF105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6" spans="18:32" x14ac:dyDescent="0.2">
      <c r="R10586" t="s">
        <v>21</v>
      </c>
      <c r="S10586" t="s">
        <v>248</v>
      </c>
      <c r="T10586" t="s">
        <v>9</v>
      </c>
      <c r="U10586" s="21">
        <v>531.5</v>
      </c>
      <c r="V10586" s="21" t="s">
        <v>368</v>
      </c>
      <c r="W10586" t="str">
        <f>VLOOKUP(Table_Query_from_Actuarial___Production[[#This Row],[Kor1]],$AI$3:$AK$105,3,FALSE)</f>
        <v>Misc. Expense</v>
      </c>
      <c r="X1058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6"/>
      <c r="Z10586" t="s">
        <v>3</v>
      </c>
      <c r="AA10586" t="s">
        <v>262</v>
      </c>
      <c r="AB10586" t="s">
        <v>427</v>
      </c>
      <c r="AC10586" s="21">
        <v>361327</v>
      </c>
      <c r="AD10586" s="21" t="s">
        <v>368</v>
      </c>
      <c r="AE10586" t="str">
        <f>VLOOKUP(Table_Query_from_Actuarial___Production3[[#This Row],[Kor1]],$AI$3:$AK$105,3,FALSE)</f>
        <v>Premiums Written</v>
      </c>
      <c r="AF105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7" spans="18:32" x14ac:dyDescent="0.2">
      <c r="R10587" t="s">
        <v>16</v>
      </c>
      <c r="S10587" t="s">
        <v>252</v>
      </c>
      <c r="T10587" t="s">
        <v>427</v>
      </c>
      <c r="U10587" s="21">
        <v>7535166.1299999999</v>
      </c>
      <c r="V10587" s="21" t="s">
        <v>368</v>
      </c>
      <c r="W10587" t="str">
        <f>VLOOKUP(Table_Query_from_Actuarial___Production[[#This Row],[Kor1]],$AI$3:$AK$105,3,FALSE)</f>
        <v>Losses Outstanding</v>
      </c>
      <c r="X1058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7"/>
      <c r="Z10587" t="s">
        <v>33</v>
      </c>
      <c r="AA10587" t="s">
        <v>247</v>
      </c>
      <c r="AB10587" t="s">
        <v>427</v>
      </c>
      <c r="AC10587" s="21">
        <v>20230.16</v>
      </c>
      <c r="AD10587" s="21" t="s">
        <v>368</v>
      </c>
      <c r="AE10587" t="str">
        <f>VLOOKUP(Table_Query_from_Actuarial___Production3[[#This Row],[Kor1]],$AI$3:$AK$105,3,FALSE)</f>
        <v>Misc. Expense</v>
      </c>
      <c r="AF105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8" spans="18:32" x14ac:dyDescent="0.2">
      <c r="R10588" t="s">
        <v>3</v>
      </c>
      <c r="S10588" t="s">
        <v>241</v>
      </c>
      <c r="T10588" t="s">
        <v>433</v>
      </c>
      <c r="U10588" s="21">
        <v>436793</v>
      </c>
      <c r="V10588" s="21" t="s">
        <v>368</v>
      </c>
      <c r="W10588" t="str">
        <f>VLOOKUP(Table_Query_from_Actuarial___Production[[#This Row],[Kor1]],$AI$3:$AK$105,3,FALSE)</f>
        <v>Premiums Written</v>
      </c>
      <c r="X1058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8"/>
      <c r="Z10588" t="s">
        <v>44</v>
      </c>
      <c r="AA10588" t="s">
        <v>237</v>
      </c>
      <c r="AB10588" t="s">
        <v>6</v>
      </c>
      <c r="AC10588" s="21">
        <v>78134.62</v>
      </c>
      <c r="AD10588" s="21" t="s">
        <v>368</v>
      </c>
      <c r="AE10588" t="str">
        <f>VLOOKUP(Table_Query_from_Actuarial___Production3[[#This Row],[Kor1]],$AI$3:$AK$105,3,FALSE)</f>
        <v>Charge-offs</v>
      </c>
      <c r="AF105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89" spans="18:32" x14ac:dyDescent="0.2">
      <c r="R10589" t="s">
        <v>41</v>
      </c>
      <c r="S10589" t="s">
        <v>235</v>
      </c>
      <c r="T10589" t="s">
        <v>351</v>
      </c>
      <c r="U10589" s="21">
        <v>1150.01</v>
      </c>
      <c r="V10589" s="21" t="s">
        <v>368</v>
      </c>
      <c r="W10589" t="str">
        <f>VLOOKUP(Table_Query_from_Actuarial___Production[[#This Row],[Kor1]],$AI$3:$AK$105,3,FALSE)</f>
        <v>Misc. Income</v>
      </c>
      <c r="X1058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89"/>
      <c r="Z10589" t="s">
        <v>47</v>
      </c>
      <c r="AA10589" t="s">
        <v>256</v>
      </c>
      <c r="AB10589" t="s">
        <v>9</v>
      </c>
      <c r="AC10589" s="21">
        <v>115.86</v>
      </c>
      <c r="AD10589" s="21" t="s">
        <v>368</v>
      </c>
      <c r="AE10589" t="str">
        <f>VLOOKUP(Table_Query_from_Actuarial___Production3[[#This Row],[Kor1]],$AI$3:$AK$105,3,FALSE)</f>
        <v>Investment Income</v>
      </c>
      <c r="AF105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0" spans="18:32" x14ac:dyDescent="0.2">
      <c r="R10590" t="s">
        <v>50</v>
      </c>
      <c r="S10590" t="s">
        <v>244</v>
      </c>
      <c r="T10590" t="s">
        <v>433</v>
      </c>
      <c r="U10590" s="21">
        <v>37865.589999999997</v>
      </c>
      <c r="V10590" s="21" t="s">
        <v>368</v>
      </c>
      <c r="W10590" t="str">
        <f>VLOOKUP(Table_Query_from_Actuarial___Production[[#This Row],[Kor1]],$AI$3:$AK$105,3,FALSE)</f>
        <v>ALAE Reserve</v>
      </c>
      <c r="X1059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0"/>
      <c r="Z10590" t="s">
        <v>48</v>
      </c>
      <c r="AA10590" t="s">
        <v>237</v>
      </c>
      <c r="AB10590" t="s">
        <v>442</v>
      </c>
      <c r="AC10590" s="21">
        <v>1043216.64</v>
      </c>
      <c r="AD10590" s="21" t="s">
        <v>368</v>
      </c>
      <c r="AE10590" t="str">
        <f>VLOOKUP(Table_Query_from_Actuarial___Production3[[#This Row],[Kor1]],$AI$3:$AK$105,3,FALSE)</f>
        <v>Anticipated Salvage</v>
      </c>
      <c r="AF105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1" spans="18:32" x14ac:dyDescent="0.2">
      <c r="R10591" t="s">
        <v>10</v>
      </c>
      <c r="S10591" t="s">
        <v>231</v>
      </c>
      <c r="T10591" t="s">
        <v>8</v>
      </c>
      <c r="U10591" s="21">
        <v>13053.55</v>
      </c>
      <c r="V10591" s="21" t="s">
        <v>368</v>
      </c>
      <c r="W10591" t="str">
        <f>VLOOKUP(Table_Query_from_Actuarial___Production[[#This Row],[Kor1]],$AI$3:$AK$105,3,FALSE)</f>
        <v>Commissions</v>
      </c>
      <c r="X1059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1"/>
      <c r="Z10591" t="s">
        <v>21</v>
      </c>
      <c r="AA10591" t="s">
        <v>237</v>
      </c>
      <c r="AB10591" t="s">
        <v>351</v>
      </c>
      <c r="AC10591" s="21">
        <v>17720.11</v>
      </c>
      <c r="AD10591" s="21" t="s">
        <v>368</v>
      </c>
      <c r="AE10591" t="str">
        <f>VLOOKUP(Table_Query_from_Actuarial___Production3[[#This Row],[Kor1]],$AI$3:$AK$105,3,FALSE)</f>
        <v>Misc. Expense</v>
      </c>
      <c r="AF105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2" spans="18:32" x14ac:dyDescent="0.2">
      <c r="R10592" t="s">
        <v>34</v>
      </c>
      <c r="S10592" t="s">
        <v>240</v>
      </c>
      <c r="T10592" t="s">
        <v>442</v>
      </c>
      <c r="U10592" s="21">
        <v>87.49</v>
      </c>
      <c r="V10592" s="21" t="s">
        <v>368</v>
      </c>
      <c r="W10592" t="str">
        <f>VLOOKUP(Table_Query_from_Actuarial___Production[[#This Row],[Kor1]],$AI$3:$AK$105,3,FALSE)</f>
        <v>Misc. Expense</v>
      </c>
      <c r="X1059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2"/>
      <c r="Z10592" t="s">
        <v>41</v>
      </c>
      <c r="AA10592" t="s">
        <v>229</v>
      </c>
      <c r="AB10592" t="s">
        <v>443</v>
      </c>
      <c r="AC10592" s="21">
        <v>50</v>
      </c>
      <c r="AD10592" s="21" t="s">
        <v>368</v>
      </c>
      <c r="AE10592" t="str">
        <f>VLOOKUP(Table_Query_from_Actuarial___Production3[[#This Row],[Kor1]],$AI$3:$AK$105,3,FALSE)</f>
        <v>Misc. Income</v>
      </c>
      <c r="AF105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3" spans="18:32" x14ac:dyDescent="0.2">
      <c r="R10593" t="s">
        <v>37</v>
      </c>
      <c r="S10593" t="s">
        <v>249</v>
      </c>
      <c r="T10593" t="s">
        <v>441</v>
      </c>
      <c r="U10593" s="21">
        <v>599.21</v>
      </c>
      <c r="V10593" s="21" t="s">
        <v>368</v>
      </c>
      <c r="W10593" t="str">
        <f>VLOOKUP(Table_Query_from_Actuarial___Production[[#This Row],[Kor1]],$AI$3:$AK$105,3,FALSE)</f>
        <v>Misc. Expense</v>
      </c>
      <c r="X1059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3"/>
      <c r="Z10593" t="s">
        <v>14</v>
      </c>
      <c r="AA10593" t="s">
        <v>246</v>
      </c>
      <c r="AB10593" t="s">
        <v>441</v>
      </c>
      <c r="AC10593" s="21">
        <v>590321.65</v>
      </c>
      <c r="AD10593" s="21" t="s">
        <v>368</v>
      </c>
      <c r="AE10593" t="str">
        <f>VLOOKUP(Table_Query_from_Actuarial___Production3[[#This Row],[Kor1]],$AI$3:$AK$105,3,FALSE)</f>
        <v>Claims Expense</v>
      </c>
      <c r="AF105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4" spans="18:32" x14ac:dyDescent="0.2">
      <c r="R10594" t="s">
        <v>20</v>
      </c>
      <c r="S10594" t="s">
        <v>238</v>
      </c>
      <c r="T10594" t="s">
        <v>442</v>
      </c>
      <c r="U10594" s="21">
        <v>142.62</v>
      </c>
      <c r="V10594" s="21" t="s">
        <v>368</v>
      </c>
      <c r="W10594" t="str">
        <f>VLOOKUP(Table_Query_from_Actuarial___Production[[#This Row],[Kor1]],$AI$3:$AK$105,3,FALSE)</f>
        <v>Misc. Expense</v>
      </c>
      <c r="X1059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4"/>
      <c r="Z10594" t="s">
        <v>33</v>
      </c>
      <c r="AA10594" t="s">
        <v>267</v>
      </c>
      <c r="AB10594" t="s">
        <v>351</v>
      </c>
      <c r="AC10594" s="21">
        <v>15793.96</v>
      </c>
      <c r="AD10594" s="21" t="s">
        <v>368</v>
      </c>
      <c r="AE10594" t="str">
        <f>VLOOKUP(Table_Query_from_Actuarial___Production3[[#This Row],[Kor1]],$AI$3:$AK$105,3,FALSE)</f>
        <v>Misc. Expense</v>
      </c>
      <c r="AF105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5" spans="18:32" x14ac:dyDescent="0.2">
      <c r="R10595" t="s">
        <v>34</v>
      </c>
      <c r="S10595" t="s">
        <v>266</v>
      </c>
      <c r="T10595" t="s">
        <v>445</v>
      </c>
      <c r="U10595" s="21">
        <v>1921.78</v>
      </c>
      <c r="V10595" s="21" t="s">
        <v>368</v>
      </c>
      <c r="W10595" t="str">
        <f>VLOOKUP(Table_Query_from_Actuarial___Production[[#This Row],[Kor1]],$AI$3:$AK$105,3,FALSE)</f>
        <v>Misc. Expense</v>
      </c>
      <c r="X1059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5"/>
      <c r="Z10595" t="s">
        <v>16</v>
      </c>
      <c r="AA10595" t="s">
        <v>246</v>
      </c>
      <c r="AB10595" t="s">
        <v>427</v>
      </c>
      <c r="AC10595" s="21">
        <v>334739.3</v>
      </c>
      <c r="AD10595" s="21" t="s">
        <v>368</v>
      </c>
      <c r="AE10595" t="str">
        <f>VLOOKUP(Table_Query_from_Actuarial___Production3[[#This Row],[Kor1]],$AI$3:$AK$105,3,FALSE)</f>
        <v>Losses Outstanding</v>
      </c>
      <c r="AF105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6" spans="18:32" x14ac:dyDescent="0.2">
      <c r="R10596" t="s">
        <v>12</v>
      </c>
      <c r="S10596" t="s">
        <v>240</v>
      </c>
      <c r="T10596" t="s">
        <v>9</v>
      </c>
      <c r="U10596" s="21">
        <v>53795.96</v>
      </c>
      <c r="V10596" s="21" t="s">
        <v>368</v>
      </c>
      <c r="W10596" t="str">
        <f>VLOOKUP(Table_Query_from_Actuarial___Production[[#This Row],[Kor1]],$AI$3:$AK$105,3,FALSE)</f>
        <v>Premium Tax</v>
      </c>
      <c r="X1059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6"/>
      <c r="Z10596" t="s">
        <v>21</v>
      </c>
      <c r="AA10596" t="s">
        <v>265</v>
      </c>
      <c r="AB10596" t="s">
        <v>442</v>
      </c>
      <c r="AC10596" s="21">
        <v>2236.2600000000002</v>
      </c>
      <c r="AD10596" s="21" t="s">
        <v>368</v>
      </c>
      <c r="AE10596" t="str">
        <f>VLOOKUP(Table_Query_from_Actuarial___Production3[[#This Row],[Kor1]],$AI$3:$AK$105,3,FALSE)</f>
        <v>Misc. Expense</v>
      </c>
      <c r="AF105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7" spans="18:32" x14ac:dyDescent="0.2">
      <c r="R10597" t="s">
        <v>41</v>
      </c>
      <c r="S10597" t="s">
        <v>261</v>
      </c>
      <c r="T10597" t="s">
        <v>443</v>
      </c>
      <c r="U10597" s="21">
        <v>600</v>
      </c>
      <c r="V10597" s="21" t="s">
        <v>368</v>
      </c>
      <c r="W10597" t="str">
        <f>VLOOKUP(Table_Query_from_Actuarial___Production[[#This Row],[Kor1]],$AI$3:$AK$105,3,FALSE)</f>
        <v>Misc. Income</v>
      </c>
      <c r="X1059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7"/>
      <c r="Z10597" t="s">
        <v>10</v>
      </c>
      <c r="AA10597" t="s">
        <v>245</v>
      </c>
      <c r="AB10597" t="s">
        <v>427</v>
      </c>
      <c r="AC10597" s="21">
        <v>319.35000000000002</v>
      </c>
      <c r="AD10597" s="21" t="s">
        <v>368</v>
      </c>
      <c r="AE10597" t="str">
        <f>VLOOKUP(Table_Query_from_Actuarial___Production3[[#This Row],[Kor1]],$AI$3:$AK$105,3,FALSE)</f>
        <v>Commissions</v>
      </c>
      <c r="AF105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8" spans="18:32" x14ac:dyDescent="0.2">
      <c r="R10598" t="s">
        <v>12</v>
      </c>
      <c r="S10598" t="s">
        <v>231</v>
      </c>
      <c r="T10598" t="s">
        <v>445</v>
      </c>
      <c r="U10598" s="21">
        <v>25630.02</v>
      </c>
      <c r="V10598" s="21" t="s">
        <v>368</v>
      </c>
      <c r="W10598" t="str">
        <f>VLOOKUP(Table_Query_from_Actuarial___Production[[#This Row],[Kor1]],$AI$3:$AK$105,3,FALSE)</f>
        <v>Premium Tax</v>
      </c>
      <c r="X1059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8"/>
      <c r="Z10598" t="s">
        <v>47</v>
      </c>
      <c r="AA10598" t="s">
        <v>237</v>
      </c>
      <c r="AB10598" t="s">
        <v>6</v>
      </c>
      <c r="AC10598" s="21">
        <v>0.17</v>
      </c>
      <c r="AD10598" s="21" t="s">
        <v>368</v>
      </c>
      <c r="AE10598" t="str">
        <f>VLOOKUP(Table_Query_from_Actuarial___Production3[[#This Row],[Kor1]],$AI$3:$AK$105,3,FALSE)</f>
        <v>Investment Income</v>
      </c>
      <c r="AF105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599" spans="18:32" x14ac:dyDescent="0.2">
      <c r="R10599" t="s">
        <v>21</v>
      </c>
      <c r="S10599" t="s">
        <v>241</v>
      </c>
      <c r="T10599" t="s">
        <v>356</v>
      </c>
      <c r="U10599" s="21">
        <v>2136.2600000000002</v>
      </c>
      <c r="V10599" s="21" t="s">
        <v>368</v>
      </c>
      <c r="W10599" t="str">
        <f>VLOOKUP(Table_Query_from_Actuarial___Production[[#This Row],[Kor1]],$AI$3:$AK$105,3,FALSE)</f>
        <v>Misc. Expense</v>
      </c>
      <c r="X1059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599"/>
      <c r="Z10599" t="s">
        <v>49</v>
      </c>
      <c r="AA10599" t="s">
        <v>266</v>
      </c>
      <c r="AB10599" t="s">
        <v>9</v>
      </c>
      <c r="AC10599" s="21">
        <v>3252</v>
      </c>
      <c r="AD10599" s="21" t="s">
        <v>368</v>
      </c>
      <c r="AE10599" t="str">
        <f>VLOOKUP(Table_Query_from_Actuarial___Production3[[#This Row],[Kor1]],$AI$3:$AK$105,3,FALSE)</f>
        <v>ALAE Paid</v>
      </c>
      <c r="AF105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0" spans="18:32" x14ac:dyDescent="0.2">
      <c r="R10600" t="s">
        <v>43</v>
      </c>
      <c r="S10600" t="s">
        <v>224</v>
      </c>
      <c r="T10600" t="s">
        <v>443</v>
      </c>
      <c r="U10600" s="21">
        <v>12.39</v>
      </c>
      <c r="V10600" s="21" t="s">
        <v>369</v>
      </c>
      <c r="W10600" t="str">
        <f>VLOOKUP(Table_Query_from_Actuarial___Production[[#This Row],[Kor1]],$AI$3:$AK$105,3,FALSE)</f>
        <v>Charge-offs</v>
      </c>
      <c r="X1060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600"/>
      <c r="Z10600" t="s">
        <v>46</v>
      </c>
      <c r="AA10600" t="s">
        <v>354</v>
      </c>
      <c r="AB10600" t="s">
        <v>9</v>
      </c>
      <c r="AC10600" s="21">
        <v>21118150.010000002</v>
      </c>
      <c r="AD10600" s="21" t="s">
        <v>369</v>
      </c>
      <c r="AE10600" t="str">
        <f>VLOOKUP(Table_Query_from_Actuarial___Production3[[#This Row],[Kor1]],$AI$3:$AK$105,3,FALSE)</f>
        <v>Investment Income</v>
      </c>
      <c r="AF106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North Carolina Facility Private Passenger</v>
      </c>
    </row>
    <row r="10601" spans="18:32" x14ac:dyDescent="0.2">
      <c r="R10601" t="s">
        <v>20</v>
      </c>
      <c r="S10601" t="s">
        <v>229</v>
      </c>
      <c r="T10601" t="s">
        <v>427</v>
      </c>
      <c r="U10601" s="21">
        <v>255.32</v>
      </c>
      <c r="V10601" s="21" t="s">
        <v>368</v>
      </c>
      <c r="W10601" t="str">
        <f>VLOOKUP(Table_Query_from_Actuarial___Production[[#This Row],[Kor1]],$AI$3:$AK$105,3,FALSE)</f>
        <v>Misc. Expense</v>
      </c>
      <c r="X1060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1"/>
      <c r="Z10601" t="s">
        <v>21</v>
      </c>
      <c r="AA10601" t="s">
        <v>248</v>
      </c>
      <c r="AB10601" t="s">
        <v>9</v>
      </c>
      <c r="AC10601" s="21">
        <v>531.5</v>
      </c>
      <c r="AD10601" s="21" t="s">
        <v>368</v>
      </c>
      <c r="AE10601" t="str">
        <f>VLOOKUP(Table_Query_from_Actuarial___Production3[[#This Row],[Kor1]],$AI$3:$AK$105,3,FALSE)</f>
        <v>Misc. Expense</v>
      </c>
      <c r="AF106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2" spans="18:32" x14ac:dyDescent="0.2">
      <c r="R10602" t="s">
        <v>49</v>
      </c>
      <c r="S10602" t="s">
        <v>231</v>
      </c>
      <c r="T10602" t="s">
        <v>427</v>
      </c>
      <c r="U10602" s="21">
        <v>38409.730000000003</v>
      </c>
      <c r="V10602" s="21" t="s">
        <v>368</v>
      </c>
      <c r="W10602" t="str">
        <f>VLOOKUP(Table_Query_from_Actuarial___Production[[#This Row],[Kor1]],$AI$3:$AK$105,3,FALSE)</f>
        <v>ALAE Paid</v>
      </c>
      <c r="X1060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2"/>
      <c r="Z10602" t="s">
        <v>16</v>
      </c>
      <c r="AA10602" t="s">
        <v>252</v>
      </c>
      <c r="AB10602" t="s">
        <v>427</v>
      </c>
      <c r="AC10602" s="21">
        <v>7628006.0099999998</v>
      </c>
      <c r="AD10602" s="21" t="s">
        <v>368</v>
      </c>
      <c r="AE10602" t="str">
        <f>VLOOKUP(Table_Query_from_Actuarial___Production3[[#This Row],[Kor1]],$AI$3:$AK$105,3,FALSE)</f>
        <v>Losses Outstanding</v>
      </c>
      <c r="AF106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3" spans="18:32" x14ac:dyDescent="0.2">
      <c r="R10603" t="s">
        <v>14</v>
      </c>
      <c r="S10603" t="s">
        <v>267</v>
      </c>
      <c r="T10603" t="s">
        <v>8</v>
      </c>
      <c r="U10603" s="21">
        <v>25417.18</v>
      </c>
      <c r="V10603" s="21" t="s">
        <v>368</v>
      </c>
      <c r="W10603" t="str">
        <f>VLOOKUP(Table_Query_from_Actuarial___Production[[#This Row],[Kor1]],$AI$3:$AK$105,3,FALSE)</f>
        <v>Claims Expense</v>
      </c>
      <c r="X1060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3"/>
      <c r="Z10603" t="s">
        <v>3</v>
      </c>
      <c r="AA10603" t="s">
        <v>241</v>
      </c>
      <c r="AB10603" t="s">
        <v>433</v>
      </c>
      <c r="AC10603" s="21">
        <v>436793</v>
      </c>
      <c r="AD10603" s="21" t="s">
        <v>368</v>
      </c>
      <c r="AE10603" t="str">
        <f>VLOOKUP(Table_Query_from_Actuarial___Production3[[#This Row],[Kor1]],$AI$3:$AK$105,3,FALSE)</f>
        <v>Premiums Written</v>
      </c>
      <c r="AF1060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4" spans="18:32" x14ac:dyDescent="0.2">
      <c r="R10604" t="s">
        <v>31</v>
      </c>
      <c r="S10604" t="s">
        <v>265</v>
      </c>
      <c r="T10604" t="s">
        <v>443</v>
      </c>
      <c r="U10604" s="21">
        <v>874.55</v>
      </c>
      <c r="V10604" s="21" t="s">
        <v>368</v>
      </c>
      <c r="W10604" t="str">
        <f>VLOOKUP(Table_Query_from_Actuarial___Production[[#This Row],[Kor1]],$AI$3:$AK$105,3,FALSE)</f>
        <v>Misc. Expense</v>
      </c>
      <c r="X1060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4"/>
      <c r="Z10604" t="s">
        <v>41</v>
      </c>
      <c r="AA10604" t="s">
        <v>235</v>
      </c>
      <c r="AB10604" t="s">
        <v>351</v>
      </c>
      <c r="AC10604" s="21">
        <v>1150.01</v>
      </c>
      <c r="AD10604" s="21" t="s">
        <v>368</v>
      </c>
      <c r="AE10604" t="str">
        <f>VLOOKUP(Table_Query_from_Actuarial___Production3[[#This Row],[Kor1]],$AI$3:$AK$105,3,FALSE)</f>
        <v>Misc. Income</v>
      </c>
      <c r="AF1060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5" spans="18:32" x14ac:dyDescent="0.2">
      <c r="R10605" t="s">
        <v>46</v>
      </c>
      <c r="S10605" t="s">
        <v>352</v>
      </c>
      <c r="T10605" t="s">
        <v>7</v>
      </c>
      <c r="U10605" s="21">
        <v>20.6</v>
      </c>
      <c r="V10605" s="21" t="s">
        <v>369</v>
      </c>
      <c r="W10605" t="str">
        <f>VLOOKUP(Table_Query_from_Actuarial___Production[[#This Row],[Kor1]],$AI$3:$AK$105,3,FALSE)</f>
        <v>Investment Income</v>
      </c>
      <c r="X1060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0605"/>
      <c r="Z10605" t="s">
        <v>50</v>
      </c>
      <c r="AA10605" t="s">
        <v>244</v>
      </c>
      <c r="AB10605" t="s">
        <v>433</v>
      </c>
      <c r="AC10605" s="21">
        <v>42705.65</v>
      </c>
      <c r="AD10605" s="21" t="s">
        <v>368</v>
      </c>
      <c r="AE10605" t="str">
        <f>VLOOKUP(Table_Query_from_Actuarial___Production3[[#This Row],[Kor1]],$AI$3:$AK$105,3,FALSE)</f>
        <v>ALAE Reserve</v>
      </c>
      <c r="AF1060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6" spans="18:32" x14ac:dyDescent="0.2">
      <c r="R10606" t="s">
        <v>33</v>
      </c>
      <c r="S10606" t="s">
        <v>241</v>
      </c>
      <c r="T10606" t="s">
        <v>441</v>
      </c>
      <c r="U10606" s="21">
        <v>14715.13</v>
      </c>
      <c r="V10606" s="21" t="s">
        <v>368</v>
      </c>
      <c r="W10606" t="str">
        <f>VLOOKUP(Table_Query_from_Actuarial___Production[[#This Row],[Kor1]],$AI$3:$AK$105,3,FALSE)</f>
        <v>Misc. Expense</v>
      </c>
      <c r="X1060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6"/>
      <c r="Z10606" t="s">
        <v>10</v>
      </c>
      <c r="AA10606" t="s">
        <v>231</v>
      </c>
      <c r="AB10606" t="s">
        <v>8</v>
      </c>
      <c r="AC10606" s="21">
        <v>13053.55</v>
      </c>
      <c r="AD10606" s="21" t="s">
        <v>368</v>
      </c>
      <c r="AE10606" t="str">
        <f>VLOOKUP(Table_Query_from_Actuarial___Production3[[#This Row],[Kor1]],$AI$3:$AK$105,3,FALSE)</f>
        <v>Commissions</v>
      </c>
      <c r="AF1060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7" spans="18:32" x14ac:dyDescent="0.2">
      <c r="R10607" t="s">
        <v>41</v>
      </c>
      <c r="S10607" t="s">
        <v>242</v>
      </c>
      <c r="T10607" t="s">
        <v>433</v>
      </c>
      <c r="U10607" s="21">
        <v>550</v>
      </c>
      <c r="V10607" s="21" t="s">
        <v>368</v>
      </c>
      <c r="W10607" t="str">
        <f>VLOOKUP(Table_Query_from_Actuarial___Production[[#This Row],[Kor1]],$AI$3:$AK$105,3,FALSE)</f>
        <v>Misc. Income</v>
      </c>
      <c r="X1060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7"/>
      <c r="Z10607" t="s">
        <v>34</v>
      </c>
      <c r="AA10607" t="s">
        <v>240</v>
      </c>
      <c r="AB10607" t="s">
        <v>442</v>
      </c>
      <c r="AC10607" s="21">
        <v>87.49</v>
      </c>
      <c r="AD10607" s="21" t="s">
        <v>368</v>
      </c>
      <c r="AE10607" t="str">
        <f>VLOOKUP(Table_Query_from_Actuarial___Production3[[#This Row],[Kor1]],$AI$3:$AK$105,3,FALSE)</f>
        <v>Misc. Expense</v>
      </c>
      <c r="AF1060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8" spans="18:32" x14ac:dyDescent="0.2">
      <c r="R10608" t="s">
        <v>49</v>
      </c>
      <c r="S10608" t="s">
        <v>258</v>
      </c>
      <c r="T10608" t="s">
        <v>9</v>
      </c>
      <c r="U10608" s="21">
        <v>94698.58</v>
      </c>
      <c r="V10608" s="21" t="s">
        <v>368</v>
      </c>
      <c r="W10608" t="str">
        <f>VLOOKUP(Table_Query_from_Actuarial___Production[[#This Row],[Kor1]],$AI$3:$AK$105,3,FALSE)</f>
        <v>ALAE Paid</v>
      </c>
      <c r="X1060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8"/>
      <c r="Z10608" t="s">
        <v>37</v>
      </c>
      <c r="AA10608" t="s">
        <v>249</v>
      </c>
      <c r="AB10608" t="s">
        <v>441</v>
      </c>
      <c r="AC10608" s="21">
        <v>599.21</v>
      </c>
      <c r="AD10608" s="21" t="s">
        <v>368</v>
      </c>
      <c r="AE10608" t="str">
        <f>VLOOKUP(Table_Query_from_Actuarial___Production3[[#This Row],[Kor1]],$AI$3:$AK$105,3,FALSE)</f>
        <v>Misc. Expense</v>
      </c>
      <c r="AF1060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09" spans="18:32" x14ac:dyDescent="0.2">
      <c r="R10609" t="s">
        <v>33</v>
      </c>
      <c r="S10609" t="s">
        <v>267</v>
      </c>
      <c r="T10609" t="s">
        <v>441</v>
      </c>
      <c r="U10609" s="21">
        <v>14185.63</v>
      </c>
      <c r="V10609" s="21" t="s">
        <v>368</v>
      </c>
      <c r="W10609" t="str">
        <f>VLOOKUP(Table_Query_from_Actuarial___Production[[#This Row],[Kor1]],$AI$3:$AK$105,3,FALSE)</f>
        <v>Misc. Expense</v>
      </c>
      <c r="X1060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09"/>
      <c r="Z10609" t="s">
        <v>20</v>
      </c>
      <c r="AA10609" t="s">
        <v>238</v>
      </c>
      <c r="AB10609" t="s">
        <v>442</v>
      </c>
      <c r="AC10609" s="21">
        <v>142.62</v>
      </c>
      <c r="AD10609" s="21" t="s">
        <v>368</v>
      </c>
      <c r="AE10609" t="str">
        <f>VLOOKUP(Table_Query_from_Actuarial___Production3[[#This Row],[Kor1]],$AI$3:$AK$105,3,FALSE)</f>
        <v>Misc. Expense</v>
      </c>
      <c r="AF1060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0" spans="18:32" x14ac:dyDescent="0.2">
      <c r="R10610" t="s">
        <v>47</v>
      </c>
      <c r="S10610" t="s">
        <v>254</v>
      </c>
      <c r="T10610" t="s">
        <v>7</v>
      </c>
      <c r="U10610" s="21">
        <v>0.06</v>
      </c>
      <c r="V10610" s="21" t="s">
        <v>368</v>
      </c>
      <c r="W10610" t="str">
        <f>VLOOKUP(Table_Query_from_Actuarial___Production[[#This Row],[Kor1]],$AI$3:$AK$105,3,FALSE)</f>
        <v>Investment Income</v>
      </c>
      <c r="X1061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0"/>
      <c r="Z10610" t="s">
        <v>12</v>
      </c>
      <c r="AA10610" t="s">
        <v>240</v>
      </c>
      <c r="AB10610" t="s">
        <v>9</v>
      </c>
      <c r="AC10610" s="21">
        <v>53795.96</v>
      </c>
      <c r="AD10610" s="21" t="s">
        <v>368</v>
      </c>
      <c r="AE10610" t="str">
        <f>VLOOKUP(Table_Query_from_Actuarial___Production3[[#This Row],[Kor1]],$AI$3:$AK$105,3,FALSE)</f>
        <v>Premium Tax</v>
      </c>
      <c r="AF1061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1" spans="18:32" x14ac:dyDescent="0.2">
      <c r="R10611" t="s">
        <v>14</v>
      </c>
      <c r="S10611" t="s">
        <v>229</v>
      </c>
      <c r="T10611" t="s">
        <v>356</v>
      </c>
      <c r="U10611" s="21">
        <v>13355.2</v>
      </c>
      <c r="V10611" s="21" t="s">
        <v>368</v>
      </c>
      <c r="W10611" t="str">
        <f>VLOOKUP(Table_Query_from_Actuarial___Production[[#This Row],[Kor1]],$AI$3:$AK$105,3,FALSE)</f>
        <v>Claims Expense</v>
      </c>
      <c r="X1061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1"/>
      <c r="Z10611" t="s">
        <v>41</v>
      </c>
      <c r="AA10611" t="s">
        <v>261</v>
      </c>
      <c r="AB10611" t="s">
        <v>443</v>
      </c>
      <c r="AC10611" s="21">
        <v>200</v>
      </c>
      <c r="AD10611" s="21" t="s">
        <v>368</v>
      </c>
      <c r="AE10611" t="str">
        <f>VLOOKUP(Table_Query_from_Actuarial___Production3[[#This Row],[Kor1]],$AI$3:$AK$105,3,FALSE)</f>
        <v>Misc. Income</v>
      </c>
      <c r="AF1061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2" spans="18:32" x14ac:dyDescent="0.2">
      <c r="R10612" t="s">
        <v>39</v>
      </c>
      <c r="S10612" t="s">
        <v>260</v>
      </c>
      <c r="T10612" t="s">
        <v>9</v>
      </c>
      <c r="U10612" s="21">
        <v>224</v>
      </c>
      <c r="V10612" s="21" t="s">
        <v>368</v>
      </c>
      <c r="W10612" t="str">
        <f>VLOOKUP(Table_Query_from_Actuarial___Production[[#This Row],[Kor1]],$AI$3:$AK$105,3,FALSE)</f>
        <v>Misc. Income for Insolvent Companies</v>
      </c>
      <c r="X1061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2"/>
      <c r="Z10612" t="s">
        <v>21</v>
      </c>
      <c r="AA10612" t="s">
        <v>241</v>
      </c>
      <c r="AB10612" t="s">
        <v>356</v>
      </c>
      <c r="AC10612" s="21">
        <v>2136.2600000000002</v>
      </c>
      <c r="AD10612" s="21" t="s">
        <v>368</v>
      </c>
      <c r="AE10612" t="str">
        <f>VLOOKUP(Table_Query_from_Actuarial___Production3[[#This Row],[Kor1]],$AI$3:$AK$105,3,FALSE)</f>
        <v>Misc. Expense</v>
      </c>
      <c r="AF1061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3" spans="18:32" x14ac:dyDescent="0.2">
      <c r="R10613" t="s">
        <v>44</v>
      </c>
      <c r="S10613" t="s">
        <v>248</v>
      </c>
      <c r="T10613" t="s">
        <v>442</v>
      </c>
      <c r="U10613" s="21">
        <v>2529</v>
      </c>
      <c r="V10613" s="21" t="s">
        <v>368</v>
      </c>
      <c r="W10613" t="str">
        <f>VLOOKUP(Table_Query_from_Actuarial___Production[[#This Row],[Kor1]],$AI$3:$AK$105,3,FALSE)</f>
        <v>Charge-offs</v>
      </c>
      <c r="X1061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3"/>
      <c r="Z10613" t="s">
        <v>43</v>
      </c>
      <c r="AA10613" t="s">
        <v>224</v>
      </c>
      <c r="AB10613" t="s">
        <v>443</v>
      </c>
      <c r="AC10613" s="21">
        <v>12.39</v>
      </c>
      <c r="AD10613" s="21" t="s">
        <v>369</v>
      </c>
      <c r="AE10613" t="str">
        <f>VLOOKUP(Table_Query_from_Actuarial___Production3[[#This Row],[Kor1]],$AI$3:$AK$105,3,FALSE)</f>
        <v>Charge-offs</v>
      </c>
      <c r="AF1061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614" spans="18:32" x14ac:dyDescent="0.2">
      <c r="R10614" t="s">
        <v>15</v>
      </c>
      <c r="S10614" t="s">
        <v>246</v>
      </c>
      <c r="T10614" t="s">
        <v>445</v>
      </c>
      <c r="U10614" s="21">
        <v>163325.24</v>
      </c>
      <c r="V10614" s="21" t="s">
        <v>368</v>
      </c>
      <c r="W10614" t="str">
        <f>VLOOKUP(Table_Query_from_Actuarial___Production[[#This Row],[Kor1]],$AI$3:$AK$105,3,FALSE)</f>
        <v>Unearned Premiums</v>
      </c>
      <c r="X1061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4"/>
      <c r="Z10614" t="s">
        <v>20</v>
      </c>
      <c r="AA10614" t="s">
        <v>229</v>
      </c>
      <c r="AB10614" t="s">
        <v>427</v>
      </c>
      <c r="AC10614" s="21">
        <v>255.32</v>
      </c>
      <c r="AD10614" s="21" t="s">
        <v>368</v>
      </c>
      <c r="AE10614" t="str">
        <f>VLOOKUP(Table_Query_from_Actuarial___Production3[[#This Row],[Kor1]],$AI$3:$AK$105,3,FALSE)</f>
        <v>Misc. Expense</v>
      </c>
      <c r="AF1061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5" spans="18:32" x14ac:dyDescent="0.2">
      <c r="R10615" t="s">
        <v>14</v>
      </c>
      <c r="S10615" t="s">
        <v>224</v>
      </c>
      <c r="T10615" t="s">
        <v>433</v>
      </c>
      <c r="U10615" s="21">
        <v>180334.81</v>
      </c>
      <c r="V10615" s="21" t="s">
        <v>368</v>
      </c>
      <c r="W10615" t="str">
        <f>VLOOKUP(Table_Query_from_Actuarial___Production[[#This Row],[Kor1]],$AI$3:$AK$105,3,FALSE)</f>
        <v>Claims Expense</v>
      </c>
      <c r="X1061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615"/>
      <c r="Z10615" t="s">
        <v>49</v>
      </c>
      <c r="AA10615" t="s">
        <v>231</v>
      </c>
      <c r="AB10615" t="s">
        <v>427</v>
      </c>
      <c r="AC10615" s="21">
        <v>36810.730000000003</v>
      </c>
      <c r="AD10615" s="21" t="s">
        <v>368</v>
      </c>
      <c r="AE10615" t="str">
        <f>VLOOKUP(Table_Query_from_Actuarial___Production3[[#This Row],[Kor1]],$AI$3:$AK$105,3,FALSE)</f>
        <v>ALAE Paid</v>
      </c>
      <c r="AF1061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6" spans="18:32" x14ac:dyDescent="0.2">
      <c r="R10616" t="s">
        <v>48</v>
      </c>
      <c r="S10616" t="s">
        <v>225</v>
      </c>
      <c r="T10616" t="s">
        <v>442</v>
      </c>
      <c r="U10616" s="21">
        <v>1638.21</v>
      </c>
      <c r="V10616" s="21" t="s">
        <v>369</v>
      </c>
      <c r="W10616" t="str">
        <f>VLOOKUP(Table_Query_from_Actuarial___Production[[#This Row],[Kor1]],$AI$3:$AK$105,3,FALSE)</f>
        <v>Anticipated Salvage</v>
      </c>
      <c r="X1061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Private Passenger</v>
      </c>
      <c r="Y10616"/>
      <c r="Z10616" t="s">
        <v>14</v>
      </c>
      <c r="AA10616" t="s">
        <v>267</v>
      </c>
      <c r="AB10616" t="s">
        <v>8</v>
      </c>
      <c r="AC10616" s="21">
        <v>25417.18</v>
      </c>
      <c r="AD10616" s="21" t="s">
        <v>368</v>
      </c>
      <c r="AE10616" t="str">
        <f>VLOOKUP(Table_Query_from_Actuarial___Production3[[#This Row],[Kor1]],$AI$3:$AK$105,3,FALSE)</f>
        <v>Claims Expense</v>
      </c>
      <c r="AF1061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7" spans="18:32" x14ac:dyDescent="0.2">
      <c r="R10617" t="s">
        <v>439</v>
      </c>
      <c r="S10617" t="s">
        <v>238</v>
      </c>
      <c r="T10617" t="s">
        <v>433</v>
      </c>
      <c r="U10617" s="21">
        <v>3103</v>
      </c>
      <c r="V10617" s="21" t="s">
        <v>368</v>
      </c>
      <c r="W10617" t="str">
        <f>VLOOKUP(Table_Query_from_Actuarial___Production[[#This Row],[Kor1]],$AI$3:$AK$105,3,FALSE)</f>
        <v>Operating Service Fees</v>
      </c>
      <c r="X1061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7"/>
      <c r="Z10617" t="s">
        <v>31</v>
      </c>
      <c r="AA10617" t="s">
        <v>265</v>
      </c>
      <c r="AB10617" t="s">
        <v>443</v>
      </c>
      <c r="AC10617" s="21">
        <v>440.44</v>
      </c>
      <c r="AD10617" s="21" t="s">
        <v>368</v>
      </c>
      <c r="AE10617" t="str">
        <f>VLOOKUP(Table_Query_from_Actuarial___Production3[[#This Row],[Kor1]],$AI$3:$AK$105,3,FALSE)</f>
        <v>Misc. Expense</v>
      </c>
      <c r="AF1061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18" spans="18:32" x14ac:dyDescent="0.2">
      <c r="R10618" t="s">
        <v>3</v>
      </c>
      <c r="S10618" t="s">
        <v>227</v>
      </c>
      <c r="T10618" t="s">
        <v>441</v>
      </c>
      <c r="U10618" s="21">
        <v>81066</v>
      </c>
      <c r="V10618" s="21" t="s">
        <v>368</v>
      </c>
      <c r="W10618" t="str">
        <f>VLOOKUP(Table_Query_from_Actuarial___Production[[#This Row],[Kor1]],$AI$3:$AK$105,3,FALSE)</f>
        <v>Premiums Written</v>
      </c>
      <c r="X1061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8"/>
      <c r="Z10618" t="s">
        <v>46</v>
      </c>
      <c r="AA10618" t="s">
        <v>352</v>
      </c>
      <c r="AB10618" t="s">
        <v>7</v>
      </c>
      <c r="AC10618" s="21">
        <v>20.6</v>
      </c>
      <c r="AD10618" s="21" t="s">
        <v>369</v>
      </c>
      <c r="AE10618" t="str">
        <f>VLOOKUP(Table_Query_from_Actuarial___Production3[[#This Row],[Kor1]],$AI$3:$AK$105,3,FALSE)</f>
        <v>Investment Income</v>
      </c>
      <c r="AF1061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0619" spans="18:32" x14ac:dyDescent="0.2">
      <c r="R10619" t="s">
        <v>32</v>
      </c>
      <c r="S10619" t="s">
        <v>229</v>
      </c>
      <c r="T10619" t="s">
        <v>356</v>
      </c>
      <c r="U10619" s="21">
        <v>-26950.13</v>
      </c>
      <c r="V10619" s="21" t="s">
        <v>368</v>
      </c>
      <c r="W10619" t="str">
        <f>VLOOKUP(Table_Query_from_Actuarial___Production[[#This Row],[Kor1]],$AI$3:$AK$105,3,FALSE)</f>
        <v>Misc. Expense</v>
      </c>
      <c r="X1061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19"/>
      <c r="Z10619" t="s">
        <v>33</v>
      </c>
      <c r="AA10619" t="s">
        <v>241</v>
      </c>
      <c r="AB10619" t="s">
        <v>441</v>
      </c>
      <c r="AC10619" s="21">
        <v>14715.13</v>
      </c>
      <c r="AD10619" s="21" t="s">
        <v>368</v>
      </c>
      <c r="AE10619" t="str">
        <f>VLOOKUP(Table_Query_from_Actuarial___Production3[[#This Row],[Kor1]],$AI$3:$AK$105,3,FALSE)</f>
        <v>Misc. Expense</v>
      </c>
      <c r="AF1061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0" spans="18:32" x14ac:dyDescent="0.2">
      <c r="R10620" t="s">
        <v>10</v>
      </c>
      <c r="S10620" t="s">
        <v>253</v>
      </c>
      <c r="T10620" t="s">
        <v>7</v>
      </c>
      <c r="U10620" s="21">
        <v>616</v>
      </c>
      <c r="V10620" s="21" t="s">
        <v>368</v>
      </c>
      <c r="W10620" t="str">
        <f>VLOOKUP(Table_Query_from_Actuarial___Production[[#This Row],[Kor1]],$AI$3:$AK$105,3,FALSE)</f>
        <v>Commissions</v>
      </c>
      <c r="X1062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0"/>
      <c r="Z10620" t="s">
        <v>41</v>
      </c>
      <c r="AA10620" t="s">
        <v>242</v>
      </c>
      <c r="AB10620" t="s">
        <v>433</v>
      </c>
      <c r="AC10620" s="21">
        <v>550</v>
      </c>
      <c r="AD10620" s="21" t="s">
        <v>368</v>
      </c>
      <c r="AE10620" t="str">
        <f>VLOOKUP(Table_Query_from_Actuarial___Production3[[#This Row],[Kor1]],$AI$3:$AK$105,3,FALSE)</f>
        <v>Misc. Income</v>
      </c>
      <c r="AF1062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1" spans="18:32" x14ac:dyDescent="0.2">
      <c r="R10621" t="s">
        <v>37</v>
      </c>
      <c r="S10621" t="s">
        <v>233</v>
      </c>
      <c r="T10621" t="s">
        <v>351</v>
      </c>
      <c r="U10621" s="21">
        <v>3410.74</v>
      </c>
      <c r="V10621" s="21" t="s">
        <v>368</v>
      </c>
      <c r="W10621" t="str">
        <f>VLOOKUP(Table_Query_from_Actuarial___Production[[#This Row],[Kor1]],$AI$3:$AK$105,3,FALSE)</f>
        <v>Misc. Expense</v>
      </c>
      <c r="X1062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1"/>
      <c r="Z10621" t="s">
        <v>49</v>
      </c>
      <c r="AA10621" t="s">
        <v>258</v>
      </c>
      <c r="AB10621" t="s">
        <v>9</v>
      </c>
      <c r="AC10621" s="21">
        <v>94038.58</v>
      </c>
      <c r="AD10621" s="21" t="s">
        <v>368</v>
      </c>
      <c r="AE10621" t="str">
        <f>VLOOKUP(Table_Query_from_Actuarial___Production3[[#This Row],[Kor1]],$AI$3:$AK$105,3,FALSE)</f>
        <v>ALAE Paid</v>
      </c>
      <c r="AF1062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2" spans="18:32" x14ac:dyDescent="0.2">
      <c r="R10622" t="s">
        <v>44</v>
      </c>
      <c r="S10622" t="s">
        <v>232</v>
      </c>
      <c r="T10622" t="s">
        <v>351</v>
      </c>
      <c r="U10622" s="21">
        <v>29693.03</v>
      </c>
      <c r="V10622" s="21" t="s">
        <v>368</v>
      </c>
      <c r="W10622" t="str">
        <f>VLOOKUP(Table_Query_from_Actuarial___Production[[#This Row],[Kor1]],$AI$3:$AK$105,3,FALSE)</f>
        <v>Charge-offs</v>
      </c>
      <c r="X1062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2"/>
      <c r="Z10622" t="s">
        <v>33</v>
      </c>
      <c r="AA10622" t="s">
        <v>267</v>
      </c>
      <c r="AB10622" t="s">
        <v>441</v>
      </c>
      <c r="AC10622" s="21">
        <v>14185.63</v>
      </c>
      <c r="AD10622" s="21" t="s">
        <v>368</v>
      </c>
      <c r="AE10622" t="str">
        <f>VLOOKUP(Table_Query_from_Actuarial___Production3[[#This Row],[Kor1]],$AI$3:$AK$105,3,FALSE)</f>
        <v>Misc. Expense</v>
      </c>
      <c r="AF1062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3" spans="18:32" x14ac:dyDescent="0.2">
      <c r="R10623" t="s">
        <v>20</v>
      </c>
      <c r="S10623" t="s">
        <v>256</v>
      </c>
      <c r="T10623" t="s">
        <v>351</v>
      </c>
      <c r="U10623" s="21">
        <v>17.170000000000002</v>
      </c>
      <c r="V10623" s="21" t="s">
        <v>368</v>
      </c>
      <c r="W10623" t="str">
        <f>VLOOKUP(Table_Query_from_Actuarial___Production[[#This Row],[Kor1]],$AI$3:$AK$105,3,FALSE)</f>
        <v>Misc. Expense</v>
      </c>
      <c r="X1062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3"/>
      <c r="Z10623" t="s">
        <v>47</v>
      </c>
      <c r="AA10623" t="s">
        <v>254</v>
      </c>
      <c r="AB10623" t="s">
        <v>7</v>
      </c>
      <c r="AC10623" s="21">
        <v>0.06</v>
      </c>
      <c r="AD10623" s="21" t="s">
        <v>368</v>
      </c>
      <c r="AE10623" t="str">
        <f>VLOOKUP(Table_Query_from_Actuarial___Production3[[#This Row],[Kor1]],$AI$3:$AK$105,3,FALSE)</f>
        <v>Investment Income</v>
      </c>
      <c r="AF1062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4" spans="18:32" x14ac:dyDescent="0.2">
      <c r="R10624" t="s">
        <v>33</v>
      </c>
      <c r="S10624" t="s">
        <v>247</v>
      </c>
      <c r="T10624" t="s">
        <v>443</v>
      </c>
      <c r="U10624" s="21">
        <v>20734.04</v>
      </c>
      <c r="V10624" s="21" t="s">
        <v>368</v>
      </c>
      <c r="W10624" t="str">
        <f>VLOOKUP(Table_Query_from_Actuarial___Production[[#This Row],[Kor1]],$AI$3:$AK$105,3,FALSE)</f>
        <v>Misc. Expense</v>
      </c>
      <c r="X1062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4"/>
      <c r="Z10624" t="s">
        <v>14</v>
      </c>
      <c r="AA10624" t="s">
        <v>229</v>
      </c>
      <c r="AB10624" t="s">
        <v>356</v>
      </c>
      <c r="AC10624" s="21">
        <v>13355.2</v>
      </c>
      <c r="AD10624" s="21" t="s">
        <v>368</v>
      </c>
      <c r="AE10624" t="str">
        <f>VLOOKUP(Table_Query_from_Actuarial___Production3[[#This Row],[Kor1]],$AI$3:$AK$105,3,FALSE)</f>
        <v>Claims Expense</v>
      </c>
      <c r="AF1062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5" spans="18:32" x14ac:dyDescent="0.2">
      <c r="R10625" t="s">
        <v>41</v>
      </c>
      <c r="S10625" t="s">
        <v>236</v>
      </c>
      <c r="T10625" t="s">
        <v>9</v>
      </c>
      <c r="U10625" s="21">
        <v>400</v>
      </c>
      <c r="V10625" s="21" t="s">
        <v>368</v>
      </c>
      <c r="W10625" t="str">
        <f>VLOOKUP(Table_Query_from_Actuarial___Production[[#This Row],[Kor1]],$AI$3:$AK$105,3,FALSE)</f>
        <v>Misc. Income</v>
      </c>
      <c r="X1062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5"/>
      <c r="Z10625" t="s">
        <v>10</v>
      </c>
      <c r="AA10625" t="s">
        <v>352</v>
      </c>
      <c r="AB10625" t="s">
        <v>5</v>
      </c>
      <c r="AC10625" s="21">
        <v>29403.87</v>
      </c>
      <c r="AD10625" s="21" t="s">
        <v>369</v>
      </c>
      <c r="AE10625" t="str">
        <f>VLOOKUP(Table_Query_from_Actuarial___Production3[[#This Row],[Kor1]],$AI$3:$AK$105,3,FALSE)</f>
        <v>Commissions</v>
      </c>
      <c r="AF1062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Hampshire Facility Private Passenger</v>
      </c>
    </row>
    <row r="10626" spans="18:32" x14ac:dyDescent="0.2">
      <c r="R10626" t="s">
        <v>37</v>
      </c>
      <c r="S10626" t="s">
        <v>237</v>
      </c>
      <c r="T10626" t="s">
        <v>441</v>
      </c>
      <c r="U10626" s="21">
        <v>131707.09</v>
      </c>
      <c r="V10626" s="21" t="s">
        <v>368</v>
      </c>
      <c r="W10626" t="str">
        <f>VLOOKUP(Table_Query_from_Actuarial___Production[[#This Row],[Kor1]],$AI$3:$AK$105,3,FALSE)</f>
        <v>Misc. Expense</v>
      </c>
      <c r="X1062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6"/>
      <c r="Z10626" t="s">
        <v>39</v>
      </c>
      <c r="AA10626" t="s">
        <v>260</v>
      </c>
      <c r="AB10626" t="s">
        <v>9</v>
      </c>
      <c r="AC10626" s="21">
        <v>210</v>
      </c>
      <c r="AD10626" s="21" t="s">
        <v>368</v>
      </c>
      <c r="AE10626" t="str">
        <f>VLOOKUP(Table_Query_from_Actuarial___Production3[[#This Row],[Kor1]],$AI$3:$AK$105,3,FALSE)</f>
        <v>Misc. Income for Insolvent Companies</v>
      </c>
      <c r="AF1062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7" spans="18:32" x14ac:dyDescent="0.2">
      <c r="R10627" t="s">
        <v>43</v>
      </c>
      <c r="S10627" t="s">
        <v>265</v>
      </c>
      <c r="T10627" t="s">
        <v>433</v>
      </c>
      <c r="U10627" s="21">
        <v>226.95</v>
      </c>
      <c r="V10627" s="21" t="s">
        <v>368</v>
      </c>
      <c r="W10627" t="str">
        <f>VLOOKUP(Table_Query_from_Actuarial___Production[[#This Row],[Kor1]],$AI$3:$AK$105,3,FALSE)</f>
        <v>Charge-offs</v>
      </c>
      <c r="X1062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7"/>
      <c r="Z10627" t="s">
        <v>44</v>
      </c>
      <c r="AA10627" t="s">
        <v>248</v>
      </c>
      <c r="AB10627" t="s">
        <v>442</v>
      </c>
      <c r="AC10627" s="21">
        <v>2510</v>
      </c>
      <c r="AD10627" s="21" t="s">
        <v>368</v>
      </c>
      <c r="AE10627" t="str">
        <f>VLOOKUP(Table_Query_from_Actuarial___Production3[[#This Row],[Kor1]],$AI$3:$AK$105,3,FALSE)</f>
        <v>Charge-offs</v>
      </c>
      <c r="AF1062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28" spans="18:32" x14ac:dyDescent="0.2">
      <c r="R10628" t="s">
        <v>46</v>
      </c>
      <c r="S10628" t="s">
        <v>224</v>
      </c>
      <c r="T10628" t="s">
        <v>356</v>
      </c>
      <c r="U10628" s="21">
        <v>1404.49</v>
      </c>
      <c r="V10628" s="21" t="s">
        <v>425</v>
      </c>
      <c r="W10628" t="str">
        <f>VLOOKUP(Table_Query_from_Actuarial___Production[[#This Row],[Kor1]],$AI$3:$AK$105,3,FALSE)</f>
        <v>Investment Income</v>
      </c>
      <c r="X1062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628"/>
      <c r="Z10628" t="s">
        <v>14</v>
      </c>
      <c r="AA10628" t="s">
        <v>224</v>
      </c>
      <c r="AB10628" t="s">
        <v>433</v>
      </c>
      <c r="AC10628" s="21">
        <v>212879.9</v>
      </c>
      <c r="AD10628" s="21" t="s">
        <v>368</v>
      </c>
      <c r="AE10628" t="str">
        <f>VLOOKUP(Table_Query_from_Actuarial___Production3[[#This Row],[Kor1]],$AI$3:$AK$105,3,FALSE)</f>
        <v>Claims Expense</v>
      </c>
      <c r="AF1062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629" spans="18:32" x14ac:dyDescent="0.2">
      <c r="R10629" t="s">
        <v>14</v>
      </c>
      <c r="S10629" t="s">
        <v>246</v>
      </c>
      <c r="T10629" t="s">
        <v>351</v>
      </c>
      <c r="U10629" s="21">
        <v>45876.92</v>
      </c>
      <c r="V10629" s="21" t="s">
        <v>368</v>
      </c>
      <c r="W10629" t="str">
        <f>VLOOKUP(Table_Query_from_Actuarial___Production[[#This Row],[Kor1]],$AI$3:$AK$105,3,FALSE)</f>
        <v>Claims Expense</v>
      </c>
      <c r="X1062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29"/>
      <c r="Z10629" t="s">
        <v>48</v>
      </c>
      <c r="AA10629" t="s">
        <v>225</v>
      </c>
      <c r="AB10629" t="s">
        <v>442</v>
      </c>
      <c r="AC10629" s="21">
        <v>2894.9</v>
      </c>
      <c r="AD10629" s="21" t="s">
        <v>369</v>
      </c>
      <c r="AE10629" t="str">
        <f>VLOOKUP(Table_Query_from_Actuarial___Production3[[#This Row],[Kor1]],$AI$3:$AK$105,3,FALSE)</f>
        <v>Anticipated Salvage</v>
      </c>
      <c r="AF1062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Private Passenger</v>
      </c>
    </row>
    <row r="10630" spans="18:32" x14ac:dyDescent="0.2">
      <c r="R10630" t="s">
        <v>19</v>
      </c>
      <c r="S10630" t="s">
        <v>234</v>
      </c>
      <c r="T10630" t="s">
        <v>6</v>
      </c>
      <c r="U10630" s="21">
        <v>776.99</v>
      </c>
      <c r="V10630" s="21" t="s">
        <v>368</v>
      </c>
      <c r="W10630" t="str">
        <f>VLOOKUP(Table_Query_from_Actuarial___Production[[#This Row],[Kor1]],$AI$3:$AK$105,3,FALSE)</f>
        <v>Misc. Expense for Insolvent Companies</v>
      </c>
      <c r="X1063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0"/>
      <c r="Z10630" t="s">
        <v>439</v>
      </c>
      <c r="AA10630" t="s">
        <v>238</v>
      </c>
      <c r="AB10630" t="s">
        <v>433</v>
      </c>
      <c r="AC10630" s="21">
        <v>3103</v>
      </c>
      <c r="AD10630" s="21" t="s">
        <v>368</v>
      </c>
      <c r="AE10630" t="str">
        <f>VLOOKUP(Table_Query_from_Actuarial___Production3[[#This Row],[Kor1]],$AI$3:$AK$105,3,FALSE)</f>
        <v>Operating Service Fees</v>
      </c>
      <c r="AF1063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1" spans="18:32" x14ac:dyDescent="0.2">
      <c r="R10631" t="s">
        <v>44</v>
      </c>
      <c r="S10631" t="s">
        <v>249</v>
      </c>
      <c r="T10631" t="s">
        <v>441</v>
      </c>
      <c r="U10631" s="21">
        <v>4170</v>
      </c>
      <c r="V10631" s="21" t="s">
        <v>368</v>
      </c>
      <c r="W10631" t="str">
        <f>VLOOKUP(Table_Query_from_Actuarial___Production[[#This Row],[Kor1]],$AI$3:$AK$105,3,FALSE)</f>
        <v>Charge-offs</v>
      </c>
      <c r="X1063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1"/>
      <c r="Z10631" t="s">
        <v>3</v>
      </c>
      <c r="AA10631" t="s">
        <v>227</v>
      </c>
      <c r="AB10631" t="s">
        <v>441</v>
      </c>
      <c r="AC10631" s="21">
        <v>81066</v>
      </c>
      <c r="AD10631" s="21" t="s">
        <v>368</v>
      </c>
      <c r="AE10631" t="str">
        <f>VLOOKUP(Table_Query_from_Actuarial___Production3[[#This Row],[Kor1]],$AI$3:$AK$105,3,FALSE)</f>
        <v>Premiums Written</v>
      </c>
      <c r="AF1063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2" spans="18:32" x14ac:dyDescent="0.2">
      <c r="R10632" t="s">
        <v>33</v>
      </c>
      <c r="S10632" t="s">
        <v>253</v>
      </c>
      <c r="T10632" t="s">
        <v>433</v>
      </c>
      <c r="U10632" s="21">
        <v>21846.959999999999</v>
      </c>
      <c r="V10632" s="21" t="s">
        <v>368</v>
      </c>
      <c r="W10632" t="str">
        <f>VLOOKUP(Table_Query_from_Actuarial___Production[[#This Row],[Kor1]],$AI$3:$AK$105,3,FALSE)</f>
        <v>Misc. Expense</v>
      </c>
      <c r="X1063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2"/>
      <c r="Z10632" t="s">
        <v>10</v>
      </c>
      <c r="AA10632" t="s">
        <v>227</v>
      </c>
      <c r="AB10632" t="s">
        <v>5</v>
      </c>
      <c r="AC10632" s="21">
        <v>14794.05</v>
      </c>
      <c r="AD10632" s="21" t="s">
        <v>368</v>
      </c>
      <c r="AE10632" t="str">
        <f>VLOOKUP(Table_Query_from_Actuarial___Production3[[#This Row],[Kor1]],$AI$3:$AK$105,3,FALSE)</f>
        <v>Commissions</v>
      </c>
      <c r="AF1063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3" spans="18:32" x14ac:dyDescent="0.2">
      <c r="R10633" t="s">
        <v>48</v>
      </c>
      <c r="S10633" t="s">
        <v>254</v>
      </c>
      <c r="T10633" t="s">
        <v>441</v>
      </c>
      <c r="U10633" s="21">
        <v>119792.74</v>
      </c>
      <c r="V10633" s="21" t="s">
        <v>368</v>
      </c>
      <c r="W10633" t="str">
        <f>VLOOKUP(Table_Query_from_Actuarial___Production[[#This Row],[Kor1]],$AI$3:$AK$105,3,FALSE)</f>
        <v>Anticipated Salvage</v>
      </c>
      <c r="X1063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3"/>
      <c r="Z10633" t="s">
        <v>32</v>
      </c>
      <c r="AA10633" t="s">
        <v>229</v>
      </c>
      <c r="AB10633" t="s">
        <v>356</v>
      </c>
      <c r="AC10633" s="21">
        <v>-26950.13</v>
      </c>
      <c r="AD10633" s="21" t="s">
        <v>368</v>
      </c>
      <c r="AE10633" t="str">
        <f>VLOOKUP(Table_Query_from_Actuarial___Production3[[#This Row],[Kor1]],$AI$3:$AK$105,3,FALSE)</f>
        <v>Misc. Expense</v>
      </c>
      <c r="AF1063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4" spans="18:32" x14ac:dyDescent="0.2">
      <c r="R10634" t="s">
        <v>3</v>
      </c>
      <c r="S10634" t="s">
        <v>253</v>
      </c>
      <c r="T10634" t="s">
        <v>442</v>
      </c>
      <c r="U10634" s="21">
        <v>9417</v>
      </c>
      <c r="V10634" s="21" t="s">
        <v>368</v>
      </c>
      <c r="W10634" t="str">
        <f>VLOOKUP(Table_Query_from_Actuarial___Production[[#This Row],[Kor1]],$AI$3:$AK$105,3,FALSE)</f>
        <v>Premiums Written</v>
      </c>
      <c r="X1063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4"/>
      <c r="Z10634" t="s">
        <v>10</v>
      </c>
      <c r="AA10634" t="s">
        <v>253</v>
      </c>
      <c r="AB10634" t="s">
        <v>7</v>
      </c>
      <c r="AC10634" s="21">
        <v>616</v>
      </c>
      <c r="AD10634" s="21" t="s">
        <v>368</v>
      </c>
      <c r="AE10634" t="str">
        <f>VLOOKUP(Table_Query_from_Actuarial___Production3[[#This Row],[Kor1]],$AI$3:$AK$105,3,FALSE)</f>
        <v>Commissions</v>
      </c>
      <c r="AF1063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5" spans="18:32" x14ac:dyDescent="0.2">
      <c r="R10635" t="s">
        <v>20</v>
      </c>
      <c r="S10635" t="s">
        <v>254</v>
      </c>
      <c r="T10635" t="s">
        <v>356</v>
      </c>
      <c r="U10635" s="21">
        <v>582.6</v>
      </c>
      <c r="V10635" s="21" t="s">
        <v>368</v>
      </c>
      <c r="W10635" t="str">
        <f>VLOOKUP(Table_Query_from_Actuarial___Production[[#This Row],[Kor1]],$AI$3:$AK$105,3,FALSE)</f>
        <v>Misc. Expense</v>
      </c>
      <c r="X1063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5"/>
      <c r="Z10635" t="s">
        <v>37</v>
      </c>
      <c r="AA10635" t="s">
        <v>233</v>
      </c>
      <c r="AB10635" t="s">
        <v>351</v>
      </c>
      <c r="AC10635" s="21">
        <v>3410.74</v>
      </c>
      <c r="AD10635" s="21" t="s">
        <v>368</v>
      </c>
      <c r="AE10635" t="str">
        <f>VLOOKUP(Table_Query_from_Actuarial___Production3[[#This Row],[Kor1]],$AI$3:$AK$105,3,FALSE)</f>
        <v>Misc. Expense</v>
      </c>
      <c r="AF1063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6" spans="18:32" x14ac:dyDescent="0.2">
      <c r="R10636" t="s">
        <v>21</v>
      </c>
      <c r="S10636" t="s">
        <v>249</v>
      </c>
      <c r="T10636" t="s">
        <v>356</v>
      </c>
      <c r="U10636" s="21">
        <v>490.51</v>
      </c>
      <c r="V10636" s="21" t="s">
        <v>368</v>
      </c>
      <c r="W10636" t="str">
        <f>VLOOKUP(Table_Query_from_Actuarial___Production[[#This Row],[Kor1]],$AI$3:$AK$105,3,FALSE)</f>
        <v>Misc. Expense</v>
      </c>
      <c r="X1063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6"/>
      <c r="Z10636" t="s">
        <v>44</v>
      </c>
      <c r="AA10636" t="s">
        <v>232</v>
      </c>
      <c r="AB10636" t="s">
        <v>351</v>
      </c>
      <c r="AC10636" s="21">
        <v>29693.03</v>
      </c>
      <c r="AD10636" s="21" t="s">
        <v>368</v>
      </c>
      <c r="AE10636" t="str">
        <f>VLOOKUP(Table_Query_from_Actuarial___Production3[[#This Row],[Kor1]],$AI$3:$AK$105,3,FALSE)</f>
        <v>Charge-offs</v>
      </c>
      <c r="AF1063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7" spans="18:32" x14ac:dyDescent="0.2">
      <c r="R10637" t="s">
        <v>31</v>
      </c>
      <c r="S10637" t="s">
        <v>249</v>
      </c>
      <c r="T10637" t="s">
        <v>427</v>
      </c>
      <c r="U10637" s="21">
        <v>632.64</v>
      </c>
      <c r="V10637" s="21" t="s">
        <v>368</v>
      </c>
      <c r="W10637" t="str">
        <f>VLOOKUP(Table_Query_from_Actuarial___Production[[#This Row],[Kor1]],$AI$3:$AK$105,3,FALSE)</f>
        <v>Misc. Expense</v>
      </c>
      <c r="X1063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7"/>
      <c r="Z10637" t="s">
        <v>20</v>
      </c>
      <c r="AA10637" t="s">
        <v>256</v>
      </c>
      <c r="AB10637" t="s">
        <v>351</v>
      </c>
      <c r="AC10637" s="21">
        <v>17.170000000000002</v>
      </c>
      <c r="AD10637" s="21" t="s">
        <v>368</v>
      </c>
      <c r="AE10637" t="str">
        <f>VLOOKUP(Table_Query_from_Actuarial___Production3[[#This Row],[Kor1]],$AI$3:$AK$105,3,FALSE)</f>
        <v>Misc. Expense</v>
      </c>
      <c r="AF1063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8" spans="18:32" x14ac:dyDescent="0.2">
      <c r="R10638" t="s">
        <v>41</v>
      </c>
      <c r="S10638" t="s">
        <v>230</v>
      </c>
      <c r="T10638" t="s">
        <v>356</v>
      </c>
      <c r="U10638" s="21">
        <v>1438.1</v>
      </c>
      <c r="V10638" s="21" t="s">
        <v>368</v>
      </c>
      <c r="W10638" t="str">
        <f>VLOOKUP(Table_Query_from_Actuarial___Production[[#This Row],[Kor1]],$AI$3:$AK$105,3,FALSE)</f>
        <v>Misc. Income</v>
      </c>
      <c r="X1063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8"/>
      <c r="Z10638" t="s">
        <v>33</v>
      </c>
      <c r="AA10638" t="s">
        <v>247</v>
      </c>
      <c r="AB10638" t="s">
        <v>443</v>
      </c>
      <c r="AC10638" s="21">
        <v>4172.66</v>
      </c>
      <c r="AD10638" s="21" t="s">
        <v>368</v>
      </c>
      <c r="AE10638" t="str">
        <f>VLOOKUP(Table_Query_from_Actuarial___Production3[[#This Row],[Kor1]],$AI$3:$AK$105,3,FALSE)</f>
        <v>Misc. Expense</v>
      </c>
      <c r="AF1063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39" spans="18:32" x14ac:dyDescent="0.2">
      <c r="R10639" t="s">
        <v>41</v>
      </c>
      <c r="S10639" t="s">
        <v>263</v>
      </c>
      <c r="T10639" t="s">
        <v>443</v>
      </c>
      <c r="U10639" s="21">
        <v>349.98</v>
      </c>
      <c r="V10639" s="21" t="s">
        <v>368</v>
      </c>
      <c r="W10639" t="str">
        <f>VLOOKUP(Table_Query_from_Actuarial___Production[[#This Row],[Kor1]],$AI$3:$AK$105,3,FALSE)</f>
        <v>Misc. Income</v>
      </c>
      <c r="X1063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39"/>
      <c r="Z10639" t="s">
        <v>41</v>
      </c>
      <c r="AA10639" t="s">
        <v>236</v>
      </c>
      <c r="AB10639" t="s">
        <v>9</v>
      </c>
      <c r="AC10639" s="21">
        <v>400</v>
      </c>
      <c r="AD10639" s="21" t="s">
        <v>368</v>
      </c>
      <c r="AE10639" t="str">
        <f>VLOOKUP(Table_Query_from_Actuarial___Production3[[#This Row],[Kor1]],$AI$3:$AK$105,3,FALSE)</f>
        <v>Misc. Income</v>
      </c>
      <c r="AF1063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0" spans="18:32" x14ac:dyDescent="0.2">
      <c r="R10640" t="s">
        <v>10</v>
      </c>
      <c r="S10640" t="s">
        <v>224</v>
      </c>
      <c r="T10640" t="s">
        <v>441</v>
      </c>
      <c r="U10640" s="21">
        <v>1544.84</v>
      </c>
      <c r="V10640" s="21" t="s">
        <v>369</v>
      </c>
      <c r="W10640" t="str">
        <f>VLOOKUP(Table_Query_from_Actuarial___Production[[#This Row],[Kor1]],$AI$3:$AK$105,3,FALSE)</f>
        <v>Commissions</v>
      </c>
      <c r="X1064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Private Passenger</v>
      </c>
      <c r="Y10640"/>
      <c r="Z10640" t="s">
        <v>37</v>
      </c>
      <c r="AA10640" t="s">
        <v>237</v>
      </c>
      <c r="AB10640" t="s">
        <v>441</v>
      </c>
      <c r="AC10640" s="21">
        <v>134093.59</v>
      </c>
      <c r="AD10640" s="21" t="s">
        <v>368</v>
      </c>
      <c r="AE10640" t="str">
        <f>VLOOKUP(Table_Query_from_Actuarial___Production3[[#This Row],[Kor1]],$AI$3:$AK$105,3,FALSE)</f>
        <v>Misc. Expense</v>
      </c>
      <c r="AF1064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1" spans="18:32" x14ac:dyDescent="0.2">
      <c r="R10641" t="s">
        <v>13</v>
      </c>
      <c r="S10641" t="s">
        <v>262</v>
      </c>
      <c r="T10641" t="s">
        <v>442</v>
      </c>
      <c r="U10641" s="21">
        <v>20859.900000000001</v>
      </c>
      <c r="V10641" s="21" t="s">
        <v>368</v>
      </c>
      <c r="W10641" t="str">
        <f>VLOOKUP(Table_Query_from_Actuarial___Production[[#This Row],[Kor1]],$AI$3:$AK$105,3,FALSE)</f>
        <v>Operating Service Fees</v>
      </c>
      <c r="X1064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1"/>
      <c r="Z10641" t="s">
        <v>43</v>
      </c>
      <c r="AA10641" t="s">
        <v>265</v>
      </c>
      <c r="AB10641" t="s">
        <v>433</v>
      </c>
      <c r="AC10641" s="21">
        <v>226.95</v>
      </c>
      <c r="AD10641" s="21" t="s">
        <v>368</v>
      </c>
      <c r="AE10641" t="str">
        <f>VLOOKUP(Table_Query_from_Actuarial___Production3[[#This Row],[Kor1]],$AI$3:$AK$105,3,FALSE)</f>
        <v>Charge-offs</v>
      </c>
      <c r="AF1064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2" spans="18:32" x14ac:dyDescent="0.2">
      <c r="R10642" t="s">
        <v>49</v>
      </c>
      <c r="S10642" t="s">
        <v>226</v>
      </c>
      <c r="T10642" t="s">
        <v>356</v>
      </c>
      <c r="U10642" s="21">
        <v>419850.88</v>
      </c>
      <c r="V10642" s="21" t="s">
        <v>368</v>
      </c>
      <c r="W10642" t="str">
        <f>VLOOKUP(Table_Query_from_Actuarial___Production[[#This Row],[Kor1]],$AI$3:$AK$105,3,FALSE)</f>
        <v>ALAE Paid</v>
      </c>
      <c r="X1064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642"/>
      <c r="Z10642" t="s">
        <v>46</v>
      </c>
      <c r="AA10642" t="s">
        <v>224</v>
      </c>
      <c r="AB10642" t="s">
        <v>356</v>
      </c>
      <c r="AC10642" s="21">
        <v>1404.49</v>
      </c>
      <c r="AD10642" s="21" t="s">
        <v>425</v>
      </c>
      <c r="AE10642" t="str">
        <f>VLOOKUP(Table_Query_from_Actuarial___Production3[[#This Row],[Kor1]],$AI$3:$AK$105,3,FALSE)</f>
        <v>Investment Income</v>
      </c>
      <c r="AF1064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643" spans="18:32" x14ac:dyDescent="0.2">
      <c r="R10643" t="s">
        <v>14</v>
      </c>
      <c r="S10643" t="s">
        <v>247</v>
      </c>
      <c r="T10643" t="s">
        <v>433</v>
      </c>
      <c r="U10643" s="21">
        <v>214.18</v>
      </c>
      <c r="V10643" s="21" t="s">
        <v>368</v>
      </c>
      <c r="W10643" t="str">
        <f>VLOOKUP(Table_Query_from_Actuarial___Production[[#This Row],[Kor1]],$AI$3:$AK$105,3,FALSE)</f>
        <v>Claims Expense</v>
      </c>
      <c r="X1064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3"/>
      <c r="Z10643" t="s">
        <v>14</v>
      </c>
      <c r="AA10643" t="s">
        <v>246</v>
      </c>
      <c r="AB10643" t="s">
        <v>351</v>
      </c>
      <c r="AC10643" s="21">
        <v>45876.92</v>
      </c>
      <c r="AD10643" s="21" t="s">
        <v>368</v>
      </c>
      <c r="AE10643" t="str">
        <f>VLOOKUP(Table_Query_from_Actuarial___Production3[[#This Row],[Kor1]],$AI$3:$AK$105,3,FALSE)</f>
        <v>Claims Expense</v>
      </c>
      <c r="AF1064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4" spans="18:32" x14ac:dyDescent="0.2">
      <c r="R10644" t="s">
        <v>17</v>
      </c>
      <c r="S10644" t="s">
        <v>239</v>
      </c>
      <c r="T10644" t="s">
        <v>443</v>
      </c>
      <c r="U10644" s="21">
        <v>1862820.09</v>
      </c>
      <c r="V10644" s="21" t="s">
        <v>368</v>
      </c>
      <c r="W10644" t="str">
        <f>VLOOKUP(Table_Query_from_Actuarial___Production[[#This Row],[Kor1]],$AI$3:$AK$105,3,FALSE)</f>
        <v>IBNR</v>
      </c>
      <c r="X1064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4"/>
      <c r="Z10644" t="s">
        <v>19</v>
      </c>
      <c r="AA10644" t="s">
        <v>234</v>
      </c>
      <c r="AB10644" t="s">
        <v>6</v>
      </c>
      <c r="AC10644" s="21">
        <v>776.99</v>
      </c>
      <c r="AD10644" s="21" t="s">
        <v>368</v>
      </c>
      <c r="AE10644" t="str">
        <f>VLOOKUP(Table_Query_from_Actuarial___Production3[[#This Row],[Kor1]],$AI$3:$AK$105,3,FALSE)</f>
        <v>Misc. Expense for Insolvent Companies</v>
      </c>
      <c r="AF1064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5" spans="18:32" x14ac:dyDescent="0.2">
      <c r="R10645" t="s">
        <v>13</v>
      </c>
      <c r="S10645" t="s">
        <v>229</v>
      </c>
      <c r="T10645" t="s">
        <v>356</v>
      </c>
      <c r="U10645" s="21">
        <v>47339.77</v>
      </c>
      <c r="V10645" s="21" t="s">
        <v>368</v>
      </c>
      <c r="W10645" t="str">
        <f>VLOOKUP(Table_Query_from_Actuarial___Production[[#This Row],[Kor1]],$AI$3:$AK$105,3,FALSE)</f>
        <v>Operating Service Fees</v>
      </c>
      <c r="X1064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5"/>
      <c r="Z10645" t="s">
        <v>44</v>
      </c>
      <c r="AA10645" t="s">
        <v>249</v>
      </c>
      <c r="AB10645" t="s">
        <v>441</v>
      </c>
      <c r="AC10645" s="21">
        <v>4170</v>
      </c>
      <c r="AD10645" s="21" t="s">
        <v>368</v>
      </c>
      <c r="AE10645" t="str">
        <f>VLOOKUP(Table_Query_from_Actuarial___Production3[[#This Row],[Kor1]],$AI$3:$AK$105,3,FALSE)</f>
        <v>Charge-offs</v>
      </c>
      <c r="AF1064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6" spans="18:32" x14ac:dyDescent="0.2">
      <c r="R10646" t="s">
        <v>36</v>
      </c>
      <c r="S10646" t="s">
        <v>229</v>
      </c>
      <c r="T10646" t="s">
        <v>445</v>
      </c>
      <c r="U10646" s="21">
        <v>33</v>
      </c>
      <c r="V10646" s="21" t="s">
        <v>368</v>
      </c>
      <c r="W10646" t="str">
        <f>VLOOKUP(Table_Query_from_Actuarial___Production[[#This Row],[Kor1]],$AI$3:$AK$105,3,FALSE)</f>
        <v>Misc. Expense</v>
      </c>
      <c r="X1064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6"/>
      <c r="Z10646" t="s">
        <v>33</v>
      </c>
      <c r="AA10646" t="s">
        <v>253</v>
      </c>
      <c r="AB10646" t="s">
        <v>433</v>
      </c>
      <c r="AC10646" s="21">
        <v>21846.959999999999</v>
      </c>
      <c r="AD10646" s="21" t="s">
        <v>368</v>
      </c>
      <c r="AE10646" t="str">
        <f>VLOOKUP(Table_Query_from_Actuarial___Production3[[#This Row],[Kor1]],$AI$3:$AK$105,3,FALSE)</f>
        <v>Misc. Expense</v>
      </c>
      <c r="AF1064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7" spans="18:32" x14ac:dyDescent="0.2">
      <c r="R10647" t="s">
        <v>39</v>
      </c>
      <c r="S10647" t="s">
        <v>262</v>
      </c>
      <c r="T10647" t="s">
        <v>6</v>
      </c>
      <c r="U10647" s="21">
        <v>25</v>
      </c>
      <c r="V10647" s="21" t="s">
        <v>368</v>
      </c>
      <c r="W10647" t="str">
        <f>VLOOKUP(Table_Query_from_Actuarial___Production[[#This Row],[Kor1]],$AI$3:$AK$105,3,FALSE)</f>
        <v>Misc. Income for Insolvent Companies</v>
      </c>
      <c r="X1064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7"/>
      <c r="Z10647" t="s">
        <v>41</v>
      </c>
      <c r="AA10647" t="s">
        <v>244</v>
      </c>
      <c r="AB10647" t="s">
        <v>5</v>
      </c>
      <c r="AC10647" s="21">
        <v>200</v>
      </c>
      <c r="AD10647" s="21" t="s">
        <v>368</v>
      </c>
      <c r="AE10647" t="str">
        <f>VLOOKUP(Table_Query_from_Actuarial___Production3[[#This Row],[Kor1]],$AI$3:$AK$105,3,FALSE)</f>
        <v>Misc. Income</v>
      </c>
      <c r="AF1064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8" spans="18:32" x14ac:dyDescent="0.2">
      <c r="R10648" t="s">
        <v>21</v>
      </c>
      <c r="S10648" t="s">
        <v>263</v>
      </c>
      <c r="T10648" t="s">
        <v>9</v>
      </c>
      <c r="U10648" s="21">
        <v>84</v>
      </c>
      <c r="V10648" s="21" t="s">
        <v>368</v>
      </c>
      <c r="W10648" t="str">
        <f>VLOOKUP(Table_Query_from_Actuarial___Production[[#This Row],[Kor1]],$AI$3:$AK$105,3,FALSE)</f>
        <v>Misc. Expense</v>
      </c>
      <c r="X1064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8"/>
      <c r="Z10648" t="s">
        <v>48</v>
      </c>
      <c r="AA10648" t="s">
        <v>254</v>
      </c>
      <c r="AB10648" t="s">
        <v>441</v>
      </c>
      <c r="AC10648" s="21">
        <v>125643.25</v>
      </c>
      <c r="AD10648" s="21" t="s">
        <v>368</v>
      </c>
      <c r="AE10648" t="str">
        <f>VLOOKUP(Table_Query_from_Actuarial___Production3[[#This Row],[Kor1]],$AI$3:$AK$105,3,FALSE)</f>
        <v>Anticipated Salvage</v>
      </c>
      <c r="AF1064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49" spans="18:32" x14ac:dyDescent="0.2">
      <c r="R10649" t="s">
        <v>3</v>
      </c>
      <c r="S10649" t="s">
        <v>250</v>
      </c>
      <c r="T10649" t="s">
        <v>442</v>
      </c>
      <c r="U10649" s="21">
        <v>989989</v>
      </c>
      <c r="V10649" s="21" t="s">
        <v>368</v>
      </c>
      <c r="W10649" t="str">
        <f>VLOOKUP(Table_Query_from_Actuarial___Production[[#This Row],[Kor1]],$AI$3:$AK$105,3,FALSE)</f>
        <v>Premiums Written</v>
      </c>
      <c r="X1064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49"/>
      <c r="Z10649" t="s">
        <v>44</v>
      </c>
      <c r="AA10649" t="s">
        <v>225</v>
      </c>
      <c r="AB10649" t="s">
        <v>5</v>
      </c>
      <c r="AC10649" s="21">
        <v>3983.16</v>
      </c>
      <c r="AD10649" s="21" t="s">
        <v>368</v>
      </c>
      <c r="AE10649" t="str">
        <f>VLOOKUP(Table_Query_from_Actuarial___Production3[[#This Row],[Kor1]],$AI$3:$AK$105,3,FALSE)</f>
        <v>Charge-offs</v>
      </c>
      <c r="AF1064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650" spans="18:32" x14ac:dyDescent="0.2">
      <c r="R10650" t="s">
        <v>142</v>
      </c>
      <c r="S10650" t="s">
        <v>352</v>
      </c>
      <c r="T10650" t="s">
        <v>445</v>
      </c>
      <c r="U10650" s="21">
        <v>200000</v>
      </c>
      <c r="V10650" s="21" t="s">
        <v>369</v>
      </c>
      <c r="W10650" t="str">
        <f>VLOOKUP(Table_Query_from_Actuarial___Production[[#This Row],[Kor1]],$AI$3:$AK$105,3,FALSE)</f>
        <v>Contingency Fund</v>
      </c>
      <c r="X1065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Hampshire Facility Private Passenger</v>
      </c>
      <c r="Y10650"/>
      <c r="Z10650" t="s">
        <v>3</v>
      </c>
      <c r="AA10650" t="s">
        <v>253</v>
      </c>
      <c r="AB10650" t="s">
        <v>442</v>
      </c>
      <c r="AC10650" s="21">
        <v>9417</v>
      </c>
      <c r="AD10650" s="21" t="s">
        <v>368</v>
      </c>
      <c r="AE10650" t="str">
        <f>VLOOKUP(Table_Query_from_Actuarial___Production3[[#This Row],[Kor1]],$AI$3:$AK$105,3,FALSE)</f>
        <v>Premiums Written</v>
      </c>
      <c r="AF1065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1" spans="18:32" x14ac:dyDescent="0.2">
      <c r="R10651" t="s">
        <v>14</v>
      </c>
      <c r="S10651" t="s">
        <v>262</v>
      </c>
      <c r="T10651" t="s">
        <v>351</v>
      </c>
      <c r="U10651" s="21">
        <v>42072.17</v>
      </c>
      <c r="V10651" s="21" t="s">
        <v>368</v>
      </c>
      <c r="W10651" t="str">
        <f>VLOOKUP(Table_Query_from_Actuarial___Production[[#This Row],[Kor1]],$AI$3:$AK$105,3,FALSE)</f>
        <v>Claims Expense</v>
      </c>
      <c r="X1065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1"/>
      <c r="Z10651" t="s">
        <v>41</v>
      </c>
      <c r="AA10651" t="s">
        <v>234</v>
      </c>
      <c r="AB10651" t="s">
        <v>5</v>
      </c>
      <c r="AC10651" s="21">
        <v>640.38</v>
      </c>
      <c r="AD10651" s="21" t="s">
        <v>368</v>
      </c>
      <c r="AE10651" t="str">
        <f>VLOOKUP(Table_Query_from_Actuarial___Production3[[#This Row],[Kor1]],$AI$3:$AK$105,3,FALSE)</f>
        <v>Misc. Income</v>
      </c>
      <c r="AF1065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2" spans="18:32" x14ac:dyDescent="0.2">
      <c r="R10652" t="s">
        <v>49</v>
      </c>
      <c r="S10652" t="s">
        <v>227</v>
      </c>
      <c r="T10652" t="s">
        <v>6</v>
      </c>
      <c r="U10652" s="21">
        <v>96564.47</v>
      </c>
      <c r="V10652" s="21" t="s">
        <v>368</v>
      </c>
      <c r="W10652" t="str">
        <f>VLOOKUP(Table_Query_from_Actuarial___Production[[#This Row],[Kor1]],$AI$3:$AK$105,3,FALSE)</f>
        <v>ALAE Paid</v>
      </c>
      <c r="X1065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2"/>
      <c r="Z10652" t="s">
        <v>20</v>
      </c>
      <c r="AA10652" t="s">
        <v>254</v>
      </c>
      <c r="AB10652" t="s">
        <v>356</v>
      </c>
      <c r="AC10652" s="21">
        <v>582.6</v>
      </c>
      <c r="AD10652" s="21" t="s">
        <v>368</v>
      </c>
      <c r="AE10652" t="str">
        <f>VLOOKUP(Table_Query_from_Actuarial___Production3[[#This Row],[Kor1]],$AI$3:$AK$105,3,FALSE)</f>
        <v>Misc. Expense</v>
      </c>
      <c r="AF1065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3" spans="18:32" x14ac:dyDescent="0.2">
      <c r="R10653" t="s">
        <v>13</v>
      </c>
      <c r="S10653" t="s">
        <v>260</v>
      </c>
      <c r="T10653" t="s">
        <v>445</v>
      </c>
      <c r="U10653" s="21">
        <v>11192.91</v>
      </c>
      <c r="V10653" s="21" t="s">
        <v>368</v>
      </c>
      <c r="W10653" t="str">
        <f>VLOOKUP(Table_Query_from_Actuarial___Production[[#This Row],[Kor1]],$AI$3:$AK$105,3,FALSE)</f>
        <v>Operating Service Fees</v>
      </c>
      <c r="X1065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3"/>
      <c r="Z10653" t="s">
        <v>21</v>
      </c>
      <c r="AA10653" t="s">
        <v>249</v>
      </c>
      <c r="AB10653" t="s">
        <v>356</v>
      </c>
      <c r="AC10653" s="21">
        <v>490.51</v>
      </c>
      <c r="AD10653" s="21" t="s">
        <v>368</v>
      </c>
      <c r="AE10653" t="str">
        <f>VLOOKUP(Table_Query_from_Actuarial___Production3[[#This Row],[Kor1]],$AI$3:$AK$105,3,FALSE)</f>
        <v>Misc. Expense</v>
      </c>
      <c r="AF1065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4" spans="18:32" x14ac:dyDescent="0.2">
      <c r="R10654" t="s">
        <v>44</v>
      </c>
      <c r="S10654" t="s">
        <v>264</v>
      </c>
      <c r="T10654" t="s">
        <v>442</v>
      </c>
      <c r="U10654" s="21">
        <v>62856.32</v>
      </c>
      <c r="V10654" s="21" t="s">
        <v>368</v>
      </c>
      <c r="W10654" t="str">
        <f>VLOOKUP(Table_Query_from_Actuarial___Production[[#This Row],[Kor1]],$AI$3:$AK$105,3,FALSE)</f>
        <v>Charge-offs</v>
      </c>
      <c r="X1065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4"/>
      <c r="Z10654" t="s">
        <v>31</v>
      </c>
      <c r="AA10654" t="s">
        <v>249</v>
      </c>
      <c r="AB10654" t="s">
        <v>427</v>
      </c>
      <c r="AC10654" s="21">
        <v>632.64</v>
      </c>
      <c r="AD10654" s="21" t="s">
        <v>368</v>
      </c>
      <c r="AE10654" t="str">
        <f>VLOOKUP(Table_Query_from_Actuarial___Production3[[#This Row],[Kor1]],$AI$3:$AK$105,3,FALSE)</f>
        <v>Misc. Expense</v>
      </c>
      <c r="AF1065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5" spans="18:32" x14ac:dyDescent="0.2">
      <c r="R10655" t="s">
        <v>16</v>
      </c>
      <c r="S10655" t="s">
        <v>267</v>
      </c>
      <c r="T10655" t="s">
        <v>441</v>
      </c>
      <c r="U10655" s="21">
        <v>180918.2</v>
      </c>
      <c r="V10655" s="21" t="s">
        <v>368</v>
      </c>
      <c r="W10655" t="str">
        <f>VLOOKUP(Table_Query_from_Actuarial___Production[[#This Row],[Kor1]],$AI$3:$AK$105,3,FALSE)</f>
        <v>Losses Outstanding</v>
      </c>
      <c r="X1065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5"/>
      <c r="Z10655" t="s">
        <v>41</v>
      </c>
      <c r="AA10655" t="s">
        <v>230</v>
      </c>
      <c r="AB10655" t="s">
        <v>356</v>
      </c>
      <c r="AC10655" s="21">
        <v>1438.1</v>
      </c>
      <c r="AD10655" s="21" t="s">
        <v>368</v>
      </c>
      <c r="AE10655" t="str">
        <f>VLOOKUP(Table_Query_from_Actuarial___Production3[[#This Row],[Kor1]],$AI$3:$AK$105,3,FALSE)</f>
        <v>Misc. Income</v>
      </c>
      <c r="AF1065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6" spans="18:32" x14ac:dyDescent="0.2">
      <c r="R10656" t="s">
        <v>48</v>
      </c>
      <c r="S10656" t="s">
        <v>249</v>
      </c>
      <c r="T10656" t="s">
        <v>442</v>
      </c>
      <c r="U10656" s="21">
        <v>1032.53</v>
      </c>
      <c r="V10656" s="21" t="s">
        <v>368</v>
      </c>
      <c r="W10656" t="str">
        <f>VLOOKUP(Table_Query_from_Actuarial___Production[[#This Row],[Kor1]],$AI$3:$AK$105,3,FALSE)</f>
        <v>Anticipated Salvage</v>
      </c>
      <c r="X1065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6"/>
      <c r="Z10656" t="s">
        <v>10</v>
      </c>
      <c r="AA10656" t="s">
        <v>224</v>
      </c>
      <c r="AB10656" t="s">
        <v>441</v>
      </c>
      <c r="AC10656" s="21">
        <v>1544.84</v>
      </c>
      <c r="AD10656" s="21" t="s">
        <v>369</v>
      </c>
      <c r="AE10656" t="str">
        <f>VLOOKUP(Table_Query_from_Actuarial___Production3[[#This Row],[Kor1]],$AI$3:$AK$105,3,FALSE)</f>
        <v>Commissions</v>
      </c>
      <c r="AF1065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Private Passenger</v>
      </c>
    </row>
    <row r="10657" spans="18:32" x14ac:dyDescent="0.2">
      <c r="R10657" t="s">
        <v>38</v>
      </c>
      <c r="S10657" t="s">
        <v>224</v>
      </c>
      <c r="T10657" t="s">
        <v>9</v>
      </c>
      <c r="U10657" s="21">
        <v>161846.51</v>
      </c>
      <c r="V10657" s="21" t="s">
        <v>370</v>
      </c>
      <c r="W10657" t="str">
        <f>VLOOKUP(Table_Query_from_Actuarial___Production[[#This Row],[Kor1]],$AI$3:$AK$105,3,FALSE)</f>
        <v>Misc. Income</v>
      </c>
      <c r="X1065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CPAI</v>
      </c>
      <c r="Y10657"/>
      <c r="Z10657" t="s">
        <v>13</v>
      </c>
      <c r="AA10657" t="s">
        <v>262</v>
      </c>
      <c r="AB10657" t="s">
        <v>442</v>
      </c>
      <c r="AC10657" s="21">
        <v>20859.900000000001</v>
      </c>
      <c r="AD10657" s="21" t="s">
        <v>368</v>
      </c>
      <c r="AE10657" t="str">
        <f>VLOOKUP(Table_Query_from_Actuarial___Production3[[#This Row],[Kor1]],$AI$3:$AK$105,3,FALSE)</f>
        <v>Operating Service Fees</v>
      </c>
      <c r="AF1065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58" spans="18:32" x14ac:dyDescent="0.2">
      <c r="R10658" t="s">
        <v>37</v>
      </c>
      <c r="S10658" t="s">
        <v>265</v>
      </c>
      <c r="T10658" t="s">
        <v>427</v>
      </c>
      <c r="U10658" s="21">
        <v>-88.49</v>
      </c>
      <c r="V10658" s="21" t="s">
        <v>368</v>
      </c>
      <c r="W10658" t="str">
        <f>VLOOKUP(Table_Query_from_Actuarial___Production[[#This Row],[Kor1]],$AI$3:$AK$105,3,FALSE)</f>
        <v>Misc. Expense</v>
      </c>
      <c r="X1065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8"/>
      <c r="Z10658" t="s">
        <v>49</v>
      </c>
      <c r="AA10658" t="s">
        <v>226</v>
      </c>
      <c r="AB10658" t="s">
        <v>356</v>
      </c>
      <c r="AC10658" s="21">
        <v>403767.37</v>
      </c>
      <c r="AD10658" s="21" t="s">
        <v>368</v>
      </c>
      <c r="AE10658" t="str">
        <f>VLOOKUP(Table_Query_from_Actuarial___Production3[[#This Row],[Kor1]],$AI$3:$AK$105,3,FALSE)</f>
        <v>ALAE Paid</v>
      </c>
      <c r="AF1065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659" spans="18:32" x14ac:dyDescent="0.2">
      <c r="R10659" t="s">
        <v>3</v>
      </c>
      <c r="S10659" t="s">
        <v>247</v>
      </c>
      <c r="T10659" t="s">
        <v>6</v>
      </c>
      <c r="U10659" s="21">
        <v>6436</v>
      </c>
      <c r="V10659" s="21" t="s">
        <v>368</v>
      </c>
      <c r="W10659" t="str">
        <f>VLOOKUP(Table_Query_from_Actuarial___Production[[#This Row],[Kor1]],$AI$3:$AK$105,3,FALSE)</f>
        <v>Premiums Written</v>
      </c>
      <c r="X1065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59"/>
      <c r="Z10659" t="s">
        <v>14</v>
      </c>
      <c r="AA10659" t="s">
        <v>247</v>
      </c>
      <c r="AB10659" t="s">
        <v>433</v>
      </c>
      <c r="AC10659" s="21">
        <v>214.18</v>
      </c>
      <c r="AD10659" s="21" t="s">
        <v>368</v>
      </c>
      <c r="AE10659" t="str">
        <f>VLOOKUP(Table_Query_from_Actuarial___Production3[[#This Row],[Kor1]],$AI$3:$AK$105,3,FALSE)</f>
        <v>Claims Expense</v>
      </c>
      <c r="AF1065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0" spans="18:32" x14ac:dyDescent="0.2">
      <c r="R10660" t="s">
        <v>39</v>
      </c>
      <c r="S10660" t="s">
        <v>268</v>
      </c>
      <c r="T10660" t="s">
        <v>9</v>
      </c>
      <c r="U10660" s="21">
        <v>473</v>
      </c>
      <c r="V10660" s="21" t="s">
        <v>368</v>
      </c>
      <c r="W10660" t="str">
        <f>VLOOKUP(Table_Query_from_Actuarial___Production[[#This Row],[Kor1]],$AI$3:$AK$105,3,FALSE)</f>
        <v>Misc. Income for Insolvent Companies</v>
      </c>
      <c r="X1066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0"/>
      <c r="Z10660" t="s">
        <v>17</v>
      </c>
      <c r="AA10660" t="s">
        <v>239</v>
      </c>
      <c r="AB10660" t="s">
        <v>443</v>
      </c>
      <c r="AC10660" s="21">
        <v>156691.37</v>
      </c>
      <c r="AD10660" s="21" t="s">
        <v>368</v>
      </c>
      <c r="AE10660" t="str">
        <f>VLOOKUP(Table_Query_from_Actuarial___Production3[[#This Row],[Kor1]],$AI$3:$AK$105,3,FALSE)</f>
        <v>IBNR</v>
      </c>
      <c r="AF1066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1" spans="18:32" x14ac:dyDescent="0.2">
      <c r="R10661" t="s">
        <v>38</v>
      </c>
      <c r="S10661" t="s">
        <v>224</v>
      </c>
      <c r="T10661" t="s">
        <v>7</v>
      </c>
      <c r="U10661" s="21">
        <v>133793.64000000001</v>
      </c>
      <c r="V10661" s="21" t="s">
        <v>368</v>
      </c>
      <c r="W10661" t="str">
        <f>VLOOKUP(Table_Query_from_Actuarial___Production[[#This Row],[Kor1]],$AI$3:$AK$105,3,FALSE)</f>
        <v>Misc. Income</v>
      </c>
      <c r="X1066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Hawaii Commercial</v>
      </c>
      <c r="Y10661"/>
      <c r="Z10661" t="s">
        <v>13</v>
      </c>
      <c r="AA10661" t="s">
        <v>229</v>
      </c>
      <c r="AB10661" t="s">
        <v>356</v>
      </c>
      <c r="AC10661" s="21">
        <v>47339.77</v>
      </c>
      <c r="AD10661" s="21" t="s">
        <v>368</v>
      </c>
      <c r="AE10661" t="str">
        <f>VLOOKUP(Table_Query_from_Actuarial___Production3[[#This Row],[Kor1]],$AI$3:$AK$105,3,FALSE)</f>
        <v>Operating Service Fees</v>
      </c>
      <c r="AF1066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2" spans="18:32" x14ac:dyDescent="0.2">
      <c r="R10662" t="s">
        <v>10</v>
      </c>
      <c r="S10662" t="s">
        <v>232</v>
      </c>
      <c r="T10662" t="s">
        <v>8</v>
      </c>
      <c r="U10662" s="21">
        <v>64947.13</v>
      </c>
      <c r="V10662" s="21" t="s">
        <v>368</v>
      </c>
      <c r="W10662" t="str">
        <f>VLOOKUP(Table_Query_from_Actuarial___Production[[#This Row],[Kor1]],$AI$3:$AK$105,3,FALSE)</f>
        <v>Commissions</v>
      </c>
      <c r="X1066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2"/>
      <c r="Z10662" t="s">
        <v>39</v>
      </c>
      <c r="AA10662" t="s">
        <v>262</v>
      </c>
      <c r="AB10662" t="s">
        <v>6</v>
      </c>
      <c r="AC10662" s="21">
        <v>25</v>
      </c>
      <c r="AD10662" s="21" t="s">
        <v>368</v>
      </c>
      <c r="AE10662" t="str">
        <f>VLOOKUP(Table_Query_from_Actuarial___Production3[[#This Row],[Kor1]],$AI$3:$AK$105,3,FALSE)</f>
        <v>Misc. Income for Insolvent Companies</v>
      </c>
      <c r="AF1066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3" spans="18:32" x14ac:dyDescent="0.2">
      <c r="R10663" t="s">
        <v>37</v>
      </c>
      <c r="S10663" t="s">
        <v>237</v>
      </c>
      <c r="T10663" t="s">
        <v>351</v>
      </c>
      <c r="U10663" s="21">
        <v>26220.12</v>
      </c>
      <c r="V10663" s="21" t="s">
        <v>368</v>
      </c>
      <c r="W10663" t="str">
        <f>VLOOKUP(Table_Query_from_Actuarial___Production[[#This Row],[Kor1]],$AI$3:$AK$105,3,FALSE)</f>
        <v>Misc. Expense</v>
      </c>
      <c r="X1066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3"/>
      <c r="Z10663" t="s">
        <v>21</v>
      </c>
      <c r="AA10663" t="s">
        <v>263</v>
      </c>
      <c r="AB10663" t="s">
        <v>9</v>
      </c>
      <c r="AC10663" s="21">
        <v>84</v>
      </c>
      <c r="AD10663" s="21" t="s">
        <v>368</v>
      </c>
      <c r="AE10663" t="str">
        <f>VLOOKUP(Table_Query_from_Actuarial___Production3[[#This Row],[Kor1]],$AI$3:$AK$105,3,FALSE)</f>
        <v>Misc. Expense</v>
      </c>
      <c r="AF1066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4" spans="18:32" x14ac:dyDescent="0.2">
      <c r="R10664" t="s">
        <v>37</v>
      </c>
      <c r="S10664" t="s">
        <v>249</v>
      </c>
      <c r="T10664" t="s">
        <v>351</v>
      </c>
      <c r="U10664" s="21">
        <v>380.7</v>
      </c>
      <c r="V10664" s="21" t="s">
        <v>368</v>
      </c>
      <c r="W10664" t="str">
        <f>VLOOKUP(Table_Query_from_Actuarial___Production[[#This Row],[Kor1]],$AI$3:$AK$105,3,FALSE)</f>
        <v>Misc. Expense</v>
      </c>
      <c r="X1066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4"/>
      <c r="Z10664" t="s">
        <v>3</v>
      </c>
      <c r="AA10664" t="s">
        <v>250</v>
      </c>
      <c r="AB10664" t="s">
        <v>442</v>
      </c>
      <c r="AC10664" s="21">
        <v>990204</v>
      </c>
      <c r="AD10664" s="21" t="s">
        <v>368</v>
      </c>
      <c r="AE10664" t="str">
        <f>VLOOKUP(Table_Query_from_Actuarial___Production3[[#This Row],[Kor1]],$AI$3:$AK$105,3,FALSE)</f>
        <v>Premiums Written</v>
      </c>
      <c r="AF1066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5" spans="18:32" x14ac:dyDescent="0.2">
      <c r="R10665" t="s">
        <v>47</v>
      </c>
      <c r="S10665" t="s">
        <v>248</v>
      </c>
      <c r="T10665" t="s">
        <v>442</v>
      </c>
      <c r="U10665" s="21">
        <v>1945.13</v>
      </c>
      <c r="V10665" s="21" t="s">
        <v>368</v>
      </c>
      <c r="W10665" t="str">
        <f>VLOOKUP(Table_Query_from_Actuarial___Production[[#This Row],[Kor1]],$AI$3:$AK$105,3,FALSE)</f>
        <v>Investment Income</v>
      </c>
      <c r="X1066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5"/>
      <c r="Z10665" t="s">
        <v>14</v>
      </c>
      <c r="AA10665" t="s">
        <v>236</v>
      </c>
      <c r="AB10665" t="s">
        <v>5</v>
      </c>
      <c r="AC10665" s="21">
        <v>1193.8699999999999</v>
      </c>
      <c r="AD10665" s="21" t="s">
        <v>368</v>
      </c>
      <c r="AE10665" t="str">
        <f>VLOOKUP(Table_Query_from_Actuarial___Production3[[#This Row],[Kor1]],$AI$3:$AK$105,3,FALSE)</f>
        <v>Claims Expense</v>
      </c>
      <c r="AF1066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6" spans="18:32" x14ac:dyDescent="0.2">
      <c r="R10666" t="s">
        <v>49</v>
      </c>
      <c r="S10666" t="s">
        <v>225</v>
      </c>
      <c r="T10666" t="s">
        <v>443</v>
      </c>
      <c r="U10666" s="21">
        <v>5991.67</v>
      </c>
      <c r="V10666" s="21" t="s">
        <v>368</v>
      </c>
      <c r="W10666" t="str">
        <f>VLOOKUP(Table_Query_from_Actuarial___Production[[#This Row],[Kor1]],$AI$3:$AK$105,3,FALSE)</f>
        <v>ALAE Paid</v>
      </c>
      <c r="X1066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Florida Commercial</v>
      </c>
      <c r="Y10666"/>
      <c r="Z10666" t="s">
        <v>14</v>
      </c>
      <c r="AA10666" t="s">
        <v>262</v>
      </c>
      <c r="AB10666" t="s">
        <v>351</v>
      </c>
      <c r="AC10666" s="21">
        <v>42072.17</v>
      </c>
      <c r="AD10666" s="21" t="s">
        <v>368</v>
      </c>
      <c r="AE10666" t="str">
        <f>VLOOKUP(Table_Query_from_Actuarial___Production3[[#This Row],[Kor1]],$AI$3:$AK$105,3,FALSE)</f>
        <v>Claims Expense</v>
      </c>
      <c r="AF1066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7" spans="18:32" x14ac:dyDescent="0.2">
      <c r="R10667" t="s">
        <v>36</v>
      </c>
      <c r="S10667" t="s">
        <v>235</v>
      </c>
      <c r="T10667" t="s">
        <v>356</v>
      </c>
      <c r="U10667" s="21">
        <v>59.99</v>
      </c>
      <c r="V10667" s="21" t="s">
        <v>368</v>
      </c>
      <c r="W10667" t="str">
        <f>VLOOKUP(Table_Query_from_Actuarial___Production[[#This Row],[Kor1]],$AI$3:$AK$105,3,FALSE)</f>
        <v>Misc. Expense</v>
      </c>
      <c r="X1066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7"/>
      <c r="Z10667" t="s">
        <v>49</v>
      </c>
      <c r="AA10667" t="s">
        <v>227</v>
      </c>
      <c r="AB10667" t="s">
        <v>6</v>
      </c>
      <c r="AC10667" s="21">
        <v>96564.47</v>
      </c>
      <c r="AD10667" s="21" t="s">
        <v>368</v>
      </c>
      <c r="AE10667" t="str">
        <f>VLOOKUP(Table_Query_from_Actuarial___Production3[[#This Row],[Kor1]],$AI$3:$AK$105,3,FALSE)</f>
        <v>ALAE Paid</v>
      </c>
      <c r="AF1066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8" spans="18:32" x14ac:dyDescent="0.2">
      <c r="R10668" t="s">
        <v>50</v>
      </c>
      <c r="S10668" t="s">
        <v>265</v>
      </c>
      <c r="T10668" t="s">
        <v>442</v>
      </c>
      <c r="U10668" s="21">
        <v>11221.13</v>
      </c>
      <c r="V10668" s="21" t="s">
        <v>368</v>
      </c>
      <c r="W10668" t="str">
        <f>VLOOKUP(Table_Query_from_Actuarial___Production[[#This Row],[Kor1]],$AI$3:$AK$105,3,FALSE)</f>
        <v>ALAE Reserve</v>
      </c>
      <c r="X1066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8"/>
      <c r="Z10668" t="s">
        <v>44</v>
      </c>
      <c r="AA10668" t="s">
        <v>264</v>
      </c>
      <c r="AB10668" t="s">
        <v>442</v>
      </c>
      <c r="AC10668" s="21">
        <v>22676.400000000001</v>
      </c>
      <c r="AD10668" s="21" t="s">
        <v>368</v>
      </c>
      <c r="AE10668" t="str">
        <f>VLOOKUP(Table_Query_from_Actuarial___Production3[[#This Row],[Kor1]],$AI$3:$AK$105,3,FALSE)</f>
        <v>Charge-offs</v>
      </c>
      <c r="AF1066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69" spans="18:32" x14ac:dyDescent="0.2">
      <c r="R10669" t="s">
        <v>47</v>
      </c>
      <c r="S10669" t="s">
        <v>245</v>
      </c>
      <c r="T10669" t="s">
        <v>8</v>
      </c>
      <c r="U10669" s="21">
        <v>0.4</v>
      </c>
      <c r="V10669" s="21" t="s">
        <v>368</v>
      </c>
      <c r="W10669" t="str">
        <f>VLOOKUP(Table_Query_from_Actuarial___Production[[#This Row],[Kor1]],$AI$3:$AK$105,3,FALSE)</f>
        <v>Investment Income</v>
      </c>
      <c r="X1066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69"/>
      <c r="Z10669" t="s">
        <v>16</v>
      </c>
      <c r="AA10669" t="s">
        <v>267</v>
      </c>
      <c r="AB10669" t="s">
        <v>441</v>
      </c>
      <c r="AC10669" s="21">
        <v>631216.03</v>
      </c>
      <c r="AD10669" s="21" t="s">
        <v>368</v>
      </c>
      <c r="AE10669" t="str">
        <f>VLOOKUP(Table_Query_from_Actuarial___Production3[[#This Row],[Kor1]],$AI$3:$AK$105,3,FALSE)</f>
        <v>Losses Outstanding</v>
      </c>
      <c r="AF1066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0" spans="18:32" x14ac:dyDescent="0.2">
      <c r="R10670" t="s">
        <v>444</v>
      </c>
      <c r="S10670" t="s">
        <v>227</v>
      </c>
      <c r="T10670" t="s">
        <v>443</v>
      </c>
      <c r="U10670" s="21">
        <v>10167.81</v>
      </c>
      <c r="V10670" s="21" t="s">
        <v>368</v>
      </c>
      <c r="W10670" t="str">
        <f>VLOOKUP(Table_Query_from_Actuarial___Production[[#This Row],[Kor1]],$AI$3:$AK$105,3,FALSE)</f>
        <v>Misc. Expense</v>
      </c>
      <c r="X1067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0"/>
      <c r="Z10670" t="s">
        <v>48</v>
      </c>
      <c r="AA10670" t="s">
        <v>249</v>
      </c>
      <c r="AB10670" t="s">
        <v>442</v>
      </c>
      <c r="AC10670" s="21">
        <v>3269</v>
      </c>
      <c r="AD10670" s="21" t="s">
        <v>368</v>
      </c>
      <c r="AE10670" t="str">
        <f>VLOOKUP(Table_Query_from_Actuarial___Production3[[#This Row],[Kor1]],$AI$3:$AK$105,3,FALSE)</f>
        <v>Anticipated Salvage</v>
      </c>
      <c r="AF1067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1" spans="18:32" x14ac:dyDescent="0.2">
      <c r="R10671" t="s">
        <v>39</v>
      </c>
      <c r="S10671" t="s">
        <v>250</v>
      </c>
      <c r="T10671" t="s">
        <v>6</v>
      </c>
      <c r="U10671" s="21">
        <v>1602</v>
      </c>
      <c r="V10671" s="21" t="s">
        <v>368</v>
      </c>
      <c r="W10671" t="str">
        <f>VLOOKUP(Table_Query_from_Actuarial___Production[[#This Row],[Kor1]],$AI$3:$AK$105,3,FALSE)</f>
        <v>Misc. Income for Insolvent Companies</v>
      </c>
      <c r="X1067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1"/>
      <c r="Z10671" t="s">
        <v>38</v>
      </c>
      <c r="AA10671" t="s">
        <v>224</v>
      </c>
      <c r="AB10671" t="s">
        <v>9</v>
      </c>
      <c r="AC10671" s="21">
        <v>161846.51</v>
      </c>
      <c r="AD10671" s="21" t="s">
        <v>370</v>
      </c>
      <c r="AE10671" t="str">
        <f>VLOOKUP(Table_Query_from_Actuarial___Production3[[#This Row],[Kor1]],$AI$3:$AK$105,3,FALSE)</f>
        <v>Misc. Income</v>
      </c>
      <c r="AF1067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CPAI</v>
      </c>
    </row>
    <row r="10672" spans="18:32" x14ac:dyDescent="0.2">
      <c r="R10672" t="s">
        <v>3</v>
      </c>
      <c r="S10672" t="s">
        <v>226</v>
      </c>
      <c r="T10672" t="s">
        <v>427</v>
      </c>
      <c r="U10672" s="21">
        <v>5024446.55</v>
      </c>
      <c r="V10672" s="21" t="s">
        <v>368</v>
      </c>
      <c r="W10672" t="str">
        <f>VLOOKUP(Table_Query_from_Actuarial___Production[[#This Row],[Kor1]],$AI$3:$AK$105,3,FALSE)</f>
        <v>Premiums Written</v>
      </c>
      <c r="X1067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672"/>
      <c r="Z10672" t="s">
        <v>37</v>
      </c>
      <c r="AA10672" t="s">
        <v>265</v>
      </c>
      <c r="AB10672" t="s">
        <v>427</v>
      </c>
      <c r="AC10672" s="21">
        <v>-88.49</v>
      </c>
      <c r="AD10672" s="21" t="s">
        <v>368</v>
      </c>
      <c r="AE10672" t="str">
        <f>VLOOKUP(Table_Query_from_Actuarial___Production3[[#This Row],[Kor1]],$AI$3:$AK$105,3,FALSE)</f>
        <v>Misc. Expense</v>
      </c>
      <c r="AF1067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3" spans="18:32" x14ac:dyDescent="0.2">
      <c r="R10673" t="s">
        <v>43</v>
      </c>
      <c r="S10673" t="s">
        <v>226</v>
      </c>
      <c r="T10673" t="s">
        <v>356</v>
      </c>
      <c r="U10673" s="21">
        <v>1864.05</v>
      </c>
      <c r="V10673" s="21" t="s">
        <v>368</v>
      </c>
      <c r="W10673" t="str">
        <f>VLOOKUP(Table_Query_from_Actuarial___Production[[#This Row],[Kor1]],$AI$3:$AK$105,3,FALSE)</f>
        <v>Charge-offs</v>
      </c>
      <c r="X1067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New York PAP Commercial</v>
      </c>
      <c r="Y10673"/>
      <c r="Z10673" t="s">
        <v>3</v>
      </c>
      <c r="AA10673" t="s">
        <v>247</v>
      </c>
      <c r="AB10673" t="s">
        <v>6</v>
      </c>
      <c r="AC10673" s="21">
        <v>6436</v>
      </c>
      <c r="AD10673" s="21" t="s">
        <v>368</v>
      </c>
      <c r="AE10673" t="str">
        <f>VLOOKUP(Table_Query_from_Actuarial___Production3[[#This Row],[Kor1]],$AI$3:$AK$105,3,FALSE)</f>
        <v>Premiums Written</v>
      </c>
      <c r="AF1067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4" spans="18:32" x14ac:dyDescent="0.2">
      <c r="R10674" t="s">
        <v>3</v>
      </c>
      <c r="S10674" t="s">
        <v>252</v>
      </c>
      <c r="T10674" t="s">
        <v>427</v>
      </c>
      <c r="U10674" s="21">
        <v>32165817</v>
      </c>
      <c r="V10674" s="21" t="s">
        <v>368</v>
      </c>
      <c r="W10674" t="str">
        <f>VLOOKUP(Table_Query_from_Actuarial___Production[[#This Row],[Kor1]],$AI$3:$AK$105,3,FALSE)</f>
        <v>Premiums Written</v>
      </c>
      <c r="X1067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4"/>
      <c r="Z10674" t="s">
        <v>13</v>
      </c>
      <c r="AA10674" t="s">
        <v>259</v>
      </c>
      <c r="AB10674" t="s">
        <v>5</v>
      </c>
      <c r="AC10674" s="21">
        <v>32364.33</v>
      </c>
      <c r="AD10674" s="21" t="s">
        <v>368</v>
      </c>
      <c r="AE10674" t="str">
        <f>VLOOKUP(Table_Query_from_Actuarial___Production3[[#This Row],[Kor1]],$AI$3:$AK$105,3,FALSE)</f>
        <v>Operating Service Fees</v>
      </c>
      <c r="AF1067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5" spans="18:32" x14ac:dyDescent="0.2">
      <c r="R10675" t="s">
        <v>10</v>
      </c>
      <c r="S10675" t="s">
        <v>233</v>
      </c>
      <c r="T10675" t="s">
        <v>433</v>
      </c>
      <c r="U10675" s="21">
        <v>69645.42</v>
      </c>
      <c r="V10675" s="21" t="s">
        <v>368</v>
      </c>
      <c r="W10675" t="str">
        <f>VLOOKUP(Table_Query_from_Actuarial___Production[[#This Row],[Kor1]],$AI$3:$AK$105,3,FALSE)</f>
        <v>Commissions</v>
      </c>
      <c r="X10675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5"/>
      <c r="Z10675" t="s">
        <v>39</v>
      </c>
      <c r="AA10675" t="s">
        <v>268</v>
      </c>
      <c r="AB10675" t="s">
        <v>9</v>
      </c>
      <c r="AC10675" s="21">
        <v>473</v>
      </c>
      <c r="AD10675" s="21" t="s">
        <v>368</v>
      </c>
      <c r="AE10675" t="str">
        <f>VLOOKUP(Table_Query_from_Actuarial___Production3[[#This Row],[Kor1]],$AI$3:$AK$105,3,FALSE)</f>
        <v>Misc. Income for Insolvent Companies</v>
      </c>
      <c r="AF1067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6" spans="18:32" x14ac:dyDescent="0.2">
      <c r="R10676" t="s">
        <v>14</v>
      </c>
      <c r="S10676" t="s">
        <v>261</v>
      </c>
      <c r="T10676" t="s">
        <v>356</v>
      </c>
      <c r="U10676" s="21">
        <v>58493.02</v>
      </c>
      <c r="V10676" s="21" t="s">
        <v>368</v>
      </c>
      <c r="W10676" t="str">
        <f>VLOOKUP(Table_Query_from_Actuarial___Production[[#This Row],[Kor1]],$AI$3:$AK$105,3,FALSE)</f>
        <v>Claims Expense</v>
      </c>
      <c r="X10676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6"/>
      <c r="Z10676" t="s">
        <v>38</v>
      </c>
      <c r="AA10676" t="s">
        <v>224</v>
      </c>
      <c r="AB10676" t="s">
        <v>7</v>
      </c>
      <c r="AC10676" s="21">
        <v>133793.64000000001</v>
      </c>
      <c r="AD10676" s="21" t="s">
        <v>368</v>
      </c>
      <c r="AE10676" t="str">
        <f>VLOOKUP(Table_Query_from_Actuarial___Production3[[#This Row],[Kor1]],$AI$3:$AK$105,3,FALSE)</f>
        <v>Misc. Income</v>
      </c>
      <c r="AF1067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Hawaii Commercial</v>
      </c>
    </row>
    <row r="10677" spans="18:32" x14ac:dyDescent="0.2">
      <c r="R10677" t="s">
        <v>14</v>
      </c>
      <c r="S10677" t="s">
        <v>242</v>
      </c>
      <c r="T10677" t="s">
        <v>8</v>
      </c>
      <c r="U10677" s="21">
        <v>38980.089999999997</v>
      </c>
      <c r="V10677" s="21" t="s">
        <v>368</v>
      </c>
      <c r="W10677" t="str">
        <f>VLOOKUP(Table_Query_from_Actuarial___Production[[#This Row],[Kor1]],$AI$3:$AK$105,3,FALSE)</f>
        <v>Claims Expense</v>
      </c>
      <c r="X10677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7"/>
      <c r="Z10677" t="s">
        <v>10</v>
      </c>
      <c r="AA10677" t="s">
        <v>232</v>
      </c>
      <c r="AB10677" t="s">
        <v>8</v>
      </c>
      <c r="AC10677" s="21">
        <v>64947.13</v>
      </c>
      <c r="AD10677" s="21" t="s">
        <v>368</v>
      </c>
      <c r="AE10677" t="str">
        <f>VLOOKUP(Table_Query_from_Actuarial___Production3[[#This Row],[Kor1]],$AI$3:$AK$105,3,FALSE)</f>
        <v>Commissions</v>
      </c>
      <c r="AF1067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8" spans="18:32" x14ac:dyDescent="0.2">
      <c r="R10678" t="s">
        <v>40</v>
      </c>
      <c r="S10678" t="s">
        <v>235</v>
      </c>
      <c r="T10678" t="s">
        <v>351</v>
      </c>
      <c r="U10678" s="21">
        <v>11</v>
      </c>
      <c r="V10678" s="21" t="s">
        <v>368</v>
      </c>
      <c r="W10678" t="str">
        <f>VLOOKUP(Table_Query_from_Actuarial___Production[[#This Row],[Kor1]],$AI$3:$AK$105,3,FALSE)</f>
        <v>Misc. Income</v>
      </c>
      <c r="X10678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8"/>
      <c r="Z10678" t="s">
        <v>37</v>
      </c>
      <c r="AA10678" t="s">
        <v>237</v>
      </c>
      <c r="AB10678" t="s">
        <v>351</v>
      </c>
      <c r="AC10678" s="21">
        <v>26220.12</v>
      </c>
      <c r="AD10678" s="21" t="s">
        <v>368</v>
      </c>
      <c r="AE10678" t="str">
        <f>VLOOKUP(Table_Query_from_Actuarial___Production3[[#This Row],[Kor1]],$AI$3:$AK$105,3,FALSE)</f>
        <v>Misc. Expense</v>
      </c>
      <c r="AF1067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79" spans="18:32" x14ac:dyDescent="0.2">
      <c r="R10679" t="s">
        <v>14</v>
      </c>
      <c r="S10679" t="s">
        <v>262</v>
      </c>
      <c r="T10679" t="s">
        <v>441</v>
      </c>
      <c r="U10679" s="21">
        <v>34099.06</v>
      </c>
      <c r="V10679" s="21" t="s">
        <v>368</v>
      </c>
      <c r="W10679" t="str">
        <f>VLOOKUP(Table_Query_from_Actuarial___Production[[#This Row],[Kor1]],$AI$3:$AK$105,3,FALSE)</f>
        <v>Claims Expense</v>
      </c>
      <c r="X10679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79"/>
      <c r="Z10679" t="s">
        <v>37</v>
      </c>
      <c r="AA10679" t="s">
        <v>249</v>
      </c>
      <c r="AB10679" t="s">
        <v>351</v>
      </c>
      <c r="AC10679" s="21">
        <v>380.7</v>
      </c>
      <c r="AD10679" s="21" t="s">
        <v>368</v>
      </c>
      <c r="AE10679" t="str">
        <f>VLOOKUP(Table_Query_from_Actuarial___Production3[[#This Row],[Kor1]],$AI$3:$AK$105,3,FALSE)</f>
        <v>Misc. Expense</v>
      </c>
      <c r="AF1067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0" spans="18:32" x14ac:dyDescent="0.2">
      <c r="R10680" t="s">
        <v>33</v>
      </c>
      <c r="S10680" t="s">
        <v>243</v>
      </c>
      <c r="T10680" t="s">
        <v>351</v>
      </c>
      <c r="U10680" s="21">
        <v>15981.98</v>
      </c>
      <c r="V10680" s="21" t="s">
        <v>368</v>
      </c>
      <c r="W10680" t="str">
        <f>VLOOKUP(Table_Query_from_Actuarial___Production[[#This Row],[Kor1]],$AI$3:$AK$105,3,FALSE)</f>
        <v>Misc. Expense</v>
      </c>
      <c r="X10680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0"/>
      <c r="Z10680" t="s">
        <v>47</v>
      </c>
      <c r="AA10680" t="s">
        <v>248</v>
      </c>
      <c r="AB10680" t="s">
        <v>442</v>
      </c>
      <c r="AC10680" s="21">
        <v>1945.13</v>
      </c>
      <c r="AD10680" s="21" t="s">
        <v>368</v>
      </c>
      <c r="AE10680" t="str">
        <f>VLOOKUP(Table_Query_from_Actuarial___Production3[[#This Row],[Kor1]],$AI$3:$AK$105,3,FALSE)</f>
        <v>Investment Income</v>
      </c>
      <c r="AF1068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1" spans="18:32" x14ac:dyDescent="0.2">
      <c r="R10681" t="s">
        <v>31</v>
      </c>
      <c r="S10681" t="s">
        <v>248</v>
      </c>
      <c r="T10681" t="s">
        <v>445</v>
      </c>
      <c r="U10681" s="21">
        <v>535.1</v>
      </c>
      <c r="V10681" s="21" t="s">
        <v>368</v>
      </c>
      <c r="W10681" t="str">
        <f>VLOOKUP(Table_Query_from_Actuarial___Production[[#This Row],[Kor1]],$AI$3:$AK$105,3,FALSE)</f>
        <v>Misc. Expense</v>
      </c>
      <c r="X10681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1"/>
      <c r="Z10681" t="s">
        <v>49</v>
      </c>
      <c r="AA10681" t="s">
        <v>225</v>
      </c>
      <c r="AB10681" t="s">
        <v>443</v>
      </c>
      <c r="AC10681" s="21">
        <v>428</v>
      </c>
      <c r="AD10681" s="21" t="s">
        <v>368</v>
      </c>
      <c r="AE10681" t="str">
        <f>VLOOKUP(Table_Query_from_Actuarial___Production3[[#This Row],[Kor1]],$AI$3:$AK$105,3,FALSE)</f>
        <v>ALAE Paid</v>
      </c>
      <c r="AF1068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Florida Commercial</v>
      </c>
    </row>
    <row r="10682" spans="18:32" x14ac:dyDescent="0.2">
      <c r="R10682" t="s">
        <v>44</v>
      </c>
      <c r="S10682" t="s">
        <v>249</v>
      </c>
      <c r="T10682" t="s">
        <v>351</v>
      </c>
      <c r="U10682" s="21">
        <v>158043.4</v>
      </c>
      <c r="V10682" s="21" t="s">
        <v>368</v>
      </c>
      <c r="W10682" t="str">
        <f>VLOOKUP(Table_Query_from_Actuarial___Production[[#This Row],[Kor1]],$AI$3:$AK$105,3,FALSE)</f>
        <v>Charge-offs</v>
      </c>
      <c r="X10682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2"/>
      <c r="Z10682" t="s">
        <v>11</v>
      </c>
      <c r="AA10682" t="s">
        <v>4</v>
      </c>
      <c r="AB10682" t="s">
        <v>5</v>
      </c>
      <c r="AC10682" s="21">
        <v>3225591.46</v>
      </c>
      <c r="AD10682" s="21" t="s">
        <v>368</v>
      </c>
      <c r="AE10682" t="str">
        <f>VLOOKUP(Table_Query_from_Actuarial___Production3[[#This Row],[Kor1]],$AI$3:$AK$105,3,FALSE)</f>
        <v>Losses Paid</v>
      </c>
      <c r="AF1068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3" spans="18:32" x14ac:dyDescent="0.2">
      <c r="R10683" t="s">
        <v>24</v>
      </c>
      <c r="S10683" t="s">
        <v>259</v>
      </c>
      <c r="T10683" t="s">
        <v>356</v>
      </c>
      <c r="U10683" s="21">
        <v>66.41</v>
      </c>
      <c r="V10683" s="21" t="s">
        <v>368</v>
      </c>
      <c r="W10683" t="str">
        <f>VLOOKUP(Table_Query_from_Actuarial___Production[[#This Row],[Kor1]],$AI$3:$AK$105,3,FALSE)</f>
        <v>Misc. Expense</v>
      </c>
      <c r="X10683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3"/>
      <c r="Z10683" t="s">
        <v>36</v>
      </c>
      <c r="AA10683" t="s">
        <v>235</v>
      </c>
      <c r="AB10683" t="s">
        <v>356</v>
      </c>
      <c r="AC10683" s="21">
        <v>59.99</v>
      </c>
      <c r="AD10683" s="21" t="s">
        <v>368</v>
      </c>
      <c r="AE10683" t="str">
        <f>VLOOKUP(Table_Query_from_Actuarial___Production3[[#This Row],[Kor1]],$AI$3:$AK$105,3,FALSE)</f>
        <v>Misc. Expense</v>
      </c>
      <c r="AF1068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4" spans="18:32" x14ac:dyDescent="0.2">
      <c r="R10684" t="s">
        <v>40</v>
      </c>
      <c r="S10684" t="s">
        <v>263</v>
      </c>
      <c r="T10684" t="s">
        <v>427</v>
      </c>
      <c r="U10684" s="21">
        <v>10</v>
      </c>
      <c r="V10684" s="21" t="s">
        <v>368</v>
      </c>
      <c r="W10684" t="str">
        <f>VLOOKUP(Table_Query_from_Actuarial___Production[[#This Row],[Kor1]],$AI$3:$AK$105,3,FALSE)</f>
        <v>Misc. Income</v>
      </c>
      <c r="X10684" t="str">
        <f>IF(AND($F$1="Countrywide CAIP/CAP/SRDP",OR(RIGHT(Table_Query_from_Actuarial___Production[[#This Row],[State]],2)="04",RIGHT(Table_Query_from_Actuarial___Production[[#This Row],[State]],2)="01")),"Countrywide CAIP/CAP/SRDP",VLOOKUP(Table_Query_from_Actuarial___Production[[#This Row],[State]],$AM$3:$AN$53,2,FALSE)&amp;IF(Table_Query_from_Actuarial___Production[[#This Row],[Class]]="3"," Commercial",IF(Table_Query_from_Actuarial___Production[[#This Row],[Class]]="2"," CPAI"," Private Passenger")))</f>
        <v>Countrywide CAIP/CAP/SRDP</v>
      </c>
      <c r="Y10684"/>
      <c r="Z10684" t="s">
        <v>50</v>
      </c>
      <c r="AA10684" t="s">
        <v>232</v>
      </c>
      <c r="AB10684" t="s">
        <v>356</v>
      </c>
      <c r="AC10684" s="21">
        <v>11339.74</v>
      </c>
      <c r="AD10684" s="21" t="s">
        <v>368</v>
      </c>
      <c r="AE10684" t="str">
        <f>VLOOKUP(Table_Query_from_Actuarial___Production3[[#This Row],[Kor1]],$AI$3:$AK$105,3,FALSE)</f>
        <v>ALAE Reserve</v>
      </c>
      <c r="AF1068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5" spans="18:32" x14ac:dyDescent="0.2">
      <c r="Y10685"/>
      <c r="Z10685" t="s">
        <v>50</v>
      </c>
      <c r="AA10685" t="s">
        <v>265</v>
      </c>
      <c r="AB10685" t="s">
        <v>442</v>
      </c>
      <c r="AC10685" s="21">
        <v>8806.82</v>
      </c>
      <c r="AD10685" s="21" t="s">
        <v>368</v>
      </c>
      <c r="AE10685" t="str">
        <f>VLOOKUP(Table_Query_from_Actuarial___Production3[[#This Row],[Kor1]],$AI$3:$AK$105,3,FALSE)</f>
        <v>ALAE Reserve</v>
      </c>
      <c r="AF1068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6" spans="18:32" x14ac:dyDescent="0.2">
      <c r="Y10686"/>
      <c r="Z10686" t="s">
        <v>47</v>
      </c>
      <c r="AA10686" t="s">
        <v>245</v>
      </c>
      <c r="AB10686" t="s">
        <v>8</v>
      </c>
      <c r="AC10686" s="21">
        <v>0.4</v>
      </c>
      <c r="AD10686" s="21" t="s">
        <v>368</v>
      </c>
      <c r="AE10686" t="str">
        <f>VLOOKUP(Table_Query_from_Actuarial___Production3[[#This Row],[Kor1]],$AI$3:$AK$105,3,FALSE)</f>
        <v>Investment Income</v>
      </c>
      <c r="AF1068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7" spans="18:32" x14ac:dyDescent="0.2">
      <c r="Y10687"/>
      <c r="Z10687" t="s">
        <v>39</v>
      </c>
      <c r="AA10687" t="s">
        <v>250</v>
      </c>
      <c r="AB10687" t="s">
        <v>6</v>
      </c>
      <c r="AC10687" s="21">
        <v>1602</v>
      </c>
      <c r="AD10687" s="21" t="s">
        <v>368</v>
      </c>
      <c r="AE10687" t="str">
        <f>VLOOKUP(Table_Query_from_Actuarial___Production3[[#This Row],[Kor1]],$AI$3:$AK$105,3,FALSE)</f>
        <v>Misc. Income for Insolvent Companies</v>
      </c>
      <c r="AF1068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88" spans="18:32" x14ac:dyDescent="0.2">
      <c r="Y10688"/>
      <c r="Z10688" t="s">
        <v>3</v>
      </c>
      <c r="AA10688" t="s">
        <v>226</v>
      </c>
      <c r="AB10688" t="s">
        <v>427</v>
      </c>
      <c r="AC10688" s="21">
        <v>5024787</v>
      </c>
      <c r="AD10688" s="21" t="s">
        <v>368</v>
      </c>
      <c r="AE10688" t="str">
        <f>VLOOKUP(Table_Query_from_Actuarial___Production3[[#This Row],[Kor1]],$AI$3:$AK$105,3,FALSE)</f>
        <v>Premiums Written</v>
      </c>
      <c r="AF1068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689" spans="25:32" x14ac:dyDescent="0.2">
      <c r="Y10689"/>
      <c r="Z10689" t="s">
        <v>43</v>
      </c>
      <c r="AA10689" t="s">
        <v>226</v>
      </c>
      <c r="AB10689" t="s">
        <v>356</v>
      </c>
      <c r="AC10689" s="21">
        <v>1864.05</v>
      </c>
      <c r="AD10689" s="21" t="s">
        <v>368</v>
      </c>
      <c r="AE10689" t="str">
        <f>VLOOKUP(Table_Query_from_Actuarial___Production3[[#This Row],[Kor1]],$AI$3:$AK$105,3,FALSE)</f>
        <v>Charge-offs</v>
      </c>
      <c r="AF1068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New York PAP Commercial</v>
      </c>
    </row>
    <row r="10690" spans="25:32" x14ac:dyDescent="0.2">
      <c r="Y10690"/>
      <c r="Z10690" t="s">
        <v>3</v>
      </c>
      <c r="AA10690" t="s">
        <v>252</v>
      </c>
      <c r="AB10690" t="s">
        <v>427</v>
      </c>
      <c r="AC10690" s="21">
        <v>32165817</v>
      </c>
      <c r="AD10690" s="21" t="s">
        <v>368</v>
      </c>
      <c r="AE10690" t="str">
        <f>VLOOKUP(Table_Query_from_Actuarial___Production3[[#This Row],[Kor1]],$AI$3:$AK$105,3,FALSE)</f>
        <v>Premiums Written</v>
      </c>
      <c r="AF1069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1" spans="25:32" x14ac:dyDescent="0.2">
      <c r="Y10691"/>
      <c r="Z10691" t="s">
        <v>10</v>
      </c>
      <c r="AA10691" t="s">
        <v>233</v>
      </c>
      <c r="AB10691" t="s">
        <v>433</v>
      </c>
      <c r="AC10691" s="21">
        <v>69645.42</v>
      </c>
      <c r="AD10691" s="21" t="s">
        <v>368</v>
      </c>
      <c r="AE10691" t="str">
        <f>VLOOKUP(Table_Query_from_Actuarial___Production3[[#This Row],[Kor1]],$AI$3:$AK$105,3,FALSE)</f>
        <v>Commissions</v>
      </c>
      <c r="AF1069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2" spans="25:32" x14ac:dyDescent="0.2">
      <c r="Y10692"/>
      <c r="Z10692" t="s">
        <v>14</v>
      </c>
      <c r="AA10692" t="s">
        <v>261</v>
      </c>
      <c r="AB10692" t="s">
        <v>356</v>
      </c>
      <c r="AC10692" s="21">
        <v>58493.02</v>
      </c>
      <c r="AD10692" s="21" t="s">
        <v>368</v>
      </c>
      <c r="AE10692" t="str">
        <f>VLOOKUP(Table_Query_from_Actuarial___Production3[[#This Row],[Kor1]],$AI$3:$AK$105,3,FALSE)</f>
        <v>Claims Expense</v>
      </c>
      <c r="AF1069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3" spans="25:32" x14ac:dyDescent="0.2">
      <c r="Y10693"/>
      <c r="Z10693" t="s">
        <v>14</v>
      </c>
      <c r="AA10693" t="s">
        <v>242</v>
      </c>
      <c r="AB10693" t="s">
        <v>8</v>
      </c>
      <c r="AC10693" s="21">
        <v>38980.089999999997</v>
      </c>
      <c r="AD10693" s="21" t="s">
        <v>368</v>
      </c>
      <c r="AE10693" t="str">
        <f>VLOOKUP(Table_Query_from_Actuarial___Production3[[#This Row],[Kor1]],$AI$3:$AK$105,3,FALSE)</f>
        <v>Claims Expense</v>
      </c>
      <c r="AF10693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4" spans="25:32" x14ac:dyDescent="0.2">
      <c r="Y10694"/>
      <c r="Z10694" t="s">
        <v>17</v>
      </c>
      <c r="AA10694" t="s">
        <v>4</v>
      </c>
      <c r="AB10694" t="s">
        <v>8</v>
      </c>
      <c r="AC10694" s="21">
        <v>2603</v>
      </c>
      <c r="AD10694" s="21" t="s">
        <v>368</v>
      </c>
      <c r="AE10694" t="str">
        <f>VLOOKUP(Table_Query_from_Actuarial___Production3[[#This Row],[Kor1]],$AI$3:$AK$105,3,FALSE)</f>
        <v>IBNR</v>
      </c>
      <c r="AF10694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5" spans="25:32" x14ac:dyDescent="0.2">
      <c r="Y10695"/>
      <c r="Z10695" t="s">
        <v>40</v>
      </c>
      <c r="AA10695" t="s">
        <v>235</v>
      </c>
      <c r="AB10695" t="s">
        <v>351</v>
      </c>
      <c r="AC10695" s="21">
        <v>11</v>
      </c>
      <c r="AD10695" s="21" t="s">
        <v>368</v>
      </c>
      <c r="AE10695" t="str">
        <f>VLOOKUP(Table_Query_from_Actuarial___Production3[[#This Row],[Kor1]],$AI$3:$AK$105,3,FALSE)</f>
        <v>Misc. Income</v>
      </c>
      <c r="AF10695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6" spans="25:32" x14ac:dyDescent="0.2">
      <c r="Y10696"/>
      <c r="Z10696" t="s">
        <v>14</v>
      </c>
      <c r="AA10696" t="s">
        <v>262</v>
      </c>
      <c r="AB10696" t="s">
        <v>441</v>
      </c>
      <c r="AC10696" s="21">
        <v>34099.06</v>
      </c>
      <c r="AD10696" s="21" t="s">
        <v>368</v>
      </c>
      <c r="AE10696" t="str">
        <f>VLOOKUP(Table_Query_from_Actuarial___Production3[[#This Row],[Kor1]],$AI$3:$AK$105,3,FALSE)</f>
        <v>Claims Expense</v>
      </c>
      <c r="AF10696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7" spans="25:32" x14ac:dyDescent="0.2">
      <c r="Y10697"/>
      <c r="Z10697" t="s">
        <v>33</v>
      </c>
      <c r="AA10697" t="s">
        <v>243</v>
      </c>
      <c r="AB10697" t="s">
        <v>351</v>
      </c>
      <c r="AC10697" s="21">
        <v>15981.98</v>
      </c>
      <c r="AD10697" s="21" t="s">
        <v>368</v>
      </c>
      <c r="AE10697" t="str">
        <f>VLOOKUP(Table_Query_from_Actuarial___Production3[[#This Row],[Kor1]],$AI$3:$AK$105,3,FALSE)</f>
        <v>Misc. Expense</v>
      </c>
      <c r="AF10697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8" spans="25:32" x14ac:dyDescent="0.2">
      <c r="Y10698"/>
      <c r="Z10698" t="s">
        <v>17</v>
      </c>
      <c r="AA10698" t="s">
        <v>239</v>
      </c>
      <c r="AB10698" t="s">
        <v>427</v>
      </c>
      <c r="AC10698" s="21">
        <v>141696.42000000001</v>
      </c>
      <c r="AD10698" s="21" t="s">
        <v>368</v>
      </c>
      <c r="AE10698" t="str">
        <f>VLOOKUP(Table_Query_from_Actuarial___Production3[[#This Row],[Kor1]],$AI$3:$AK$105,3,FALSE)</f>
        <v>IBNR</v>
      </c>
      <c r="AF10698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699" spans="25:32" x14ac:dyDescent="0.2">
      <c r="Y10699"/>
      <c r="Z10699" t="s">
        <v>33</v>
      </c>
      <c r="AA10699" t="s">
        <v>258</v>
      </c>
      <c r="AB10699" t="s">
        <v>5</v>
      </c>
      <c r="AC10699" s="21">
        <v>13840.1</v>
      </c>
      <c r="AD10699" s="21" t="s">
        <v>368</v>
      </c>
      <c r="AE10699" t="str">
        <f>VLOOKUP(Table_Query_from_Actuarial___Production3[[#This Row],[Kor1]],$AI$3:$AK$105,3,FALSE)</f>
        <v>Misc. Expense</v>
      </c>
      <c r="AF10699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00" spans="25:32" x14ac:dyDescent="0.2">
      <c r="Y10700"/>
      <c r="Z10700" t="s">
        <v>44</v>
      </c>
      <c r="AA10700" t="s">
        <v>249</v>
      </c>
      <c r="AB10700" t="s">
        <v>351</v>
      </c>
      <c r="AC10700" s="21">
        <v>158043.4</v>
      </c>
      <c r="AD10700" s="21" t="s">
        <v>368</v>
      </c>
      <c r="AE10700" t="str">
        <f>VLOOKUP(Table_Query_from_Actuarial___Production3[[#This Row],[Kor1]],$AI$3:$AK$105,3,FALSE)</f>
        <v>Charge-offs</v>
      </c>
      <c r="AF10700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01" spans="25:32" x14ac:dyDescent="0.2">
      <c r="Y10701"/>
      <c r="Z10701" t="s">
        <v>24</v>
      </c>
      <c r="AA10701" t="s">
        <v>259</v>
      </c>
      <c r="AB10701" t="s">
        <v>356</v>
      </c>
      <c r="AC10701" s="21">
        <v>66.41</v>
      </c>
      <c r="AD10701" s="21" t="s">
        <v>368</v>
      </c>
      <c r="AE10701" t="str">
        <f>VLOOKUP(Table_Query_from_Actuarial___Production3[[#This Row],[Kor1]],$AI$3:$AK$105,3,FALSE)</f>
        <v>Misc. Expense</v>
      </c>
      <c r="AF10701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02" spans="25:32" x14ac:dyDescent="0.2">
      <c r="Y10702"/>
      <c r="Z10702" t="s">
        <v>40</v>
      </c>
      <c r="AA10702" t="s">
        <v>263</v>
      </c>
      <c r="AB10702" t="s">
        <v>427</v>
      </c>
      <c r="AC10702" s="21">
        <v>10</v>
      </c>
      <c r="AD10702" s="21" t="s">
        <v>368</v>
      </c>
      <c r="AE10702" t="str">
        <f>VLOOKUP(Table_Query_from_Actuarial___Production3[[#This Row],[Kor1]],$AI$3:$AK$105,3,FALSE)</f>
        <v>Misc. Income</v>
      </c>
      <c r="AF10702" t="str">
        <f>IF(AND($F$1="Countrywide CAIP/CAP/SRDP",OR(RIGHT(Table_Query_from_Actuarial___Production3[[#This Row],[State]],2)="04",RIGHT(Table_Query_from_Actuarial___Production3[[#This Row],[State]],2)="01")),"Countrywide CAIP/CAP/SRDP",VLOOKUP(Table_Query_from_Actuarial___Production3[[#This Row],[State]],$AM$3:$AN$53,2,FALSE)&amp;IF(Table_Query_from_Actuarial___Production3[[#This Row],[Class]]="3"," Commercial",IF(Table_Query_from_Actuarial___Production3[[#This Row],[Class]]="2"," CPAI"," Private Passenger")))</f>
        <v>Countrywide CAIP/CAP/SRDP</v>
      </c>
    </row>
    <row r="10703" spans="25:32" x14ac:dyDescent="0.2">
      <c r="Y10703"/>
    </row>
    <row r="10704" spans="25:32" x14ac:dyDescent="0.2">
      <c r="Y10704"/>
    </row>
    <row r="10705" spans="25:25" x14ac:dyDescent="0.2">
      <c r="Y10705"/>
    </row>
    <row r="10706" spans="25:25" x14ac:dyDescent="0.2">
      <c r="Y10706"/>
    </row>
    <row r="10707" spans="25:25" x14ac:dyDescent="0.2">
      <c r="Y10707"/>
    </row>
    <row r="10708" spans="25:25" x14ac:dyDescent="0.2">
      <c r="Y10708"/>
    </row>
    <row r="10709" spans="25:25" x14ac:dyDescent="0.2">
      <c r="Y10709"/>
    </row>
    <row r="10710" spans="25:25" x14ac:dyDescent="0.2">
      <c r="Y10710"/>
    </row>
    <row r="10711" spans="25:25" x14ac:dyDescent="0.2">
      <c r="Y10711"/>
    </row>
    <row r="10712" spans="25:25" x14ac:dyDescent="0.2">
      <c r="Y10712"/>
    </row>
    <row r="10713" spans="25:25" x14ac:dyDescent="0.2">
      <c r="Y10713"/>
    </row>
    <row r="10714" spans="25:25" x14ac:dyDescent="0.2">
      <c r="Y10714"/>
    </row>
    <row r="10715" spans="25:25" x14ac:dyDescent="0.2">
      <c r="Y10715"/>
    </row>
    <row r="10716" spans="25:25" x14ac:dyDescent="0.2">
      <c r="Y10716"/>
    </row>
    <row r="10717" spans="25:25" x14ac:dyDescent="0.2">
      <c r="Y10717"/>
    </row>
    <row r="10718" spans="25:25" x14ac:dyDescent="0.2">
      <c r="Y10718"/>
    </row>
    <row r="10719" spans="25:25" x14ac:dyDescent="0.2">
      <c r="Y10719"/>
    </row>
    <row r="10720" spans="25:25" x14ac:dyDescent="0.2">
      <c r="Y10720"/>
    </row>
    <row r="10721" spans="25:25" x14ac:dyDescent="0.2">
      <c r="Y10721"/>
    </row>
    <row r="10722" spans="25:25" x14ac:dyDescent="0.2">
      <c r="Y10722"/>
    </row>
    <row r="10723" spans="25:25" x14ac:dyDescent="0.2">
      <c r="Y10723"/>
    </row>
    <row r="10724" spans="25:25" x14ac:dyDescent="0.2">
      <c r="Y10724"/>
    </row>
    <row r="10725" spans="25:25" x14ac:dyDescent="0.2">
      <c r="Y10725"/>
    </row>
    <row r="10726" spans="25:25" x14ac:dyDescent="0.2">
      <c r="Y10726"/>
    </row>
    <row r="10727" spans="25:25" x14ac:dyDescent="0.2">
      <c r="Y10727"/>
    </row>
    <row r="10728" spans="25:25" x14ac:dyDescent="0.2">
      <c r="Y10728"/>
    </row>
    <row r="10729" spans="25:25" x14ac:dyDescent="0.2">
      <c r="Y10729"/>
    </row>
    <row r="10730" spans="25:25" x14ac:dyDescent="0.2">
      <c r="Y10730"/>
    </row>
    <row r="10731" spans="25:25" x14ac:dyDescent="0.2">
      <c r="Y10731"/>
    </row>
    <row r="10732" spans="25:25" x14ac:dyDescent="0.2">
      <c r="Y10732"/>
    </row>
    <row r="10733" spans="25:25" x14ac:dyDescent="0.2">
      <c r="Y10733"/>
    </row>
    <row r="10734" spans="25:25" x14ac:dyDescent="0.2">
      <c r="Y10734"/>
    </row>
    <row r="10735" spans="25:25" x14ac:dyDescent="0.2">
      <c r="Y10735"/>
    </row>
    <row r="10736" spans="25:25" x14ac:dyDescent="0.2">
      <c r="Y10736"/>
    </row>
    <row r="10737" spans="25:25" x14ac:dyDescent="0.2">
      <c r="Y10737"/>
    </row>
    <row r="10738" spans="25:25" x14ac:dyDescent="0.2">
      <c r="Y10738"/>
    </row>
    <row r="10739" spans="25:25" x14ac:dyDescent="0.2">
      <c r="Y10739"/>
    </row>
    <row r="10740" spans="25:25" x14ac:dyDescent="0.2">
      <c r="Y10740"/>
    </row>
    <row r="10741" spans="25:25" x14ac:dyDescent="0.2">
      <c r="Y10741"/>
    </row>
    <row r="10742" spans="25:25" x14ac:dyDescent="0.2">
      <c r="Y10742"/>
    </row>
    <row r="10743" spans="25:25" x14ac:dyDescent="0.2">
      <c r="Y10743"/>
    </row>
    <row r="10744" spans="25:25" x14ac:dyDescent="0.2">
      <c r="Y10744"/>
    </row>
    <row r="10745" spans="25:25" x14ac:dyDescent="0.2">
      <c r="Y10745"/>
    </row>
    <row r="10746" spans="25:25" x14ac:dyDescent="0.2">
      <c r="Y10746"/>
    </row>
    <row r="10747" spans="25:25" x14ac:dyDescent="0.2">
      <c r="Y10747"/>
    </row>
    <row r="10748" spans="25:25" x14ac:dyDescent="0.2">
      <c r="Y10748"/>
    </row>
    <row r="10749" spans="25:25" x14ac:dyDescent="0.2">
      <c r="Y10749"/>
    </row>
    <row r="10750" spans="25:25" x14ac:dyDescent="0.2">
      <c r="Y10750"/>
    </row>
    <row r="10751" spans="25:25" x14ac:dyDescent="0.2">
      <c r="Y10751"/>
    </row>
    <row r="10752" spans="25:25" x14ac:dyDescent="0.2">
      <c r="Y10752"/>
    </row>
    <row r="10753" spans="25:25" x14ac:dyDescent="0.2">
      <c r="Y10753"/>
    </row>
    <row r="10754" spans="25:25" x14ac:dyDescent="0.2">
      <c r="Y10754"/>
    </row>
    <row r="10755" spans="25:25" x14ac:dyDescent="0.2">
      <c r="Y10755"/>
    </row>
    <row r="10756" spans="25:25" x14ac:dyDescent="0.2">
      <c r="Y10756"/>
    </row>
    <row r="10757" spans="25:25" x14ac:dyDescent="0.2">
      <c r="Y10757"/>
    </row>
    <row r="10758" spans="25:25" x14ac:dyDescent="0.2">
      <c r="Y10758"/>
    </row>
    <row r="10759" spans="25:25" x14ac:dyDescent="0.2">
      <c r="Y10759"/>
    </row>
    <row r="10760" spans="25:25" x14ac:dyDescent="0.2">
      <c r="Y10760"/>
    </row>
    <row r="10761" spans="25:25" x14ac:dyDescent="0.2">
      <c r="Y10761"/>
    </row>
    <row r="10762" spans="25:25" x14ac:dyDescent="0.2">
      <c r="Y10762"/>
    </row>
    <row r="10763" spans="25:25" x14ac:dyDescent="0.2">
      <c r="Y10763"/>
    </row>
    <row r="10764" spans="25:25" x14ac:dyDescent="0.2">
      <c r="Y10764"/>
    </row>
    <row r="10765" spans="25:25" x14ac:dyDescent="0.2">
      <c r="Y10765"/>
    </row>
    <row r="10766" spans="25:25" x14ac:dyDescent="0.2">
      <c r="Y10766"/>
    </row>
    <row r="10767" spans="25:25" x14ac:dyDescent="0.2">
      <c r="Y10767"/>
    </row>
    <row r="10768" spans="25:25" x14ac:dyDescent="0.2">
      <c r="Y10768"/>
    </row>
    <row r="10769" spans="25:25" x14ac:dyDescent="0.2">
      <c r="Y10769"/>
    </row>
    <row r="10770" spans="25:25" x14ac:dyDescent="0.2">
      <c r="Y10770"/>
    </row>
    <row r="10771" spans="25:25" x14ac:dyDescent="0.2">
      <c r="Y10771"/>
    </row>
    <row r="10772" spans="25:25" x14ac:dyDescent="0.2">
      <c r="Y10772"/>
    </row>
    <row r="10773" spans="25:25" x14ac:dyDescent="0.2">
      <c r="Y10773"/>
    </row>
    <row r="10774" spans="25:25" x14ac:dyDescent="0.2">
      <c r="Y10774"/>
    </row>
    <row r="10775" spans="25:25" x14ac:dyDescent="0.2">
      <c r="Y10775"/>
    </row>
    <row r="10776" spans="25:25" x14ac:dyDescent="0.2">
      <c r="Y10776"/>
    </row>
    <row r="10777" spans="25:25" x14ac:dyDescent="0.2">
      <c r="Y10777"/>
    </row>
    <row r="10778" spans="25:25" x14ac:dyDescent="0.2">
      <c r="Y10778"/>
    </row>
    <row r="10779" spans="25:25" x14ac:dyDescent="0.2">
      <c r="Y10779"/>
    </row>
    <row r="10780" spans="25:25" x14ac:dyDescent="0.2">
      <c r="Y10780"/>
    </row>
    <row r="10781" spans="25:25" x14ac:dyDescent="0.2">
      <c r="Y10781"/>
    </row>
    <row r="10782" spans="25:25" x14ac:dyDescent="0.2">
      <c r="Y10782"/>
    </row>
    <row r="10783" spans="25:25" x14ac:dyDescent="0.2">
      <c r="Y10783"/>
    </row>
    <row r="10784" spans="25:25" x14ac:dyDescent="0.2">
      <c r="Y10784"/>
    </row>
    <row r="10785" spans="25:25" x14ac:dyDescent="0.2">
      <c r="Y10785"/>
    </row>
    <row r="10786" spans="25:25" x14ac:dyDescent="0.2">
      <c r="Y10786"/>
    </row>
    <row r="10787" spans="25:25" x14ac:dyDescent="0.2">
      <c r="Y10787"/>
    </row>
    <row r="10788" spans="25:25" x14ac:dyDescent="0.2">
      <c r="Y10788"/>
    </row>
    <row r="10789" spans="25:25" x14ac:dyDescent="0.2">
      <c r="Y10789"/>
    </row>
    <row r="10790" spans="25:25" x14ac:dyDescent="0.2">
      <c r="Y10790"/>
    </row>
    <row r="10791" spans="25:25" x14ac:dyDescent="0.2">
      <c r="Y10791"/>
    </row>
    <row r="10792" spans="25:25" x14ac:dyDescent="0.2">
      <c r="Y10792"/>
    </row>
    <row r="10793" spans="25:25" x14ac:dyDescent="0.2">
      <c r="Y10793"/>
    </row>
    <row r="10794" spans="25:25" x14ac:dyDescent="0.2">
      <c r="Y10794"/>
    </row>
    <row r="10795" spans="25:25" x14ac:dyDescent="0.2">
      <c r="Y10795"/>
    </row>
    <row r="10796" spans="25:25" x14ac:dyDescent="0.2">
      <c r="Y10796"/>
    </row>
    <row r="10797" spans="25:25" x14ac:dyDescent="0.2">
      <c r="Y10797"/>
    </row>
    <row r="10798" spans="25:25" x14ac:dyDescent="0.2">
      <c r="Y10798"/>
    </row>
    <row r="10799" spans="25:25" x14ac:dyDescent="0.2">
      <c r="Y10799"/>
    </row>
    <row r="10800" spans="25:25" x14ac:dyDescent="0.2">
      <c r="Y10800"/>
    </row>
    <row r="10801" spans="25:25" x14ac:dyDescent="0.2">
      <c r="Y10801"/>
    </row>
    <row r="10802" spans="25:25" x14ac:dyDescent="0.2">
      <c r="Y10802"/>
    </row>
    <row r="10803" spans="25:25" x14ac:dyDescent="0.2">
      <c r="Y10803"/>
    </row>
    <row r="10804" spans="25:25" x14ac:dyDescent="0.2">
      <c r="Y10804"/>
    </row>
    <row r="10805" spans="25:25" x14ac:dyDescent="0.2">
      <c r="Y10805"/>
    </row>
    <row r="10806" spans="25:25" x14ac:dyDescent="0.2">
      <c r="Y10806"/>
    </row>
    <row r="10807" spans="25:25" x14ac:dyDescent="0.2">
      <c r="Y10807"/>
    </row>
    <row r="10808" spans="25:25" x14ac:dyDescent="0.2">
      <c r="Y10808"/>
    </row>
    <row r="10809" spans="25:25" x14ac:dyDescent="0.2">
      <c r="Y10809"/>
    </row>
    <row r="10810" spans="25:25" x14ac:dyDescent="0.2">
      <c r="Y10810"/>
    </row>
    <row r="10811" spans="25:25" x14ac:dyDescent="0.2">
      <c r="Y10811"/>
    </row>
    <row r="10812" spans="25:25" x14ac:dyDescent="0.2">
      <c r="Y10812"/>
    </row>
    <row r="10813" spans="25:25" x14ac:dyDescent="0.2">
      <c r="Y10813"/>
    </row>
    <row r="10814" spans="25:25" x14ac:dyDescent="0.2">
      <c r="Y10814"/>
    </row>
    <row r="10815" spans="25:25" x14ac:dyDescent="0.2">
      <c r="Y10815"/>
    </row>
    <row r="10816" spans="25:25" x14ac:dyDescent="0.2">
      <c r="Y10816"/>
    </row>
    <row r="10817" spans="25:25" x14ac:dyDescent="0.2">
      <c r="Y10817"/>
    </row>
    <row r="10818" spans="25:25" x14ac:dyDescent="0.2">
      <c r="Y10818"/>
    </row>
    <row r="10819" spans="25:25" x14ac:dyDescent="0.2">
      <c r="Y10819"/>
    </row>
    <row r="10820" spans="25:25" x14ac:dyDescent="0.2">
      <c r="Y10820"/>
    </row>
    <row r="10821" spans="25:25" x14ac:dyDescent="0.2">
      <c r="Y10821"/>
    </row>
    <row r="10822" spans="25:25" x14ac:dyDescent="0.2">
      <c r="Y10822"/>
    </row>
    <row r="10823" spans="25:25" x14ac:dyDescent="0.2">
      <c r="Y10823"/>
    </row>
    <row r="10824" spans="25:25" x14ac:dyDescent="0.2">
      <c r="Y10824"/>
    </row>
    <row r="10825" spans="25:25" x14ac:dyDescent="0.2">
      <c r="Y10825"/>
    </row>
    <row r="10826" spans="25:25" x14ac:dyDescent="0.2">
      <c r="Y10826"/>
    </row>
    <row r="10827" spans="25:25" x14ac:dyDescent="0.2">
      <c r="Y10827"/>
    </row>
    <row r="10828" spans="25:25" x14ac:dyDescent="0.2">
      <c r="Y10828"/>
    </row>
    <row r="10829" spans="25:25" x14ac:dyDescent="0.2">
      <c r="Y10829"/>
    </row>
    <row r="10830" spans="25:25" x14ac:dyDescent="0.2">
      <c r="Y10830"/>
    </row>
    <row r="10831" spans="25:25" x14ac:dyDescent="0.2">
      <c r="Y10831"/>
    </row>
    <row r="10832" spans="25:25" x14ac:dyDescent="0.2">
      <c r="Y10832"/>
    </row>
    <row r="10833" spans="25:25" x14ac:dyDescent="0.2">
      <c r="Y10833"/>
    </row>
    <row r="10834" spans="25:25" x14ac:dyDescent="0.2">
      <c r="Y10834"/>
    </row>
    <row r="10835" spans="25:25" x14ac:dyDescent="0.2">
      <c r="Y10835"/>
    </row>
    <row r="10836" spans="25:25" x14ac:dyDescent="0.2">
      <c r="Y10836"/>
    </row>
    <row r="10837" spans="25:25" x14ac:dyDescent="0.2">
      <c r="Y10837"/>
    </row>
    <row r="10838" spans="25:25" x14ac:dyDescent="0.2">
      <c r="Y10838"/>
    </row>
    <row r="10839" spans="25:25" x14ac:dyDescent="0.2">
      <c r="Y10839"/>
    </row>
    <row r="10840" spans="25:25" x14ac:dyDescent="0.2">
      <c r="Y10840"/>
    </row>
    <row r="10841" spans="25:25" x14ac:dyDescent="0.2">
      <c r="Y10841"/>
    </row>
    <row r="10842" spans="25:25" x14ac:dyDescent="0.2">
      <c r="Y10842"/>
    </row>
    <row r="10843" spans="25:25" x14ac:dyDescent="0.2">
      <c r="Y10843"/>
    </row>
    <row r="10844" spans="25:25" x14ac:dyDescent="0.2">
      <c r="Y10844"/>
    </row>
    <row r="10845" spans="25:25" x14ac:dyDescent="0.2">
      <c r="Y10845"/>
    </row>
    <row r="10846" spans="25:25" x14ac:dyDescent="0.2">
      <c r="Y10846"/>
    </row>
    <row r="10847" spans="25:25" x14ac:dyDescent="0.2">
      <c r="Y10847"/>
    </row>
    <row r="10848" spans="25:25" x14ac:dyDescent="0.2">
      <c r="Y10848"/>
    </row>
    <row r="10849" spans="25:25" x14ac:dyDescent="0.2">
      <c r="Y10849"/>
    </row>
    <row r="10850" spans="25:25" x14ac:dyDescent="0.2">
      <c r="Y10850"/>
    </row>
    <row r="10851" spans="25:25" x14ac:dyDescent="0.2">
      <c r="Y10851"/>
    </row>
    <row r="10852" spans="25:25" x14ac:dyDescent="0.2">
      <c r="Y10852"/>
    </row>
    <row r="10853" spans="25:25" x14ac:dyDescent="0.2">
      <c r="Y10853"/>
    </row>
    <row r="10854" spans="25:25" x14ac:dyDescent="0.2">
      <c r="Y10854"/>
    </row>
    <row r="10855" spans="25:25" x14ac:dyDescent="0.2">
      <c r="Y10855"/>
    </row>
    <row r="10856" spans="25:25" x14ac:dyDescent="0.2">
      <c r="Y10856"/>
    </row>
    <row r="10857" spans="25:25" x14ac:dyDescent="0.2">
      <c r="Y10857"/>
    </row>
    <row r="10858" spans="25:25" x14ac:dyDescent="0.2">
      <c r="Y10858"/>
    </row>
    <row r="10859" spans="25:25" x14ac:dyDescent="0.2">
      <c r="Y10859"/>
    </row>
    <row r="10860" spans="25:25" x14ac:dyDescent="0.2">
      <c r="Y10860"/>
    </row>
    <row r="10861" spans="25:25" x14ac:dyDescent="0.2">
      <c r="Y10861"/>
    </row>
    <row r="10862" spans="25:25" x14ac:dyDescent="0.2">
      <c r="Y10862"/>
    </row>
    <row r="10863" spans="25:25" x14ac:dyDescent="0.2">
      <c r="Y10863"/>
    </row>
    <row r="10864" spans="25:25" x14ac:dyDescent="0.2">
      <c r="Y10864"/>
    </row>
    <row r="10865" spans="25:25" x14ac:dyDescent="0.2">
      <c r="Y10865"/>
    </row>
    <row r="10866" spans="25:25" x14ac:dyDescent="0.2">
      <c r="Y10866"/>
    </row>
    <row r="10867" spans="25:25" x14ac:dyDescent="0.2">
      <c r="Y10867"/>
    </row>
    <row r="10868" spans="25:25" x14ac:dyDescent="0.2">
      <c r="Y10868"/>
    </row>
    <row r="10869" spans="25:25" x14ac:dyDescent="0.2">
      <c r="Y10869"/>
    </row>
    <row r="10870" spans="25:25" x14ac:dyDescent="0.2">
      <c r="Y10870"/>
    </row>
    <row r="10871" spans="25:25" x14ac:dyDescent="0.2">
      <c r="Y10871"/>
    </row>
    <row r="10872" spans="25:25" x14ac:dyDescent="0.2">
      <c r="Y10872"/>
    </row>
    <row r="10873" spans="25:25" x14ac:dyDescent="0.2">
      <c r="Y10873"/>
    </row>
    <row r="10874" spans="25:25" x14ac:dyDescent="0.2">
      <c r="Y10874"/>
    </row>
    <row r="10875" spans="25:25" x14ac:dyDescent="0.2">
      <c r="Y10875"/>
    </row>
    <row r="10876" spans="25:25" x14ac:dyDescent="0.2">
      <c r="Y10876"/>
    </row>
    <row r="10877" spans="25:25" x14ac:dyDescent="0.2">
      <c r="Y10877"/>
    </row>
    <row r="10878" spans="25:25" x14ac:dyDescent="0.2">
      <c r="Y10878"/>
    </row>
    <row r="10879" spans="25:25" x14ac:dyDescent="0.2">
      <c r="Y10879"/>
    </row>
    <row r="10880" spans="25:25" x14ac:dyDescent="0.2">
      <c r="Y10880"/>
    </row>
    <row r="10881" spans="25:25" x14ac:dyDescent="0.2">
      <c r="Y10881"/>
    </row>
    <row r="10882" spans="25:25" x14ac:dyDescent="0.2">
      <c r="Y10882"/>
    </row>
    <row r="10883" spans="25:25" x14ac:dyDescent="0.2">
      <c r="Y10883"/>
    </row>
    <row r="10884" spans="25:25" x14ac:dyDescent="0.2">
      <c r="Y10884"/>
    </row>
    <row r="10885" spans="25:25" x14ac:dyDescent="0.2">
      <c r="Y10885"/>
    </row>
    <row r="10886" spans="25:25" x14ac:dyDescent="0.2">
      <c r="Y10886"/>
    </row>
    <row r="10887" spans="25:25" x14ac:dyDescent="0.2">
      <c r="Y10887"/>
    </row>
    <row r="10888" spans="25:25" x14ac:dyDescent="0.2">
      <c r="Y10888"/>
    </row>
    <row r="10889" spans="25:25" x14ac:dyDescent="0.2">
      <c r="Y10889"/>
    </row>
    <row r="10890" spans="25:25" x14ac:dyDescent="0.2">
      <c r="Y10890"/>
    </row>
    <row r="10891" spans="25:25" x14ac:dyDescent="0.2">
      <c r="Y10891"/>
    </row>
    <row r="10892" spans="25:25" x14ac:dyDescent="0.2">
      <c r="Y10892"/>
    </row>
    <row r="10893" spans="25:25" x14ac:dyDescent="0.2">
      <c r="Y10893"/>
    </row>
    <row r="10894" spans="25:25" x14ac:dyDescent="0.2">
      <c r="Y10894"/>
    </row>
    <row r="10895" spans="25:25" x14ac:dyDescent="0.2">
      <c r="Y10895"/>
    </row>
    <row r="10896" spans="25:25" x14ac:dyDescent="0.2">
      <c r="Y10896"/>
    </row>
    <row r="10897" spans="25:25" x14ac:dyDescent="0.2">
      <c r="Y10897"/>
    </row>
    <row r="10898" spans="25:25" x14ac:dyDescent="0.2">
      <c r="Y10898"/>
    </row>
    <row r="10899" spans="25:25" x14ac:dyDescent="0.2">
      <c r="Y10899"/>
    </row>
    <row r="10900" spans="25:25" x14ac:dyDescent="0.2">
      <c r="Y10900"/>
    </row>
    <row r="10901" spans="25:25" x14ac:dyDescent="0.2">
      <c r="Y10901"/>
    </row>
    <row r="10902" spans="25:25" x14ac:dyDescent="0.2">
      <c r="Y10902"/>
    </row>
    <row r="10903" spans="25:25" x14ac:dyDescent="0.2">
      <c r="Y10903"/>
    </row>
    <row r="10904" spans="25:25" x14ac:dyDescent="0.2">
      <c r="Y10904"/>
    </row>
    <row r="10905" spans="25:25" x14ac:dyDescent="0.2">
      <c r="Y10905"/>
    </row>
    <row r="10906" spans="25:25" x14ac:dyDescent="0.2">
      <c r="Y10906"/>
    </row>
    <row r="10907" spans="25:25" x14ac:dyDescent="0.2">
      <c r="Y10907"/>
    </row>
    <row r="10908" spans="25:25" x14ac:dyDescent="0.2">
      <c r="Y10908"/>
    </row>
    <row r="10909" spans="25:25" x14ac:dyDescent="0.2">
      <c r="Y10909"/>
    </row>
    <row r="10910" spans="25:25" x14ac:dyDescent="0.2">
      <c r="Y10910"/>
    </row>
    <row r="10911" spans="25:25" x14ac:dyDescent="0.2">
      <c r="Y10911"/>
    </row>
    <row r="10912" spans="25:25" x14ac:dyDescent="0.2">
      <c r="Y10912"/>
    </row>
    <row r="10913" spans="25:25" x14ac:dyDescent="0.2">
      <c r="Y10913"/>
    </row>
    <row r="10914" spans="25:25" x14ac:dyDescent="0.2">
      <c r="Y10914"/>
    </row>
    <row r="10915" spans="25:25" x14ac:dyDescent="0.2">
      <c r="Y10915"/>
    </row>
    <row r="10916" spans="25:25" x14ac:dyDescent="0.2">
      <c r="Y10916"/>
    </row>
    <row r="10917" spans="25:25" x14ac:dyDescent="0.2">
      <c r="Y10917"/>
    </row>
    <row r="10918" spans="25:25" x14ac:dyDescent="0.2">
      <c r="Y10918"/>
    </row>
    <row r="10919" spans="25:25" x14ac:dyDescent="0.2">
      <c r="Y10919"/>
    </row>
    <row r="10920" spans="25:25" x14ac:dyDescent="0.2">
      <c r="Y10920"/>
    </row>
    <row r="10921" spans="25:25" x14ac:dyDescent="0.2">
      <c r="Y10921"/>
    </row>
    <row r="10922" spans="25:25" x14ac:dyDescent="0.2">
      <c r="Y10922"/>
    </row>
    <row r="10923" spans="25:25" x14ac:dyDescent="0.2">
      <c r="Y10923"/>
    </row>
    <row r="10924" spans="25:25" x14ac:dyDescent="0.2">
      <c r="Y10924"/>
    </row>
    <row r="10925" spans="25:25" x14ac:dyDescent="0.2">
      <c r="Y10925"/>
    </row>
    <row r="10926" spans="25:25" x14ac:dyDescent="0.2">
      <c r="Y10926"/>
    </row>
    <row r="10927" spans="25:25" x14ac:dyDescent="0.2">
      <c r="Y10927"/>
    </row>
    <row r="10928" spans="25:25" x14ac:dyDescent="0.2">
      <c r="Y10928"/>
    </row>
    <row r="10929" spans="25:25" x14ac:dyDescent="0.2">
      <c r="Y10929"/>
    </row>
    <row r="10930" spans="25:25" x14ac:dyDescent="0.2">
      <c r="Y10930"/>
    </row>
    <row r="10931" spans="25:25" x14ac:dyDescent="0.2">
      <c r="Y10931"/>
    </row>
    <row r="10932" spans="25:25" x14ac:dyDescent="0.2">
      <c r="Y10932"/>
    </row>
    <row r="10933" spans="25:25" x14ac:dyDescent="0.2">
      <c r="Y10933"/>
    </row>
    <row r="10934" spans="25:25" x14ac:dyDescent="0.2">
      <c r="Y10934"/>
    </row>
    <row r="10935" spans="25:25" x14ac:dyDescent="0.2">
      <c r="Y10935"/>
    </row>
    <row r="10936" spans="25:25" x14ac:dyDescent="0.2">
      <c r="Y10936"/>
    </row>
    <row r="10937" spans="25:25" x14ac:dyDescent="0.2">
      <c r="Y10937"/>
    </row>
    <row r="10938" spans="25:25" x14ac:dyDescent="0.2">
      <c r="Y10938"/>
    </row>
    <row r="10939" spans="25:25" x14ac:dyDescent="0.2">
      <c r="Y10939"/>
    </row>
    <row r="10940" spans="25:25" x14ac:dyDescent="0.2">
      <c r="Y10940"/>
    </row>
    <row r="10941" spans="25:25" x14ac:dyDescent="0.2">
      <c r="Y10941"/>
    </row>
    <row r="10942" spans="25:25" x14ac:dyDescent="0.2">
      <c r="Y10942"/>
    </row>
    <row r="10943" spans="25:25" x14ac:dyDescent="0.2">
      <c r="Y10943"/>
    </row>
    <row r="10944" spans="25:25" x14ac:dyDescent="0.2">
      <c r="Y10944"/>
    </row>
    <row r="10945" spans="25:25" x14ac:dyDescent="0.2">
      <c r="Y10945"/>
    </row>
    <row r="10946" spans="25:25" x14ac:dyDescent="0.2">
      <c r="Y10946"/>
    </row>
    <row r="10947" spans="25:25" x14ac:dyDescent="0.2">
      <c r="Y10947"/>
    </row>
    <row r="10948" spans="25:25" x14ac:dyDescent="0.2">
      <c r="Y10948"/>
    </row>
    <row r="10949" spans="25:25" x14ac:dyDescent="0.2">
      <c r="Y10949"/>
    </row>
    <row r="10950" spans="25:25" x14ac:dyDescent="0.2">
      <c r="Y10950"/>
    </row>
    <row r="10951" spans="25:25" x14ac:dyDescent="0.2">
      <c r="Y10951"/>
    </row>
    <row r="10952" spans="25:25" x14ac:dyDescent="0.2">
      <c r="Y10952"/>
    </row>
    <row r="10953" spans="25:25" x14ac:dyDescent="0.2">
      <c r="Y10953"/>
    </row>
    <row r="10954" spans="25:25" x14ac:dyDescent="0.2">
      <c r="Y10954"/>
    </row>
    <row r="10955" spans="25:25" x14ac:dyDescent="0.2">
      <c r="Y10955"/>
    </row>
    <row r="10956" spans="25:25" x14ac:dyDescent="0.2">
      <c r="Y10956"/>
    </row>
    <row r="10957" spans="25:25" x14ac:dyDescent="0.2">
      <c r="Y10957"/>
    </row>
    <row r="10958" spans="25:25" x14ac:dyDescent="0.2">
      <c r="Y10958"/>
    </row>
    <row r="10959" spans="25:25" x14ac:dyDescent="0.2">
      <c r="Y10959"/>
    </row>
    <row r="10960" spans="25:25" x14ac:dyDescent="0.2">
      <c r="Y10960"/>
    </row>
    <row r="10961" spans="25:25" x14ac:dyDescent="0.2">
      <c r="Y10961"/>
    </row>
    <row r="10962" spans="25:25" x14ac:dyDescent="0.2">
      <c r="Y10962"/>
    </row>
    <row r="10963" spans="25:25" x14ac:dyDescent="0.2">
      <c r="Y10963"/>
    </row>
    <row r="10964" spans="25:25" x14ac:dyDescent="0.2">
      <c r="Y10964"/>
    </row>
    <row r="10965" spans="25:25" x14ac:dyDescent="0.2">
      <c r="Y10965"/>
    </row>
    <row r="10966" spans="25:25" x14ac:dyDescent="0.2">
      <c r="Y10966"/>
    </row>
    <row r="10967" spans="25:25" x14ac:dyDescent="0.2">
      <c r="Y10967"/>
    </row>
    <row r="10968" spans="25:25" x14ac:dyDescent="0.2">
      <c r="Y10968"/>
    </row>
    <row r="10969" spans="25:25" x14ac:dyDescent="0.2">
      <c r="Y10969"/>
    </row>
    <row r="10970" spans="25:25" x14ac:dyDescent="0.2">
      <c r="Y10970"/>
    </row>
    <row r="10971" spans="25:25" x14ac:dyDescent="0.2">
      <c r="Y10971"/>
    </row>
    <row r="10972" spans="25:25" x14ac:dyDescent="0.2">
      <c r="Y10972"/>
    </row>
    <row r="10973" spans="25:25" x14ac:dyDescent="0.2">
      <c r="Y10973"/>
    </row>
    <row r="10974" spans="25:25" x14ac:dyDescent="0.2">
      <c r="Y10974"/>
    </row>
    <row r="10975" spans="25:25" x14ac:dyDescent="0.2">
      <c r="Y10975"/>
    </row>
    <row r="10976" spans="25:25" x14ac:dyDescent="0.2">
      <c r="Y10976"/>
    </row>
    <row r="10977" spans="25:25" x14ac:dyDescent="0.2">
      <c r="Y10977"/>
    </row>
    <row r="10978" spans="25:25" x14ac:dyDescent="0.2">
      <c r="Y10978"/>
    </row>
    <row r="10979" spans="25:25" x14ac:dyDescent="0.2">
      <c r="Y10979"/>
    </row>
    <row r="10980" spans="25:25" x14ac:dyDescent="0.2">
      <c r="Y10980"/>
    </row>
    <row r="10981" spans="25:25" x14ac:dyDescent="0.2">
      <c r="Y10981"/>
    </row>
    <row r="10982" spans="25:25" x14ac:dyDescent="0.2">
      <c r="Y10982"/>
    </row>
    <row r="10983" spans="25:25" x14ac:dyDescent="0.2">
      <c r="Y10983"/>
    </row>
    <row r="10984" spans="25:25" x14ac:dyDescent="0.2">
      <c r="Y10984"/>
    </row>
    <row r="10985" spans="25:25" x14ac:dyDescent="0.2">
      <c r="Y10985"/>
    </row>
    <row r="10986" spans="25:25" x14ac:dyDescent="0.2">
      <c r="Y10986"/>
    </row>
    <row r="10987" spans="25:25" x14ac:dyDescent="0.2">
      <c r="Y10987"/>
    </row>
    <row r="10988" spans="25:25" x14ac:dyDescent="0.2">
      <c r="Y10988"/>
    </row>
    <row r="10989" spans="25:25" x14ac:dyDescent="0.2">
      <c r="Y10989"/>
    </row>
    <row r="10990" spans="25:25" x14ac:dyDescent="0.2">
      <c r="Y10990"/>
    </row>
    <row r="10991" spans="25:25" x14ac:dyDescent="0.2">
      <c r="Y10991"/>
    </row>
    <row r="10992" spans="25:25" x14ac:dyDescent="0.2">
      <c r="Y10992"/>
    </row>
    <row r="10993" spans="25:25" x14ac:dyDescent="0.2">
      <c r="Y10993"/>
    </row>
    <row r="10994" spans="25:25" x14ac:dyDescent="0.2">
      <c r="Y10994"/>
    </row>
    <row r="10995" spans="25:25" x14ac:dyDescent="0.2">
      <c r="Y10995"/>
    </row>
    <row r="10996" spans="25:25" x14ac:dyDescent="0.2">
      <c r="Y10996"/>
    </row>
    <row r="10997" spans="25:25" x14ac:dyDescent="0.2">
      <c r="Y10997"/>
    </row>
    <row r="10998" spans="25:25" x14ac:dyDescent="0.2">
      <c r="Y10998"/>
    </row>
    <row r="10999" spans="25:25" x14ac:dyDescent="0.2">
      <c r="Y10999"/>
    </row>
    <row r="11000" spans="25:25" x14ac:dyDescent="0.2">
      <c r="Y11000"/>
    </row>
    <row r="11001" spans="25:25" x14ac:dyDescent="0.2">
      <c r="Y11001"/>
    </row>
    <row r="11002" spans="25:25" x14ac:dyDescent="0.2">
      <c r="Y11002"/>
    </row>
    <row r="11003" spans="25:25" x14ac:dyDescent="0.2">
      <c r="Y11003"/>
    </row>
    <row r="11004" spans="25:25" x14ac:dyDescent="0.2">
      <c r="Y11004"/>
    </row>
    <row r="11005" spans="25:25" x14ac:dyDescent="0.2">
      <c r="Y11005"/>
    </row>
    <row r="11006" spans="25:25" x14ac:dyDescent="0.2">
      <c r="Y11006"/>
    </row>
    <row r="11007" spans="25:25" x14ac:dyDescent="0.2">
      <c r="Y11007"/>
    </row>
    <row r="11008" spans="25:25" x14ac:dyDescent="0.2">
      <c r="Y11008"/>
    </row>
    <row r="11009" spans="25:25" x14ac:dyDescent="0.2">
      <c r="Y11009"/>
    </row>
    <row r="11010" spans="25:25" x14ac:dyDescent="0.2">
      <c r="Y11010"/>
    </row>
    <row r="11011" spans="25:25" x14ac:dyDescent="0.2">
      <c r="Y11011"/>
    </row>
    <row r="11012" spans="25:25" x14ac:dyDescent="0.2">
      <c r="Y11012"/>
    </row>
    <row r="11013" spans="25:25" x14ac:dyDescent="0.2">
      <c r="Y11013"/>
    </row>
    <row r="11014" spans="25:25" x14ac:dyDescent="0.2">
      <c r="Y11014"/>
    </row>
    <row r="11015" spans="25:25" x14ac:dyDescent="0.2">
      <c r="Y11015"/>
    </row>
    <row r="11016" spans="25:25" x14ac:dyDescent="0.2">
      <c r="Y11016"/>
    </row>
    <row r="11017" spans="25:25" x14ac:dyDescent="0.2">
      <c r="Y11017"/>
    </row>
    <row r="11018" spans="25:25" x14ac:dyDescent="0.2">
      <c r="Y11018"/>
    </row>
    <row r="11019" spans="25:25" x14ac:dyDescent="0.2">
      <c r="Y11019"/>
    </row>
    <row r="11020" spans="25:25" x14ac:dyDescent="0.2">
      <c r="Y11020"/>
    </row>
    <row r="11021" spans="25:25" x14ac:dyDescent="0.2">
      <c r="Y11021"/>
    </row>
    <row r="11022" spans="25:25" x14ac:dyDescent="0.2">
      <c r="Y11022"/>
    </row>
    <row r="11023" spans="25:25" x14ac:dyDescent="0.2">
      <c r="Y11023"/>
    </row>
    <row r="11024" spans="25:25" x14ac:dyDescent="0.2">
      <c r="Y11024"/>
    </row>
    <row r="11025" spans="25:25" x14ac:dyDescent="0.2">
      <c r="Y11025"/>
    </row>
    <row r="11026" spans="25:25" x14ac:dyDescent="0.2">
      <c r="Y11026"/>
    </row>
    <row r="11027" spans="25:25" x14ac:dyDescent="0.2">
      <c r="Y11027"/>
    </row>
    <row r="11028" spans="25:25" x14ac:dyDescent="0.2">
      <c r="Y11028"/>
    </row>
    <row r="11029" spans="25:25" x14ac:dyDescent="0.2">
      <c r="Y11029"/>
    </row>
    <row r="11030" spans="25:25" x14ac:dyDescent="0.2">
      <c r="Y11030"/>
    </row>
    <row r="11031" spans="25:25" x14ac:dyDescent="0.2">
      <c r="Y11031"/>
    </row>
    <row r="11032" spans="25:25" x14ac:dyDescent="0.2">
      <c r="Y11032"/>
    </row>
    <row r="11033" spans="25:25" x14ac:dyDescent="0.2">
      <c r="Y11033"/>
    </row>
    <row r="11034" spans="25:25" x14ac:dyDescent="0.2">
      <c r="Y11034"/>
    </row>
    <row r="11035" spans="25:25" x14ac:dyDescent="0.2">
      <c r="Y11035"/>
    </row>
    <row r="11036" spans="25:25" x14ac:dyDescent="0.2">
      <c r="Y11036"/>
    </row>
    <row r="11037" spans="25:25" x14ac:dyDescent="0.2">
      <c r="Y11037"/>
    </row>
    <row r="11038" spans="25:25" x14ac:dyDescent="0.2">
      <c r="Y11038"/>
    </row>
    <row r="11039" spans="25:25" x14ac:dyDescent="0.2">
      <c r="Y11039"/>
    </row>
    <row r="11040" spans="25:25" x14ac:dyDescent="0.2">
      <c r="Y11040"/>
    </row>
    <row r="11041" spans="25:25" x14ac:dyDescent="0.2">
      <c r="Y11041"/>
    </row>
    <row r="11042" spans="25:25" x14ac:dyDescent="0.2">
      <c r="Y11042"/>
    </row>
    <row r="11043" spans="25:25" x14ac:dyDescent="0.2">
      <c r="Y11043"/>
    </row>
    <row r="11044" spans="25:25" x14ac:dyDescent="0.2">
      <c r="Y11044"/>
    </row>
    <row r="11045" spans="25:25" x14ac:dyDescent="0.2">
      <c r="Y11045"/>
    </row>
    <row r="11046" spans="25:25" x14ac:dyDescent="0.2">
      <c r="Y11046"/>
    </row>
    <row r="11047" spans="25:25" x14ac:dyDescent="0.2">
      <c r="Y11047"/>
    </row>
    <row r="11048" spans="25:25" x14ac:dyDescent="0.2">
      <c r="Y11048"/>
    </row>
    <row r="11049" spans="25:25" x14ac:dyDescent="0.2">
      <c r="Y11049"/>
    </row>
    <row r="11050" spans="25:25" x14ac:dyDescent="0.2">
      <c r="Y11050"/>
    </row>
    <row r="11051" spans="25:25" x14ac:dyDescent="0.2">
      <c r="Y11051"/>
    </row>
    <row r="11052" spans="25:25" x14ac:dyDescent="0.2">
      <c r="Y11052"/>
    </row>
    <row r="11053" spans="25:25" x14ac:dyDescent="0.2">
      <c r="Y11053"/>
    </row>
    <row r="11054" spans="25:25" x14ac:dyDescent="0.2">
      <c r="Y11054"/>
    </row>
    <row r="11055" spans="25:25" x14ac:dyDescent="0.2">
      <c r="Y11055"/>
    </row>
    <row r="11056" spans="25:25" x14ac:dyDescent="0.2">
      <c r="Y11056"/>
    </row>
    <row r="11057" spans="25:25" x14ac:dyDescent="0.2">
      <c r="Y11057"/>
    </row>
    <row r="11058" spans="25:25" x14ac:dyDescent="0.2">
      <c r="Y11058"/>
    </row>
    <row r="11059" spans="25:25" x14ac:dyDescent="0.2">
      <c r="Y11059"/>
    </row>
    <row r="11060" spans="25:25" x14ac:dyDescent="0.2">
      <c r="Y11060"/>
    </row>
    <row r="11061" spans="25:25" x14ac:dyDescent="0.2">
      <c r="Y11061"/>
    </row>
    <row r="11062" spans="25:25" x14ac:dyDescent="0.2">
      <c r="Y11062"/>
    </row>
    <row r="11063" spans="25:25" x14ac:dyDescent="0.2">
      <c r="Y11063"/>
    </row>
    <row r="11064" spans="25:25" x14ac:dyDescent="0.2">
      <c r="Y11064"/>
    </row>
    <row r="11065" spans="25:25" x14ac:dyDescent="0.2">
      <c r="Y11065"/>
    </row>
    <row r="11066" spans="25:25" x14ac:dyDescent="0.2">
      <c r="Y11066"/>
    </row>
    <row r="11067" spans="25:25" x14ac:dyDescent="0.2">
      <c r="Y11067"/>
    </row>
    <row r="11068" spans="25:25" x14ac:dyDescent="0.2">
      <c r="Y11068"/>
    </row>
    <row r="11069" spans="25:25" x14ac:dyDescent="0.2">
      <c r="Y11069"/>
    </row>
    <row r="11070" spans="25:25" x14ac:dyDescent="0.2">
      <c r="Y11070"/>
    </row>
    <row r="11071" spans="25:25" x14ac:dyDescent="0.2">
      <c r="Y11071"/>
    </row>
    <row r="11072" spans="25:25" x14ac:dyDescent="0.2">
      <c r="Y11072"/>
    </row>
    <row r="11073" spans="25:25" x14ac:dyDescent="0.2">
      <c r="Y11073"/>
    </row>
    <row r="11074" spans="25:25" x14ac:dyDescent="0.2">
      <c r="Y11074"/>
    </row>
    <row r="11075" spans="25:25" x14ac:dyDescent="0.2">
      <c r="Y11075"/>
    </row>
    <row r="11076" spans="25:25" x14ac:dyDescent="0.2">
      <c r="Y11076"/>
    </row>
    <row r="11077" spans="25:25" x14ac:dyDescent="0.2">
      <c r="Y11077"/>
    </row>
    <row r="11078" spans="25:25" x14ac:dyDescent="0.2">
      <c r="Y11078"/>
    </row>
    <row r="11079" spans="25:25" x14ac:dyDescent="0.2">
      <c r="Y11079"/>
    </row>
    <row r="11080" spans="25:25" x14ac:dyDescent="0.2">
      <c r="Y11080"/>
    </row>
    <row r="11081" spans="25:25" x14ac:dyDescent="0.2">
      <c r="Y11081"/>
    </row>
    <row r="11082" spans="25:25" x14ac:dyDescent="0.2">
      <c r="Y11082"/>
    </row>
    <row r="11083" spans="25:25" x14ac:dyDescent="0.2">
      <c r="Y11083"/>
    </row>
    <row r="11084" spans="25:25" x14ac:dyDescent="0.2">
      <c r="Y11084"/>
    </row>
    <row r="11085" spans="25:25" x14ac:dyDescent="0.2">
      <c r="Y11085"/>
    </row>
    <row r="11086" spans="25:25" x14ac:dyDescent="0.2">
      <c r="Y11086"/>
    </row>
    <row r="11087" spans="25:25" x14ac:dyDescent="0.2">
      <c r="Y11087"/>
    </row>
    <row r="11088" spans="25:25" x14ac:dyDescent="0.2">
      <c r="Y11088"/>
    </row>
    <row r="11089" spans="25:25" x14ac:dyDescent="0.2">
      <c r="Y11089"/>
    </row>
    <row r="11090" spans="25:25" x14ac:dyDescent="0.2">
      <c r="Y11090"/>
    </row>
    <row r="11091" spans="25:25" x14ac:dyDescent="0.2">
      <c r="Y11091"/>
    </row>
    <row r="11092" spans="25:25" x14ac:dyDescent="0.2">
      <c r="Y11092"/>
    </row>
    <row r="11093" spans="25:25" x14ac:dyDescent="0.2">
      <c r="Y11093"/>
    </row>
    <row r="11094" spans="25:25" x14ac:dyDescent="0.2">
      <c r="Y11094"/>
    </row>
    <row r="11095" spans="25:25" x14ac:dyDescent="0.2">
      <c r="Y11095"/>
    </row>
    <row r="11096" spans="25:25" x14ac:dyDescent="0.2">
      <c r="Y11096"/>
    </row>
    <row r="11097" spans="25:25" x14ac:dyDescent="0.2">
      <c r="Y11097"/>
    </row>
    <row r="11098" spans="25:25" x14ac:dyDescent="0.2">
      <c r="Y11098"/>
    </row>
    <row r="11099" spans="25:25" x14ac:dyDescent="0.2">
      <c r="Y11099"/>
    </row>
    <row r="11100" spans="25:25" x14ac:dyDescent="0.2">
      <c r="Y11100"/>
    </row>
    <row r="11101" spans="25:25" x14ac:dyDescent="0.2">
      <c r="Y11101"/>
    </row>
    <row r="11102" spans="25:25" x14ac:dyDescent="0.2">
      <c r="Y11102"/>
    </row>
    <row r="11103" spans="25:25" x14ac:dyDescent="0.2">
      <c r="Y11103"/>
    </row>
    <row r="11104" spans="25:25" x14ac:dyDescent="0.2">
      <c r="Y11104"/>
    </row>
    <row r="11105" spans="25:25" x14ac:dyDescent="0.2">
      <c r="Y11105"/>
    </row>
    <row r="11106" spans="25:25" x14ac:dyDescent="0.2">
      <c r="Y11106"/>
    </row>
    <row r="11107" spans="25:25" x14ac:dyDescent="0.2">
      <c r="Y11107"/>
    </row>
    <row r="11108" spans="25:25" x14ac:dyDescent="0.2">
      <c r="Y11108"/>
    </row>
    <row r="11109" spans="25:25" x14ac:dyDescent="0.2">
      <c r="Y11109"/>
    </row>
    <row r="11110" spans="25:25" x14ac:dyDescent="0.2">
      <c r="Y11110"/>
    </row>
    <row r="11111" spans="25:25" x14ac:dyDescent="0.2">
      <c r="Y11111"/>
    </row>
    <row r="11112" spans="25:25" x14ac:dyDescent="0.2">
      <c r="Y11112"/>
    </row>
    <row r="11113" spans="25:25" x14ac:dyDescent="0.2">
      <c r="Y11113"/>
    </row>
    <row r="11114" spans="25:25" x14ac:dyDescent="0.2">
      <c r="Y11114"/>
    </row>
    <row r="11115" spans="25:25" x14ac:dyDescent="0.2">
      <c r="Y11115"/>
    </row>
    <row r="11116" spans="25:25" x14ac:dyDescent="0.2">
      <c r="Y11116"/>
    </row>
    <row r="11117" spans="25:25" x14ac:dyDescent="0.2">
      <c r="Y11117"/>
    </row>
    <row r="11118" spans="25:25" x14ac:dyDescent="0.2">
      <c r="Y11118"/>
    </row>
    <row r="11119" spans="25:25" x14ac:dyDescent="0.2">
      <c r="Y11119"/>
    </row>
    <row r="11120" spans="25:25" x14ac:dyDescent="0.2">
      <c r="Y11120"/>
    </row>
    <row r="11121" spans="25:25" x14ac:dyDescent="0.2">
      <c r="Y11121"/>
    </row>
    <row r="11122" spans="25:25" x14ac:dyDescent="0.2">
      <c r="Y11122"/>
    </row>
    <row r="11123" spans="25:25" x14ac:dyDescent="0.2">
      <c r="Y11123"/>
    </row>
    <row r="11124" spans="25:25" x14ac:dyDescent="0.2">
      <c r="Y11124"/>
    </row>
    <row r="11125" spans="25:25" x14ac:dyDescent="0.2">
      <c r="Y11125"/>
    </row>
    <row r="11126" spans="25:25" x14ac:dyDescent="0.2">
      <c r="Y11126"/>
    </row>
    <row r="11127" spans="25:25" x14ac:dyDescent="0.2">
      <c r="Y11127"/>
    </row>
    <row r="11128" spans="25:25" x14ac:dyDescent="0.2">
      <c r="Y11128"/>
    </row>
    <row r="11129" spans="25:25" x14ac:dyDescent="0.2">
      <c r="Y11129"/>
    </row>
    <row r="11130" spans="25:25" x14ac:dyDescent="0.2">
      <c r="Y11130"/>
    </row>
    <row r="11131" spans="25:25" x14ac:dyDescent="0.2">
      <c r="Y11131"/>
    </row>
    <row r="11132" spans="25:25" x14ac:dyDescent="0.2">
      <c r="Y11132"/>
    </row>
    <row r="11133" spans="25:25" x14ac:dyDescent="0.2">
      <c r="Y11133"/>
    </row>
    <row r="11134" spans="25:25" x14ac:dyDescent="0.2">
      <c r="Y11134"/>
    </row>
    <row r="11135" spans="25:25" x14ac:dyDescent="0.2">
      <c r="Y11135"/>
    </row>
    <row r="11136" spans="25:25" x14ac:dyDescent="0.2">
      <c r="Y11136"/>
    </row>
    <row r="11137" spans="25:25" x14ac:dyDescent="0.2">
      <c r="Y11137"/>
    </row>
    <row r="11138" spans="25:25" x14ac:dyDescent="0.2">
      <c r="Y11138"/>
    </row>
    <row r="11139" spans="25:25" x14ac:dyDescent="0.2">
      <c r="Y11139"/>
    </row>
    <row r="11140" spans="25:25" x14ac:dyDescent="0.2">
      <c r="Y11140"/>
    </row>
    <row r="11141" spans="25:25" x14ac:dyDescent="0.2">
      <c r="Y11141"/>
    </row>
    <row r="11142" spans="25:25" x14ac:dyDescent="0.2">
      <c r="Y11142"/>
    </row>
    <row r="11143" spans="25:25" x14ac:dyDescent="0.2">
      <c r="Y11143"/>
    </row>
    <row r="11144" spans="25:25" x14ac:dyDescent="0.2">
      <c r="Y11144"/>
    </row>
    <row r="11145" spans="25:25" x14ac:dyDescent="0.2">
      <c r="Y11145"/>
    </row>
    <row r="11146" spans="25:25" x14ac:dyDescent="0.2">
      <c r="Y11146"/>
    </row>
    <row r="11147" spans="25:25" x14ac:dyDescent="0.2">
      <c r="Y11147"/>
    </row>
    <row r="11148" spans="25:25" x14ac:dyDescent="0.2">
      <c r="Y11148"/>
    </row>
    <row r="11149" spans="25:25" x14ac:dyDescent="0.2">
      <c r="Y11149"/>
    </row>
    <row r="11150" spans="25:25" x14ac:dyDescent="0.2">
      <c r="Y11150"/>
    </row>
    <row r="11151" spans="25:25" x14ac:dyDescent="0.2">
      <c r="Y11151"/>
    </row>
    <row r="11152" spans="25:25" x14ac:dyDescent="0.2">
      <c r="Y11152"/>
    </row>
    <row r="11153" spans="25:25" x14ac:dyDescent="0.2">
      <c r="Y11153"/>
    </row>
    <row r="11154" spans="25:25" x14ac:dyDescent="0.2">
      <c r="Y11154"/>
    </row>
    <row r="11155" spans="25:25" x14ac:dyDescent="0.2">
      <c r="Y11155"/>
    </row>
    <row r="11156" spans="25:25" x14ac:dyDescent="0.2">
      <c r="Y11156"/>
    </row>
    <row r="11157" spans="25:25" x14ac:dyDescent="0.2">
      <c r="Y11157"/>
    </row>
    <row r="11158" spans="25:25" x14ac:dyDescent="0.2">
      <c r="Y11158"/>
    </row>
    <row r="11159" spans="25:25" x14ac:dyDescent="0.2">
      <c r="Y11159"/>
    </row>
    <row r="11160" spans="25:25" x14ac:dyDescent="0.2">
      <c r="Y11160"/>
    </row>
    <row r="11161" spans="25:25" x14ac:dyDescent="0.2">
      <c r="Y11161"/>
    </row>
    <row r="11162" spans="25:25" x14ac:dyDescent="0.2">
      <c r="Y11162"/>
    </row>
    <row r="11163" spans="25:25" x14ac:dyDescent="0.2">
      <c r="Y11163"/>
    </row>
    <row r="11164" spans="25:25" x14ac:dyDescent="0.2">
      <c r="Y11164"/>
    </row>
    <row r="11165" spans="25:25" x14ac:dyDescent="0.2">
      <c r="Y11165"/>
    </row>
    <row r="11166" spans="25:25" x14ac:dyDescent="0.2">
      <c r="Y11166"/>
    </row>
    <row r="11167" spans="25:25" x14ac:dyDescent="0.2">
      <c r="Y11167"/>
    </row>
    <row r="11168" spans="25:25" x14ac:dyDescent="0.2">
      <c r="Y11168"/>
    </row>
    <row r="11169" spans="25:25" x14ac:dyDescent="0.2">
      <c r="Y11169"/>
    </row>
    <row r="11170" spans="25:25" x14ac:dyDescent="0.2">
      <c r="Y11170"/>
    </row>
    <row r="11171" spans="25:25" x14ac:dyDescent="0.2">
      <c r="Y11171"/>
    </row>
    <row r="11172" spans="25:25" x14ac:dyDescent="0.2">
      <c r="Y11172"/>
    </row>
    <row r="11173" spans="25:25" x14ac:dyDescent="0.2">
      <c r="Y11173"/>
    </row>
    <row r="11174" spans="25:25" x14ac:dyDescent="0.2">
      <c r="Y11174"/>
    </row>
    <row r="11175" spans="25:25" x14ac:dyDescent="0.2">
      <c r="Y11175"/>
    </row>
    <row r="11176" spans="25:25" x14ac:dyDescent="0.2">
      <c r="Y11176"/>
    </row>
    <row r="11177" spans="25:25" x14ac:dyDescent="0.2">
      <c r="Y11177"/>
    </row>
    <row r="11178" spans="25:25" x14ac:dyDescent="0.2">
      <c r="Y11178"/>
    </row>
    <row r="11179" spans="25:25" x14ac:dyDescent="0.2">
      <c r="Y11179"/>
    </row>
    <row r="11180" spans="25:25" x14ac:dyDescent="0.2">
      <c r="Y11180"/>
    </row>
    <row r="11181" spans="25:25" x14ac:dyDescent="0.2">
      <c r="Y11181"/>
    </row>
    <row r="11182" spans="25:25" x14ac:dyDescent="0.2">
      <c r="Y11182"/>
    </row>
    <row r="11183" spans="25:25" x14ac:dyDescent="0.2">
      <c r="Y11183"/>
    </row>
    <row r="11184" spans="25:25" x14ac:dyDescent="0.2">
      <c r="Y11184"/>
    </row>
    <row r="11185" spans="25:25" x14ac:dyDescent="0.2">
      <c r="Y11185"/>
    </row>
    <row r="11186" spans="25:25" x14ac:dyDescent="0.2">
      <c r="Y11186"/>
    </row>
    <row r="11187" spans="25:25" x14ac:dyDescent="0.2">
      <c r="Y11187"/>
    </row>
    <row r="11188" spans="25:25" x14ac:dyDescent="0.2">
      <c r="Y11188"/>
    </row>
    <row r="11189" spans="25:25" x14ac:dyDescent="0.2">
      <c r="Y11189"/>
    </row>
    <row r="11190" spans="25:25" x14ac:dyDescent="0.2">
      <c r="Y11190"/>
    </row>
    <row r="11191" spans="25:25" x14ac:dyDescent="0.2">
      <c r="Y11191"/>
    </row>
    <row r="11192" spans="25:25" x14ac:dyDescent="0.2">
      <c r="Y11192"/>
    </row>
    <row r="11193" spans="25:25" x14ac:dyDescent="0.2">
      <c r="Y11193"/>
    </row>
    <row r="11194" spans="25:25" x14ac:dyDescent="0.2">
      <c r="Y11194"/>
    </row>
    <row r="11195" spans="25:25" x14ac:dyDescent="0.2">
      <c r="Y11195"/>
    </row>
    <row r="11196" spans="25:25" x14ac:dyDescent="0.2">
      <c r="Y11196"/>
    </row>
    <row r="11197" spans="25:25" x14ac:dyDescent="0.2">
      <c r="Y11197"/>
    </row>
    <row r="11198" spans="25:25" x14ac:dyDescent="0.2">
      <c r="Y11198"/>
    </row>
    <row r="11199" spans="25:25" x14ac:dyDescent="0.2">
      <c r="Y11199"/>
    </row>
    <row r="11200" spans="25:25" x14ac:dyDescent="0.2">
      <c r="Y11200"/>
    </row>
    <row r="11201" spans="25:25" x14ac:dyDescent="0.2">
      <c r="Y11201"/>
    </row>
    <row r="11202" spans="25:25" x14ac:dyDescent="0.2">
      <c r="Y11202"/>
    </row>
    <row r="11203" spans="25:25" x14ac:dyDescent="0.2">
      <c r="Y11203"/>
    </row>
    <row r="11204" spans="25:25" x14ac:dyDescent="0.2">
      <c r="Y11204"/>
    </row>
    <row r="11205" spans="25:25" x14ac:dyDescent="0.2">
      <c r="Y11205"/>
    </row>
    <row r="11206" spans="25:25" x14ac:dyDescent="0.2">
      <c r="Y11206"/>
    </row>
    <row r="11207" spans="25:25" x14ac:dyDescent="0.2">
      <c r="Y11207"/>
    </row>
    <row r="11208" spans="25:25" x14ac:dyDescent="0.2">
      <c r="Y11208"/>
    </row>
    <row r="11209" spans="25:25" x14ac:dyDescent="0.2">
      <c r="Y11209"/>
    </row>
    <row r="11210" spans="25:25" x14ac:dyDescent="0.2">
      <c r="Y11210"/>
    </row>
    <row r="11211" spans="25:25" x14ac:dyDescent="0.2">
      <c r="Y11211"/>
    </row>
    <row r="11212" spans="25:25" x14ac:dyDescent="0.2">
      <c r="Y11212"/>
    </row>
    <row r="11213" spans="25:25" x14ac:dyDescent="0.2">
      <c r="Y11213"/>
    </row>
    <row r="11214" spans="25:25" x14ac:dyDescent="0.2">
      <c r="Y11214"/>
    </row>
    <row r="11215" spans="25:25" x14ac:dyDescent="0.2">
      <c r="Y11215"/>
    </row>
    <row r="11216" spans="25:25" x14ac:dyDescent="0.2">
      <c r="Y11216"/>
    </row>
    <row r="11217" spans="25:25" x14ac:dyDescent="0.2">
      <c r="Y11217"/>
    </row>
    <row r="11218" spans="25:25" x14ac:dyDescent="0.2">
      <c r="Y11218"/>
    </row>
    <row r="11219" spans="25:25" x14ac:dyDescent="0.2">
      <c r="Y11219"/>
    </row>
    <row r="11220" spans="25:25" x14ac:dyDescent="0.2">
      <c r="Y11220"/>
    </row>
    <row r="11221" spans="25:25" x14ac:dyDescent="0.2">
      <c r="Y11221"/>
    </row>
    <row r="11222" spans="25:25" x14ac:dyDescent="0.2">
      <c r="Y11222"/>
    </row>
    <row r="11223" spans="25:25" x14ac:dyDescent="0.2">
      <c r="Y11223"/>
    </row>
    <row r="11224" spans="25:25" x14ac:dyDescent="0.2">
      <c r="Y11224"/>
    </row>
    <row r="11225" spans="25:25" x14ac:dyDescent="0.2">
      <c r="Y11225"/>
    </row>
    <row r="11226" spans="25:25" x14ac:dyDescent="0.2">
      <c r="Y11226"/>
    </row>
    <row r="11227" spans="25:25" x14ac:dyDescent="0.2">
      <c r="Y11227"/>
    </row>
    <row r="11228" spans="25:25" x14ac:dyDescent="0.2">
      <c r="Y11228"/>
    </row>
    <row r="11229" spans="25:25" x14ac:dyDescent="0.2">
      <c r="Y11229"/>
    </row>
    <row r="11230" spans="25:25" x14ac:dyDescent="0.2">
      <c r="Y11230"/>
    </row>
    <row r="11231" spans="25:25" x14ac:dyDescent="0.2">
      <c r="Y11231"/>
    </row>
    <row r="11232" spans="25:25" x14ac:dyDescent="0.2">
      <c r="Y11232"/>
    </row>
    <row r="11233" spans="25:25" x14ac:dyDescent="0.2">
      <c r="Y11233"/>
    </row>
    <row r="11234" spans="25:25" x14ac:dyDescent="0.2">
      <c r="Y11234"/>
    </row>
    <row r="11235" spans="25:25" x14ac:dyDescent="0.2">
      <c r="Y11235"/>
    </row>
    <row r="11236" spans="25:25" x14ac:dyDescent="0.2">
      <c r="Y11236"/>
    </row>
    <row r="11237" spans="25:25" x14ac:dyDescent="0.2">
      <c r="Y11237"/>
    </row>
    <row r="11238" spans="25:25" x14ac:dyDescent="0.2">
      <c r="Y11238"/>
    </row>
    <row r="11239" spans="25:25" x14ac:dyDescent="0.2">
      <c r="Y11239"/>
    </row>
    <row r="11240" spans="25:25" x14ac:dyDescent="0.2">
      <c r="Y11240"/>
    </row>
    <row r="11241" spans="25:25" x14ac:dyDescent="0.2">
      <c r="Y11241"/>
    </row>
    <row r="11242" spans="25:25" x14ac:dyDescent="0.2">
      <c r="Y11242"/>
    </row>
    <row r="11243" spans="25:25" x14ac:dyDescent="0.2">
      <c r="Y11243"/>
    </row>
    <row r="11244" spans="25:25" x14ac:dyDescent="0.2">
      <c r="Y11244"/>
    </row>
    <row r="11245" spans="25:25" x14ac:dyDescent="0.2">
      <c r="Y11245"/>
    </row>
    <row r="11246" spans="25:25" x14ac:dyDescent="0.2">
      <c r="Y11246"/>
    </row>
    <row r="11247" spans="25:25" x14ac:dyDescent="0.2">
      <c r="Y11247"/>
    </row>
    <row r="11248" spans="25:25" x14ac:dyDescent="0.2">
      <c r="Y11248"/>
    </row>
    <row r="11249" spans="25:25" x14ac:dyDescent="0.2">
      <c r="Y11249"/>
    </row>
    <row r="11250" spans="25:25" x14ac:dyDescent="0.2">
      <c r="Y11250"/>
    </row>
    <row r="11251" spans="25:25" x14ac:dyDescent="0.2">
      <c r="Y11251"/>
    </row>
    <row r="11252" spans="25:25" x14ac:dyDescent="0.2">
      <c r="Y11252"/>
    </row>
    <row r="11253" spans="25:25" x14ac:dyDescent="0.2">
      <c r="Y11253"/>
    </row>
    <row r="11254" spans="25:25" x14ac:dyDescent="0.2">
      <c r="Y11254"/>
    </row>
    <row r="11255" spans="25:25" x14ac:dyDescent="0.2">
      <c r="Y11255"/>
    </row>
    <row r="11256" spans="25:25" x14ac:dyDescent="0.2">
      <c r="Y11256"/>
    </row>
    <row r="11257" spans="25:25" x14ac:dyDescent="0.2">
      <c r="Y11257"/>
    </row>
    <row r="11258" spans="25:25" x14ac:dyDescent="0.2">
      <c r="Y11258"/>
    </row>
    <row r="11259" spans="25:25" x14ac:dyDescent="0.2">
      <c r="Y11259"/>
    </row>
    <row r="11260" spans="25:25" x14ac:dyDescent="0.2">
      <c r="Y11260"/>
    </row>
    <row r="11261" spans="25:25" x14ac:dyDescent="0.2">
      <c r="Y11261"/>
    </row>
    <row r="11262" spans="25:25" x14ac:dyDescent="0.2">
      <c r="Y11262"/>
    </row>
    <row r="11263" spans="25:25" x14ac:dyDescent="0.2">
      <c r="Y11263"/>
    </row>
    <row r="11264" spans="25:25" x14ac:dyDescent="0.2">
      <c r="Y11264"/>
    </row>
    <row r="11265" spans="25:25" x14ac:dyDescent="0.2">
      <c r="Y11265"/>
    </row>
    <row r="11266" spans="25:25" x14ac:dyDescent="0.2">
      <c r="Y11266"/>
    </row>
    <row r="11267" spans="25:25" x14ac:dyDescent="0.2">
      <c r="Y11267"/>
    </row>
    <row r="11268" spans="25:25" x14ac:dyDescent="0.2">
      <c r="Y11268"/>
    </row>
    <row r="11269" spans="25:25" x14ac:dyDescent="0.2">
      <c r="Y11269"/>
    </row>
    <row r="11270" spans="25:25" x14ac:dyDescent="0.2">
      <c r="Y11270"/>
    </row>
    <row r="11271" spans="25:25" x14ac:dyDescent="0.2">
      <c r="Y11271"/>
    </row>
    <row r="11272" spans="25:25" x14ac:dyDescent="0.2">
      <c r="Y11272"/>
    </row>
    <row r="11273" spans="25:25" x14ac:dyDescent="0.2">
      <c r="Y11273"/>
    </row>
    <row r="11274" spans="25:25" x14ac:dyDescent="0.2">
      <c r="Y11274"/>
    </row>
    <row r="11275" spans="25:25" x14ac:dyDescent="0.2">
      <c r="Y11275"/>
    </row>
    <row r="11276" spans="25:25" x14ac:dyDescent="0.2">
      <c r="Y11276"/>
    </row>
    <row r="11277" spans="25:25" x14ac:dyDescent="0.2">
      <c r="Y11277"/>
    </row>
    <row r="11278" spans="25:25" x14ac:dyDescent="0.2">
      <c r="Y11278"/>
    </row>
    <row r="11279" spans="25:25" x14ac:dyDescent="0.2">
      <c r="Y11279"/>
    </row>
    <row r="11280" spans="25:25" x14ac:dyDescent="0.2">
      <c r="Y11280"/>
    </row>
    <row r="11281" spans="25:25" x14ac:dyDescent="0.2">
      <c r="Y11281"/>
    </row>
    <row r="11282" spans="25:25" x14ac:dyDescent="0.2">
      <c r="Y11282"/>
    </row>
    <row r="11283" spans="25:25" x14ac:dyDescent="0.2">
      <c r="Y11283"/>
    </row>
    <row r="11284" spans="25:25" x14ac:dyDescent="0.2">
      <c r="Y11284"/>
    </row>
    <row r="11285" spans="25:25" x14ac:dyDescent="0.2">
      <c r="Y11285"/>
    </row>
    <row r="11286" spans="25:25" x14ac:dyDescent="0.2">
      <c r="Y11286"/>
    </row>
    <row r="11287" spans="25:25" x14ac:dyDescent="0.2">
      <c r="Y11287"/>
    </row>
    <row r="11288" spans="25:25" x14ac:dyDescent="0.2">
      <c r="Y11288"/>
    </row>
    <row r="11289" spans="25:25" x14ac:dyDescent="0.2">
      <c r="Y11289"/>
    </row>
    <row r="11290" spans="25:25" x14ac:dyDescent="0.2">
      <c r="Y11290"/>
    </row>
    <row r="11291" spans="25:25" x14ac:dyDescent="0.2">
      <c r="Y11291"/>
    </row>
    <row r="11292" spans="25:25" x14ac:dyDescent="0.2">
      <c r="Y11292"/>
    </row>
    <row r="11293" spans="25:25" x14ac:dyDescent="0.2">
      <c r="Y11293"/>
    </row>
    <row r="11294" spans="25:25" x14ac:dyDescent="0.2">
      <c r="Y11294"/>
    </row>
    <row r="11295" spans="25:25" x14ac:dyDescent="0.2">
      <c r="Y11295"/>
    </row>
    <row r="11296" spans="25:25" x14ac:dyDescent="0.2">
      <c r="Y11296"/>
    </row>
    <row r="11297" spans="25:25" x14ac:dyDescent="0.2">
      <c r="Y11297"/>
    </row>
    <row r="11298" spans="25:25" x14ac:dyDescent="0.2">
      <c r="Y11298"/>
    </row>
    <row r="11299" spans="25:25" x14ac:dyDescent="0.2">
      <c r="Y11299"/>
    </row>
    <row r="11300" spans="25:25" x14ac:dyDescent="0.2">
      <c r="Y11300"/>
    </row>
    <row r="11301" spans="25:25" x14ac:dyDescent="0.2">
      <c r="Y11301"/>
    </row>
    <row r="11302" spans="25:25" x14ac:dyDescent="0.2">
      <c r="Y11302"/>
    </row>
    <row r="11303" spans="25:25" x14ac:dyDescent="0.2">
      <c r="Y11303"/>
    </row>
    <row r="11304" spans="25:25" x14ac:dyDescent="0.2">
      <c r="Y11304"/>
    </row>
    <row r="11305" spans="25:25" x14ac:dyDescent="0.2">
      <c r="Y11305"/>
    </row>
    <row r="11306" spans="25:25" x14ac:dyDescent="0.2">
      <c r="Y11306"/>
    </row>
    <row r="11307" spans="25:25" x14ac:dyDescent="0.2">
      <c r="Y11307"/>
    </row>
    <row r="11308" spans="25:25" x14ac:dyDescent="0.2">
      <c r="Y11308"/>
    </row>
    <row r="11309" spans="25:25" x14ac:dyDescent="0.2">
      <c r="Y11309"/>
    </row>
    <row r="11310" spans="25:25" x14ac:dyDescent="0.2">
      <c r="Y11310"/>
    </row>
    <row r="11311" spans="25:25" x14ac:dyDescent="0.2">
      <c r="Y11311"/>
    </row>
    <row r="11312" spans="25:25" x14ac:dyDescent="0.2">
      <c r="Y11312"/>
    </row>
    <row r="11313" spans="25:25" x14ac:dyDescent="0.2">
      <c r="Y11313"/>
    </row>
    <row r="11314" spans="25:25" x14ac:dyDescent="0.2">
      <c r="Y11314"/>
    </row>
    <row r="11315" spans="25:25" x14ac:dyDescent="0.2">
      <c r="Y11315"/>
    </row>
    <row r="11316" spans="25:25" x14ac:dyDescent="0.2">
      <c r="Y11316"/>
    </row>
    <row r="11317" spans="25:25" x14ac:dyDescent="0.2">
      <c r="Y11317"/>
    </row>
    <row r="11318" spans="25:25" x14ac:dyDescent="0.2">
      <c r="Y11318"/>
    </row>
    <row r="11319" spans="25:25" x14ac:dyDescent="0.2">
      <c r="Y11319"/>
    </row>
    <row r="11320" spans="25:25" x14ac:dyDescent="0.2">
      <c r="Y11320"/>
    </row>
    <row r="11321" spans="25:25" x14ac:dyDescent="0.2">
      <c r="Y11321"/>
    </row>
    <row r="11322" spans="25:25" x14ac:dyDescent="0.2">
      <c r="Y11322"/>
    </row>
    <row r="11323" spans="25:25" x14ac:dyDescent="0.2">
      <c r="Y11323"/>
    </row>
    <row r="11324" spans="25:25" x14ac:dyDescent="0.2">
      <c r="Y11324"/>
    </row>
    <row r="11325" spans="25:25" x14ac:dyDescent="0.2">
      <c r="Y11325"/>
    </row>
    <row r="11326" spans="25:25" x14ac:dyDescent="0.2">
      <c r="Y11326"/>
    </row>
    <row r="11327" spans="25:25" x14ac:dyDescent="0.2">
      <c r="Y11327"/>
    </row>
    <row r="11328" spans="25:25" x14ac:dyDescent="0.2">
      <c r="Y11328"/>
    </row>
    <row r="11329" spans="25:25" x14ac:dyDescent="0.2">
      <c r="Y11329"/>
    </row>
    <row r="11330" spans="25:25" x14ac:dyDescent="0.2">
      <c r="Y11330"/>
    </row>
    <row r="11331" spans="25:25" x14ac:dyDescent="0.2">
      <c r="Y11331"/>
    </row>
    <row r="11332" spans="25:25" x14ac:dyDescent="0.2">
      <c r="Y11332"/>
    </row>
    <row r="11333" spans="25:25" x14ac:dyDescent="0.2">
      <c r="Y11333"/>
    </row>
    <row r="11334" spans="25:25" x14ac:dyDescent="0.2">
      <c r="Y11334"/>
    </row>
    <row r="11335" spans="25:25" x14ac:dyDescent="0.2">
      <c r="Y11335"/>
    </row>
    <row r="11336" spans="25:25" x14ac:dyDescent="0.2">
      <c r="Y11336"/>
    </row>
    <row r="11337" spans="25:25" x14ac:dyDescent="0.2">
      <c r="Y11337"/>
    </row>
    <row r="11338" spans="25:25" x14ac:dyDescent="0.2">
      <c r="Y11338"/>
    </row>
    <row r="11339" spans="25:25" x14ac:dyDescent="0.2">
      <c r="Y11339"/>
    </row>
    <row r="11340" spans="25:25" x14ac:dyDescent="0.2">
      <c r="Y11340"/>
    </row>
    <row r="11341" spans="25:25" x14ac:dyDescent="0.2">
      <c r="Y11341"/>
    </row>
    <row r="11342" spans="25:25" x14ac:dyDescent="0.2">
      <c r="Y11342"/>
    </row>
    <row r="11343" spans="25:25" x14ac:dyDescent="0.2">
      <c r="Y11343"/>
    </row>
    <row r="11344" spans="25:25" x14ac:dyDescent="0.2">
      <c r="Y11344"/>
    </row>
    <row r="11345" spans="25:25" x14ac:dyDescent="0.2">
      <c r="Y11345"/>
    </row>
    <row r="11346" spans="25:25" x14ac:dyDescent="0.2">
      <c r="Y11346"/>
    </row>
    <row r="11347" spans="25:25" x14ac:dyDescent="0.2">
      <c r="Y11347"/>
    </row>
    <row r="11348" spans="25:25" x14ac:dyDescent="0.2">
      <c r="Y11348"/>
    </row>
    <row r="11349" spans="25:25" x14ac:dyDescent="0.2">
      <c r="Y11349"/>
    </row>
    <row r="11350" spans="25:25" x14ac:dyDescent="0.2">
      <c r="Y11350"/>
    </row>
    <row r="11351" spans="25:25" x14ac:dyDescent="0.2">
      <c r="Y11351"/>
    </row>
    <row r="11352" spans="25:25" x14ac:dyDescent="0.2">
      <c r="Y11352"/>
    </row>
    <row r="11353" spans="25:25" x14ac:dyDescent="0.2">
      <c r="Y11353"/>
    </row>
    <row r="11354" spans="25:25" x14ac:dyDescent="0.2">
      <c r="Y11354"/>
    </row>
    <row r="11355" spans="25:25" x14ac:dyDescent="0.2">
      <c r="Y11355"/>
    </row>
    <row r="11356" spans="25:25" x14ac:dyDescent="0.2">
      <c r="Y11356"/>
    </row>
    <row r="11357" spans="25:25" x14ac:dyDescent="0.2">
      <c r="Y11357"/>
    </row>
    <row r="11358" spans="25:25" x14ac:dyDescent="0.2">
      <c r="Y11358"/>
    </row>
    <row r="11359" spans="25:25" x14ac:dyDescent="0.2">
      <c r="Y11359"/>
    </row>
    <row r="11360" spans="25:25" x14ac:dyDescent="0.2">
      <c r="Y11360"/>
    </row>
    <row r="11361" spans="25:25" x14ac:dyDescent="0.2">
      <c r="Y11361"/>
    </row>
    <row r="11362" spans="25:25" x14ac:dyDescent="0.2">
      <c r="Y11362"/>
    </row>
    <row r="11363" spans="25:25" x14ac:dyDescent="0.2">
      <c r="Y11363"/>
    </row>
    <row r="11364" spans="25:25" x14ac:dyDescent="0.2">
      <c r="Y11364"/>
    </row>
    <row r="11365" spans="25:25" x14ac:dyDescent="0.2">
      <c r="Y11365"/>
    </row>
    <row r="11366" spans="25:25" x14ac:dyDescent="0.2">
      <c r="Y11366"/>
    </row>
    <row r="11367" spans="25:25" x14ac:dyDescent="0.2">
      <c r="Y11367"/>
    </row>
    <row r="11368" spans="25:25" x14ac:dyDescent="0.2">
      <c r="Y11368"/>
    </row>
    <row r="11369" spans="25:25" x14ac:dyDescent="0.2">
      <c r="Y11369"/>
    </row>
    <row r="11370" spans="25:25" x14ac:dyDescent="0.2">
      <c r="Y11370"/>
    </row>
    <row r="11371" spans="25:25" x14ac:dyDescent="0.2">
      <c r="Y11371"/>
    </row>
    <row r="11372" spans="25:25" x14ac:dyDescent="0.2">
      <c r="Y11372"/>
    </row>
    <row r="11373" spans="25:25" x14ac:dyDescent="0.2">
      <c r="Y11373"/>
    </row>
    <row r="11374" spans="25:25" x14ac:dyDescent="0.2">
      <c r="Y11374"/>
    </row>
    <row r="11375" spans="25:25" x14ac:dyDescent="0.2">
      <c r="Y11375"/>
    </row>
    <row r="11376" spans="25:25" x14ac:dyDescent="0.2">
      <c r="Y11376"/>
    </row>
    <row r="11377" spans="25:25" x14ac:dyDescent="0.2">
      <c r="Y11377"/>
    </row>
    <row r="11378" spans="25:25" x14ac:dyDescent="0.2">
      <c r="Y11378"/>
    </row>
    <row r="11379" spans="25:25" x14ac:dyDescent="0.2">
      <c r="Y11379"/>
    </row>
    <row r="11380" spans="25:25" x14ac:dyDescent="0.2">
      <c r="Y11380"/>
    </row>
    <row r="11381" spans="25:25" x14ac:dyDescent="0.2">
      <c r="Y11381"/>
    </row>
    <row r="11382" spans="25:25" x14ac:dyDescent="0.2">
      <c r="Y11382"/>
    </row>
    <row r="11383" spans="25:25" x14ac:dyDescent="0.2">
      <c r="Y11383"/>
    </row>
    <row r="11384" spans="25:25" x14ac:dyDescent="0.2">
      <c r="Y11384"/>
    </row>
    <row r="11385" spans="25:25" x14ac:dyDescent="0.2">
      <c r="Y11385"/>
    </row>
    <row r="11386" spans="25:25" x14ac:dyDescent="0.2">
      <c r="Y11386"/>
    </row>
    <row r="11387" spans="25:25" x14ac:dyDescent="0.2">
      <c r="Y11387"/>
    </row>
    <row r="11388" spans="25:25" x14ac:dyDescent="0.2">
      <c r="Y11388"/>
    </row>
    <row r="11389" spans="25:25" x14ac:dyDescent="0.2">
      <c r="Y11389"/>
    </row>
    <row r="11390" spans="25:25" x14ac:dyDescent="0.2">
      <c r="Y11390"/>
    </row>
    <row r="11391" spans="25:25" x14ac:dyDescent="0.2">
      <c r="Y11391"/>
    </row>
    <row r="11392" spans="25:25" x14ac:dyDescent="0.2">
      <c r="Y11392"/>
    </row>
    <row r="11393" spans="25:25" x14ac:dyDescent="0.2">
      <c r="Y11393"/>
    </row>
    <row r="11394" spans="25:25" x14ac:dyDescent="0.2">
      <c r="Y11394"/>
    </row>
    <row r="11395" spans="25:25" x14ac:dyDescent="0.2">
      <c r="Y11395"/>
    </row>
    <row r="11396" spans="25:25" x14ac:dyDescent="0.2">
      <c r="Y11396"/>
    </row>
    <row r="11397" spans="25:25" x14ac:dyDescent="0.2">
      <c r="Y11397"/>
    </row>
    <row r="11398" spans="25:25" x14ac:dyDescent="0.2">
      <c r="Y11398"/>
    </row>
    <row r="11399" spans="25:25" x14ac:dyDescent="0.2">
      <c r="Y11399"/>
    </row>
    <row r="11400" spans="25:25" x14ac:dyDescent="0.2">
      <c r="Y11400"/>
    </row>
    <row r="11401" spans="25:25" x14ac:dyDescent="0.2">
      <c r="Y11401"/>
    </row>
    <row r="11402" spans="25:25" x14ac:dyDescent="0.2">
      <c r="Y11402"/>
    </row>
    <row r="11403" spans="25:25" x14ac:dyDescent="0.2">
      <c r="Y11403"/>
    </row>
    <row r="11404" spans="25:25" x14ac:dyDescent="0.2">
      <c r="Y11404"/>
    </row>
    <row r="11405" spans="25:25" x14ac:dyDescent="0.2">
      <c r="Y11405"/>
    </row>
    <row r="11406" spans="25:25" x14ac:dyDescent="0.2">
      <c r="Y11406"/>
    </row>
    <row r="11407" spans="25:25" x14ac:dyDescent="0.2">
      <c r="Y11407"/>
    </row>
    <row r="11408" spans="25:25" x14ac:dyDescent="0.2">
      <c r="Y11408"/>
    </row>
    <row r="11409" spans="25:25" x14ac:dyDescent="0.2">
      <c r="Y11409"/>
    </row>
    <row r="11410" spans="25:25" x14ac:dyDescent="0.2">
      <c r="Y11410"/>
    </row>
    <row r="11411" spans="25:25" x14ac:dyDescent="0.2">
      <c r="Y11411"/>
    </row>
    <row r="11412" spans="25:25" x14ac:dyDescent="0.2">
      <c r="Y11412"/>
    </row>
    <row r="11413" spans="25:25" x14ac:dyDescent="0.2">
      <c r="Y11413"/>
    </row>
    <row r="11414" spans="25:25" x14ac:dyDescent="0.2">
      <c r="Y11414"/>
    </row>
    <row r="11415" spans="25:25" x14ac:dyDescent="0.2">
      <c r="Y11415"/>
    </row>
    <row r="11416" spans="25:25" x14ac:dyDescent="0.2">
      <c r="Y11416"/>
    </row>
    <row r="11417" spans="25:25" x14ac:dyDescent="0.2">
      <c r="Y11417"/>
    </row>
    <row r="11418" spans="25:25" x14ac:dyDescent="0.2">
      <c r="Y11418"/>
    </row>
    <row r="11419" spans="25:25" x14ac:dyDescent="0.2">
      <c r="Y11419"/>
    </row>
    <row r="11420" spans="25:25" x14ac:dyDescent="0.2">
      <c r="Y11420"/>
    </row>
    <row r="11421" spans="25:25" x14ac:dyDescent="0.2">
      <c r="Y11421"/>
    </row>
    <row r="11422" spans="25:25" x14ac:dyDescent="0.2">
      <c r="Y11422"/>
    </row>
    <row r="11423" spans="25:25" x14ac:dyDescent="0.2">
      <c r="Y11423"/>
    </row>
    <row r="11424" spans="25:25" x14ac:dyDescent="0.2">
      <c r="Y11424"/>
    </row>
    <row r="11425" spans="25:25" x14ac:dyDescent="0.2">
      <c r="Y11425"/>
    </row>
    <row r="11426" spans="25:25" x14ac:dyDescent="0.2">
      <c r="Y11426"/>
    </row>
    <row r="11427" spans="25:25" x14ac:dyDescent="0.2">
      <c r="Y11427"/>
    </row>
    <row r="11428" spans="25:25" x14ac:dyDescent="0.2">
      <c r="Y11428"/>
    </row>
    <row r="11429" spans="25:25" x14ac:dyDescent="0.2">
      <c r="Y11429"/>
    </row>
    <row r="11430" spans="25:25" x14ac:dyDescent="0.2">
      <c r="Y11430"/>
    </row>
    <row r="11431" spans="25:25" x14ac:dyDescent="0.2">
      <c r="Y11431"/>
    </row>
    <row r="11432" spans="25:25" x14ac:dyDescent="0.2">
      <c r="Y11432"/>
    </row>
    <row r="11433" spans="25:25" x14ac:dyDescent="0.2">
      <c r="Y11433"/>
    </row>
    <row r="11434" spans="25:25" x14ac:dyDescent="0.2">
      <c r="Y11434"/>
    </row>
    <row r="11435" spans="25:25" x14ac:dyDescent="0.2">
      <c r="Y11435"/>
    </row>
    <row r="11436" spans="25:25" x14ac:dyDescent="0.2">
      <c r="Y11436"/>
    </row>
    <row r="11437" spans="25:25" x14ac:dyDescent="0.2">
      <c r="Y11437"/>
    </row>
    <row r="11438" spans="25:25" x14ac:dyDescent="0.2">
      <c r="Y11438"/>
    </row>
    <row r="11439" spans="25:25" x14ac:dyDescent="0.2">
      <c r="Y11439"/>
    </row>
    <row r="11440" spans="25:25" x14ac:dyDescent="0.2">
      <c r="Y11440"/>
    </row>
    <row r="11441" spans="25:25" x14ac:dyDescent="0.2">
      <c r="Y11441"/>
    </row>
    <row r="11442" spans="25:25" x14ac:dyDescent="0.2">
      <c r="Y11442"/>
    </row>
    <row r="11443" spans="25:25" x14ac:dyDescent="0.2">
      <c r="Y11443"/>
    </row>
    <row r="11444" spans="25:25" x14ac:dyDescent="0.2">
      <c r="Y11444"/>
    </row>
    <row r="11445" spans="25:25" x14ac:dyDescent="0.2">
      <c r="Y11445"/>
    </row>
    <row r="11446" spans="25:25" x14ac:dyDescent="0.2">
      <c r="Y11446"/>
    </row>
    <row r="11447" spans="25:25" x14ac:dyDescent="0.2">
      <c r="Y11447"/>
    </row>
    <row r="11448" spans="25:25" x14ac:dyDescent="0.2">
      <c r="Y11448"/>
    </row>
    <row r="11449" spans="25:25" x14ac:dyDescent="0.2">
      <c r="Y11449"/>
    </row>
    <row r="11450" spans="25:25" x14ac:dyDescent="0.2">
      <c r="Y11450"/>
    </row>
    <row r="11451" spans="25:25" x14ac:dyDescent="0.2">
      <c r="Y11451"/>
    </row>
    <row r="11452" spans="25:25" x14ac:dyDescent="0.2">
      <c r="Y11452"/>
    </row>
    <row r="11453" spans="25:25" x14ac:dyDescent="0.2">
      <c r="Y11453"/>
    </row>
    <row r="11454" spans="25:25" x14ac:dyDescent="0.2">
      <c r="Y11454"/>
    </row>
    <row r="11455" spans="25:25" x14ac:dyDescent="0.2">
      <c r="Y11455"/>
    </row>
    <row r="11456" spans="25:25" x14ac:dyDescent="0.2">
      <c r="Y11456"/>
    </row>
    <row r="11457" spans="25:25" x14ac:dyDescent="0.2">
      <c r="Y11457"/>
    </row>
    <row r="11458" spans="25:25" x14ac:dyDescent="0.2">
      <c r="Y11458"/>
    </row>
    <row r="11459" spans="25:25" x14ac:dyDescent="0.2">
      <c r="Y11459"/>
    </row>
    <row r="11460" spans="25:25" x14ac:dyDescent="0.2">
      <c r="Y11460"/>
    </row>
    <row r="11461" spans="25:25" x14ac:dyDescent="0.2">
      <c r="Y11461"/>
    </row>
    <row r="11462" spans="25:25" x14ac:dyDescent="0.2">
      <c r="Y11462"/>
    </row>
    <row r="11463" spans="25:25" x14ac:dyDescent="0.2">
      <c r="Y11463"/>
    </row>
    <row r="11464" spans="25:25" x14ac:dyDescent="0.2">
      <c r="Y11464"/>
    </row>
    <row r="11465" spans="25:25" x14ac:dyDescent="0.2">
      <c r="Y11465"/>
    </row>
    <row r="11466" spans="25:25" x14ac:dyDescent="0.2">
      <c r="Y11466"/>
    </row>
    <row r="11467" spans="25:25" x14ac:dyDescent="0.2">
      <c r="Y11467"/>
    </row>
    <row r="11468" spans="25:25" x14ac:dyDescent="0.2">
      <c r="Y11468"/>
    </row>
    <row r="11469" spans="25:25" x14ac:dyDescent="0.2">
      <c r="Y11469"/>
    </row>
    <row r="11470" spans="25:25" x14ac:dyDescent="0.2">
      <c r="Y11470"/>
    </row>
    <row r="11471" spans="25:25" x14ac:dyDescent="0.2">
      <c r="Y11471"/>
    </row>
    <row r="11472" spans="25:25" x14ac:dyDescent="0.2">
      <c r="Y11472"/>
    </row>
    <row r="11473" spans="25:25" x14ac:dyDescent="0.2">
      <c r="Y11473"/>
    </row>
    <row r="11474" spans="25:25" x14ac:dyDescent="0.2">
      <c r="Y11474"/>
    </row>
    <row r="11475" spans="25:25" x14ac:dyDescent="0.2">
      <c r="Y11475"/>
    </row>
    <row r="11476" spans="25:25" x14ac:dyDescent="0.2">
      <c r="Y11476"/>
    </row>
    <row r="11477" spans="25:25" x14ac:dyDescent="0.2">
      <c r="Y11477"/>
    </row>
    <row r="11478" spans="25:25" x14ac:dyDescent="0.2">
      <c r="Y11478"/>
    </row>
    <row r="11479" spans="25:25" x14ac:dyDescent="0.2">
      <c r="Y11479"/>
    </row>
    <row r="11480" spans="25:25" x14ac:dyDescent="0.2">
      <c r="Y11480"/>
    </row>
    <row r="11481" spans="25:25" x14ac:dyDescent="0.2">
      <c r="Y11481"/>
    </row>
    <row r="11482" spans="25:25" x14ac:dyDescent="0.2">
      <c r="Y11482"/>
    </row>
    <row r="11483" spans="25:25" x14ac:dyDescent="0.2">
      <c r="Y11483"/>
    </row>
    <row r="11484" spans="25:25" x14ac:dyDescent="0.2">
      <c r="Y11484"/>
    </row>
    <row r="11485" spans="25:25" x14ac:dyDescent="0.2">
      <c r="Y11485"/>
    </row>
    <row r="11486" spans="25:25" x14ac:dyDescent="0.2">
      <c r="Y11486"/>
    </row>
    <row r="11487" spans="25:25" x14ac:dyDescent="0.2">
      <c r="Y11487"/>
    </row>
    <row r="11488" spans="25:25" x14ac:dyDescent="0.2">
      <c r="Y11488"/>
    </row>
    <row r="11489" spans="25:25" x14ac:dyDescent="0.2">
      <c r="Y11489"/>
    </row>
    <row r="11490" spans="25:25" x14ac:dyDescent="0.2">
      <c r="Y11490"/>
    </row>
    <row r="11491" spans="25:25" x14ac:dyDescent="0.2">
      <c r="Y11491"/>
    </row>
    <row r="11492" spans="25:25" x14ac:dyDescent="0.2">
      <c r="Y11492"/>
    </row>
    <row r="11493" spans="25:25" x14ac:dyDescent="0.2">
      <c r="Y11493"/>
    </row>
    <row r="11494" spans="25:25" x14ac:dyDescent="0.2">
      <c r="Y11494"/>
    </row>
    <row r="11495" spans="25:25" x14ac:dyDescent="0.2">
      <c r="Y11495"/>
    </row>
    <row r="11496" spans="25:25" x14ac:dyDescent="0.2">
      <c r="Y11496"/>
    </row>
    <row r="11497" spans="25:25" x14ac:dyDescent="0.2">
      <c r="Y11497"/>
    </row>
    <row r="11498" spans="25:25" x14ac:dyDescent="0.2">
      <c r="Y11498"/>
    </row>
    <row r="11499" spans="25:25" x14ac:dyDescent="0.2">
      <c r="Y11499"/>
    </row>
    <row r="11500" spans="25:25" x14ac:dyDescent="0.2">
      <c r="Y11500"/>
    </row>
    <row r="11501" spans="25:25" x14ac:dyDescent="0.2">
      <c r="Y11501"/>
    </row>
    <row r="11502" spans="25:25" x14ac:dyDescent="0.2">
      <c r="Y11502"/>
    </row>
    <row r="11503" spans="25:25" x14ac:dyDescent="0.2">
      <c r="Y11503"/>
    </row>
    <row r="11504" spans="25:25" x14ac:dyDescent="0.2">
      <c r="Y11504"/>
    </row>
    <row r="11505" spans="25:25" x14ac:dyDescent="0.2">
      <c r="Y11505"/>
    </row>
    <row r="11506" spans="25:25" x14ac:dyDescent="0.2">
      <c r="Y11506"/>
    </row>
    <row r="11507" spans="25:25" x14ac:dyDescent="0.2">
      <c r="Y11507"/>
    </row>
    <row r="11508" spans="25:25" x14ac:dyDescent="0.2">
      <c r="Y11508"/>
    </row>
    <row r="11509" spans="25:25" x14ac:dyDescent="0.2">
      <c r="Y11509"/>
    </row>
    <row r="11510" spans="25:25" x14ac:dyDescent="0.2">
      <c r="Y11510"/>
    </row>
    <row r="11511" spans="25:25" x14ac:dyDescent="0.2">
      <c r="Y11511"/>
    </row>
    <row r="11512" spans="25:25" x14ac:dyDescent="0.2">
      <c r="Y11512"/>
    </row>
    <row r="11513" spans="25:25" x14ac:dyDescent="0.2">
      <c r="Y11513"/>
    </row>
    <row r="11514" spans="25:25" x14ac:dyDescent="0.2">
      <c r="Y11514"/>
    </row>
    <row r="11515" spans="25:25" x14ac:dyDescent="0.2">
      <c r="Y11515"/>
    </row>
    <row r="11516" spans="25:25" x14ac:dyDescent="0.2">
      <c r="Y11516"/>
    </row>
    <row r="11517" spans="25:25" x14ac:dyDescent="0.2">
      <c r="Y11517"/>
    </row>
    <row r="11518" spans="25:25" x14ac:dyDescent="0.2">
      <c r="Y11518"/>
    </row>
    <row r="11519" spans="25:25" x14ac:dyDescent="0.2">
      <c r="Y11519"/>
    </row>
    <row r="11520" spans="25:25" x14ac:dyDescent="0.2">
      <c r="Y11520"/>
    </row>
    <row r="11521" spans="25:25" x14ac:dyDescent="0.2">
      <c r="Y11521"/>
    </row>
    <row r="11522" spans="25:25" x14ac:dyDescent="0.2">
      <c r="Y11522"/>
    </row>
    <row r="11523" spans="25:25" x14ac:dyDescent="0.2">
      <c r="Y11523"/>
    </row>
    <row r="11524" spans="25:25" x14ac:dyDescent="0.2">
      <c r="Y11524"/>
    </row>
    <row r="11525" spans="25:25" x14ac:dyDescent="0.2">
      <c r="Y11525"/>
    </row>
    <row r="11526" spans="25:25" x14ac:dyDescent="0.2">
      <c r="Y11526"/>
    </row>
    <row r="11527" spans="25:25" x14ac:dyDescent="0.2">
      <c r="Y11527"/>
    </row>
    <row r="11528" spans="25:25" x14ac:dyDescent="0.2">
      <c r="Y11528"/>
    </row>
    <row r="11529" spans="25:25" x14ac:dyDescent="0.2">
      <c r="Y11529"/>
    </row>
    <row r="11530" spans="25:25" x14ac:dyDescent="0.2">
      <c r="Y11530"/>
    </row>
    <row r="11531" spans="25:25" x14ac:dyDescent="0.2">
      <c r="Y11531"/>
    </row>
    <row r="11532" spans="25:25" x14ac:dyDescent="0.2">
      <c r="Y11532"/>
    </row>
    <row r="11533" spans="25:25" x14ac:dyDescent="0.2">
      <c r="Y11533"/>
    </row>
    <row r="11534" spans="25:25" x14ac:dyDescent="0.2">
      <c r="Y11534"/>
    </row>
    <row r="11535" spans="25:25" x14ac:dyDescent="0.2">
      <c r="Y11535"/>
    </row>
    <row r="11536" spans="25:25" x14ac:dyDescent="0.2">
      <c r="Y11536"/>
    </row>
    <row r="11537" spans="25:25" x14ac:dyDescent="0.2">
      <c r="Y11537"/>
    </row>
    <row r="11538" spans="25:25" x14ac:dyDescent="0.2">
      <c r="Y11538"/>
    </row>
    <row r="11539" spans="25:25" x14ac:dyDescent="0.2">
      <c r="Y11539"/>
    </row>
    <row r="11540" spans="25:25" x14ac:dyDescent="0.2">
      <c r="Y11540"/>
    </row>
    <row r="11541" spans="25:25" x14ac:dyDescent="0.2">
      <c r="Y11541"/>
    </row>
    <row r="11542" spans="25:25" x14ac:dyDescent="0.2">
      <c r="Y11542"/>
    </row>
    <row r="11543" spans="25:25" x14ac:dyDescent="0.2">
      <c r="Y11543"/>
    </row>
    <row r="11544" spans="25:25" x14ac:dyDescent="0.2">
      <c r="Y11544"/>
    </row>
    <row r="11545" spans="25:25" x14ac:dyDescent="0.2">
      <c r="Y11545"/>
    </row>
    <row r="11546" spans="25:25" x14ac:dyDescent="0.2">
      <c r="Y11546"/>
    </row>
    <row r="11547" spans="25:25" x14ac:dyDescent="0.2">
      <c r="Y11547"/>
    </row>
    <row r="11548" spans="25:25" x14ac:dyDescent="0.2">
      <c r="Y11548"/>
    </row>
    <row r="11549" spans="25:25" x14ac:dyDescent="0.2">
      <c r="Y11549"/>
    </row>
    <row r="11550" spans="25:25" x14ac:dyDescent="0.2">
      <c r="Y11550"/>
    </row>
    <row r="11551" spans="25:25" x14ac:dyDescent="0.2">
      <c r="Y11551"/>
    </row>
    <row r="11552" spans="25:25" x14ac:dyDescent="0.2">
      <c r="Y11552"/>
    </row>
    <row r="11553" spans="25:25" x14ac:dyDescent="0.2">
      <c r="Y11553"/>
    </row>
    <row r="11554" spans="25:25" x14ac:dyDescent="0.2">
      <c r="Y11554"/>
    </row>
    <row r="11555" spans="25:25" x14ac:dyDescent="0.2">
      <c r="Y11555"/>
    </row>
    <row r="11556" spans="25:25" x14ac:dyDescent="0.2">
      <c r="Y11556"/>
    </row>
    <row r="11557" spans="25:25" x14ac:dyDescent="0.2">
      <c r="Y11557"/>
    </row>
    <row r="11558" spans="25:25" x14ac:dyDescent="0.2">
      <c r="Y11558"/>
    </row>
    <row r="11559" spans="25:25" x14ac:dyDescent="0.2">
      <c r="Y11559"/>
    </row>
    <row r="11560" spans="25:25" x14ac:dyDescent="0.2">
      <c r="Y11560"/>
    </row>
    <row r="11561" spans="25:25" x14ac:dyDescent="0.2">
      <c r="Y11561"/>
    </row>
    <row r="11562" spans="25:25" x14ac:dyDescent="0.2">
      <c r="Y11562"/>
    </row>
    <row r="11563" spans="25:25" x14ac:dyDescent="0.2">
      <c r="Y11563"/>
    </row>
    <row r="11564" spans="25:25" x14ac:dyDescent="0.2">
      <c r="Y11564"/>
    </row>
    <row r="11565" spans="25:25" x14ac:dyDescent="0.2">
      <c r="Y11565"/>
    </row>
    <row r="11566" spans="25:25" x14ac:dyDescent="0.2">
      <c r="Y11566"/>
    </row>
    <row r="11567" spans="25:25" x14ac:dyDescent="0.2">
      <c r="Y11567"/>
    </row>
    <row r="11568" spans="25:25" x14ac:dyDescent="0.2">
      <c r="Y11568"/>
    </row>
    <row r="11569" spans="25:25" x14ac:dyDescent="0.2">
      <c r="Y11569"/>
    </row>
    <row r="11570" spans="25:25" x14ac:dyDescent="0.2">
      <c r="Y11570"/>
    </row>
    <row r="11571" spans="25:25" x14ac:dyDescent="0.2">
      <c r="Y11571"/>
    </row>
    <row r="11572" spans="25:25" x14ac:dyDescent="0.2">
      <c r="Y11572"/>
    </row>
    <row r="11573" spans="25:25" x14ac:dyDescent="0.2">
      <c r="Y11573"/>
    </row>
    <row r="11574" spans="25:25" x14ac:dyDescent="0.2">
      <c r="Y11574"/>
    </row>
    <row r="11575" spans="25:25" x14ac:dyDescent="0.2">
      <c r="Y11575"/>
    </row>
    <row r="11576" spans="25:25" x14ac:dyDescent="0.2">
      <c r="Y11576"/>
    </row>
    <row r="11577" spans="25:25" x14ac:dyDescent="0.2">
      <c r="Y11577"/>
    </row>
    <row r="11578" spans="25:25" x14ac:dyDescent="0.2">
      <c r="Y11578"/>
    </row>
    <row r="11579" spans="25:25" x14ac:dyDescent="0.2">
      <c r="Y11579"/>
    </row>
    <row r="11580" spans="25:25" x14ac:dyDescent="0.2">
      <c r="Y11580"/>
    </row>
    <row r="11581" spans="25:25" x14ac:dyDescent="0.2">
      <c r="Y11581"/>
    </row>
    <row r="11582" spans="25:25" x14ac:dyDescent="0.2">
      <c r="Y11582"/>
    </row>
    <row r="11583" spans="25:25" x14ac:dyDescent="0.2">
      <c r="Y11583"/>
    </row>
    <row r="11584" spans="25:25" x14ac:dyDescent="0.2">
      <c r="Y11584"/>
    </row>
    <row r="11585" spans="25:25" x14ac:dyDescent="0.2">
      <c r="Y11585"/>
    </row>
    <row r="11586" spans="25:25" x14ac:dyDescent="0.2">
      <c r="Y11586"/>
    </row>
    <row r="11587" spans="25:25" x14ac:dyDescent="0.2">
      <c r="Y11587"/>
    </row>
    <row r="11588" spans="25:25" x14ac:dyDescent="0.2">
      <c r="Y11588"/>
    </row>
    <row r="11589" spans="25:25" x14ac:dyDescent="0.2">
      <c r="Y11589"/>
    </row>
    <row r="11590" spans="25:25" x14ac:dyDescent="0.2">
      <c r="Y11590"/>
    </row>
    <row r="11591" spans="25:25" x14ac:dyDescent="0.2">
      <c r="Y11591"/>
    </row>
    <row r="11592" spans="25:25" x14ac:dyDescent="0.2">
      <c r="Y11592"/>
    </row>
    <row r="11593" spans="25:25" x14ac:dyDescent="0.2">
      <c r="Y11593"/>
    </row>
    <row r="11594" spans="25:25" x14ac:dyDescent="0.2">
      <c r="Y11594"/>
    </row>
    <row r="11595" spans="25:25" x14ac:dyDescent="0.2">
      <c r="Y11595"/>
    </row>
    <row r="11596" spans="25:25" x14ac:dyDescent="0.2">
      <c r="Y11596"/>
    </row>
    <row r="11597" spans="25:25" x14ac:dyDescent="0.2">
      <c r="Y11597"/>
    </row>
    <row r="11598" spans="25:25" x14ac:dyDescent="0.2">
      <c r="Y11598"/>
    </row>
    <row r="11599" spans="25:25" x14ac:dyDescent="0.2">
      <c r="Y11599"/>
    </row>
    <row r="11600" spans="25:25" x14ac:dyDescent="0.2">
      <c r="Y11600"/>
    </row>
    <row r="11601" spans="25:25" x14ac:dyDescent="0.2">
      <c r="Y11601"/>
    </row>
    <row r="11602" spans="25:25" x14ac:dyDescent="0.2">
      <c r="Y11602"/>
    </row>
    <row r="11603" spans="25:25" x14ac:dyDescent="0.2">
      <c r="Y11603"/>
    </row>
    <row r="11604" spans="25:25" x14ac:dyDescent="0.2">
      <c r="Y11604"/>
    </row>
    <row r="11605" spans="25:25" x14ac:dyDescent="0.2">
      <c r="Y11605"/>
    </row>
    <row r="11606" spans="25:25" x14ac:dyDescent="0.2">
      <c r="Y11606"/>
    </row>
    <row r="11607" spans="25:25" x14ac:dyDescent="0.2">
      <c r="Y11607"/>
    </row>
    <row r="11608" spans="25:25" x14ac:dyDescent="0.2">
      <c r="Y11608"/>
    </row>
    <row r="11609" spans="25:25" x14ac:dyDescent="0.2">
      <c r="Y11609"/>
    </row>
    <row r="11610" spans="25:25" x14ac:dyDescent="0.2">
      <c r="Y11610"/>
    </row>
    <row r="11611" spans="25:25" x14ac:dyDescent="0.2">
      <c r="Y11611"/>
    </row>
    <row r="11612" spans="25:25" x14ac:dyDescent="0.2">
      <c r="Y11612"/>
    </row>
    <row r="11613" spans="25:25" x14ac:dyDescent="0.2">
      <c r="Y11613"/>
    </row>
    <row r="11614" spans="25:25" x14ac:dyDescent="0.2">
      <c r="Y11614"/>
    </row>
    <row r="11615" spans="25:25" x14ac:dyDescent="0.2">
      <c r="Y11615"/>
    </row>
    <row r="11616" spans="25:25" x14ac:dyDescent="0.2">
      <c r="Y11616"/>
    </row>
    <row r="11617" spans="25:25" x14ac:dyDescent="0.2">
      <c r="Y11617"/>
    </row>
    <row r="11618" spans="25:25" x14ac:dyDescent="0.2">
      <c r="Y11618"/>
    </row>
    <row r="11619" spans="25:25" x14ac:dyDescent="0.2">
      <c r="Y11619"/>
    </row>
    <row r="11620" spans="25:25" x14ac:dyDescent="0.2">
      <c r="Y11620"/>
    </row>
    <row r="11621" spans="25:25" x14ac:dyDescent="0.2">
      <c r="Y11621"/>
    </row>
    <row r="11622" spans="25:25" x14ac:dyDescent="0.2">
      <c r="Y11622"/>
    </row>
    <row r="11623" spans="25:25" x14ac:dyDescent="0.2">
      <c r="Y11623"/>
    </row>
    <row r="11624" spans="25:25" x14ac:dyDescent="0.2">
      <c r="Y11624"/>
    </row>
    <row r="11625" spans="25:25" x14ac:dyDescent="0.2">
      <c r="Y11625"/>
    </row>
    <row r="11626" spans="25:25" x14ac:dyDescent="0.2">
      <c r="Y11626"/>
    </row>
    <row r="11627" spans="25:25" x14ac:dyDescent="0.2">
      <c r="Y11627"/>
    </row>
    <row r="11628" spans="25:25" x14ac:dyDescent="0.2">
      <c r="Y11628"/>
    </row>
    <row r="11629" spans="25:25" x14ac:dyDescent="0.2">
      <c r="Y11629"/>
    </row>
    <row r="11630" spans="25:25" x14ac:dyDescent="0.2">
      <c r="Y11630"/>
    </row>
    <row r="11631" spans="25:25" x14ac:dyDescent="0.2">
      <c r="Y11631"/>
    </row>
    <row r="11632" spans="25:25" x14ac:dyDescent="0.2">
      <c r="Y11632"/>
    </row>
    <row r="11633" spans="25:25" x14ac:dyDescent="0.2">
      <c r="Y11633"/>
    </row>
    <row r="11634" spans="25:25" x14ac:dyDescent="0.2">
      <c r="Y11634"/>
    </row>
    <row r="11635" spans="25:25" x14ac:dyDescent="0.2">
      <c r="Y11635"/>
    </row>
    <row r="11636" spans="25:25" x14ac:dyDescent="0.2">
      <c r="Y11636"/>
    </row>
    <row r="11637" spans="25:25" x14ac:dyDescent="0.2">
      <c r="Y11637"/>
    </row>
    <row r="11638" spans="25:25" x14ac:dyDescent="0.2">
      <c r="Y11638"/>
    </row>
    <row r="11639" spans="25:25" x14ac:dyDescent="0.2">
      <c r="Y11639"/>
    </row>
    <row r="11640" spans="25:25" x14ac:dyDescent="0.2">
      <c r="Y11640"/>
    </row>
    <row r="11641" spans="25:25" x14ac:dyDescent="0.2">
      <c r="Y11641"/>
    </row>
    <row r="11642" spans="25:25" x14ac:dyDescent="0.2">
      <c r="Y11642"/>
    </row>
    <row r="11643" spans="25:25" x14ac:dyDescent="0.2">
      <c r="Y11643"/>
    </row>
    <row r="11644" spans="25:25" x14ac:dyDescent="0.2">
      <c r="Y11644"/>
    </row>
    <row r="11645" spans="25:25" x14ac:dyDescent="0.2">
      <c r="Y11645"/>
    </row>
    <row r="11646" spans="25:25" x14ac:dyDescent="0.2">
      <c r="Y11646"/>
    </row>
    <row r="11647" spans="25:25" x14ac:dyDescent="0.2">
      <c r="Y11647"/>
    </row>
    <row r="11648" spans="25:25" x14ac:dyDescent="0.2">
      <c r="Y11648"/>
    </row>
    <row r="11649" spans="25:25" x14ac:dyDescent="0.2">
      <c r="Y11649"/>
    </row>
    <row r="11650" spans="25:25" x14ac:dyDescent="0.2">
      <c r="Y11650"/>
    </row>
    <row r="11651" spans="25:25" x14ac:dyDescent="0.2">
      <c r="Y11651"/>
    </row>
    <row r="11652" spans="25:25" x14ac:dyDescent="0.2">
      <c r="Y11652"/>
    </row>
    <row r="11653" spans="25:25" x14ac:dyDescent="0.2">
      <c r="Y11653"/>
    </row>
    <row r="11654" spans="25:25" x14ac:dyDescent="0.2">
      <c r="Y11654"/>
    </row>
    <row r="11655" spans="25:25" x14ac:dyDescent="0.2">
      <c r="Y11655"/>
    </row>
    <row r="11656" spans="25:25" x14ac:dyDescent="0.2">
      <c r="Y11656"/>
    </row>
    <row r="11657" spans="25:25" x14ac:dyDescent="0.2">
      <c r="Y11657"/>
    </row>
    <row r="11658" spans="25:25" x14ac:dyDescent="0.2">
      <c r="Y11658"/>
    </row>
    <row r="11659" spans="25:25" x14ac:dyDescent="0.2">
      <c r="Y11659"/>
    </row>
    <row r="11660" spans="25:25" x14ac:dyDescent="0.2">
      <c r="Y11660"/>
    </row>
    <row r="11661" spans="25:25" x14ac:dyDescent="0.2">
      <c r="Y11661"/>
    </row>
    <row r="11662" spans="25:25" x14ac:dyDescent="0.2">
      <c r="Y11662"/>
    </row>
    <row r="11663" spans="25:25" x14ac:dyDescent="0.2">
      <c r="Y11663"/>
    </row>
    <row r="11664" spans="25:25" x14ac:dyDescent="0.2">
      <c r="Y11664"/>
    </row>
    <row r="11665" spans="25:25" x14ac:dyDescent="0.2">
      <c r="Y11665"/>
    </row>
    <row r="11666" spans="25:25" x14ac:dyDescent="0.2">
      <c r="Y11666"/>
    </row>
    <row r="11667" spans="25:25" x14ac:dyDescent="0.2">
      <c r="Y11667"/>
    </row>
    <row r="11668" spans="25:25" x14ac:dyDescent="0.2">
      <c r="Y11668"/>
    </row>
    <row r="11669" spans="25:25" x14ac:dyDescent="0.2">
      <c r="Y11669"/>
    </row>
    <row r="11670" spans="25:25" x14ac:dyDescent="0.2">
      <c r="Y11670"/>
    </row>
    <row r="11671" spans="25:25" x14ac:dyDescent="0.2">
      <c r="Y11671"/>
    </row>
    <row r="11672" spans="25:25" x14ac:dyDescent="0.2">
      <c r="Y11672"/>
    </row>
    <row r="11673" spans="25:25" x14ac:dyDescent="0.2">
      <c r="Y11673"/>
    </row>
    <row r="11674" spans="25:25" x14ac:dyDescent="0.2">
      <c r="Y11674"/>
    </row>
    <row r="11675" spans="25:25" x14ac:dyDescent="0.2">
      <c r="Y11675"/>
    </row>
    <row r="11676" spans="25:25" x14ac:dyDescent="0.2">
      <c r="Y11676"/>
    </row>
    <row r="11677" spans="25:25" x14ac:dyDescent="0.2">
      <c r="Y11677"/>
    </row>
    <row r="11678" spans="25:25" x14ac:dyDescent="0.2">
      <c r="Y11678"/>
    </row>
    <row r="11679" spans="25:25" x14ac:dyDescent="0.2">
      <c r="Y11679"/>
    </row>
    <row r="11680" spans="25:25" x14ac:dyDescent="0.2">
      <c r="Y11680"/>
    </row>
    <row r="11681" spans="25:25" x14ac:dyDescent="0.2">
      <c r="Y11681"/>
    </row>
    <row r="11682" spans="25:25" x14ac:dyDescent="0.2">
      <c r="Y11682"/>
    </row>
    <row r="11683" spans="25:25" x14ac:dyDescent="0.2">
      <c r="Y11683"/>
    </row>
    <row r="11684" spans="25:25" x14ac:dyDescent="0.2">
      <c r="Y11684"/>
    </row>
    <row r="11685" spans="25:25" x14ac:dyDescent="0.2">
      <c r="Y11685"/>
    </row>
    <row r="11686" spans="25:25" x14ac:dyDescent="0.2">
      <c r="Y11686"/>
    </row>
    <row r="11687" spans="25:25" x14ac:dyDescent="0.2">
      <c r="Y11687"/>
    </row>
    <row r="11688" spans="25:25" x14ac:dyDescent="0.2">
      <c r="Y11688"/>
    </row>
    <row r="11689" spans="25:25" x14ac:dyDescent="0.2">
      <c r="Y11689"/>
    </row>
    <row r="11690" spans="25:25" x14ac:dyDescent="0.2">
      <c r="Y11690"/>
    </row>
    <row r="11691" spans="25:25" x14ac:dyDescent="0.2">
      <c r="Y11691"/>
    </row>
    <row r="11692" spans="25:25" x14ac:dyDescent="0.2">
      <c r="Y11692"/>
    </row>
    <row r="11693" spans="25:25" x14ac:dyDescent="0.2">
      <c r="Y11693"/>
    </row>
    <row r="11694" spans="25:25" x14ac:dyDescent="0.2">
      <c r="Y11694"/>
    </row>
    <row r="11695" spans="25:25" x14ac:dyDescent="0.2">
      <c r="Y11695"/>
    </row>
    <row r="11696" spans="25:25" x14ac:dyDescent="0.2">
      <c r="Y11696"/>
    </row>
    <row r="11697" spans="25:25" x14ac:dyDescent="0.2">
      <c r="Y11697"/>
    </row>
    <row r="11698" spans="25:25" x14ac:dyDescent="0.2">
      <c r="Y11698"/>
    </row>
    <row r="11699" spans="25:25" x14ac:dyDescent="0.2">
      <c r="Y11699"/>
    </row>
    <row r="11700" spans="25:25" x14ac:dyDescent="0.2">
      <c r="Y11700"/>
    </row>
    <row r="11701" spans="25:25" x14ac:dyDescent="0.2">
      <c r="Y11701"/>
    </row>
    <row r="11702" spans="25:25" x14ac:dyDescent="0.2">
      <c r="Y11702"/>
    </row>
    <row r="11703" spans="25:25" x14ac:dyDescent="0.2">
      <c r="Y11703"/>
    </row>
    <row r="11704" spans="25:25" x14ac:dyDescent="0.2">
      <c r="Y11704"/>
    </row>
    <row r="11705" spans="25:25" x14ac:dyDescent="0.2">
      <c r="Y11705"/>
    </row>
    <row r="11706" spans="25:25" x14ac:dyDescent="0.2">
      <c r="Y11706"/>
    </row>
    <row r="11707" spans="25:25" x14ac:dyDescent="0.2">
      <c r="Y11707"/>
    </row>
    <row r="11708" spans="25:25" x14ac:dyDescent="0.2">
      <c r="Y11708"/>
    </row>
    <row r="11709" spans="25:25" x14ac:dyDescent="0.2">
      <c r="Y11709"/>
    </row>
    <row r="11710" spans="25:25" x14ac:dyDescent="0.2">
      <c r="Y11710"/>
    </row>
    <row r="11711" spans="25:25" x14ac:dyDescent="0.2">
      <c r="Y11711"/>
    </row>
    <row r="11712" spans="25:25" x14ac:dyDescent="0.2">
      <c r="Y11712"/>
    </row>
    <row r="11713" spans="25:25" x14ac:dyDescent="0.2">
      <c r="Y11713"/>
    </row>
    <row r="11714" spans="25:25" x14ac:dyDescent="0.2">
      <c r="Y11714"/>
    </row>
    <row r="11715" spans="25:25" x14ac:dyDescent="0.2">
      <c r="Y11715"/>
    </row>
    <row r="11716" spans="25:25" x14ac:dyDescent="0.2">
      <c r="Y11716"/>
    </row>
    <row r="11717" spans="25:25" x14ac:dyDescent="0.2">
      <c r="Y11717"/>
    </row>
    <row r="11718" spans="25:25" x14ac:dyDescent="0.2">
      <c r="Y11718"/>
    </row>
    <row r="11719" spans="25:25" x14ac:dyDescent="0.2">
      <c r="Y11719"/>
    </row>
    <row r="11720" spans="25:25" x14ac:dyDescent="0.2">
      <c r="Y11720"/>
    </row>
    <row r="11721" spans="25:25" x14ac:dyDescent="0.2">
      <c r="Y11721"/>
    </row>
    <row r="11722" spans="25:25" x14ac:dyDescent="0.2">
      <c r="Y11722"/>
    </row>
    <row r="11723" spans="25:25" x14ac:dyDescent="0.2">
      <c r="Y11723"/>
    </row>
    <row r="11724" spans="25:25" x14ac:dyDescent="0.2">
      <c r="Y11724"/>
    </row>
    <row r="11725" spans="25:25" x14ac:dyDescent="0.2">
      <c r="Y11725"/>
    </row>
    <row r="11726" spans="25:25" x14ac:dyDescent="0.2">
      <c r="Y11726"/>
    </row>
    <row r="11727" spans="25:25" x14ac:dyDescent="0.2">
      <c r="Y11727"/>
    </row>
    <row r="11728" spans="25:25" x14ac:dyDescent="0.2">
      <c r="Y11728"/>
    </row>
    <row r="11729" spans="25:25" x14ac:dyDescent="0.2">
      <c r="Y11729"/>
    </row>
    <row r="11730" spans="25:25" x14ac:dyDescent="0.2">
      <c r="Y11730"/>
    </row>
    <row r="11731" spans="25:25" x14ac:dyDescent="0.2">
      <c r="Y11731"/>
    </row>
    <row r="11732" spans="25:25" x14ac:dyDescent="0.2">
      <c r="Y11732"/>
    </row>
    <row r="11733" spans="25:25" x14ac:dyDescent="0.2">
      <c r="Y11733"/>
    </row>
    <row r="11734" spans="25:25" x14ac:dyDescent="0.2">
      <c r="Y11734"/>
    </row>
    <row r="11735" spans="25:25" x14ac:dyDescent="0.2">
      <c r="Y11735"/>
    </row>
    <row r="11736" spans="25:25" x14ac:dyDescent="0.2">
      <c r="Y11736"/>
    </row>
    <row r="11737" spans="25:25" x14ac:dyDescent="0.2">
      <c r="Y11737"/>
    </row>
    <row r="11738" spans="25:25" x14ac:dyDescent="0.2">
      <c r="Y11738"/>
    </row>
    <row r="11739" spans="25:25" x14ac:dyDescent="0.2">
      <c r="Y11739"/>
    </row>
    <row r="11740" spans="25:25" x14ac:dyDescent="0.2">
      <c r="Y11740"/>
    </row>
    <row r="11741" spans="25:25" x14ac:dyDescent="0.2">
      <c r="Y11741"/>
    </row>
    <row r="11742" spans="25:25" x14ac:dyDescent="0.2">
      <c r="Y11742"/>
    </row>
    <row r="11743" spans="25:25" x14ac:dyDescent="0.2">
      <c r="Y11743"/>
    </row>
    <row r="11744" spans="25:25" x14ac:dyDescent="0.2">
      <c r="Y11744"/>
    </row>
    <row r="11745" spans="25:25" x14ac:dyDescent="0.2">
      <c r="Y11745"/>
    </row>
    <row r="11746" spans="25:25" x14ac:dyDescent="0.2">
      <c r="Y11746"/>
    </row>
    <row r="11747" spans="25:25" x14ac:dyDescent="0.2">
      <c r="Y11747"/>
    </row>
    <row r="11748" spans="25:25" x14ac:dyDescent="0.2">
      <c r="Y11748"/>
    </row>
    <row r="11749" spans="25:25" x14ac:dyDescent="0.2">
      <c r="Y11749"/>
    </row>
    <row r="11750" spans="25:25" x14ac:dyDescent="0.2">
      <c r="Y11750"/>
    </row>
    <row r="11751" spans="25:25" x14ac:dyDescent="0.2">
      <c r="Y11751"/>
    </row>
    <row r="11752" spans="25:25" x14ac:dyDescent="0.2">
      <c r="Y11752"/>
    </row>
    <row r="11753" spans="25:25" x14ac:dyDescent="0.2">
      <c r="Y11753"/>
    </row>
    <row r="11754" spans="25:25" x14ac:dyDescent="0.2">
      <c r="Y11754"/>
    </row>
    <row r="11755" spans="25:25" x14ac:dyDescent="0.2">
      <c r="Y11755"/>
    </row>
    <row r="11756" spans="25:25" x14ac:dyDescent="0.2">
      <c r="Y11756"/>
    </row>
    <row r="11757" spans="25:25" x14ac:dyDescent="0.2">
      <c r="Y11757"/>
    </row>
    <row r="11758" spans="25:25" x14ac:dyDescent="0.2">
      <c r="Y11758"/>
    </row>
    <row r="11759" spans="25:25" x14ac:dyDescent="0.2">
      <c r="Y11759"/>
    </row>
    <row r="11760" spans="25:25" x14ac:dyDescent="0.2">
      <c r="Y11760"/>
    </row>
    <row r="11761" spans="25:25" x14ac:dyDescent="0.2">
      <c r="Y11761"/>
    </row>
    <row r="11762" spans="25:25" x14ac:dyDescent="0.2">
      <c r="Y11762"/>
    </row>
    <row r="11763" spans="25:25" x14ac:dyDescent="0.2">
      <c r="Y11763"/>
    </row>
    <row r="11764" spans="25:25" x14ac:dyDescent="0.2">
      <c r="Y11764"/>
    </row>
    <row r="11765" spans="25:25" x14ac:dyDescent="0.2">
      <c r="Y11765"/>
    </row>
    <row r="11766" spans="25:25" x14ac:dyDescent="0.2">
      <c r="Y11766"/>
    </row>
    <row r="11767" spans="25:25" x14ac:dyDescent="0.2">
      <c r="Y11767"/>
    </row>
    <row r="11768" spans="25:25" x14ac:dyDescent="0.2">
      <c r="Y11768"/>
    </row>
    <row r="11769" spans="25:25" x14ac:dyDescent="0.2">
      <c r="Y11769"/>
    </row>
    <row r="11770" spans="25:25" x14ac:dyDescent="0.2">
      <c r="Y11770"/>
    </row>
    <row r="11771" spans="25:25" x14ac:dyDescent="0.2">
      <c r="Y11771"/>
    </row>
    <row r="11772" spans="25:25" x14ac:dyDescent="0.2">
      <c r="Y11772"/>
    </row>
    <row r="11773" spans="25:25" x14ac:dyDescent="0.2">
      <c r="Y11773"/>
    </row>
    <row r="11774" spans="25:25" x14ac:dyDescent="0.2">
      <c r="Y11774"/>
    </row>
    <row r="11775" spans="25:25" x14ac:dyDescent="0.2">
      <c r="Y11775"/>
    </row>
    <row r="11776" spans="25:25" x14ac:dyDescent="0.2">
      <c r="Y11776"/>
    </row>
    <row r="11777" spans="25:25" x14ac:dyDescent="0.2">
      <c r="Y11777"/>
    </row>
    <row r="11778" spans="25:25" x14ac:dyDescent="0.2">
      <c r="Y11778"/>
    </row>
    <row r="11779" spans="25:25" x14ac:dyDescent="0.2">
      <c r="Y11779"/>
    </row>
    <row r="11780" spans="25:25" x14ac:dyDescent="0.2">
      <c r="Y11780"/>
    </row>
    <row r="11781" spans="25:25" x14ac:dyDescent="0.2">
      <c r="Y11781"/>
    </row>
    <row r="11782" spans="25:25" x14ac:dyDescent="0.2">
      <c r="Y11782"/>
    </row>
    <row r="11783" spans="25:25" x14ac:dyDescent="0.2">
      <c r="Y11783"/>
    </row>
    <row r="11784" spans="25:25" x14ac:dyDescent="0.2">
      <c r="Y11784"/>
    </row>
    <row r="11785" spans="25:25" x14ac:dyDescent="0.2">
      <c r="Y11785"/>
    </row>
    <row r="11786" spans="25:25" x14ac:dyDescent="0.2">
      <c r="Y11786"/>
    </row>
    <row r="11787" spans="25:25" x14ac:dyDescent="0.2">
      <c r="Y11787"/>
    </row>
    <row r="11788" spans="25:25" x14ac:dyDescent="0.2">
      <c r="Y11788"/>
    </row>
    <row r="11789" spans="25:25" x14ac:dyDescent="0.2">
      <c r="Y11789"/>
    </row>
    <row r="11790" spans="25:25" x14ac:dyDescent="0.2">
      <c r="Y11790"/>
    </row>
    <row r="11791" spans="25:25" x14ac:dyDescent="0.2">
      <c r="Y11791"/>
    </row>
    <row r="11792" spans="25:25" x14ac:dyDescent="0.2">
      <c r="Y11792"/>
    </row>
    <row r="11793" spans="25:25" x14ac:dyDescent="0.2">
      <c r="Y11793"/>
    </row>
    <row r="11794" spans="25:25" x14ac:dyDescent="0.2">
      <c r="Y11794"/>
    </row>
    <row r="11795" spans="25:25" x14ac:dyDescent="0.2">
      <c r="Y11795"/>
    </row>
    <row r="11796" spans="25:25" x14ac:dyDescent="0.2">
      <c r="Y11796"/>
    </row>
    <row r="11797" spans="25:25" x14ac:dyDescent="0.2">
      <c r="Y11797"/>
    </row>
    <row r="11798" spans="25:25" x14ac:dyDescent="0.2">
      <c r="Y11798"/>
    </row>
    <row r="11799" spans="25:25" x14ac:dyDescent="0.2">
      <c r="Y11799"/>
    </row>
    <row r="11800" spans="25:25" x14ac:dyDescent="0.2">
      <c r="Y11800"/>
    </row>
    <row r="11801" spans="25:25" x14ac:dyDescent="0.2">
      <c r="Y11801"/>
    </row>
    <row r="11802" spans="25:25" x14ac:dyDescent="0.2">
      <c r="Y11802"/>
    </row>
    <row r="11803" spans="25:25" x14ac:dyDescent="0.2">
      <c r="Y11803"/>
    </row>
    <row r="11804" spans="25:25" x14ac:dyDescent="0.2">
      <c r="Y11804"/>
    </row>
    <row r="11805" spans="25:25" x14ac:dyDescent="0.2">
      <c r="Y11805"/>
    </row>
    <row r="11806" spans="25:25" x14ac:dyDescent="0.2">
      <c r="Y11806"/>
    </row>
    <row r="11807" spans="25:25" x14ac:dyDescent="0.2">
      <c r="Y11807"/>
    </row>
    <row r="11808" spans="25:25" x14ac:dyDescent="0.2">
      <c r="Y11808"/>
    </row>
    <row r="11809" spans="25:25" x14ac:dyDescent="0.2">
      <c r="Y11809"/>
    </row>
    <row r="11810" spans="25:25" x14ac:dyDescent="0.2">
      <c r="Y11810"/>
    </row>
    <row r="11811" spans="25:25" x14ac:dyDescent="0.2">
      <c r="Y11811"/>
    </row>
    <row r="11812" spans="25:25" x14ac:dyDescent="0.2">
      <c r="Y11812"/>
    </row>
    <row r="11813" spans="25:25" x14ac:dyDescent="0.2">
      <c r="Y11813"/>
    </row>
    <row r="11814" spans="25:25" x14ac:dyDescent="0.2">
      <c r="Y11814"/>
    </row>
    <row r="11815" spans="25:25" x14ac:dyDescent="0.2">
      <c r="Y11815"/>
    </row>
    <row r="11816" spans="25:25" x14ac:dyDescent="0.2">
      <c r="Y11816"/>
    </row>
    <row r="11817" spans="25:25" x14ac:dyDescent="0.2">
      <c r="Y11817"/>
    </row>
    <row r="11818" spans="25:25" x14ac:dyDescent="0.2">
      <c r="Y11818"/>
    </row>
    <row r="11819" spans="25:25" x14ac:dyDescent="0.2">
      <c r="Y11819"/>
    </row>
    <row r="11820" spans="25:25" x14ac:dyDescent="0.2">
      <c r="Y11820"/>
    </row>
    <row r="11821" spans="25:25" x14ac:dyDescent="0.2">
      <c r="Y11821"/>
    </row>
    <row r="11822" spans="25:25" x14ac:dyDescent="0.2">
      <c r="Y11822"/>
    </row>
    <row r="11823" spans="25:25" x14ac:dyDescent="0.2">
      <c r="Y11823"/>
    </row>
    <row r="11824" spans="25:25" x14ac:dyDescent="0.2">
      <c r="Y11824"/>
    </row>
    <row r="11825" spans="25:25" x14ac:dyDescent="0.2">
      <c r="Y11825"/>
    </row>
    <row r="11826" spans="25:25" x14ac:dyDescent="0.2">
      <c r="Y11826"/>
    </row>
    <row r="11827" spans="25:25" x14ac:dyDescent="0.2">
      <c r="Y11827"/>
    </row>
    <row r="11828" spans="25:25" x14ac:dyDescent="0.2">
      <c r="Y11828"/>
    </row>
    <row r="11829" spans="25:25" x14ac:dyDescent="0.2">
      <c r="Y11829"/>
    </row>
    <row r="11830" spans="25:25" x14ac:dyDescent="0.2">
      <c r="Y11830"/>
    </row>
    <row r="11831" spans="25:25" x14ac:dyDescent="0.2">
      <c r="Y11831"/>
    </row>
    <row r="11832" spans="25:25" x14ac:dyDescent="0.2">
      <c r="Y11832"/>
    </row>
    <row r="11833" spans="25:25" x14ac:dyDescent="0.2">
      <c r="Y11833"/>
    </row>
    <row r="11834" spans="25:25" x14ac:dyDescent="0.2">
      <c r="Y11834"/>
    </row>
    <row r="11835" spans="25:25" x14ac:dyDescent="0.2">
      <c r="Y11835"/>
    </row>
    <row r="11836" spans="25:25" x14ac:dyDescent="0.2">
      <c r="Y11836"/>
    </row>
    <row r="11837" spans="25:25" x14ac:dyDescent="0.2">
      <c r="Y11837"/>
    </row>
    <row r="11838" spans="25:25" x14ac:dyDescent="0.2">
      <c r="Y11838"/>
    </row>
    <row r="11839" spans="25:25" x14ac:dyDescent="0.2">
      <c r="Y11839"/>
    </row>
    <row r="11840" spans="25:25" x14ac:dyDescent="0.2">
      <c r="Y11840"/>
    </row>
    <row r="11841" spans="25:25" x14ac:dyDescent="0.2">
      <c r="Y11841"/>
    </row>
    <row r="11842" spans="25:25" x14ac:dyDescent="0.2">
      <c r="Y11842"/>
    </row>
    <row r="11843" spans="25:25" x14ac:dyDescent="0.2">
      <c r="Y11843"/>
    </row>
    <row r="11844" spans="25:25" x14ac:dyDescent="0.2">
      <c r="Y11844"/>
    </row>
    <row r="11845" spans="25:25" x14ac:dyDescent="0.2">
      <c r="Y11845"/>
    </row>
    <row r="11846" spans="25:25" x14ac:dyDescent="0.2">
      <c r="Y11846"/>
    </row>
    <row r="11847" spans="25:25" x14ac:dyDescent="0.2">
      <c r="Y11847"/>
    </row>
    <row r="11848" spans="25:25" x14ac:dyDescent="0.2">
      <c r="Y11848"/>
    </row>
    <row r="11849" spans="25:25" x14ac:dyDescent="0.2">
      <c r="Y11849"/>
    </row>
    <row r="11850" spans="25:25" x14ac:dyDescent="0.2">
      <c r="Y11850"/>
    </row>
    <row r="11851" spans="25:25" x14ac:dyDescent="0.2">
      <c r="Y11851"/>
    </row>
    <row r="11852" spans="25:25" x14ac:dyDescent="0.2">
      <c r="Y11852"/>
    </row>
    <row r="11853" spans="25:25" x14ac:dyDescent="0.2">
      <c r="Y11853"/>
    </row>
    <row r="11854" spans="25:25" x14ac:dyDescent="0.2">
      <c r="Y11854"/>
    </row>
    <row r="11855" spans="25:25" x14ac:dyDescent="0.2">
      <c r="Y11855"/>
    </row>
    <row r="11856" spans="25:25" x14ac:dyDescent="0.2">
      <c r="Y11856"/>
    </row>
    <row r="11857" spans="25:25" x14ac:dyDescent="0.2">
      <c r="Y11857"/>
    </row>
    <row r="11858" spans="25:25" x14ac:dyDescent="0.2">
      <c r="Y11858"/>
    </row>
    <row r="11859" spans="25:25" x14ac:dyDescent="0.2">
      <c r="Y11859"/>
    </row>
    <row r="11860" spans="25:25" x14ac:dyDescent="0.2">
      <c r="Y11860"/>
    </row>
    <row r="11861" spans="25:25" x14ac:dyDescent="0.2">
      <c r="Y11861"/>
    </row>
    <row r="11862" spans="25:25" x14ac:dyDescent="0.2">
      <c r="Y11862"/>
    </row>
    <row r="11863" spans="25:25" x14ac:dyDescent="0.2">
      <c r="Y11863"/>
    </row>
    <row r="11864" spans="25:25" x14ac:dyDescent="0.2">
      <c r="Y11864"/>
    </row>
    <row r="11865" spans="25:25" x14ac:dyDescent="0.2">
      <c r="Y11865"/>
    </row>
    <row r="11866" spans="25:25" x14ac:dyDescent="0.2">
      <c r="Y11866"/>
    </row>
    <row r="11867" spans="25:25" x14ac:dyDescent="0.2">
      <c r="Y11867"/>
    </row>
    <row r="11868" spans="25:25" x14ac:dyDescent="0.2">
      <c r="Y11868"/>
    </row>
    <row r="11869" spans="25:25" x14ac:dyDescent="0.2">
      <c r="Y11869"/>
    </row>
    <row r="11870" spans="25:25" x14ac:dyDescent="0.2">
      <c r="Y11870"/>
    </row>
    <row r="11871" spans="25:25" x14ac:dyDescent="0.2">
      <c r="Y11871"/>
    </row>
    <row r="11872" spans="25:25" x14ac:dyDescent="0.2">
      <c r="Y11872"/>
    </row>
    <row r="11873" spans="25:25" x14ac:dyDescent="0.2">
      <c r="Y11873"/>
    </row>
    <row r="11874" spans="25:25" x14ac:dyDescent="0.2">
      <c r="Y11874"/>
    </row>
    <row r="11875" spans="25:25" x14ac:dyDescent="0.2">
      <c r="Y11875"/>
    </row>
    <row r="11876" spans="25:25" x14ac:dyDescent="0.2">
      <c r="Y11876"/>
    </row>
    <row r="11877" spans="25:25" x14ac:dyDescent="0.2">
      <c r="Y11877"/>
    </row>
    <row r="11878" spans="25:25" x14ac:dyDescent="0.2">
      <c r="Y11878"/>
    </row>
    <row r="11879" spans="25:25" x14ac:dyDescent="0.2">
      <c r="Y11879"/>
    </row>
    <row r="11880" spans="25:25" x14ac:dyDescent="0.2">
      <c r="Y11880"/>
    </row>
    <row r="11881" spans="25:25" x14ac:dyDescent="0.2">
      <c r="Y11881"/>
    </row>
    <row r="11882" spans="25:25" x14ac:dyDescent="0.2">
      <c r="Y11882"/>
    </row>
    <row r="11883" spans="25:25" x14ac:dyDescent="0.2">
      <c r="Y11883"/>
    </row>
    <row r="11884" spans="25:25" x14ac:dyDescent="0.2">
      <c r="Y11884"/>
    </row>
    <row r="11885" spans="25:25" x14ac:dyDescent="0.2">
      <c r="Y11885"/>
    </row>
    <row r="11886" spans="25:25" x14ac:dyDescent="0.2">
      <c r="Y11886"/>
    </row>
    <row r="11887" spans="25:25" x14ac:dyDescent="0.2">
      <c r="Y11887"/>
    </row>
    <row r="11888" spans="25:25" x14ac:dyDescent="0.2">
      <c r="Y11888"/>
    </row>
    <row r="11889" spans="25:25" x14ac:dyDescent="0.2">
      <c r="Y11889"/>
    </row>
    <row r="11890" spans="25:25" x14ac:dyDescent="0.2">
      <c r="Y11890"/>
    </row>
    <row r="11891" spans="25:25" x14ac:dyDescent="0.2">
      <c r="Y11891"/>
    </row>
    <row r="11892" spans="25:25" x14ac:dyDescent="0.2">
      <c r="Y11892"/>
    </row>
    <row r="11893" spans="25:25" x14ac:dyDescent="0.2">
      <c r="Y11893"/>
    </row>
    <row r="11894" spans="25:25" x14ac:dyDescent="0.2">
      <c r="Y11894"/>
    </row>
    <row r="11895" spans="25:25" x14ac:dyDescent="0.2">
      <c r="Y11895"/>
    </row>
    <row r="11896" spans="25:25" x14ac:dyDescent="0.2">
      <c r="Y11896"/>
    </row>
    <row r="11897" spans="25:25" x14ac:dyDescent="0.2">
      <c r="Y11897"/>
    </row>
    <row r="11898" spans="25:25" x14ac:dyDescent="0.2">
      <c r="Y11898"/>
    </row>
    <row r="11899" spans="25:25" x14ac:dyDescent="0.2">
      <c r="Y11899"/>
    </row>
    <row r="11900" spans="25:25" x14ac:dyDescent="0.2">
      <c r="Y11900"/>
    </row>
    <row r="11901" spans="25:25" x14ac:dyDescent="0.2">
      <c r="Y11901"/>
    </row>
    <row r="11902" spans="25:25" x14ac:dyDescent="0.2">
      <c r="Y11902"/>
    </row>
    <row r="11903" spans="25:25" x14ac:dyDescent="0.2">
      <c r="Y11903"/>
    </row>
    <row r="11904" spans="25:25" x14ac:dyDescent="0.2">
      <c r="Y11904"/>
    </row>
    <row r="11905" spans="25:25" x14ac:dyDescent="0.2">
      <c r="Y11905"/>
    </row>
    <row r="11906" spans="25:25" x14ac:dyDescent="0.2">
      <c r="Y11906"/>
    </row>
    <row r="11907" spans="25:25" x14ac:dyDescent="0.2">
      <c r="Y11907"/>
    </row>
    <row r="11908" spans="25:25" x14ac:dyDescent="0.2">
      <c r="Y11908"/>
    </row>
    <row r="11909" spans="25:25" x14ac:dyDescent="0.2">
      <c r="Y11909"/>
    </row>
    <row r="11910" spans="25:25" x14ac:dyDescent="0.2">
      <c r="Y11910"/>
    </row>
    <row r="11911" spans="25:25" x14ac:dyDescent="0.2">
      <c r="Y11911"/>
    </row>
    <row r="11912" spans="25:25" x14ac:dyDescent="0.2">
      <c r="Y11912"/>
    </row>
    <row r="11913" spans="25:25" x14ac:dyDescent="0.2">
      <c r="Y11913"/>
    </row>
    <row r="11914" spans="25:25" x14ac:dyDescent="0.2">
      <c r="Y11914"/>
    </row>
    <row r="11915" spans="25:25" x14ac:dyDescent="0.2">
      <c r="Y11915"/>
    </row>
    <row r="11916" spans="25:25" x14ac:dyDescent="0.2">
      <c r="Y11916"/>
    </row>
    <row r="11917" spans="25:25" x14ac:dyDescent="0.2">
      <c r="Y11917"/>
    </row>
    <row r="11918" spans="25:25" x14ac:dyDescent="0.2">
      <c r="Y11918"/>
    </row>
    <row r="11919" spans="25:25" x14ac:dyDescent="0.2">
      <c r="Y11919"/>
    </row>
    <row r="11920" spans="25:25" x14ac:dyDescent="0.2">
      <c r="Y11920"/>
    </row>
    <row r="11921" spans="25:25" x14ac:dyDescent="0.2">
      <c r="Y11921"/>
    </row>
    <row r="11922" spans="25:25" x14ac:dyDescent="0.2">
      <c r="Y11922"/>
    </row>
    <row r="11923" spans="25:25" x14ac:dyDescent="0.2">
      <c r="Y11923"/>
    </row>
    <row r="11924" spans="25:25" x14ac:dyDescent="0.2">
      <c r="Y11924"/>
    </row>
    <row r="11925" spans="25:25" x14ac:dyDescent="0.2">
      <c r="Y11925"/>
    </row>
    <row r="11926" spans="25:25" x14ac:dyDescent="0.2">
      <c r="Y11926"/>
    </row>
    <row r="11927" spans="25:25" x14ac:dyDescent="0.2">
      <c r="Y11927"/>
    </row>
    <row r="11928" spans="25:25" x14ac:dyDescent="0.2">
      <c r="Y11928"/>
    </row>
    <row r="11929" spans="25:25" x14ac:dyDescent="0.2">
      <c r="Y11929"/>
    </row>
    <row r="11930" spans="25:25" x14ac:dyDescent="0.2">
      <c r="Y11930"/>
    </row>
    <row r="11931" spans="25:25" x14ac:dyDescent="0.2">
      <c r="Y11931"/>
    </row>
    <row r="11932" spans="25:25" x14ac:dyDescent="0.2">
      <c r="Y11932"/>
    </row>
    <row r="11933" spans="25:25" x14ac:dyDescent="0.2">
      <c r="Y11933"/>
    </row>
    <row r="11934" spans="25:25" x14ac:dyDescent="0.2">
      <c r="Y11934"/>
    </row>
    <row r="11935" spans="25:25" x14ac:dyDescent="0.2">
      <c r="Y11935"/>
    </row>
    <row r="11936" spans="25:25" x14ac:dyDescent="0.2">
      <c r="Y11936"/>
    </row>
    <row r="11937" spans="25:25" x14ac:dyDescent="0.2">
      <c r="Y11937"/>
    </row>
    <row r="11938" spans="25:25" x14ac:dyDescent="0.2">
      <c r="Y11938"/>
    </row>
    <row r="11939" spans="25:25" x14ac:dyDescent="0.2">
      <c r="Y11939"/>
    </row>
    <row r="11940" spans="25:25" x14ac:dyDescent="0.2">
      <c r="Y11940"/>
    </row>
    <row r="11941" spans="25:25" x14ac:dyDescent="0.2">
      <c r="Y11941"/>
    </row>
    <row r="11942" spans="25:25" x14ac:dyDescent="0.2">
      <c r="Y11942"/>
    </row>
    <row r="11943" spans="25:25" x14ac:dyDescent="0.2">
      <c r="Y11943"/>
    </row>
    <row r="11944" spans="25:25" x14ac:dyDescent="0.2">
      <c r="Y11944"/>
    </row>
    <row r="11945" spans="25:25" x14ac:dyDescent="0.2">
      <c r="Y11945"/>
    </row>
    <row r="11946" spans="25:25" x14ac:dyDescent="0.2">
      <c r="Y11946"/>
    </row>
    <row r="11947" spans="25:25" x14ac:dyDescent="0.2">
      <c r="Y11947"/>
    </row>
    <row r="11948" spans="25:25" x14ac:dyDescent="0.2">
      <c r="Y11948"/>
    </row>
    <row r="11949" spans="25:25" x14ac:dyDescent="0.2">
      <c r="Y11949"/>
    </row>
    <row r="11950" spans="25:25" x14ac:dyDescent="0.2">
      <c r="Y11950"/>
    </row>
    <row r="11951" spans="25:25" x14ac:dyDescent="0.2">
      <c r="Y11951"/>
    </row>
    <row r="11952" spans="25:25" x14ac:dyDescent="0.2">
      <c r="Y11952"/>
    </row>
    <row r="11953" spans="25:25" x14ac:dyDescent="0.2">
      <c r="Y11953"/>
    </row>
    <row r="11954" spans="25:25" x14ac:dyDescent="0.2">
      <c r="Y11954"/>
    </row>
    <row r="11955" spans="25:25" x14ac:dyDescent="0.2">
      <c r="Y11955"/>
    </row>
    <row r="11956" spans="25:25" x14ac:dyDescent="0.2">
      <c r="Y11956"/>
    </row>
    <row r="11957" spans="25:25" x14ac:dyDescent="0.2">
      <c r="Y11957"/>
    </row>
    <row r="11958" spans="25:25" x14ac:dyDescent="0.2">
      <c r="Y11958"/>
    </row>
    <row r="11959" spans="25:25" x14ac:dyDescent="0.2">
      <c r="Y11959"/>
    </row>
    <row r="11960" spans="25:25" x14ac:dyDescent="0.2">
      <c r="Y11960"/>
    </row>
    <row r="11961" spans="25:25" x14ac:dyDescent="0.2">
      <c r="Y11961"/>
    </row>
    <row r="11962" spans="25:25" x14ac:dyDescent="0.2">
      <c r="Y11962"/>
    </row>
    <row r="11963" spans="25:25" x14ac:dyDescent="0.2">
      <c r="Y11963"/>
    </row>
    <row r="11964" spans="25:25" x14ac:dyDescent="0.2">
      <c r="Y11964"/>
    </row>
    <row r="11965" spans="25:25" x14ac:dyDescent="0.2">
      <c r="Y11965"/>
    </row>
    <row r="11966" spans="25:25" x14ac:dyDescent="0.2">
      <c r="Y11966"/>
    </row>
    <row r="11967" spans="25:25" x14ac:dyDescent="0.2">
      <c r="Y11967"/>
    </row>
    <row r="11968" spans="25:25" x14ac:dyDescent="0.2">
      <c r="Y11968"/>
    </row>
    <row r="11969" spans="25:25" x14ac:dyDescent="0.2">
      <c r="Y11969"/>
    </row>
    <row r="11970" spans="25:25" x14ac:dyDescent="0.2">
      <c r="Y11970"/>
    </row>
    <row r="11971" spans="25:25" x14ac:dyDescent="0.2">
      <c r="Y11971"/>
    </row>
    <row r="11972" spans="25:25" x14ac:dyDescent="0.2">
      <c r="Y11972"/>
    </row>
    <row r="11973" spans="25:25" x14ac:dyDescent="0.2">
      <c r="Y11973"/>
    </row>
    <row r="11974" spans="25:25" x14ac:dyDescent="0.2">
      <c r="Y11974"/>
    </row>
    <row r="11975" spans="25:25" x14ac:dyDescent="0.2">
      <c r="Y11975"/>
    </row>
    <row r="11976" spans="25:25" x14ac:dyDescent="0.2">
      <c r="Y11976"/>
    </row>
    <row r="11977" spans="25:25" x14ac:dyDescent="0.2">
      <c r="Y11977"/>
    </row>
    <row r="11978" spans="25:25" x14ac:dyDescent="0.2">
      <c r="Y11978"/>
    </row>
    <row r="11979" spans="25:25" x14ac:dyDescent="0.2">
      <c r="Y11979"/>
    </row>
    <row r="11980" spans="25:25" x14ac:dyDescent="0.2">
      <c r="Y11980"/>
    </row>
    <row r="11981" spans="25:25" x14ac:dyDescent="0.2">
      <c r="Y11981"/>
    </row>
    <row r="11982" spans="25:25" x14ac:dyDescent="0.2">
      <c r="Y11982"/>
    </row>
    <row r="11983" spans="25:25" x14ac:dyDescent="0.2">
      <c r="Y11983"/>
    </row>
    <row r="11984" spans="25:25" x14ac:dyDescent="0.2">
      <c r="Y11984"/>
    </row>
    <row r="11985" spans="25:25" x14ac:dyDescent="0.2">
      <c r="Y11985"/>
    </row>
    <row r="11986" spans="25:25" x14ac:dyDescent="0.2">
      <c r="Y11986"/>
    </row>
    <row r="11987" spans="25:25" x14ac:dyDescent="0.2">
      <c r="Y11987"/>
    </row>
    <row r="11988" spans="25:25" x14ac:dyDescent="0.2">
      <c r="Y11988"/>
    </row>
    <row r="11989" spans="25:25" x14ac:dyDescent="0.2">
      <c r="Y11989"/>
    </row>
    <row r="11990" spans="25:25" x14ac:dyDescent="0.2">
      <c r="Y11990"/>
    </row>
    <row r="11991" spans="25:25" x14ac:dyDescent="0.2">
      <c r="Y11991"/>
    </row>
    <row r="11992" spans="25:25" x14ac:dyDescent="0.2">
      <c r="Y11992"/>
    </row>
    <row r="11993" spans="25:25" x14ac:dyDescent="0.2">
      <c r="Y11993"/>
    </row>
    <row r="11994" spans="25:25" x14ac:dyDescent="0.2">
      <c r="Y11994"/>
    </row>
    <row r="11995" spans="25:25" x14ac:dyDescent="0.2">
      <c r="Y11995"/>
    </row>
    <row r="11996" spans="25:25" x14ac:dyDescent="0.2">
      <c r="Y11996"/>
    </row>
    <row r="11997" spans="25:25" x14ac:dyDescent="0.2">
      <c r="Y11997"/>
    </row>
    <row r="11998" spans="25:25" x14ac:dyDescent="0.2">
      <c r="Y11998"/>
    </row>
    <row r="11999" spans="25:25" x14ac:dyDescent="0.2">
      <c r="Y11999"/>
    </row>
    <row r="12000" spans="25:25" x14ac:dyDescent="0.2">
      <c r="Y12000"/>
    </row>
    <row r="12001" spans="25:25" x14ac:dyDescent="0.2">
      <c r="Y12001"/>
    </row>
    <row r="12002" spans="25:25" x14ac:dyDescent="0.2">
      <c r="Y12002"/>
    </row>
    <row r="12003" spans="25:25" x14ac:dyDescent="0.2">
      <c r="Y12003"/>
    </row>
    <row r="12004" spans="25:25" x14ac:dyDescent="0.2">
      <c r="Y12004"/>
    </row>
    <row r="12005" spans="25:25" x14ac:dyDescent="0.2">
      <c r="Y12005"/>
    </row>
    <row r="12006" spans="25:25" x14ac:dyDescent="0.2">
      <c r="Y12006"/>
    </row>
    <row r="12007" spans="25:25" x14ac:dyDescent="0.2">
      <c r="Y12007"/>
    </row>
    <row r="12008" spans="25:25" x14ac:dyDescent="0.2">
      <c r="Y12008"/>
    </row>
    <row r="12009" spans="25:25" x14ac:dyDescent="0.2">
      <c r="Y12009"/>
    </row>
    <row r="12010" spans="25:25" x14ac:dyDescent="0.2">
      <c r="Y12010"/>
    </row>
    <row r="12011" spans="25:25" x14ac:dyDescent="0.2">
      <c r="Y12011"/>
    </row>
    <row r="12012" spans="25:25" x14ac:dyDescent="0.2">
      <c r="Y12012"/>
    </row>
    <row r="12013" spans="25:25" x14ac:dyDescent="0.2">
      <c r="Y12013"/>
    </row>
    <row r="12014" spans="25:25" x14ac:dyDescent="0.2">
      <c r="Y12014"/>
    </row>
    <row r="12015" spans="25:25" x14ac:dyDescent="0.2">
      <c r="Y12015"/>
    </row>
    <row r="12016" spans="25:25" x14ac:dyDescent="0.2">
      <c r="Y12016"/>
    </row>
    <row r="12017" spans="25:25" x14ac:dyDescent="0.2">
      <c r="Y12017"/>
    </row>
    <row r="12018" spans="25:25" x14ac:dyDescent="0.2">
      <c r="Y12018"/>
    </row>
    <row r="12019" spans="25:25" x14ac:dyDescent="0.2">
      <c r="Y12019"/>
    </row>
    <row r="12020" spans="25:25" x14ac:dyDescent="0.2">
      <c r="Y12020"/>
    </row>
    <row r="12021" spans="25:25" x14ac:dyDescent="0.2">
      <c r="Y12021"/>
    </row>
    <row r="12022" spans="25:25" x14ac:dyDescent="0.2">
      <c r="Y12022"/>
    </row>
    <row r="12023" spans="25:25" x14ac:dyDescent="0.2">
      <c r="Y12023"/>
    </row>
    <row r="12024" spans="25:25" x14ac:dyDescent="0.2">
      <c r="Y12024"/>
    </row>
    <row r="12025" spans="25:25" x14ac:dyDescent="0.2">
      <c r="Y12025"/>
    </row>
    <row r="12026" spans="25:25" x14ac:dyDescent="0.2">
      <c r="Y12026"/>
    </row>
    <row r="12027" spans="25:25" x14ac:dyDescent="0.2">
      <c r="Y12027"/>
    </row>
    <row r="12028" spans="25:25" x14ac:dyDescent="0.2">
      <c r="Y12028"/>
    </row>
    <row r="12029" spans="25:25" x14ac:dyDescent="0.2">
      <c r="Y12029"/>
    </row>
    <row r="12030" spans="25:25" x14ac:dyDescent="0.2">
      <c r="Y12030"/>
    </row>
    <row r="12031" spans="25:25" x14ac:dyDescent="0.2">
      <c r="Y12031"/>
    </row>
    <row r="12032" spans="25:25" x14ac:dyDescent="0.2">
      <c r="Y12032"/>
    </row>
    <row r="12033" spans="25:25" x14ac:dyDescent="0.2">
      <c r="Y12033"/>
    </row>
    <row r="12034" spans="25:25" x14ac:dyDescent="0.2">
      <c r="Y12034"/>
    </row>
    <row r="12035" spans="25:25" x14ac:dyDescent="0.2">
      <c r="Y12035"/>
    </row>
    <row r="12036" spans="25:25" x14ac:dyDescent="0.2">
      <c r="Y12036"/>
    </row>
    <row r="12037" spans="25:25" x14ac:dyDescent="0.2">
      <c r="Y12037"/>
    </row>
    <row r="12038" spans="25:25" x14ac:dyDescent="0.2">
      <c r="Y12038"/>
    </row>
    <row r="12039" spans="25:25" x14ac:dyDescent="0.2">
      <c r="Y12039"/>
    </row>
    <row r="12040" spans="25:25" x14ac:dyDescent="0.2">
      <c r="Y12040"/>
    </row>
    <row r="12041" spans="25:25" x14ac:dyDescent="0.2">
      <c r="Y12041"/>
    </row>
    <row r="12042" spans="25:25" x14ac:dyDescent="0.2">
      <c r="Y12042"/>
    </row>
    <row r="12043" spans="25:25" x14ac:dyDescent="0.2">
      <c r="Y12043"/>
    </row>
    <row r="12044" spans="25:25" x14ac:dyDescent="0.2">
      <c r="Y12044"/>
    </row>
    <row r="12045" spans="25:25" x14ac:dyDescent="0.2">
      <c r="Y12045"/>
    </row>
    <row r="12046" spans="25:25" x14ac:dyDescent="0.2">
      <c r="Y12046"/>
    </row>
    <row r="12047" spans="25:25" x14ac:dyDescent="0.2">
      <c r="Y12047"/>
    </row>
    <row r="12048" spans="25:25" x14ac:dyDescent="0.2">
      <c r="Y12048"/>
    </row>
    <row r="12049" spans="25:25" x14ac:dyDescent="0.2">
      <c r="Y12049"/>
    </row>
    <row r="12050" spans="25:25" x14ac:dyDescent="0.2">
      <c r="Y12050"/>
    </row>
    <row r="12051" spans="25:25" x14ac:dyDescent="0.2">
      <c r="Y12051"/>
    </row>
    <row r="12052" spans="25:25" x14ac:dyDescent="0.2">
      <c r="Y12052"/>
    </row>
    <row r="12053" spans="25:25" x14ac:dyDescent="0.2">
      <c r="Y12053"/>
    </row>
    <row r="12054" spans="25:25" x14ac:dyDescent="0.2">
      <c r="Y12054"/>
    </row>
    <row r="12055" spans="25:25" x14ac:dyDescent="0.2">
      <c r="Y12055"/>
    </row>
    <row r="12056" spans="25:25" x14ac:dyDescent="0.2">
      <c r="Y12056"/>
    </row>
    <row r="12057" spans="25:25" x14ac:dyDescent="0.2">
      <c r="Y12057"/>
    </row>
    <row r="12058" spans="25:25" x14ac:dyDescent="0.2">
      <c r="Y12058"/>
    </row>
    <row r="12059" spans="25:25" x14ac:dyDescent="0.2">
      <c r="Y12059"/>
    </row>
    <row r="12060" spans="25:25" x14ac:dyDescent="0.2">
      <c r="Y12060"/>
    </row>
    <row r="12061" spans="25:25" x14ac:dyDescent="0.2">
      <c r="Y12061"/>
    </row>
    <row r="12062" spans="25:25" x14ac:dyDescent="0.2">
      <c r="Y12062"/>
    </row>
    <row r="12063" spans="25:25" x14ac:dyDescent="0.2">
      <c r="Y12063"/>
    </row>
    <row r="12064" spans="25:25" x14ac:dyDescent="0.2">
      <c r="Y12064"/>
    </row>
    <row r="12065" spans="25:25" x14ac:dyDescent="0.2">
      <c r="Y12065"/>
    </row>
    <row r="12066" spans="25:25" x14ac:dyDescent="0.2">
      <c r="Y12066"/>
    </row>
    <row r="12067" spans="25:25" x14ac:dyDescent="0.2">
      <c r="Y12067"/>
    </row>
    <row r="12068" spans="25:25" x14ac:dyDescent="0.2">
      <c r="Y12068"/>
    </row>
    <row r="12069" spans="25:25" x14ac:dyDescent="0.2">
      <c r="Y12069"/>
    </row>
    <row r="12070" spans="25:25" x14ac:dyDescent="0.2">
      <c r="Y12070"/>
    </row>
    <row r="12071" spans="25:25" x14ac:dyDescent="0.2">
      <c r="Y12071"/>
    </row>
    <row r="12072" spans="25:25" x14ac:dyDescent="0.2">
      <c r="Y12072"/>
    </row>
    <row r="12073" spans="25:25" x14ac:dyDescent="0.2">
      <c r="Y12073"/>
    </row>
    <row r="12074" spans="25:25" x14ac:dyDescent="0.2">
      <c r="Y12074"/>
    </row>
    <row r="12075" spans="25:25" x14ac:dyDescent="0.2">
      <c r="Y12075"/>
    </row>
    <row r="12076" spans="25:25" x14ac:dyDescent="0.2">
      <c r="Y12076"/>
    </row>
    <row r="12077" spans="25:25" x14ac:dyDescent="0.2">
      <c r="Y12077"/>
    </row>
    <row r="12078" spans="25:25" x14ac:dyDescent="0.2">
      <c r="Y12078"/>
    </row>
    <row r="12079" spans="25:25" x14ac:dyDescent="0.2">
      <c r="Y12079"/>
    </row>
    <row r="12080" spans="25:25" x14ac:dyDescent="0.2">
      <c r="Y12080"/>
    </row>
    <row r="12081" spans="25:25" x14ac:dyDescent="0.2">
      <c r="Y12081"/>
    </row>
    <row r="12082" spans="25:25" x14ac:dyDescent="0.2">
      <c r="Y12082"/>
    </row>
    <row r="12083" spans="25:25" x14ac:dyDescent="0.2">
      <c r="Y12083"/>
    </row>
    <row r="12084" spans="25:25" x14ac:dyDescent="0.2">
      <c r="Y12084"/>
    </row>
    <row r="12085" spans="25:25" x14ac:dyDescent="0.2">
      <c r="Y12085"/>
    </row>
    <row r="12086" spans="25:25" x14ac:dyDescent="0.2">
      <c r="Y12086"/>
    </row>
    <row r="12087" spans="25:25" x14ac:dyDescent="0.2">
      <c r="Y12087"/>
    </row>
    <row r="12088" spans="25:25" x14ac:dyDescent="0.2">
      <c r="Y12088"/>
    </row>
    <row r="12089" spans="25:25" x14ac:dyDescent="0.2">
      <c r="Y12089"/>
    </row>
    <row r="12090" spans="25:25" x14ac:dyDescent="0.2">
      <c r="Y12090"/>
    </row>
    <row r="12091" spans="25:25" x14ac:dyDescent="0.2">
      <c r="Y12091"/>
    </row>
    <row r="12092" spans="25:25" x14ac:dyDescent="0.2">
      <c r="Y12092"/>
    </row>
    <row r="12093" spans="25:25" x14ac:dyDescent="0.2">
      <c r="Y12093"/>
    </row>
    <row r="12094" spans="25:25" x14ac:dyDescent="0.2">
      <c r="Y12094"/>
    </row>
    <row r="12095" spans="25:25" x14ac:dyDescent="0.2">
      <c r="Y12095"/>
    </row>
    <row r="12096" spans="25:25" x14ac:dyDescent="0.2">
      <c r="Y12096"/>
    </row>
    <row r="12097" spans="25:25" x14ac:dyDescent="0.2">
      <c r="Y12097"/>
    </row>
    <row r="12098" spans="25:25" x14ac:dyDescent="0.2">
      <c r="Y12098"/>
    </row>
    <row r="12099" spans="25:25" x14ac:dyDescent="0.2">
      <c r="Y12099"/>
    </row>
    <row r="12100" spans="25:25" x14ac:dyDescent="0.2">
      <c r="Y12100"/>
    </row>
    <row r="12101" spans="25:25" x14ac:dyDescent="0.2">
      <c r="Y12101"/>
    </row>
    <row r="12102" spans="25:25" x14ac:dyDescent="0.2">
      <c r="Y12102"/>
    </row>
    <row r="12103" spans="25:25" x14ac:dyDescent="0.2">
      <c r="Y12103"/>
    </row>
    <row r="12104" spans="25:25" x14ac:dyDescent="0.2">
      <c r="Y12104"/>
    </row>
    <row r="12105" spans="25:25" x14ac:dyDescent="0.2">
      <c r="Y12105"/>
    </row>
    <row r="12106" spans="25:25" x14ac:dyDescent="0.2">
      <c r="Y12106"/>
    </row>
    <row r="12107" spans="25:25" x14ac:dyDescent="0.2">
      <c r="Y12107"/>
    </row>
    <row r="12108" spans="25:25" x14ac:dyDescent="0.2">
      <c r="Y12108"/>
    </row>
    <row r="12109" spans="25:25" x14ac:dyDescent="0.2">
      <c r="Y12109"/>
    </row>
    <row r="12110" spans="25:25" x14ac:dyDescent="0.2">
      <c r="Y12110"/>
    </row>
    <row r="12111" spans="25:25" x14ac:dyDescent="0.2">
      <c r="Y12111"/>
    </row>
    <row r="12112" spans="25:25" x14ac:dyDescent="0.2">
      <c r="Y12112"/>
    </row>
    <row r="12113" spans="25:25" x14ac:dyDescent="0.2">
      <c r="Y12113"/>
    </row>
    <row r="12114" spans="25:25" x14ac:dyDescent="0.2">
      <c r="Y12114"/>
    </row>
    <row r="12115" spans="25:25" x14ac:dyDescent="0.2">
      <c r="Y12115"/>
    </row>
    <row r="12116" spans="25:25" x14ac:dyDescent="0.2">
      <c r="Y12116"/>
    </row>
    <row r="12117" spans="25:25" x14ac:dyDescent="0.2">
      <c r="Y12117"/>
    </row>
    <row r="12118" spans="25:25" x14ac:dyDescent="0.2">
      <c r="Y12118"/>
    </row>
    <row r="12119" spans="25:25" x14ac:dyDescent="0.2">
      <c r="Y12119"/>
    </row>
    <row r="12120" spans="25:25" x14ac:dyDescent="0.2">
      <c r="Y12120"/>
    </row>
    <row r="12121" spans="25:25" x14ac:dyDescent="0.2">
      <c r="Y12121"/>
    </row>
    <row r="12122" spans="25:25" x14ac:dyDescent="0.2">
      <c r="Y12122"/>
    </row>
    <row r="12123" spans="25:25" x14ac:dyDescent="0.2">
      <c r="Y12123"/>
    </row>
    <row r="12124" spans="25:25" x14ac:dyDescent="0.2">
      <c r="Y12124"/>
    </row>
    <row r="12125" spans="25:25" x14ac:dyDescent="0.2">
      <c r="Y12125"/>
    </row>
    <row r="12126" spans="25:25" x14ac:dyDescent="0.2">
      <c r="Y12126"/>
    </row>
    <row r="12127" spans="25:25" x14ac:dyDescent="0.2">
      <c r="Y12127"/>
    </row>
    <row r="12128" spans="25:25" x14ac:dyDescent="0.2">
      <c r="Y12128"/>
    </row>
    <row r="12129" spans="25:25" x14ac:dyDescent="0.2">
      <c r="Y12129"/>
    </row>
    <row r="12130" spans="25:25" x14ac:dyDescent="0.2">
      <c r="Y12130"/>
    </row>
    <row r="12131" spans="25:25" x14ac:dyDescent="0.2">
      <c r="Y12131"/>
    </row>
    <row r="12132" spans="25:25" x14ac:dyDescent="0.2">
      <c r="Y12132"/>
    </row>
    <row r="12133" spans="25:25" x14ac:dyDescent="0.2">
      <c r="Y12133"/>
    </row>
    <row r="12134" spans="25:25" x14ac:dyDescent="0.2">
      <c r="Y12134"/>
    </row>
    <row r="12135" spans="25:25" x14ac:dyDescent="0.2">
      <c r="Y12135"/>
    </row>
    <row r="12136" spans="25:25" x14ac:dyDescent="0.2">
      <c r="Y12136"/>
    </row>
    <row r="12137" spans="25:25" x14ac:dyDescent="0.2">
      <c r="Y12137"/>
    </row>
    <row r="12138" spans="25:25" x14ac:dyDescent="0.2">
      <c r="Y12138"/>
    </row>
    <row r="12139" spans="25:25" x14ac:dyDescent="0.2">
      <c r="Y12139"/>
    </row>
    <row r="12140" spans="25:25" x14ac:dyDescent="0.2">
      <c r="Y12140"/>
    </row>
    <row r="12141" spans="25:25" x14ac:dyDescent="0.2">
      <c r="Y12141"/>
    </row>
    <row r="12142" spans="25:25" x14ac:dyDescent="0.2">
      <c r="Y12142"/>
    </row>
    <row r="12143" spans="25:25" x14ac:dyDescent="0.2">
      <c r="Y12143"/>
    </row>
    <row r="12144" spans="25:25" x14ac:dyDescent="0.2">
      <c r="Y12144"/>
    </row>
    <row r="12145" spans="25:25" x14ac:dyDescent="0.2">
      <c r="Y12145"/>
    </row>
    <row r="12146" spans="25:25" x14ac:dyDescent="0.2">
      <c r="Y12146"/>
    </row>
    <row r="12147" spans="25:25" x14ac:dyDescent="0.2">
      <c r="Y12147"/>
    </row>
    <row r="12148" spans="25:25" x14ac:dyDescent="0.2">
      <c r="Y12148"/>
    </row>
    <row r="12149" spans="25:25" x14ac:dyDescent="0.2">
      <c r="Y12149"/>
    </row>
    <row r="12150" spans="25:25" x14ac:dyDescent="0.2">
      <c r="Y12150"/>
    </row>
    <row r="12151" spans="25:25" x14ac:dyDescent="0.2">
      <c r="Y12151"/>
    </row>
    <row r="12152" spans="25:25" x14ac:dyDescent="0.2">
      <c r="Y12152"/>
    </row>
    <row r="12153" spans="25:25" x14ac:dyDescent="0.2">
      <c r="Y12153"/>
    </row>
    <row r="12154" spans="25:25" x14ac:dyDescent="0.2">
      <c r="Y12154"/>
    </row>
    <row r="12155" spans="25:25" x14ac:dyDescent="0.2">
      <c r="Y12155"/>
    </row>
    <row r="12156" spans="25:25" x14ac:dyDescent="0.2">
      <c r="Y12156"/>
    </row>
    <row r="12157" spans="25:25" x14ac:dyDescent="0.2">
      <c r="Y12157"/>
    </row>
    <row r="12158" spans="25:25" x14ac:dyDescent="0.2">
      <c r="Y12158"/>
    </row>
    <row r="12159" spans="25:25" x14ac:dyDescent="0.2">
      <c r="Y12159"/>
    </row>
    <row r="12160" spans="25:25" x14ac:dyDescent="0.2">
      <c r="Y12160"/>
    </row>
    <row r="12161" spans="25:25" x14ac:dyDescent="0.2">
      <c r="Y12161"/>
    </row>
    <row r="12162" spans="25:25" x14ac:dyDescent="0.2">
      <c r="Y12162"/>
    </row>
    <row r="12163" spans="25:25" x14ac:dyDescent="0.2">
      <c r="Y12163"/>
    </row>
    <row r="12164" spans="25:25" x14ac:dyDescent="0.2">
      <c r="Y12164"/>
    </row>
    <row r="12165" spans="25:25" x14ac:dyDescent="0.2">
      <c r="Y12165"/>
    </row>
    <row r="12166" spans="25:25" x14ac:dyDescent="0.2">
      <c r="Y12166"/>
    </row>
    <row r="12167" spans="25:25" x14ac:dyDescent="0.2">
      <c r="Y12167"/>
    </row>
    <row r="12168" spans="25:25" x14ac:dyDescent="0.2">
      <c r="Y12168"/>
    </row>
    <row r="12169" spans="25:25" x14ac:dyDescent="0.2">
      <c r="Y12169"/>
    </row>
    <row r="12170" spans="25:25" x14ac:dyDescent="0.2">
      <c r="Y12170"/>
    </row>
    <row r="12171" spans="25:25" x14ac:dyDescent="0.2">
      <c r="Y12171"/>
    </row>
    <row r="12172" spans="25:25" x14ac:dyDescent="0.2">
      <c r="Y12172"/>
    </row>
    <row r="12173" spans="25:25" x14ac:dyDescent="0.2">
      <c r="Y12173"/>
    </row>
    <row r="12174" spans="25:25" x14ac:dyDescent="0.2">
      <c r="Y12174"/>
    </row>
    <row r="12175" spans="25:25" x14ac:dyDescent="0.2">
      <c r="Y12175"/>
    </row>
    <row r="12176" spans="25:25" x14ac:dyDescent="0.2">
      <c r="Y12176"/>
    </row>
    <row r="12177" spans="25:25" x14ac:dyDescent="0.2">
      <c r="Y12177"/>
    </row>
    <row r="12178" spans="25:25" x14ac:dyDescent="0.2">
      <c r="Y12178"/>
    </row>
    <row r="12179" spans="25:25" x14ac:dyDescent="0.2">
      <c r="Y12179"/>
    </row>
    <row r="12180" spans="25:25" x14ac:dyDescent="0.2">
      <c r="Y12180"/>
    </row>
    <row r="12181" spans="25:25" x14ac:dyDescent="0.2">
      <c r="Y12181"/>
    </row>
    <row r="12182" spans="25:25" x14ac:dyDescent="0.2">
      <c r="Y12182"/>
    </row>
    <row r="12183" spans="25:25" x14ac:dyDescent="0.2">
      <c r="Y12183"/>
    </row>
    <row r="12184" spans="25:25" x14ac:dyDescent="0.2">
      <c r="Y12184"/>
    </row>
    <row r="12185" spans="25:25" x14ac:dyDescent="0.2">
      <c r="Y12185"/>
    </row>
    <row r="12186" spans="25:25" x14ac:dyDescent="0.2">
      <c r="Y12186"/>
    </row>
    <row r="12187" spans="25:25" x14ac:dyDescent="0.2">
      <c r="Y12187"/>
    </row>
    <row r="12188" spans="25:25" x14ac:dyDescent="0.2">
      <c r="Y12188"/>
    </row>
    <row r="12189" spans="25:25" x14ac:dyDescent="0.2">
      <c r="Y12189"/>
    </row>
    <row r="12190" spans="25:25" x14ac:dyDescent="0.2">
      <c r="Y12190"/>
    </row>
    <row r="12191" spans="25:25" x14ac:dyDescent="0.2">
      <c r="Y12191"/>
    </row>
    <row r="12192" spans="25:25" x14ac:dyDescent="0.2">
      <c r="Y12192"/>
    </row>
    <row r="12193" spans="25:25" x14ac:dyDescent="0.2">
      <c r="Y12193"/>
    </row>
    <row r="12194" spans="25:25" x14ac:dyDescent="0.2">
      <c r="Y12194"/>
    </row>
    <row r="12195" spans="25:25" x14ac:dyDescent="0.2">
      <c r="Y12195"/>
    </row>
    <row r="12196" spans="25:25" x14ac:dyDescent="0.2">
      <c r="Y12196"/>
    </row>
    <row r="12197" spans="25:25" x14ac:dyDescent="0.2">
      <c r="Y12197"/>
    </row>
    <row r="12198" spans="25:25" x14ac:dyDescent="0.2">
      <c r="Y12198"/>
    </row>
    <row r="12199" spans="25:25" x14ac:dyDescent="0.2">
      <c r="Y12199"/>
    </row>
    <row r="12200" spans="25:25" x14ac:dyDescent="0.2">
      <c r="Y12200"/>
    </row>
    <row r="12201" spans="25:25" x14ac:dyDescent="0.2">
      <c r="Y12201"/>
    </row>
    <row r="12202" spans="25:25" x14ac:dyDescent="0.2">
      <c r="Y12202"/>
    </row>
    <row r="12203" spans="25:25" x14ac:dyDescent="0.2">
      <c r="Y12203"/>
    </row>
    <row r="12204" spans="25:25" x14ac:dyDescent="0.2">
      <c r="Y12204"/>
    </row>
    <row r="12205" spans="25:25" x14ac:dyDescent="0.2">
      <c r="Y12205"/>
    </row>
    <row r="12206" spans="25:25" x14ac:dyDescent="0.2">
      <c r="Y12206"/>
    </row>
    <row r="12207" spans="25:25" x14ac:dyDescent="0.2">
      <c r="Y12207"/>
    </row>
    <row r="12208" spans="25:25" x14ac:dyDescent="0.2">
      <c r="Y12208"/>
    </row>
    <row r="12209" spans="25:25" x14ac:dyDescent="0.2">
      <c r="Y12209"/>
    </row>
    <row r="12210" spans="25:25" x14ac:dyDescent="0.2">
      <c r="Y12210"/>
    </row>
    <row r="12211" spans="25:25" x14ac:dyDescent="0.2">
      <c r="Y12211"/>
    </row>
    <row r="12212" spans="25:25" x14ac:dyDescent="0.2">
      <c r="Y12212"/>
    </row>
    <row r="12213" spans="25:25" x14ac:dyDescent="0.2">
      <c r="Y12213"/>
    </row>
    <row r="12214" spans="25:25" x14ac:dyDescent="0.2">
      <c r="Y12214"/>
    </row>
    <row r="12215" spans="25:25" x14ac:dyDescent="0.2">
      <c r="Y12215"/>
    </row>
    <row r="12216" spans="25:25" x14ac:dyDescent="0.2">
      <c r="Y12216"/>
    </row>
    <row r="12217" spans="25:25" x14ac:dyDescent="0.2">
      <c r="Y12217"/>
    </row>
    <row r="12218" spans="25:25" x14ac:dyDescent="0.2">
      <c r="Y12218"/>
    </row>
    <row r="12219" spans="25:25" x14ac:dyDescent="0.2">
      <c r="Y12219"/>
    </row>
    <row r="12220" spans="25:25" x14ac:dyDescent="0.2">
      <c r="Y12220"/>
    </row>
    <row r="12221" spans="25:25" x14ac:dyDescent="0.2">
      <c r="Y12221"/>
    </row>
    <row r="12222" spans="25:25" x14ac:dyDescent="0.2">
      <c r="Y12222"/>
    </row>
    <row r="12223" spans="25:25" x14ac:dyDescent="0.2">
      <c r="Y12223"/>
    </row>
    <row r="12224" spans="25:25" x14ac:dyDescent="0.2">
      <c r="Y12224"/>
    </row>
    <row r="12225" spans="25:25" x14ac:dyDescent="0.2">
      <c r="Y12225"/>
    </row>
    <row r="12226" spans="25:25" x14ac:dyDescent="0.2">
      <c r="Y12226"/>
    </row>
    <row r="12227" spans="25:25" x14ac:dyDescent="0.2">
      <c r="Y12227"/>
    </row>
    <row r="12228" spans="25:25" x14ac:dyDescent="0.2">
      <c r="Y12228"/>
    </row>
    <row r="12229" spans="25:25" x14ac:dyDescent="0.2">
      <c r="Y12229"/>
    </row>
    <row r="12230" spans="25:25" x14ac:dyDescent="0.2">
      <c r="Y12230"/>
    </row>
    <row r="12231" spans="25:25" x14ac:dyDescent="0.2">
      <c r="Y12231"/>
    </row>
    <row r="12232" spans="25:25" x14ac:dyDescent="0.2">
      <c r="Y12232"/>
    </row>
    <row r="12233" spans="25:25" x14ac:dyDescent="0.2">
      <c r="Y12233"/>
    </row>
    <row r="12234" spans="25:25" x14ac:dyDescent="0.2">
      <c r="Y12234"/>
    </row>
    <row r="12235" spans="25:25" x14ac:dyDescent="0.2">
      <c r="Y12235"/>
    </row>
    <row r="12236" spans="25:25" x14ac:dyDescent="0.2">
      <c r="Y12236"/>
    </row>
    <row r="12237" spans="25:25" x14ac:dyDescent="0.2">
      <c r="Y12237"/>
    </row>
    <row r="12238" spans="25:25" x14ac:dyDescent="0.2">
      <c r="Y12238"/>
    </row>
    <row r="12239" spans="25:25" x14ac:dyDescent="0.2">
      <c r="Y12239"/>
    </row>
    <row r="12240" spans="25:25" x14ac:dyDescent="0.2">
      <c r="Y12240"/>
    </row>
    <row r="12241" spans="25:25" x14ac:dyDescent="0.2">
      <c r="Y12241"/>
    </row>
    <row r="12242" spans="25:25" x14ac:dyDescent="0.2">
      <c r="Y12242"/>
    </row>
    <row r="12243" spans="25:25" x14ac:dyDescent="0.2">
      <c r="Y12243"/>
    </row>
    <row r="12244" spans="25:25" x14ac:dyDescent="0.2">
      <c r="Y12244"/>
    </row>
    <row r="12245" spans="25:25" x14ac:dyDescent="0.2">
      <c r="Y12245"/>
    </row>
    <row r="12246" spans="25:25" x14ac:dyDescent="0.2">
      <c r="Y12246"/>
    </row>
    <row r="12247" spans="25:25" x14ac:dyDescent="0.2">
      <c r="Y12247"/>
    </row>
    <row r="12248" spans="25:25" x14ac:dyDescent="0.2">
      <c r="Y12248"/>
    </row>
    <row r="12249" spans="25:25" x14ac:dyDescent="0.2">
      <c r="Y12249"/>
    </row>
    <row r="12250" spans="25:25" x14ac:dyDescent="0.2">
      <c r="Y12250"/>
    </row>
    <row r="12251" spans="25:25" x14ac:dyDescent="0.2">
      <c r="Y12251"/>
    </row>
    <row r="12252" spans="25:25" x14ac:dyDescent="0.2">
      <c r="Y12252"/>
    </row>
    <row r="12253" spans="25:25" x14ac:dyDescent="0.2">
      <c r="Y12253"/>
    </row>
    <row r="12254" spans="25:25" x14ac:dyDescent="0.2">
      <c r="Y12254"/>
    </row>
    <row r="12255" spans="25:25" x14ac:dyDescent="0.2">
      <c r="Y12255"/>
    </row>
    <row r="12256" spans="25:25" x14ac:dyDescent="0.2">
      <c r="Y12256"/>
    </row>
    <row r="12257" spans="25:25" x14ac:dyDescent="0.2">
      <c r="Y12257"/>
    </row>
    <row r="12258" spans="25:25" x14ac:dyDescent="0.2">
      <c r="Y12258"/>
    </row>
    <row r="12259" spans="25:25" x14ac:dyDescent="0.2">
      <c r="Y12259"/>
    </row>
    <row r="12260" spans="25:25" x14ac:dyDescent="0.2">
      <c r="Y12260"/>
    </row>
    <row r="12261" spans="25:25" x14ac:dyDescent="0.2">
      <c r="Y12261"/>
    </row>
    <row r="12262" spans="25:25" x14ac:dyDescent="0.2">
      <c r="Y12262"/>
    </row>
    <row r="12263" spans="25:25" x14ac:dyDescent="0.2">
      <c r="Y12263"/>
    </row>
    <row r="12264" spans="25:25" x14ac:dyDescent="0.2">
      <c r="Y12264"/>
    </row>
    <row r="12265" spans="25:25" x14ac:dyDescent="0.2">
      <c r="Y12265"/>
    </row>
    <row r="12266" spans="25:25" x14ac:dyDescent="0.2">
      <c r="Y12266"/>
    </row>
    <row r="12267" spans="25:25" x14ac:dyDescent="0.2">
      <c r="Y12267"/>
    </row>
    <row r="12268" spans="25:25" x14ac:dyDescent="0.2">
      <c r="Y12268"/>
    </row>
    <row r="12269" spans="25:25" x14ac:dyDescent="0.2">
      <c r="Y12269"/>
    </row>
    <row r="12270" spans="25:25" x14ac:dyDescent="0.2">
      <c r="Y12270"/>
    </row>
    <row r="12271" spans="25:25" x14ac:dyDescent="0.2">
      <c r="Y12271"/>
    </row>
    <row r="12272" spans="25:25" x14ac:dyDescent="0.2">
      <c r="Y12272"/>
    </row>
    <row r="12273" spans="25:25" x14ac:dyDescent="0.2">
      <c r="Y12273"/>
    </row>
    <row r="12274" spans="25:25" x14ac:dyDescent="0.2">
      <c r="Y12274"/>
    </row>
    <row r="12275" spans="25:25" x14ac:dyDescent="0.2">
      <c r="Y12275"/>
    </row>
    <row r="12276" spans="25:25" x14ac:dyDescent="0.2">
      <c r="Y12276"/>
    </row>
    <row r="12277" spans="25:25" x14ac:dyDescent="0.2">
      <c r="Y12277"/>
    </row>
    <row r="12278" spans="25:25" x14ac:dyDescent="0.2">
      <c r="Y12278"/>
    </row>
    <row r="12279" spans="25:25" x14ac:dyDescent="0.2">
      <c r="Y12279"/>
    </row>
    <row r="12280" spans="25:25" x14ac:dyDescent="0.2">
      <c r="Y12280"/>
    </row>
    <row r="12281" spans="25:25" x14ac:dyDescent="0.2">
      <c r="Y12281"/>
    </row>
    <row r="12282" spans="25:25" x14ac:dyDescent="0.2">
      <c r="Y12282"/>
    </row>
    <row r="12283" spans="25:25" x14ac:dyDescent="0.2">
      <c r="Y12283"/>
    </row>
    <row r="12284" spans="25:25" x14ac:dyDescent="0.2">
      <c r="Y12284"/>
    </row>
    <row r="12285" spans="25:25" x14ac:dyDescent="0.2">
      <c r="Y12285"/>
    </row>
    <row r="12286" spans="25:25" x14ac:dyDescent="0.2">
      <c r="Y12286"/>
    </row>
    <row r="12287" spans="25:25" x14ac:dyDescent="0.2">
      <c r="Y12287"/>
    </row>
    <row r="12288" spans="25:25" x14ac:dyDescent="0.2">
      <c r="Y12288"/>
    </row>
    <row r="12289" spans="25:25" x14ac:dyDescent="0.2">
      <c r="Y12289"/>
    </row>
    <row r="12290" spans="25:25" x14ac:dyDescent="0.2">
      <c r="Y12290"/>
    </row>
    <row r="12291" spans="25:25" x14ac:dyDescent="0.2">
      <c r="Y12291"/>
    </row>
    <row r="12292" spans="25:25" x14ac:dyDescent="0.2">
      <c r="Y12292"/>
    </row>
    <row r="12293" spans="25:25" x14ac:dyDescent="0.2">
      <c r="Y12293"/>
    </row>
    <row r="12294" spans="25:25" x14ac:dyDescent="0.2">
      <c r="Y12294"/>
    </row>
    <row r="12295" spans="25:25" x14ac:dyDescent="0.2">
      <c r="Y12295"/>
    </row>
    <row r="12296" spans="25:25" x14ac:dyDescent="0.2">
      <c r="Y12296"/>
    </row>
    <row r="12297" spans="25:25" x14ac:dyDescent="0.2">
      <c r="Y12297"/>
    </row>
    <row r="12298" spans="25:25" x14ac:dyDescent="0.2">
      <c r="Y12298"/>
    </row>
    <row r="12299" spans="25:25" x14ac:dyDescent="0.2">
      <c r="Y12299"/>
    </row>
    <row r="12300" spans="25:25" x14ac:dyDescent="0.2">
      <c r="Y12300"/>
    </row>
    <row r="12301" spans="25:25" x14ac:dyDescent="0.2">
      <c r="Y12301"/>
    </row>
    <row r="12302" spans="25:25" x14ac:dyDescent="0.2">
      <c r="Y12302"/>
    </row>
    <row r="12303" spans="25:25" x14ac:dyDescent="0.2">
      <c r="Y12303"/>
    </row>
    <row r="12304" spans="25:25" x14ac:dyDescent="0.2">
      <c r="Y12304"/>
    </row>
    <row r="12305" spans="25:25" x14ac:dyDescent="0.2">
      <c r="Y12305"/>
    </row>
    <row r="12306" spans="25:25" x14ac:dyDescent="0.2">
      <c r="Y12306"/>
    </row>
    <row r="12307" spans="25:25" x14ac:dyDescent="0.2">
      <c r="Y12307"/>
    </row>
    <row r="12308" spans="25:25" x14ac:dyDescent="0.2">
      <c r="Y12308"/>
    </row>
    <row r="12309" spans="25:25" x14ac:dyDescent="0.2">
      <c r="Y12309"/>
    </row>
    <row r="12310" spans="25:25" x14ac:dyDescent="0.2">
      <c r="Y12310"/>
    </row>
    <row r="12311" spans="25:25" x14ac:dyDescent="0.2">
      <c r="Y12311"/>
    </row>
    <row r="12312" spans="25:25" x14ac:dyDescent="0.2">
      <c r="Y12312"/>
    </row>
    <row r="12313" spans="25:25" x14ac:dyDescent="0.2">
      <c r="Y12313"/>
    </row>
    <row r="12314" spans="25:25" x14ac:dyDescent="0.2">
      <c r="Y12314"/>
    </row>
    <row r="12315" spans="25:25" x14ac:dyDescent="0.2">
      <c r="Y12315"/>
    </row>
    <row r="12316" spans="25:25" x14ac:dyDescent="0.2">
      <c r="Y12316"/>
    </row>
    <row r="12317" spans="25:25" x14ac:dyDescent="0.2">
      <c r="Y12317"/>
    </row>
    <row r="12318" spans="25:25" x14ac:dyDescent="0.2">
      <c r="Y12318"/>
    </row>
    <row r="12319" spans="25:25" x14ac:dyDescent="0.2">
      <c r="Y12319"/>
    </row>
    <row r="12320" spans="25:25" x14ac:dyDescent="0.2">
      <c r="Y12320"/>
    </row>
    <row r="12321" spans="25:25" x14ac:dyDescent="0.2">
      <c r="Y12321"/>
    </row>
    <row r="12322" spans="25:25" x14ac:dyDescent="0.2">
      <c r="Y12322"/>
    </row>
    <row r="12323" spans="25:25" x14ac:dyDescent="0.2">
      <c r="Y12323"/>
    </row>
    <row r="12324" spans="25:25" x14ac:dyDescent="0.2">
      <c r="Y12324"/>
    </row>
    <row r="12325" spans="25:25" x14ac:dyDescent="0.2">
      <c r="Y12325"/>
    </row>
    <row r="12326" spans="25:25" x14ac:dyDescent="0.2">
      <c r="Y12326"/>
    </row>
    <row r="12327" spans="25:25" x14ac:dyDescent="0.2">
      <c r="Y12327"/>
    </row>
    <row r="12328" spans="25:25" x14ac:dyDescent="0.2">
      <c r="Y12328"/>
    </row>
    <row r="12329" spans="25:25" x14ac:dyDescent="0.2">
      <c r="Y12329"/>
    </row>
    <row r="12330" spans="25:25" x14ac:dyDescent="0.2">
      <c r="Y12330"/>
    </row>
    <row r="12331" spans="25:25" x14ac:dyDescent="0.2">
      <c r="Y12331"/>
    </row>
    <row r="12332" spans="25:25" x14ac:dyDescent="0.2">
      <c r="Y12332"/>
    </row>
    <row r="12333" spans="25:25" x14ac:dyDescent="0.2">
      <c r="Y12333"/>
    </row>
    <row r="12334" spans="25:25" x14ac:dyDescent="0.2">
      <c r="Y12334"/>
    </row>
    <row r="12335" spans="25:25" x14ac:dyDescent="0.2">
      <c r="Y12335"/>
    </row>
    <row r="12336" spans="25:25" x14ac:dyDescent="0.2">
      <c r="Y12336"/>
    </row>
    <row r="12337" spans="25:25" x14ac:dyDescent="0.2">
      <c r="Y12337"/>
    </row>
    <row r="12338" spans="25:25" x14ac:dyDescent="0.2">
      <c r="Y12338"/>
    </row>
    <row r="12339" spans="25:25" x14ac:dyDescent="0.2">
      <c r="Y12339"/>
    </row>
    <row r="12340" spans="25:25" x14ac:dyDescent="0.2">
      <c r="Y12340"/>
    </row>
    <row r="12341" spans="25:25" x14ac:dyDescent="0.2">
      <c r="Y12341"/>
    </row>
    <row r="12342" spans="25:25" x14ac:dyDescent="0.2">
      <c r="Y12342"/>
    </row>
    <row r="12343" spans="25:25" x14ac:dyDescent="0.2">
      <c r="Y12343"/>
    </row>
    <row r="12344" spans="25:25" x14ac:dyDescent="0.2">
      <c r="Y12344"/>
    </row>
    <row r="12345" spans="25:25" x14ac:dyDescent="0.2">
      <c r="Y12345"/>
    </row>
    <row r="12346" spans="25:25" x14ac:dyDescent="0.2">
      <c r="Y12346"/>
    </row>
    <row r="12347" spans="25:25" x14ac:dyDescent="0.2">
      <c r="Y12347"/>
    </row>
    <row r="12348" spans="25:25" x14ac:dyDescent="0.2">
      <c r="Y12348"/>
    </row>
    <row r="12349" spans="25:25" x14ac:dyDescent="0.2">
      <c r="Y12349"/>
    </row>
    <row r="12350" spans="25:25" x14ac:dyDescent="0.2">
      <c r="Y12350"/>
    </row>
    <row r="12351" spans="25:25" x14ac:dyDescent="0.2">
      <c r="Y12351"/>
    </row>
    <row r="12352" spans="25:25" x14ac:dyDescent="0.2">
      <c r="Y12352"/>
    </row>
    <row r="12353" spans="25:25" x14ac:dyDescent="0.2">
      <c r="Y12353"/>
    </row>
    <row r="12354" spans="25:25" x14ac:dyDescent="0.2">
      <c r="Y12354"/>
    </row>
    <row r="12355" spans="25:25" x14ac:dyDescent="0.2">
      <c r="Y12355"/>
    </row>
    <row r="12356" spans="25:25" x14ac:dyDescent="0.2">
      <c r="Y12356"/>
    </row>
    <row r="12357" spans="25:25" x14ac:dyDescent="0.2">
      <c r="Y12357"/>
    </row>
    <row r="12358" spans="25:25" x14ac:dyDescent="0.2">
      <c r="Y12358"/>
    </row>
    <row r="12359" spans="25:25" x14ac:dyDescent="0.2">
      <c r="Y12359"/>
    </row>
    <row r="12360" spans="25:25" x14ac:dyDescent="0.2">
      <c r="Y12360"/>
    </row>
    <row r="12361" spans="25:25" x14ac:dyDescent="0.2">
      <c r="Y12361"/>
    </row>
    <row r="12362" spans="25:25" x14ac:dyDescent="0.2">
      <c r="Y12362"/>
    </row>
    <row r="12363" spans="25:25" x14ac:dyDescent="0.2">
      <c r="Y12363"/>
    </row>
    <row r="12364" spans="25:25" x14ac:dyDescent="0.2">
      <c r="Y12364"/>
    </row>
    <row r="12365" spans="25:25" x14ac:dyDescent="0.2">
      <c r="Y12365"/>
    </row>
    <row r="12366" spans="25:25" x14ac:dyDescent="0.2">
      <c r="Y12366"/>
    </row>
    <row r="12367" spans="25:25" x14ac:dyDescent="0.2">
      <c r="Y12367"/>
    </row>
    <row r="12368" spans="25:25" x14ac:dyDescent="0.2">
      <c r="Y12368"/>
    </row>
    <row r="12369" spans="25:25" x14ac:dyDescent="0.2">
      <c r="Y12369"/>
    </row>
    <row r="12370" spans="25:25" x14ac:dyDescent="0.2">
      <c r="Y12370"/>
    </row>
    <row r="12371" spans="25:25" x14ac:dyDescent="0.2">
      <c r="Y12371"/>
    </row>
    <row r="12372" spans="25:25" x14ac:dyDescent="0.2">
      <c r="Y12372"/>
    </row>
    <row r="12373" spans="25:25" x14ac:dyDescent="0.2">
      <c r="Y12373"/>
    </row>
    <row r="12374" spans="25:25" x14ac:dyDescent="0.2">
      <c r="Y12374"/>
    </row>
    <row r="12375" spans="25:25" x14ac:dyDescent="0.2">
      <c r="Y12375"/>
    </row>
    <row r="12376" spans="25:25" x14ac:dyDescent="0.2">
      <c r="Y12376"/>
    </row>
    <row r="12377" spans="25:25" x14ac:dyDescent="0.2">
      <c r="Y12377"/>
    </row>
    <row r="12378" spans="25:25" x14ac:dyDescent="0.2">
      <c r="Y12378"/>
    </row>
    <row r="12379" spans="25:25" x14ac:dyDescent="0.2">
      <c r="Y12379"/>
    </row>
    <row r="12380" spans="25:25" x14ac:dyDescent="0.2">
      <c r="Y12380"/>
    </row>
    <row r="12381" spans="25:25" x14ac:dyDescent="0.2">
      <c r="Y12381"/>
    </row>
    <row r="12382" spans="25:25" x14ac:dyDescent="0.2">
      <c r="Y12382"/>
    </row>
    <row r="12383" spans="25:25" x14ac:dyDescent="0.2">
      <c r="Y12383"/>
    </row>
    <row r="12384" spans="25:25" x14ac:dyDescent="0.2">
      <c r="Y12384"/>
    </row>
    <row r="12385" spans="25:25" x14ac:dyDescent="0.2">
      <c r="Y12385"/>
    </row>
    <row r="12386" spans="25:25" x14ac:dyDescent="0.2">
      <c r="Y12386"/>
    </row>
    <row r="12387" spans="25:25" x14ac:dyDescent="0.2">
      <c r="Y12387"/>
    </row>
    <row r="12388" spans="25:25" x14ac:dyDescent="0.2">
      <c r="Y12388"/>
    </row>
    <row r="12389" spans="25:25" x14ac:dyDescent="0.2">
      <c r="Y12389"/>
    </row>
    <row r="12390" spans="25:25" x14ac:dyDescent="0.2">
      <c r="Y12390"/>
    </row>
    <row r="12391" spans="25:25" x14ac:dyDescent="0.2">
      <c r="Y12391"/>
    </row>
    <row r="12392" spans="25:25" x14ac:dyDescent="0.2">
      <c r="Y12392"/>
    </row>
    <row r="12393" spans="25:25" x14ac:dyDescent="0.2">
      <c r="Y12393"/>
    </row>
    <row r="12394" spans="25:25" x14ac:dyDescent="0.2">
      <c r="Y12394"/>
    </row>
    <row r="12395" spans="25:25" x14ac:dyDescent="0.2">
      <c r="Y12395"/>
    </row>
    <row r="12396" spans="25:25" x14ac:dyDescent="0.2">
      <c r="Y12396"/>
    </row>
    <row r="12397" spans="25:25" x14ac:dyDescent="0.2">
      <c r="Y12397"/>
    </row>
    <row r="12398" spans="25:25" x14ac:dyDescent="0.2">
      <c r="Y12398"/>
    </row>
    <row r="12399" spans="25:25" x14ac:dyDescent="0.2">
      <c r="Y12399"/>
    </row>
    <row r="12400" spans="25:25" x14ac:dyDescent="0.2">
      <c r="Y12400"/>
    </row>
    <row r="12401" spans="25:25" x14ac:dyDescent="0.2">
      <c r="Y12401"/>
    </row>
    <row r="12402" spans="25:25" x14ac:dyDescent="0.2">
      <c r="Y12402"/>
    </row>
    <row r="12403" spans="25:25" x14ac:dyDescent="0.2">
      <c r="Y12403"/>
    </row>
    <row r="12404" spans="25:25" x14ac:dyDescent="0.2">
      <c r="Y12404"/>
    </row>
    <row r="12405" spans="25:25" x14ac:dyDescent="0.2">
      <c r="Y12405"/>
    </row>
    <row r="12406" spans="25:25" x14ac:dyDescent="0.2">
      <c r="Y12406"/>
    </row>
    <row r="12407" spans="25:25" x14ac:dyDescent="0.2">
      <c r="Y12407"/>
    </row>
    <row r="12408" spans="25:25" x14ac:dyDescent="0.2">
      <c r="Y12408"/>
    </row>
    <row r="12409" spans="25:25" x14ac:dyDescent="0.2">
      <c r="Y12409"/>
    </row>
    <row r="12410" spans="25:25" x14ac:dyDescent="0.2">
      <c r="Y12410"/>
    </row>
    <row r="12411" spans="25:25" x14ac:dyDescent="0.2">
      <c r="Y12411"/>
    </row>
    <row r="12412" spans="25:25" x14ac:dyDescent="0.2">
      <c r="Y12412"/>
    </row>
    <row r="12413" spans="25:25" x14ac:dyDescent="0.2">
      <c r="Y12413"/>
    </row>
    <row r="12414" spans="25:25" x14ac:dyDescent="0.2">
      <c r="Y12414"/>
    </row>
    <row r="12415" spans="25:25" x14ac:dyDescent="0.2">
      <c r="Y12415"/>
    </row>
    <row r="12416" spans="25:25" x14ac:dyDescent="0.2">
      <c r="Y12416"/>
    </row>
    <row r="12417" spans="25:25" x14ac:dyDescent="0.2">
      <c r="Y12417"/>
    </row>
    <row r="12418" spans="25:25" x14ac:dyDescent="0.2">
      <c r="Y12418"/>
    </row>
    <row r="12419" spans="25:25" x14ac:dyDescent="0.2">
      <c r="Y12419"/>
    </row>
    <row r="12420" spans="25:25" x14ac:dyDescent="0.2">
      <c r="Y12420"/>
    </row>
    <row r="12421" spans="25:25" x14ac:dyDescent="0.2">
      <c r="Y12421"/>
    </row>
    <row r="12422" spans="25:25" x14ac:dyDescent="0.2">
      <c r="Y12422"/>
    </row>
    <row r="12423" spans="25:25" x14ac:dyDescent="0.2">
      <c r="Y12423"/>
    </row>
    <row r="12424" spans="25:25" x14ac:dyDescent="0.2">
      <c r="Y12424"/>
    </row>
    <row r="12425" spans="25:25" x14ac:dyDescent="0.2">
      <c r="Y12425"/>
    </row>
    <row r="12426" spans="25:25" x14ac:dyDescent="0.2">
      <c r="Y12426"/>
    </row>
    <row r="12427" spans="25:25" x14ac:dyDescent="0.2">
      <c r="Y12427"/>
    </row>
    <row r="12428" spans="25:25" x14ac:dyDescent="0.2">
      <c r="Y12428"/>
    </row>
    <row r="12429" spans="25:25" x14ac:dyDescent="0.2">
      <c r="Y12429"/>
    </row>
    <row r="12430" spans="25:25" x14ac:dyDescent="0.2">
      <c r="Y12430"/>
    </row>
    <row r="12431" spans="25:25" x14ac:dyDescent="0.2">
      <c r="Y12431"/>
    </row>
    <row r="12432" spans="25:25" x14ac:dyDescent="0.2">
      <c r="Y12432"/>
    </row>
    <row r="12433" spans="25:25" x14ac:dyDescent="0.2">
      <c r="Y12433"/>
    </row>
    <row r="12434" spans="25:25" x14ac:dyDescent="0.2">
      <c r="Y12434"/>
    </row>
    <row r="12435" spans="25:25" x14ac:dyDescent="0.2">
      <c r="Y12435"/>
    </row>
    <row r="12436" spans="25:25" x14ac:dyDescent="0.2">
      <c r="Y12436"/>
    </row>
    <row r="12437" spans="25:25" x14ac:dyDescent="0.2">
      <c r="Y12437"/>
    </row>
    <row r="12438" spans="25:25" x14ac:dyDescent="0.2">
      <c r="Y12438"/>
    </row>
    <row r="12439" spans="25:25" x14ac:dyDescent="0.2">
      <c r="Y12439"/>
    </row>
    <row r="12440" spans="25:25" x14ac:dyDescent="0.2">
      <c r="Y12440"/>
    </row>
    <row r="12441" spans="25:25" x14ac:dyDescent="0.2">
      <c r="Y12441"/>
    </row>
    <row r="12442" spans="25:25" x14ac:dyDescent="0.2">
      <c r="Y12442"/>
    </row>
    <row r="12443" spans="25:25" x14ac:dyDescent="0.2">
      <c r="Y12443"/>
    </row>
    <row r="12444" spans="25:25" x14ac:dyDescent="0.2">
      <c r="Y12444"/>
    </row>
    <row r="12445" spans="25:25" x14ac:dyDescent="0.2">
      <c r="Y12445"/>
    </row>
    <row r="12446" spans="25:25" x14ac:dyDescent="0.2">
      <c r="Y12446"/>
    </row>
    <row r="12447" spans="25:25" x14ac:dyDescent="0.2">
      <c r="Y12447"/>
    </row>
    <row r="12448" spans="25:25" x14ac:dyDescent="0.2">
      <c r="Y12448"/>
    </row>
    <row r="12449" spans="25:25" x14ac:dyDescent="0.2">
      <c r="Y12449"/>
    </row>
    <row r="12450" spans="25:25" x14ac:dyDescent="0.2">
      <c r="Y12450"/>
    </row>
    <row r="12451" spans="25:25" x14ac:dyDescent="0.2">
      <c r="Y12451"/>
    </row>
    <row r="12452" spans="25:25" x14ac:dyDescent="0.2">
      <c r="Y12452"/>
    </row>
    <row r="12453" spans="25:25" x14ac:dyDescent="0.2">
      <c r="Y12453"/>
    </row>
    <row r="12454" spans="25:25" x14ac:dyDescent="0.2">
      <c r="Y12454"/>
    </row>
    <row r="12455" spans="25:25" x14ac:dyDescent="0.2">
      <c r="Y12455"/>
    </row>
    <row r="12456" spans="25:25" x14ac:dyDescent="0.2">
      <c r="Y12456"/>
    </row>
    <row r="12457" spans="25:25" x14ac:dyDescent="0.2">
      <c r="Y12457"/>
    </row>
    <row r="12458" spans="25:25" x14ac:dyDescent="0.2">
      <c r="Y12458"/>
    </row>
    <row r="12459" spans="25:25" x14ac:dyDescent="0.2">
      <c r="Y12459"/>
    </row>
    <row r="12460" spans="25:25" x14ac:dyDescent="0.2">
      <c r="Y12460"/>
    </row>
    <row r="12461" spans="25:25" x14ac:dyDescent="0.2">
      <c r="Y12461"/>
    </row>
    <row r="12462" spans="25:25" x14ac:dyDescent="0.2">
      <c r="Y12462"/>
    </row>
    <row r="12463" spans="25:25" x14ac:dyDescent="0.2">
      <c r="Y12463"/>
    </row>
    <row r="12464" spans="25:25" x14ac:dyDescent="0.2">
      <c r="Y12464"/>
    </row>
    <row r="12465" spans="25:25" x14ac:dyDescent="0.2">
      <c r="Y12465"/>
    </row>
    <row r="12466" spans="25:25" x14ac:dyDescent="0.2">
      <c r="Y12466"/>
    </row>
    <row r="12467" spans="25:25" x14ac:dyDescent="0.2">
      <c r="Y12467"/>
    </row>
    <row r="12468" spans="25:25" x14ac:dyDescent="0.2">
      <c r="Y12468"/>
    </row>
    <row r="12469" spans="25:25" x14ac:dyDescent="0.2">
      <c r="Y12469"/>
    </row>
    <row r="12470" spans="25:25" x14ac:dyDescent="0.2">
      <c r="Y12470"/>
    </row>
    <row r="12471" spans="25:25" x14ac:dyDescent="0.2">
      <c r="Y12471"/>
    </row>
    <row r="12472" spans="25:25" x14ac:dyDescent="0.2">
      <c r="Y12472"/>
    </row>
    <row r="12473" spans="25:25" x14ac:dyDescent="0.2">
      <c r="Y12473"/>
    </row>
    <row r="12474" spans="25:25" x14ac:dyDescent="0.2">
      <c r="Y12474"/>
    </row>
    <row r="12475" spans="25:25" x14ac:dyDescent="0.2">
      <c r="Y12475"/>
    </row>
    <row r="12476" spans="25:25" x14ac:dyDescent="0.2">
      <c r="Y12476"/>
    </row>
    <row r="12477" spans="25:25" x14ac:dyDescent="0.2">
      <c r="Y12477"/>
    </row>
    <row r="12478" spans="25:25" x14ac:dyDescent="0.2">
      <c r="Y12478"/>
    </row>
    <row r="12479" spans="25:25" x14ac:dyDescent="0.2">
      <c r="Y12479"/>
    </row>
    <row r="12480" spans="25:25" x14ac:dyDescent="0.2">
      <c r="Y12480"/>
    </row>
    <row r="12481" spans="25:25" x14ac:dyDescent="0.2">
      <c r="Y12481"/>
    </row>
    <row r="12482" spans="25:25" x14ac:dyDescent="0.2">
      <c r="Y12482"/>
    </row>
    <row r="12483" spans="25:25" x14ac:dyDescent="0.2">
      <c r="Y12483"/>
    </row>
    <row r="12484" spans="25:25" x14ac:dyDescent="0.2">
      <c r="Y12484"/>
    </row>
    <row r="12485" spans="25:25" x14ac:dyDescent="0.2">
      <c r="Y12485"/>
    </row>
    <row r="12486" spans="25:25" x14ac:dyDescent="0.2">
      <c r="Y12486"/>
    </row>
    <row r="12487" spans="25:25" x14ac:dyDescent="0.2">
      <c r="Y12487"/>
    </row>
    <row r="12488" spans="25:25" x14ac:dyDescent="0.2">
      <c r="Y12488"/>
    </row>
    <row r="12489" spans="25:25" x14ac:dyDescent="0.2">
      <c r="Y12489"/>
    </row>
    <row r="12490" spans="25:25" x14ac:dyDescent="0.2">
      <c r="Y12490"/>
    </row>
    <row r="12491" spans="25:25" x14ac:dyDescent="0.2">
      <c r="Y12491"/>
    </row>
    <row r="12492" spans="25:25" x14ac:dyDescent="0.2">
      <c r="Y12492"/>
    </row>
    <row r="12493" spans="25:25" x14ac:dyDescent="0.2">
      <c r="Y12493"/>
    </row>
    <row r="12494" spans="25:25" x14ac:dyDescent="0.2">
      <c r="Y12494"/>
    </row>
    <row r="12495" spans="25:25" x14ac:dyDescent="0.2">
      <c r="Y12495"/>
    </row>
    <row r="12496" spans="25:25" x14ac:dyDescent="0.2">
      <c r="Y12496"/>
    </row>
    <row r="12497" spans="25:25" x14ac:dyDescent="0.2">
      <c r="Y12497"/>
    </row>
    <row r="12498" spans="25:25" x14ac:dyDescent="0.2">
      <c r="Y12498"/>
    </row>
    <row r="12499" spans="25:25" x14ac:dyDescent="0.2">
      <c r="Y12499"/>
    </row>
    <row r="12500" spans="25:25" x14ac:dyDescent="0.2">
      <c r="Y12500"/>
    </row>
    <row r="12501" spans="25:25" x14ac:dyDescent="0.2">
      <c r="Y12501"/>
    </row>
    <row r="12502" spans="25:25" x14ac:dyDescent="0.2">
      <c r="Y12502"/>
    </row>
    <row r="12503" spans="25:25" x14ac:dyDescent="0.2">
      <c r="Y12503"/>
    </row>
    <row r="12504" spans="25:25" x14ac:dyDescent="0.2">
      <c r="Y12504"/>
    </row>
    <row r="12505" spans="25:25" x14ac:dyDescent="0.2">
      <c r="Y12505"/>
    </row>
    <row r="12506" spans="25:25" x14ac:dyDescent="0.2">
      <c r="Y12506"/>
    </row>
    <row r="12507" spans="25:25" x14ac:dyDescent="0.2">
      <c r="Y12507"/>
    </row>
    <row r="12508" spans="25:25" x14ac:dyDescent="0.2">
      <c r="Y12508"/>
    </row>
    <row r="12509" spans="25:25" x14ac:dyDescent="0.2">
      <c r="Y12509"/>
    </row>
    <row r="12510" spans="25:25" x14ac:dyDescent="0.2">
      <c r="Y12510"/>
    </row>
    <row r="12511" spans="25:25" x14ac:dyDescent="0.2">
      <c r="Y12511"/>
    </row>
    <row r="12512" spans="25:25" x14ac:dyDescent="0.2">
      <c r="Y12512"/>
    </row>
    <row r="12513" spans="25:25" x14ac:dyDescent="0.2">
      <c r="Y12513"/>
    </row>
    <row r="12514" spans="25:25" x14ac:dyDescent="0.2">
      <c r="Y12514"/>
    </row>
    <row r="12515" spans="25:25" x14ac:dyDescent="0.2">
      <c r="Y12515"/>
    </row>
    <row r="12516" spans="25:25" x14ac:dyDescent="0.2">
      <c r="Y12516"/>
    </row>
    <row r="12517" spans="25:25" x14ac:dyDescent="0.2">
      <c r="Y12517"/>
    </row>
    <row r="12518" spans="25:25" x14ac:dyDescent="0.2">
      <c r="Y12518"/>
    </row>
    <row r="12519" spans="25:25" x14ac:dyDescent="0.2">
      <c r="Y12519"/>
    </row>
    <row r="12520" spans="25:25" x14ac:dyDescent="0.2">
      <c r="Y12520"/>
    </row>
    <row r="12521" spans="25:25" x14ac:dyDescent="0.2">
      <c r="Y12521"/>
    </row>
    <row r="12522" spans="25:25" x14ac:dyDescent="0.2">
      <c r="Y12522"/>
    </row>
    <row r="12523" spans="25:25" x14ac:dyDescent="0.2">
      <c r="Y12523"/>
    </row>
    <row r="12524" spans="25:25" x14ac:dyDescent="0.2">
      <c r="Y12524"/>
    </row>
    <row r="12525" spans="25:25" x14ac:dyDescent="0.2">
      <c r="Y12525"/>
    </row>
    <row r="12526" spans="25:25" x14ac:dyDescent="0.2">
      <c r="Y12526"/>
    </row>
    <row r="12527" spans="25:25" x14ac:dyDescent="0.2">
      <c r="Y12527"/>
    </row>
    <row r="12528" spans="25:25" x14ac:dyDescent="0.2">
      <c r="Y12528"/>
    </row>
    <row r="12529" spans="25:25" x14ac:dyDescent="0.2">
      <c r="Y12529"/>
    </row>
    <row r="12530" spans="25:25" x14ac:dyDescent="0.2">
      <c r="Y12530"/>
    </row>
    <row r="12531" spans="25:25" x14ac:dyDescent="0.2">
      <c r="Y12531"/>
    </row>
    <row r="12532" spans="25:25" x14ac:dyDescent="0.2">
      <c r="Y12532"/>
    </row>
    <row r="12533" spans="25:25" x14ac:dyDescent="0.2">
      <c r="Y12533"/>
    </row>
    <row r="12534" spans="25:25" x14ac:dyDescent="0.2">
      <c r="Y12534"/>
    </row>
    <row r="12535" spans="25:25" x14ac:dyDescent="0.2">
      <c r="Y12535"/>
    </row>
    <row r="12536" spans="25:25" x14ac:dyDescent="0.2">
      <c r="Y12536"/>
    </row>
    <row r="12537" spans="25:25" x14ac:dyDescent="0.2">
      <c r="Y12537"/>
    </row>
    <row r="12538" spans="25:25" x14ac:dyDescent="0.2">
      <c r="Y12538"/>
    </row>
    <row r="12539" spans="25:25" x14ac:dyDescent="0.2">
      <c r="Y12539"/>
    </row>
    <row r="12540" spans="25:25" x14ac:dyDescent="0.2">
      <c r="Y12540"/>
    </row>
    <row r="12541" spans="25:25" x14ac:dyDescent="0.2">
      <c r="Y12541"/>
    </row>
    <row r="12542" spans="25:25" x14ac:dyDescent="0.2">
      <c r="Y12542"/>
    </row>
    <row r="12543" spans="25:25" x14ac:dyDescent="0.2">
      <c r="Y12543"/>
    </row>
    <row r="12544" spans="25:25" x14ac:dyDescent="0.2">
      <c r="Y12544"/>
    </row>
    <row r="12545" spans="25:25" x14ac:dyDescent="0.2">
      <c r="Y12545"/>
    </row>
    <row r="12546" spans="25:25" x14ac:dyDescent="0.2">
      <c r="Y12546"/>
    </row>
    <row r="12547" spans="25:25" x14ac:dyDescent="0.2">
      <c r="Y12547"/>
    </row>
    <row r="12548" spans="25:25" x14ac:dyDescent="0.2">
      <c r="Y12548"/>
    </row>
    <row r="12549" spans="25:25" x14ac:dyDescent="0.2">
      <c r="Y12549"/>
    </row>
    <row r="12550" spans="25:25" x14ac:dyDescent="0.2">
      <c r="Y12550"/>
    </row>
    <row r="12551" spans="25:25" x14ac:dyDescent="0.2">
      <c r="Y12551"/>
    </row>
    <row r="12552" spans="25:25" x14ac:dyDescent="0.2">
      <c r="Y12552"/>
    </row>
    <row r="12553" spans="25:25" x14ac:dyDescent="0.2">
      <c r="Y12553"/>
    </row>
    <row r="12554" spans="25:25" x14ac:dyDescent="0.2">
      <c r="Y12554"/>
    </row>
    <row r="12555" spans="25:25" x14ac:dyDescent="0.2">
      <c r="Y12555"/>
    </row>
    <row r="12556" spans="25:25" x14ac:dyDescent="0.2">
      <c r="Y12556"/>
    </row>
    <row r="12557" spans="25:25" x14ac:dyDescent="0.2">
      <c r="Y12557"/>
    </row>
    <row r="12558" spans="25:25" x14ac:dyDescent="0.2">
      <c r="Y12558"/>
    </row>
    <row r="12559" spans="25:25" x14ac:dyDescent="0.2">
      <c r="Y12559"/>
    </row>
    <row r="12560" spans="25:25" x14ac:dyDescent="0.2">
      <c r="Y12560"/>
    </row>
    <row r="12561" spans="25:25" x14ac:dyDescent="0.2">
      <c r="Y12561"/>
    </row>
    <row r="12562" spans="25:25" x14ac:dyDescent="0.2">
      <c r="Y12562"/>
    </row>
    <row r="12563" spans="25:25" x14ac:dyDescent="0.2">
      <c r="Y12563"/>
    </row>
    <row r="12564" spans="25:25" x14ac:dyDescent="0.2">
      <c r="Y12564"/>
    </row>
    <row r="12565" spans="25:25" x14ac:dyDescent="0.2">
      <c r="Y12565"/>
    </row>
    <row r="12566" spans="25:25" x14ac:dyDescent="0.2">
      <c r="Y12566"/>
    </row>
    <row r="12567" spans="25:25" x14ac:dyDescent="0.2">
      <c r="Y12567"/>
    </row>
    <row r="12568" spans="25:25" x14ac:dyDescent="0.2">
      <c r="Y12568"/>
    </row>
    <row r="12569" spans="25:25" x14ac:dyDescent="0.2">
      <c r="Y12569"/>
    </row>
    <row r="12570" spans="25:25" x14ac:dyDescent="0.2">
      <c r="Y12570"/>
    </row>
    <row r="12571" spans="25:25" x14ac:dyDescent="0.2">
      <c r="Y12571"/>
    </row>
    <row r="12572" spans="25:25" x14ac:dyDescent="0.2">
      <c r="Y12572"/>
    </row>
    <row r="12573" spans="25:25" x14ac:dyDescent="0.2">
      <c r="Y12573"/>
    </row>
    <row r="12574" spans="25:25" x14ac:dyDescent="0.2">
      <c r="Y12574"/>
    </row>
    <row r="12575" spans="25:25" x14ac:dyDescent="0.2">
      <c r="Y12575"/>
    </row>
    <row r="12576" spans="25:25" x14ac:dyDescent="0.2">
      <c r="Y12576"/>
    </row>
    <row r="12577" spans="25:25" x14ac:dyDescent="0.2">
      <c r="Y12577"/>
    </row>
    <row r="12578" spans="25:25" x14ac:dyDescent="0.2">
      <c r="Y12578"/>
    </row>
    <row r="12579" spans="25:25" x14ac:dyDescent="0.2">
      <c r="Y12579"/>
    </row>
    <row r="12580" spans="25:25" x14ac:dyDescent="0.2">
      <c r="Y12580"/>
    </row>
    <row r="12581" spans="25:25" x14ac:dyDescent="0.2">
      <c r="Y12581"/>
    </row>
    <row r="12582" spans="25:25" x14ac:dyDescent="0.2">
      <c r="Y12582"/>
    </row>
    <row r="12583" spans="25:25" x14ac:dyDescent="0.2">
      <c r="Y12583"/>
    </row>
    <row r="12584" spans="25:25" x14ac:dyDescent="0.2">
      <c r="Y12584"/>
    </row>
    <row r="12585" spans="25:25" x14ac:dyDescent="0.2">
      <c r="Y12585"/>
    </row>
    <row r="12586" spans="25:25" x14ac:dyDescent="0.2">
      <c r="Y12586"/>
    </row>
    <row r="12587" spans="25:25" x14ac:dyDescent="0.2">
      <c r="Y12587"/>
    </row>
    <row r="12588" spans="25:25" x14ac:dyDescent="0.2">
      <c r="Y12588"/>
    </row>
    <row r="12589" spans="25:25" x14ac:dyDescent="0.2">
      <c r="Y12589"/>
    </row>
    <row r="12590" spans="25:25" x14ac:dyDescent="0.2">
      <c r="Y12590"/>
    </row>
    <row r="12591" spans="25:25" x14ac:dyDescent="0.2">
      <c r="Y12591"/>
    </row>
    <row r="12592" spans="25:25" x14ac:dyDescent="0.2">
      <c r="Y12592"/>
    </row>
    <row r="12593" spans="25:25" x14ac:dyDescent="0.2">
      <c r="Y12593"/>
    </row>
    <row r="12594" spans="25:25" x14ac:dyDescent="0.2">
      <c r="Y12594"/>
    </row>
    <row r="12595" spans="25:25" x14ac:dyDescent="0.2">
      <c r="Y12595"/>
    </row>
    <row r="12596" spans="25:25" x14ac:dyDescent="0.2">
      <c r="Y12596"/>
    </row>
    <row r="12597" spans="25:25" x14ac:dyDescent="0.2">
      <c r="Y12597"/>
    </row>
    <row r="12598" spans="25:25" x14ac:dyDescent="0.2">
      <c r="Y12598"/>
    </row>
    <row r="12599" spans="25:25" x14ac:dyDescent="0.2">
      <c r="Y12599"/>
    </row>
    <row r="12600" spans="25:25" x14ac:dyDescent="0.2">
      <c r="Y12600"/>
    </row>
    <row r="12601" spans="25:25" x14ac:dyDescent="0.2">
      <c r="Y12601"/>
    </row>
    <row r="12602" spans="25:25" x14ac:dyDescent="0.2">
      <c r="Y12602"/>
    </row>
    <row r="12603" spans="25:25" x14ac:dyDescent="0.2">
      <c r="Y12603"/>
    </row>
    <row r="12604" spans="25:25" x14ac:dyDescent="0.2">
      <c r="Y12604"/>
    </row>
    <row r="12605" spans="25:25" x14ac:dyDescent="0.2">
      <c r="Y12605"/>
    </row>
    <row r="12606" spans="25:25" x14ac:dyDescent="0.2">
      <c r="Y12606"/>
    </row>
    <row r="12607" spans="25:25" x14ac:dyDescent="0.2">
      <c r="Y12607"/>
    </row>
    <row r="12608" spans="25:25" x14ac:dyDescent="0.2">
      <c r="Y12608"/>
    </row>
    <row r="12609" spans="25:25" x14ac:dyDescent="0.2">
      <c r="Y12609"/>
    </row>
    <row r="12610" spans="25:25" x14ac:dyDescent="0.2">
      <c r="Y12610"/>
    </row>
    <row r="12611" spans="25:25" x14ac:dyDescent="0.2">
      <c r="Y12611"/>
    </row>
    <row r="12612" spans="25:25" x14ac:dyDescent="0.2">
      <c r="Y12612"/>
    </row>
    <row r="12613" spans="25:25" x14ac:dyDescent="0.2">
      <c r="Y12613"/>
    </row>
    <row r="12614" spans="25:25" x14ac:dyDescent="0.2">
      <c r="Y12614"/>
    </row>
    <row r="12615" spans="25:25" x14ac:dyDescent="0.2">
      <c r="Y12615"/>
    </row>
    <row r="12616" spans="25:25" x14ac:dyDescent="0.2">
      <c r="Y12616"/>
    </row>
    <row r="12617" spans="25:25" x14ac:dyDescent="0.2">
      <c r="Y12617"/>
    </row>
    <row r="12618" spans="25:25" x14ac:dyDescent="0.2">
      <c r="Y12618"/>
    </row>
    <row r="12619" spans="25:25" x14ac:dyDescent="0.2">
      <c r="Y12619"/>
    </row>
    <row r="12620" spans="25:25" x14ac:dyDescent="0.2">
      <c r="Y12620"/>
    </row>
    <row r="12621" spans="25:25" x14ac:dyDescent="0.2">
      <c r="Y12621"/>
    </row>
    <row r="12622" spans="25:25" x14ac:dyDescent="0.2">
      <c r="Y12622"/>
    </row>
    <row r="12623" spans="25:25" x14ac:dyDescent="0.2">
      <c r="Y12623"/>
    </row>
    <row r="12624" spans="25:25" x14ac:dyDescent="0.2">
      <c r="Y12624"/>
    </row>
    <row r="12625" spans="25:25" x14ac:dyDescent="0.2">
      <c r="Y12625"/>
    </row>
    <row r="12626" spans="25:25" x14ac:dyDescent="0.2">
      <c r="Y12626"/>
    </row>
    <row r="12627" spans="25:25" x14ac:dyDescent="0.2">
      <c r="Y12627"/>
    </row>
    <row r="12628" spans="25:25" x14ac:dyDescent="0.2">
      <c r="Y12628"/>
    </row>
    <row r="12629" spans="25:25" x14ac:dyDescent="0.2">
      <c r="Y12629"/>
    </row>
    <row r="12630" spans="25:25" x14ac:dyDescent="0.2">
      <c r="Y12630"/>
    </row>
    <row r="12631" spans="25:25" x14ac:dyDescent="0.2">
      <c r="Y12631"/>
    </row>
    <row r="12632" spans="25:25" x14ac:dyDescent="0.2">
      <c r="Y12632"/>
    </row>
    <row r="12633" spans="25:25" x14ac:dyDescent="0.2">
      <c r="Y12633"/>
    </row>
    <row r="12634" spans="25:25" x14ac:dyDescent="0.2">
      <c r="Y12634"/>
    </row>
    <row r="12635" spans="25:25" x14ac:dyDescent="0.2">
      <c r="Y12635"/>
    </row>
    <row r="12636" spans="25:25" x14ac:dyDescent="0.2">
      <c r="Y12636"/>
    </row>
    <row r="12637" spans="25:25" x14ac:dyDescent="0.2">
      <c r="Y12637"/>
    </row>
    <row r="12638" spans="25:25" x14ac:dyDescent="0.2">
      <c r="Y12638"/>
    </row>
    <row r="12639" spans="25:25" x14ac:dyDescent="0.2">
      <c r="Y12639"/>
    </row>
    <row r="12640" spans="25:25" x14ac:dyDescent="0.2">
      <c r="Y12640"/>
    </row>
    <row r="12641" spans="25:25" x14ac:dyDescent="0.2">
      <c r="Y12641"/>
    </row>
    <row r="12642" spans="25:25" x14ac:dyDescent="0.2">
      <c r="Y12642"/>
    </row>
    <row r="12643" spans="25:25" x14ac:dyDescent="0.2">
      <c r="Y12643"/>
    </row>
    <row r="12644" spans="25:25" x14ac:dyDescent="0.2">
      <c r="Y12644"/>
    </row>
    <row r="12645" spans="25:25" x14ac:dyDescent="0.2">
      <c r="Y12645"/>
    </row>
    <row r="12646" spans="25:25" x14ac:dyDescent="0.2">
      <c r="Y12646"/>
    </row>
    <row r="12647" spans="25:25" x14ac:dyDescent="0.2">
      <c r="Y12647"/>
    </row>
    <row r="12648" spans="25:25" x14ac:dyDescent="0.2">
      <c r="Y12648"/>
    </row>
    <row r="12649" spans="25:25" x14ac:dyDescent="0.2">
      <c r="Y12649"/>
    </row>
    <row r="12650" spans="25:25" x14ac:dyDescent="0.2">
      <c r="Y12650"/>
    </row>
    <row r="12651" spans="25:25" x14ac:dyDescent="0.2">
      <c r="Y12651"/>
    </row>
    <row r="12652" spans="25:25" x14ac:dyDescent="0.2">
      <c r="Y12652"/>
    </row>
    <row r="12653" spans="25:25" x14ac:dyDescent="0.2">
      <c r="Y12653"/>
    </row>
    <row r="12654" spans="25:25" x14ac:dyDescent="0.2">
      <c r="Y12654"/>
    </row>
    <row r="12655" spans="25:25" x14ac:dyDescent="0.2">
      <c r="Y12655"/>
    </row>
    <row r="12656" spans="25:25" x14ac:dyDescent="0.2">
      <c r="Y12656"/>
    </row>
    <row r="12657" spans="25:25" x14ac:dyDescent="0.2">
      <c r="Y12657"/>
    </row>
    <row r="12658" spans="25:25" x14ac:dyDescent="0.2">
      <c r="Y12658"/>
    </row>
    <row r="12659" spans="25:25" x14ac:dyDescent="0.2">
      <c r="Y12659"/>
    </row>
    <row r="12660" spans="25:25" x14ac:dyDescent="0.2">
      <c r="Y12660"/>
    </row>
    <row r="12661" spans="25:25" x14ac:dyDescent="0.2">
      <c r="Y12661"/>
    </row>
    <row r="12662" spans="25:25" x14ac:dyDescent="0.2">
      <c r="Y12662"/>
    </row>
    <row r="12663" spans="25:25" x14ac:dyDescent="0.2">
      <c r="Y12663"/>
    </row>
    <row r="12664" spans="25:25" x14ac:dyDescent="0.2">
      <c r="Y12664"/>
    </row>
    <row r="12665" spans="25:25" x14ac:dyDescent="0.2">
      <c r="Y12665"/>
    </row>
    <row r="12666" spans="25:25" x14ac:dyDescent="0.2">
      <c r="Y12666"/>
    </row>
    <row r="12667" spans="25:25" x14ac:dyDescent="0.2">
      <c r="Y12667"/>
    </row>
    <row r="12668" spans="25:25" x14ac:dyDescent="0.2">
      <c r="Y12668"/>
    </row>
    <row r="12669" spans="25:25" x14ac:dyDescent="0.2">
      <c r="Y12669"/>
    </row>
    <row r="12670" spans="25:25" x14ac:dyDescent="0.2">
      <c r="Y12670"/>
    </row>
    <row r="12671" spans="25:25" x14ac:dyDescent="0.2">
      <c r="Y12671"/>
    </row>
    <row r="12672" spans="25:25" x14ac:dyDescent="0.2">
      <c r="Y12672"/>
    </row>
    <row r="12673" spans="25:25" x14ac:dyDescent="0.2">
      <c r="Y12673"/>
    </row>
    <row r="12674" spans="25:25" x14ac:dyDescent="0.2">
      <c r="Y12674"/>
    </row>
    <row r="12675" spans="25:25" x14ac:dyDescent="0.2">
      <c r="Y12675"/>
    </row>
    <row r="12676" spans="25:25" x14ac:dyDescent="0.2">
      <c r="Y12676"/>
    </row>
    <row r="12677" spans="25:25" x14ac:dyDescent="0.2">
      <c r="Y12677"/>
    </row>
    <row r="12678" spans="25:25" x14ac:dyDescent="0.2">
      <c r="Y12678"/>
    </row>
    <row r="12679" spans="25:25" x14ac:dyDescent="0.2">
      <c r="Y12679"/>
    </row>
    <row r="12680" spans="25:25" x14ac:dyDescent="0.2">
      <c r="Y12680"/>
    </row>
    <row r="12681" spans="25:25" x14ac:dyDescent="0.2">
      <c r="Y12681"/>
    </row>
    <row r="12682" spans="25:25" x14ac:dyDescent="0.2">
      <c r="Y12682"/>
    </row>
    <row r="12683" spans="25:25" x14ac:dyDescent="0.2">
      <c r="Y12683"/>
    </row>
    <row r="12684" spans="25:25" x14ac:dyDescent="0.2">
      <c r="Y12684"/>
    </row>
    <row r="12685" spans="25:25" x14ac:dyDescent="0.2">
      <c r="Y12685"/>
    </row>
    <row r="12686" spans="25:25" x14ac:dyDescent="0.2">
      <c r="Y12686"/>
    </row>
    <row r="12687" spans="25:25" x14ac:dyDescent="0.2">
      <c r="Y12687"/>
    </row>
    <row r="12688" spans="25:25" x14ac:dyDescent="0.2">
      <c r="Y12688"/>
    </row>
    <row r="12689" spans="25:25" x14ac:dyDescent="0.2">
      <c r="Y12689"/>
    </row>
    <row r="12690" spans="25:25" x14ac:dyDescent="0.2">
      <c r="Y12690"/>
    </row>
    <row r="12691" spans="25:25" x14ac:dyDescent="0.2">
      <c r="Y12691"/>
    </row>
    <row r="12692" spans="25:25" x14ac:dyDescent="0.2">
      <c r="Y12692"/>
    </row>
    <row r="12693" spans="25:25" x14ac:dyDescent="0.2">
      <c r="Y12693"/>
    </row>
    <row r="12694" spans="25:25" x14ac:dyDescent="0.2">
      <c r="Y12694"/>
    </row>
    <row r="12695" spans="25:25" x14ac:dyDescent="0.2">
      <c r="Y12695"/>
    </row>
    <row r="12696" spans="25:25" x14ac:dyDescent="0.2">
      <c r="Y12696"/>
    </row>
    <row r="12697" spans="25:25" x14ac:dyDescent="0.2">
      <c r="Y12697"/>
    </row>
    <row r="12698" spans="25:25" x14ac:dyDescent="0.2">
      <c r="Y12698"/>
    </row>
    <row r="12699" spans="25:25" x14ac:dyDescent="0.2">
      <c r="Y12699"/>
    </row>
    <row r="12700" spans="25:25" x14ac:dyDescent="0.2">
      <c r="Y12700"/>
    </row>
    <row r="12701" spans="25:25" x14ac:dyDescent="0.2">
      <c r="Y12701"/>
    </row>
    <row r="12702" spans="25:25" x14ac:dyDescent="0.2">
      <c r="Y12702"/>
    </row>
    <row r="12703" spans="25:25" x14ac:dyDescent="0.2">
      <c r="Y12703"/>
    </row>
    <row r="12704" spans="25:25" x14ac:dyDescent="0.2">
      <c r="Y12704"/>
    </row>
    <row r="12705" spans="25:25" x14ac:dyDescent="0.2">
      <c r="Y12705"/>
    </row>
    <row r="12706" spans="25:25" x14ac:dyDescent="0.2">
      <c r="Y12706"/>
    </row>
    <row r="12707" spans="25:25" x14ac:dyDescent="0.2">
      <c r="Y12707"/>
    </row>
    <row r="12708" spans="25:25" x14ac:dyDescent="0.2">
      <c r="Y12708"/>
    </row>
    <row r="12709" spans="25:25" x14ac:dyDescent="0.2">
      <c r="Y12709"/>
    </row>
    <row r="12710" spans="25:25" x14ac:dyDescent="0.2">
      <c r="Y12710"/>
    </row>
    <row r="12711" spans="25:25" x14ac:dyDescent="0.2">
      <c r="Y12711"/>
    </row>
    <row r="12712" spans="25:25" x14ac:dyDescent="0.2">
      <c r="Y12712"/>
    </row>
    <row r="12713" spans="25:25" x14ac:dyDescent="0.2">
      <c r="Y12713"/>
    </row>
    <row r="12714" spans="25:25" x14ac:dyDescent="0.2">
      <c r="Y12714"/>
    </row>
    <row r="12715" spans="25:25" x14ac:dyDescent="0.2">
      <c r="Y12715"/>
    </row>
    <row r="12716" spans="25:25" x14ac:dyDescent="0.2">
      <c r="Y12716"/>
    </row>
    <row r="12717" spans="25:25" x14ac:dyDescent="0.2">
      <c r="Y12717"/>
    </row>
    <row r="12718" spans="25:25" x14ac:dyDescent="0.2">
      <c r="Y12718"/>
    </row>
    <row r="12719" spans="25:25" x14ac:dyDescent="0.2">
      <c r="Y12719"/>
    </row>
    <row r="12720" spans="25:25" x14ac:dyDescent="0.2">
      <c r="Y12720"/>
    </row>
    <row r="12721" spans="25:25" x14ac:dyDescent="0.2">
      <c r="Y12721"/>
    </row>
    <row r="12722" spans="25:25" x14ac:dyDescent="0.2">
      <c r="Y12722"/>
    </row>
    <row r="12723" spans="25:25" x14ac:dyDescent="0.2">
      <c r="Y12723"/>
    </row>
    <row r="12724" spans="25:25" x14ac:dyDescent="0.2">
      <c r="Y12724"/>
    </row>
    <row r="12725" spans="25:25" x14ac:dyDescent="0.2">
      <c r="Y12725"/>
    </row>
    <row r="12726" spans="25:25" x14ac:dyDescent="0.2">
      <c r="Y12726"/>
    </row>
    <row r="12727" spans="25:25" x14ac:dyDescent="0.2">
      <c r="Y12727"/>
    </row>
    <row r="12728" spans="25:25" x14ac:dyDescent="0.2">
      <c r="Y12728"/>
    </row>
    <row r="12729" spans="25:25" x14ac:dyDescent="0.2">
      <c r="Y12729"/>
    </row>
    <row r="12730" spans="25:25" x14ac:dyDescent="0.2">
      <c r="Y12730"/>
    </row>
    <row r="12731" spans="25:25" x14ac:dyDescent="0.2">
      <c r="Y12731"/>
    </row>
    <row r="12732" spans="25:25" x14ac:dyDescent="0.2">
      <c r="Y12732"/>
    </row>
    <row r="12733" spans="25:25" x14ac:dyDescent="0.2">
      <c r="Y12733"/>
    </row>
    <row r="12734" spans="25:25" x14ac:dyDescent="0.2">
      <c r="Y12734"/>
    </row>
    <row r="12735" spans="25:25" x14ac:dyDescent="0.2">
      <c r="Y12735"/>
    </row>
    <row r="12736" spans="25:25" x14ac:dyDescent="0.2">
      <c r="Y12736"/>
    </row>
    <row r="12737" spans="25:25" x14ac:dyDescent="0.2">
      <c r="Y12737"/>
    </row>
    <row r="12738" spans="25:25" x14ac:dyDescent="0.2">
      <c r="Y12738"/>
    </row>
    <row r="12739" spans="25:25" x14ac:dyDescent="0.2">
      <c r="Y12739"/>
    </row>
    <row r="12740" spans="25:25" x14ac:dyDescent="0.2">
      <c r="Y12740"/>
    </row>
    <row r="12741" spans="25:25" x14ac:dyDescent="0.2">
      <c r="Y12741"/>
    </row>
    <row r="12742" spans="25:25" x14ac:dyDescent="0.2">
      <c r="Y12742"/>
    </row>
    <row r="12743" spans="25:25" x14ac:dyDescent="0.2">
      <c r="Y12743"/>
    </row>
    <row r="12744" spans="25:25" x14ac:dyDescent="0.2">
      <c r="Y12744"/>
    </row>
    <row r="12745" spans="25:25" x14ac:dyDescent="0.2">
      <c r="Y12745"/>
    </row>
    <row r="12746" spans="25:25" x14ac:dyDescent="0.2">
      <c r="Y12746"/>
    </row>
    <row r="12747" spans="25:25" x14ac:dyDescent="0.2">
      <c r="Y12747"/>
    </row>
    <row r="12748" spans="25:25" x14ac:dyDescent="0.2">
      <c r="Y12748"/>
    </row>
    <row r="12749" spans="25:25" x14ac:dyDescent="0.2">
      <c r="Y12749"/>
    </row>
    <row r="12750" spans="25:25" x14ac:dyDescent="0.2">
      <c r="Y12750"/>
    </row>
    <row r="12751" spans="25:25" x14ac:dyDescent="0.2">
      <c r="Y12751"/>
    </row>
    <row r="12752" spans="25:25" x14ac:dyDescent="0.2">
      <c r="Y12752"/>
    </row>
    <row r="12753" spans="25:25" x14ac:dyDescent="0.2">
      <c r="Y12753"/>
    </row>
    <row r="12754" spans="25:25" x14ac:dyDescent="0.2">
      <c r="Y12754"/>
    </row>
    <row r="12755" spans="25:25" x14ac:dyDescent="0.2">
      <c r="Y12755"/>
    </row>
    <row r="12756" spans="25:25" x14ac:dyDescent="0.2">
      <c r="Y12756"/>
    </row>
    <row r="12757" spans="25:25" x14ac:dyDescent="0.2">
      <c r="Y12757"/>
    </row>
    <row r="12758" spans="25:25" x14ac:dyDescent="0.2">
      <c r="Y12758"/>
    </row>
    <row r="12759" spans="25:25" x14ac:dyDescent="0.2">
      <c r="Y12759"/>
    </row>
    <row r="12760" spans="25:25" x14ac:dyDescent="0.2">
      <c r="Y12760"/>
    </row>
    <row r="12761" spans="25:25" x14ac:dyDescent="0.2">
      <c r="Y12761"/>
    </row>
    <row r="12762" spans="25:25" x14ac:dyDescent="0.2">
      <c r="Y12762"/>
    </row>
    <row r="12763" spans="25:25" x14ac:dyDescent="0.2">
      <c r="Y12763"/>
    </row>
    <row r="12764" spans="25:25" x14ac:dyDescent="0.2">
      <c r="Y12764"/>
    </row>
    <row r="12765" spans="25:25" x14ac:dyDescent="0.2">
      <c r="Y12765"/>
    </row>
    <row r="12766" spans="25:25" x14ac:dyDescent="0.2">
      <c r="Y12766"/>
    </row>
    <row r="12767" spans="25:25" x14ac:dyDescent="0.2">
      <c r="Y12767"/>
    </row>
    <row r="12768" spans="25:25" x14ac:dyDescent="0.2">
      <c r="Y12768"/>
    </row>
    <row r="12769" spans="25:25" x14ac:dyDescent="0.2">
      <c r="Y12769"/>
    </row>
    <row r="12770" spans="25:25" x14ac:dyDescent="0.2">
      <c r="Y12770"/>
    </row>
    <row r="12771" spans="25:25" x14ac:dyDescent="0.2">
      <c r="Y12771"/>
    </row>
    <row r="12772" spans="25:25" x14ac:dyDescent="0.2">
      <c r="Y12772"/>
    </row>
    <row r="12773" spans="25:25" x14ac:dyDescent="0.2">
      <c r="Y12773"/>
    </row>
    <row r="12774" spans="25:25" x14ac:dyDescent="0.2">
      <c r="Y12774"/>
    </row>
    <row r="12775" spans="25:25" x14ac:dyDescent="0.2">
      <c r="Y12775"/>
    </row>
    <row r="12776" spans="25:25" x14ac:dyDescent="0.2">
      <c r="Y12776"/>
    </row>
    <row r="12777" spans="25:25" x14ac:dyDescent="0.2">
      <c r="Y12777"/>
    </row>
    <row r="12778" spans="25:25" x14ac:dyDescent="0.2">
      <c r="Y12778"/>
    </row>
    <row r="12779" spans="25:25" x14ac:dyDescent="0.2">
      <c r="Y12779"/>
    </row>
    <row r="12780" spans="25:25" x14ac:dyDescent="0.2">
      <c r="Y12780"/>
    </row>
    <row r="12781" spans="25:25" x14ac:dyDescent="0.2">
      <c r="Y12781"/>
    </row>
    <row r="12782" spans="25:25" x14ac:dyDescent="0.2">
      <c r="Y12782"/>
    </row>
    <row r="12783" spans="25:25" x14ac:dyDescent="0.2">
      <c r="Y12783"/>
    </row>
    <row r="12784" spans="25:25" x14ac:dyDescent="0.2">
      <c r="Y12784"/>
    </row>
    <row r="12785" spans="25:25" x14ac:dyDescent="0.2">
      <c r="Y12785"/>
    </row>
    <row r="12786" spans="25:25" x14ac:dyDescent="0.2">
      <c r="Y12786"/>
    </row>
    <row r="12787" spans="25:25" x14ac:dyDescent="0.2">
      <c r="Y12787"/>
    </row>
    <row r="12788" spans="25:25" x14ac:dyDescent="0.2">
      <c r="Y12788"/>
    </row>
    <row r="12789" spans="25:25" x14ac:dyDescent="0.2">
      <c r="Y12789"/>
    </row>
    <row r="12790" spans="25:25" x14ac:dyDescent="0.2">
      <c r="Y12790"/>
    </row>
    <row r="12791" spans="25:25" x14ac:dyDescent="0.2">
      <c r="Y12791"/>
    </row>
    <row r="12792" spans="25:25" x14ac:dyDescent="0.2">
      <c r="Y12792"/>
    </row>
    <row r="12793" spans="25:25" x14ac:dyDescent="0.2">
      <c r="Y12793"/>
    </row>
    <row r="12794" spans="25:25" x14ac:dyDescent="0.2">
      <c r="Y12794"/>
    </row>
    <row r="12795" spans="25:25" x14ac:dyDescent="0.2">
      <c r="Y12795"/>
    </row>
    <row r="12796" spans="25:25" x14ac:dyDescent="0.2">
      <c r="Y12796"/>
    </row>
    <row r="12797" spans="25:25" x14ac:dyDescent="0.2">
      <c r="Y12797"/>
    </row>
    <row r="12798" spans="25:25" x14ac:dyDescent="0.2">
      <c r="Y12798"/>
    </row>
    <row r="12799" spans="25:25" x14ac:dyDescent="0.2">
      <c r="Y12799"/>
    </row>
    <row r="12800" spans="25:25" x14ac:dyDescent="0.2">
      <c r="Y12800"/>
    </row>
    <row r="12801" spans="25:25" x14ac:dyDescent="0.2">
      <c r="Y12801"/>
    </row>
    <row r="12802" spans="25:25" x14ac:dyDescent="0.2">
      <c r="Y12802"/>
    </row>
    <row r="12803" spans="25:25" x14ac:dyDescent="0.2">
      <c r="Y12803"/>
    </row>
    <row r="12804" spans="25:25" x14ac:dyDescent="0.2">
      <c r="Y12804"/>
    </row>
    <row r="12805" spans="25:25" x14ac:dyDescent="0.2">
      <c r="Y12805"/>
    </row>
    <row r="12806" spans="25:25" x14ac:dyDescent="0.2">
      <c r="Y12806"/>
    </row>
    <row r="12807" spans="25:25" x14ac:dyDescent="0.2">
      <c r="Y12807"/>
    </row>
    <row r="12808" spans="25:25" x14ac:dyDescent="0.2">
      <c r="Y12808"/>
    </row>
    <row r="12809" spans="25:25" x14ac:dyDescent="0.2">
      <c r="Y12809"/>
    </row>
    <row r="12810" spans="25:25" x14ac:dyDescent="0.2">
      <c r="Y12810"/>
    </row>
    <row r="12811" spans="25:25" x14ac:dyDescent="0.2">
      <c r="Y12811"/>
    </row>
    <row r="12812" spans="25:25" x14ac:dyDescent="0.2">
      <c r="Y12812"/>
    </row>
    <row r="12813" spans="25:25" x14ac:dyDescent="0.2">
      <c r="Y12813"/>
    </row>
    <row r="12814" spans="25:25" x14ac:dyDescent="0.2">
      <c r="Y12814"/>
    </row>
    <row r="12815" spans="25:25" x14ac:dyDescent="0.2">
      <c r="Y12815"/>
    </row>
    <row r="12816" spans="25:25" x14ac:dyDescent="0.2">
      <c r="Y12816"/>
    </row>
    <row r="12817" spans="25:25" x14ac:dyDescent="0.2">
      <c r="Y12817"/>
    </row>
    <row r="12818" spans="25:25" x14ac:dyDescent="0.2">
      <c r="Y12818"/>
    </row>
    <row r="12819" spans="25:25" x14ac:dyDescent="0.2">
      <c r="Y12819"/>
    </row>
    <row r="12820" spans="25:25" x14ac:dyDescent="0.2">
      <c r="Y12820"/>
    </row>
    <row r="12821" spans="25:25" x14ac:dyDescent="0.2">
      <c r="Y12821"/>
    </row>
    <row r="12822" spans="25:25" x14ac:dyDescent="0.2">
      <c r="Y12822"/>
    </row>
    <row r="12823" spans="25:25" x14ac:dyDescent="0.2">
      <c r="Y12823"/>
    </row>
    <row r="12824" spans="25:25" x14ac:dyDescent="0.2">
      <c r="Y12824"/>
    </row>
    <row r="12825" spans="25:25" x14ac:dyDescent="0.2">
      <c r="Y12825"/>
    </row>
    <row r="12826" spans="25:25" x14ac:dyDescent="0.2">
      <c r="Y12826"/>
    </row>
    <row r="12827" spans="25:25" x14ac:dyDescent="0.2">
      <c r="Y12827"/>
    </row>
    <row r="12828" spans="25:25" x14ac:dyDescent="0.2">
      <c r="Y12828"/>
    </row>
    <row r="12829" spans="25:25" x14ac:dyDescent="0.2">
      <c r="Y12829"/>
    </row>
    <row r="12830" spans="25:25" x14ac:dyDescent="0.2">
      <c r="Y12830"/>
    </row>
    <row r="12831" spans="25:25" x14ac:dyDescent="0.2">
      <c r="Y12831"/>
    </row>
    <row r="12832" spans="25:25" x14ac:dyDescent="0.2">
      <c r="Y12832"/>
    </row>
    <row r="12833" spans="25:25" x14ac:dyDescent="0.2">
      <c r="Y12833"/>
    </row>
    <row r="12834" spans="25:25" x14ac:dyDescent="0.2">
      <c r="Y12834"/>
    </row>
    <row r="12835" spans="25:25" x14ac:dyDescent="0.2">
      <c r="Y12835"/>
    </row>
    <row r="12836" spans="25:25" x14ac:dyDescent="0.2">
      <c r="Y12836"/>
    </row>
    <row r="12837" spans="25:25" x14ac:dyDescent="0.2">
      <c r="Y12837"/>
    </row>
    <row r="12838" spans="25:25" x14ac:dyDescent="0.2">
      <c r="Y12838"/>
    </row>
    <row r="12839" spans="25:25" x14ac:dyDescent="0.2">
      <c r="Y12839"/>
    </row>
    <row r="12840" spans="25:25" x14ac:dyDescent="0.2">
      <c r="Y12840"/>
    </row>
    <row r="12841" spans="25:25" x14ac:dyDescent="0.2">
      <c r="Y12841"/>
    </row>
    <row r="12842" spans="25:25" x14ac:dyDescent="0.2">
      <c r="Y12842"/>
    </row>
    <row r="12843" spans="25:25" x14ac:dyDescent="0.2">
      <c r="Y12843"/>
    </row>
    <row r="12844" spans="25:25" x14ac:dyDescent="0.2">
      <c r="Y12844"/>
    </row>
    <row r="12845" spans="25:25" x14ac:dyDescent="0.2">
      <c r="Y12845"/>
    </row>
    <row r="12846" spans="25:25" x14ac:dyDescent="0.2">
      <c r="Y12846"/>
    </row>
    <row r="12847" spans="25:25" x14ac:dyDescent="0.2">
      <c r="Y12847"/>
    </row>
    <row r="12848" spans="25:25" x14ac:dyDescent="0.2">
      <c r="Y12848"/>
    </row>
    <row r="12849" spans="25:25" x14ac:dyDescent="0.2">
      <c r="Y12849"/>
    </row>
    <row r="12850" spans="25:25" x14ac:dyDescent="0.2">
      <c r="Y12850"/>
    </row>
    <row r="12851" spans="25:25" x14ac:dyDescent="0.2">
      <c r="Y12851"/>
    </row>
    <row r="12852" spans="25:25" x14ac:dyDescent="0.2">
      <c r="Y12852"/>
    </row>
    <row r="12853" spans="25:25" x14ac:dyDescent="0.2">
      <c r="Y12853"/>
    </row>
    <row r="12854" spans="25:25" x14ac:dyDescent="0.2">
      <c r="Y12854"/>
    </row>
    <row r="12855" spans="25:25" x14ac:dyDescent="0.2">
      <c r="Y12855"/>
    </row>
    <row r="12856" spans="25:25" x14ac:dyDescent="0.2">
      <c r="Y12856"/>
    </row>
    <row r="12857" spans="25:25" x14ac:dyDescent="0.2">
      <c r="Y12857"/>
    </row>
    <row r="12858" spans="25:25" x14ac:dyDescent="0.2">
      <c r="Y12858"/>
    </row>
    <row r="12859" spans="25:25" x14ac:dyDescent="0.2">
      <c r="Y12859"/>
    </row>
    <row r="12860" spans="25:25" x14ac:dyDescent="0.2">
      <c r="Y12860"/>
    </row>
    <row r="12861" spans="25:25" x14ac:dyDescent="0.2">
      <c r="Y12861"/>
    </row>
    <row r="12862" spans="25:25" x14ac:dyDescent="0.2">
      <c r="Y12862"/>
    </row>
    <row r="12863" spans="25:25" x14ac:dyDescent="0.2">
      <c r="Y12863"/>
    </row>
    <row r="12864" spans="25:25" x14ac:dyDescent="0.2">
      <c r="Y12864"/>
    </row>
    <row r="12865" spans="25:25" x14ac:dyDescent="0.2">
      <c r="Y12865"/>
    </row>
    <row r="12866" spans="25:25" x14ac:dyDescent="0.2">
      <c r="Y12866"/>
    </row>
    <row r="12867" spans="25:25" x14ac:dyDescent="0.2">
      <c r="Y12867"/>
    </row>
    <row r="12868" spans="25:25" x14ac:dyDescent="0.2">
      <c r="Y12868"/>
    </row>
    <row r="12869" spans="25:25" x14ac:dyDescent="0.2">
      <c r="Y12869"/>
    </row>
    <row r="12870" spans="25:25" x14ac:dyDescent="0.2">
      <c r="Y12870"/>
    </row>
    <row r="12871" spans="25:25" x14ac:dyDescent="0.2">
      <c r="Y12871"/>
    </row>
    <row r="12872" spans="25:25" x14ac:dyDescent="0.2">
      <c r="Y12872"/>
    </row>
    <row r="12873" spans="25:25" x14ac:dyDescent="0.2">
      <c r="Y12873"/>
    </row>
    <row r="12874" spans="25:25" x14ac:dyDescent="0.2">
      <c r="Y12874"/>
    </row>
    <row r="12875" spans="25:25" x14ac:dyDescent="0.2">
      <c r="Y12875"/>
    </row>
    <row r="12876" spans="25:25" x14ac:dyDescent="0.2">
      <c r="Y12876"/>
    </row>
    <row r="12877" spans="25:25" x14ac:dyDescent="0.2">
      <c r="Y12877"/>
    </row>
    <row r="12878" spans="25:25" x14ac:dyDescent="0.2">
      <c r="Y12878"/>
    </row>
    <row r="12879" spans="25:25" x14ac:dyDescent="0.2">
      <c r="Y12879"/>
    </row>
    <row r="12880" spans="25:25" x14ac:dyDescent="0.2">
      <c r="Y12880"/>
    </row>
    <row r="12881" spans="25:25" x14ac:dyDescent="0.2">
      <c r="Y12881"/>
    </row>
    <row r="12882" spans="25:25" x14ac:dyDescent="0.2">
      <c r="Y12882"/>
    </row>
    <row r="12883" spans="25:25" x14ac:dyDescent="0.2">
      <c r="Y12883"/>
    </row>
    <row r="12884" spans="25:25" x14ac:dyDescent="0.2">
      <c r="Y12884"/>
    </row>
    <row r="12885" spans="25:25" x14ac:dyDescent="0.2">
      <c r="Y12885"/>
    </row>
    <row r="12886" spans="25:25" x14ac:dyDescent="0.2">
      <c r="Y12886"/>
    </row>
    <row r="12887" spans="25:25" x14ac:dyDescent="0.2">
      <c r="Y12887"/>
    </row>
    <row r="12888" spans="25:25" x14ac:dyDescent="0.2">
      <c r="Y12888"/>
    </row>
    <row r="12889" spans="25:25" x14ac:dyDescent="0.2">
      <c r="Y12889"/>
    </row>
    <row r="12890" spans="25:25" x14ac:dyDescent="0.2">
      <c r="Y12890"/>
    </row>
    <row r="12891" spans="25:25" x14ac:dyDescent="0.2">
      <c r="Y12891"/>
    </row>
    <row r="12892" spans="25:25" x14ac:dyDescent="0.2">
      <c r="Y12892"/>
    </row>
    <row r="12893" spans="25:25" x14ac:dyDescent="0.2">
      <c r="Y12893"/>
    </row>
    <row r="12894" spans="25:25" x14ac:dyDescent="0.2">
      <c r="Y12894"/>
    </row>
    <row r="12895" spans="25:25" x14ac:dyDescent="0.2">
      <c r="Y12895"/>
    </row>
    <row r="12896" spans="25:25" x14ac:dyDescent="0.2">
      <c r="Y12896"/>
    </row>
    <row r="12897" spans="25:25" x14ac:dyDescent="0.2">
      <c r="Y12897"/>
    </row>
    <row r="12898" spans="25:25" x14ac:dyDescent="0.2">
      <c r="Y12898"/>
    </row>
    <row r="12899" spans="25:25" x14ac:dyDescent="0.2">
      <c r="Y12899"/>
    </row>
    <row r="12900" spans="25:25" x14ac:dyDescent="0.2">
      <c r="Y12900"/>
    </row>
    <row r="12901" spans="25:25" x14ac:dyDescent="0.2">
      <c r="Y12901"/>
    </row>
    <row r="12902" spans="25:25" x14ac:dyDescent="0.2">
      <c r="Y12902"/>
    </row>
    <row r="12903" spans="25:25" x14ac:dyDescent="0.2">
      <c r="Y12903"/>
    </row>
    <row r="12904" spans="25:25" x14ac:dyDescent="0.2">
      <c r="Y12904"/>
    </row>
    <row r="12905" spans="25:25" x14ac:dyDescent="0.2">
      <c r="Y12905"/>
    </row>
    <row r="12906" spans="25:25" x14ac:dyDescent="0.2">
      <c r="Y12906"/>
    </row>
    <row r="12907" spans="25:25" x14ac:dyDescent="0.2">
      <c r="Y12907"/>
    </row>
    <row r="12908" spans="25:25" x14ac:dyDescent="0.2">
      <c r="Y12908"/>
    </row>
    <row r="12909" spans="25:25" x14ac:dyDescent="0.2">
      <c r="Y12909"/>
    </row>
    <row r="12910" spans="25:25" x14ac:dyDescent="0.2">
      <c r="Y12910"/>
    </row>
    <row r="12911" spans="25:25" x14ac:dyDescent="0.2">
      <c r="Y12911"/>
    </row>
    <row r="12912" spans="25:25" x14ac:dyDescent="0.2">
      <c r="Y12912"/>
    </row>
    <row r="12913" spans="25:25" x14ac:dyDescent="0.2">
      <c r="Y12913"/>
    </row>
    <row r="12914" spans="25:25" x14ac:dyDescent="0.2">
      <c r="Y12914"/>
    </row>
    <row r="12915" spans="25:25" x14ac:dyDescent="0.2">
      <c r="Y12915"/>
    </row>
    <row r="12916" spans="25:25" x14ac:dyDescent="0.2">
      <c r="Y12916"/>
    </row>
    <row r="12917" spans="25:25" x14ac:dyDescent="0.2">
      <c r="Y12917"/>
    </row>
    <row r="12918" spans="25:25" x14ac:dyDescent="0.2">
      <c r="Y12918"/>
    </row>
    <row r="12919" spans="25:25" x14ac:dyDescent="0.2">
      <c r="Y12919"/>
    </row>
    <row r="12920" spans="25:25" x14ac:dyDescent="0.2">
      <c r="Y12920"/>
    </row>
    <row r="12921" spans="25:25" x14ac:dyDescent="0.2">
      <c r="Y12921"/>
    </row>
    <row r="12922" spans="25:25" x14ac:dyDescent="0.2">
      <c r="Y12922"/>
    </row>
    <row r="12923" spans="25:25" x14ac:dyDescent="0.2">
      <c r="Y12923"/>
    </row>
    <row r="12924" spans="25:25" x14ac:dyDescent="0.2">
      <c r="Y12924"/>
    </row>
    <row r="12925" spans="25:25" x14ac:dyDescent="0.2">
      <c r="Y12925"/>
    </row>
    <row r="12926" spans="25:25" x14ac:dyDescent="0.2">
      <c r="Y12926"/>
    </row>
    <row r="12927" spans="25:25" x14ac:dyDescent="0.2">
      <c r="Y12927"/>
    </row>
    <row r="12928" spans="25:25" x14ac:dyDescent="0.2">
      <c r="Y12928"/>
    </row>
    <row r="12929" spans="25:25" x14ac:dyDescent="0.2">
      <c r="Y12929"/>
    </row>
    <row r="12930" spans="25:25" x14ac:dyDescent="0.2">
      <c r="Y12930"/>
    </row>
    <row r="12931" spans="25:25" x14ac:dyDescent="0.2">
      <c r="Y12931"/>
    </row>
    <row r="12932" spans="25:25" x14ac:dyDescent="0.2">
      <c r="Y12932"/>
    </row>
    <row r="12933" spans="25:25" x14ac:dyDescent="0.2">
      <c r="Y12933"/>
    </row>
    <row r="12934" spans="25:25" x14ac:dyDescent="0.2">
      <c r="Y12934"/>
    </row>
    <row r="12935" spans="25:25" x14ac:dyDescent="0.2">
      <c r="Y12935"/>
    </row>
    <row r="12936" spans="25:25" x14ac:dyDescent="0.2">
      <c r="Y12936"/>
    </row>
    <row r="12937" spans="25:25" x14ac:dyDescent="0.2">
      <c r="Y12937"/>
    </row>
    <row r="12938" spans="25:25" x14ac:dyDescent="0.2">
      <c r="Y12938"/>
    </row>
    <row r="12939" spans="25:25" x14ac:dyDescent="0.2">
      <c r="Y12939"/>
    </row>
    <row r="12940" spans="25:25" x14ac:dyDescent="0.2">
      <c r="Y12940"/>
    </row>
    <row r="12941" spans="25:25" x14ac:dyDescent="0.2">
      <c r="Y12941"/>
    </row>
    <row r="12942" spans="25:25" x14ac:dyDescent="0.2">
      <c r="Y12942"/>
    </row>
    <row r="12943" spans="25:25" x14ac:dyDescent="0.2">
      <c r="Y12943"/>
    </row>
    <row r="12944" spans="25:25" x14ac:dyDescent="0.2">
      <c r="Y12944"/>
    </row>
    <row r="12945" spans="25:25" x14ac:dyDescent="0.2">
      <c r="Y12945"/>
    </row>
    <row r="12946" spans="25:25" x14ac:dyDescent="0.2">
      <c r="Y12946"/>
    </row>
    <row r="12947" spans="25:25" x14ac:dyDescent="0.2">
      <c r="Y12947"/>
    </row>
    <row r="12948" spans="25:25" x14ac:dyDescent="0.2">
      <c r="Y12948"/>
    </row>
    <row r="12949" spans="25:25" x14ac:dyDescent="0.2">
      <c r="Y12949"/>
    </row>
    <row r="12950" spans="25:25" x14ac:dyDescent="0.2">
      <c r="Y12950"/>
    </row>
    <row r="12951" spans="25:25" x14ac:dyDescent="0.2">
      <c r="Y12951"/>
    </row>
    <row r="12952" spans="25:25" x14ac:dyDescent="0.2">
      <c r="Y12952"/>
    </row>
    <row r="12953" spans="25:25" x14ac:dyDescent="0.2">
      <c r="Y12953"/>
    </row>
    <row r="12954" spans="25:25" x14ac:dyDescent="0.2">
      <c r="Y12954"/>
    </row>
    <row r="12955" spans="25:25" x14ac:dyDescent="0.2">
      <c r="Y12955"/>
    </row>
    <row r="12956" spans="25:25" x14ac:dyDescent="0.2">
      <c r="Y12956"/>
    </row>
    <row r="12957" spans="25:25" x14ac:dyDescent="0.2">
      <c r="Y12957"/>
    </row>
    <row r="12958" spans="25:25" x14ac:dyDescent="0.2">
      <c r="Y12958"/>
    </row>
    <row r="12959" spans="25:25" x14ac:dyDescent="0.2">
      <c r="Y12959"/>
    </row>
    <row r="12960" spans="25:25" x14ac:dyDescent="0.2">
      <c r="Y12960"/>
    </row>
    <row r="12961" spans="25:25" x14ac:dyDescent="0.2">
      <c r="Y12961"/>
    </row>
    <row r="12962" spans="25:25" x14ac:dyDescent="0.2">
      <c r="Y12962"/>
    </row>
    <row r="12963" spans="25:25" x14ac:dyDescent="0.2">
      <c r="Y12963"/>
    </row>
    <row r="12964" spans="25:25" x14ac:dyDescent="0.2">
      <c r="Y12964"/>
    </row>
    <row r="12965" spans="25:25" x14ac:dyDescent="0.2">
      <c r="Y12965"/>
    </row>
    <row r="12966" spans="25:25" x14ac:dyDescent="0.2">
      <c r="Y12966"/>
    </row>
    <row r="12967" spans="25:25" x14ac:dyDescent="0.2">
      <c r="Y12967"/>
    </row>
    <row r="12968" spans="25:25" x14ac:dyDescent="0.2">
      <c r="Y12968"/>
    </row>
    <row r="12969" spans="25:25" x14ac:dyDescent="0.2">
      <c r="Y12969"/>
    </row>
    <row r="12970" spans="25:25" x14ac:dyDescent="0.2">
      <c r="Y12970"/>
    </row>
    <row r="12971" spans="25:25" x14ac:dyDescent="0.2">
      <c r="Y12971"/>
    </row>
    <row r="12972" spans="25:25" x14ac:dyDescent="0.2">
      <c r="Y12972"/>
    </row>
    <row r="12973" spans="25:25" x14ac:dyDescent="0.2">
      <c r="Y12973"/>
    </row>
    <row r="12974" spans="25:25" x14ac:dyDescent="0.2">
      <c r="Y12974"/>
    </row>
    <row r="12975" spans="25:25" x14ac:dyDescent="0.2">
      <c r="Y12975"/>
    </row>
    <row r="12976" spans="25:25" x14ac:dyDescent="0.2">
      <c r="Y12976"/>
    </row>
    <row r="12977" spans="25:25" x14ac:dyDescent="0.2">
      <c r="Y12977"/>
    </row>
    <row r="12978" spans="25:25" x14ac:dyDescent="0.2">
      <c r="Y12978"/>
    </row>
    <row r="12979" spans="25:25" x14ac:dyDescent="0.2">
      <c r="Y12979"/>
    </row>
    <row r="12980" spans="25:25" x14ac:dyDescent="0.2">
      <c r="Y12980"/>
    </row>
    <row r="12981" spans="25:25" x14ac:dyDescent="0.2">
      <c r="Y12981"/>
    </row>
    <row r="12982" spans="25:25" x14ac:dyDescent="0.2">
      <c r="Y12982"/>
    </row>
    <row r="12983" spans="25:25" x14ac:dyDescent="0.2">
      <c r="Y12983"/>
    </row>
    <row r="12984" spans="25:25" x14ac:dyDescent="0.2">
      <c r="Y12984"/>
    </row>
    <row r="12985" spans="25:25" x14ac:dyDescent="0.2">
      <c r="Y12985"/>
    </row>
    <row r="12986" spans="25:25" x14ac:dyDescent="0.2">
      <c r="Y12986"/>
    </row>
    <row r="12987" spans="25:25" x14ac:dyDescent="0.2">
      <c r="Y12987"/>
    </row>
    <row r="12988" spans="25:25" x14ac:dyDescent="0.2">
      <c r="Y12988"/>
    </row>
    <row r="12989" spans="25:25" x14ac:dyDescent="0.2">
      <c r="Y12989"/>
    </row>
    <row r="12990" spans="25:25" x14ac:dyDescent="0.2">
      <c r="Y12990"/>
    </row>
    <row r="12991" spans="25:25" x14ac:dyDescent="0.2">
      <c r="Y12991"/>
    </row>
    <row r="12992" spans="25:25" x14ac:dyDescent="0.2">
      <c r="Y12992"/>
    </row>
    <row r="12993" spans="25:25" x14ac:dyDescent="0.2">
      <c r="Y12993"/>
    </row>
    <row r="12994" spans="25:25" x14ac:dyDescent="0.2">
      <c r="Y12994"/>
    </row>
    <row r="12995" spans="25:25" x14ac:dyDescent="0.2">
      <c r="Y12995"/>
    </row>
    <row r="12996" spans="25:25" x14ac:dyDescent="0.2">
      <c r="Y12996"/>
    </row>
    <row r="12997" spans="25:25" x14ac:dyDescent="0.2">
      <c r="Y12997"/>
    </row>
    <row r="12998" spans="25:25" x14ac:dyDescent="0.2">
      <c r="Y12998"/>
    </row>
    <row r="12999" spans="25:25" x14ac:dyDescent="0.2">
      <c r="Y12999"/>
    </row>
    <row r="13000" spans="25:25" x14ac:dyDescent="0.2">
      <c r="Y13000"/>
    </row>
    <row r="13001" spans="25:25" x14ac:dyDescent="0.2">
      <c r="Y13001"/>
    </row>
    <row r="13002" spans="25:25" x14ac:dyDescent="0.2">
      <c r="Y13002"/>
    </row>
    <row r="13003" spans="25:25" x14ac:dyDescent="0.2">
      <c r="Y13003"/>
    </row>
    <row r="13004" spans="25:25" x14ac:dyDescent="0.2">
      <c r="Y13004"/>
    </row>
    <row r="13005" spans="25:25" x14ac:dyDescent="0.2">
      <c r="Y13005"/>
    </row>
    <row r="13006" spans="25:25" x14ac:dyDescent="0.2">
      <c r="Y13006"/>
    </row>
    <row r="13007" spans="25:25" x14ac:dyDescent="0.2">
      <c r="Y13007"/>
    </row>
    <row r="13008" spans="25:25" x14ac:dyDescent="0.2">
      <c r="Y13008"/>
    </row>
    <row r="13009" spans="25:25" x14ac:dyDescent="0.2">
      <c r="Y13009"/>
    </row>
    <row r="13010" spans="25:25" x14ac:dyDescent="0.2">
      <c r="Y13010"/>
    </row>
    <row r="13011" spans="25:25" x14ac:dyDescent="0.2">
      <c r="Y13011"/>
    </row>
    <row r="13012" spans="25:25" x14ac:dyDescent="0.2">
      <c r="Y13012"/>
    </row>
    <row r="13013" spans="25:25" x14ac:dyDescent="0.2">
      <c r="Y13013"/>
    </row>
    <row r="13014" spans="25:25" x14ac:dyDescent="0.2">
      <c r="Y13014"/>
    </row>
    <row r="13015" spans="25:25" x14ac:dyDescent="0.2">
      <c r="Y13015"/>
    </row>
    <row r="13016" spans="25:25" x14ac:dyDescent="0.2">
      <c r="Y13016"/>
    </row>
    <row r="13017" spans="25:25" x14ac:dyDescent="0.2">
      <c r="Y13017"/>
    </row>
    <row r="13018" spans="25:25" x14ac:dyDescent="0.2">
      <c r="Y13018"/>
    </row>
    <row r="13019" spans="25:25" x14ac:dyDescent="0.2">
      <c r="Y13019"/>
    </row>
    <row r="13020" spans="25:25" x14ac:dyDescent="0.2">
      <c r="Y13020"/>
    </row>
    <row r="13021" spans="25:25" x14ac:dyDescent="0.2">
      <c r="Y13021"/>
    </row>
    <row r="13022" spans="25:25" x14ac:dyDescent="0.2">
      <c r="Y13022"/>
    </row>
    <row r="13023" spans="25:25" x14ac:dyDescent="0.2">
      <c r="Y13023"/>
    </row>
    <row r="13024" spans="25:25" x14ac:dyDescent="0.2">
      <c r="Y13024"/>
    </row>
    <row r="13025" spans="25:25" x14ac:dyDescent="0.2">
      <c r="Y13025"/>
    </row>
    <row r="13026" spans="25:25" x14ac:dyDescent="0.2">
      <c r="Y13026"/>
    </row>
    <row r="13027" spans="25:25" x14ac:dyDescent="0.2">
      <c r="Y13027"/>
    </row>
    <row r="13028" spans="25:25" x14ac:dyDescent="0.2">
      <c r="Y13028"/>
    </row>
    <row r="13029" spans="25:25" x14ac:dyDescent="0.2">
      <c r="Y13029"/>
    </row>
    <row r="13030" spans="25:25" x14ac:dyDescent="0.2">
      <c r="Y13030"/>
    </row>
    <row r="13031" spans="25:25" x14ac:dyDescent="0.2">
      <c r="Y13031"/>
    </row>
    <row r="13032" spans="25:25" x14ac:dyDescent="0.2">
      <c r="Y13032"/>
    </row>
    <row r="13033" spans="25:25" x14ac:dyDescent="0.2">
      <c r="Y13033"/>
    </row>
    <row r="13034" spans="25:25" x14ac:dyDescent="0.2">
      <c r="Y13034"/>
    </row>
    <row r="13035" spans="25:25" x14ac:dyDescent="0.2">
      <c r="Y13035"/>
    </row>
    <row r="13036" spans="25:25" x14ac:dyDescent="0.2">
      <c r="Y13036"/>
    </row>
    <row r="13037" spans="25:25" x14ac:dyDescent="0.2">
      <c r="Y13037"/>
    </row>
    <row r="13038" spans="25:25" x14ac:dyDescent="0.2">
      <c r="Y13038"/>
    </row>
    <row r="13039" spans="25:25" x14ac:dyDescent="0.2">
      <c r="Y13039"/>
    </row>
    <row r="13040" spans="25:25" x14ac:dyDescent="0.2">
      <c r="Y13040"/>
    </row>
    <row r="13041" spans="25:25" x14ac:dyDescent="0.2">
      <c r="Y13041"/>
    </row>
    <row r="13042" spans="25:25" x14ac:dyDescent="0.2">
      <c r="Y13042"/>
    </row>
    <row r="13043" spans="25:25" x14ac:dyDescent="0.2">
      <c r="Y13043"/>
    </row>
    <row r="13044" spans="25:25" x14ac:dyDescent="0.2">
      <c r="Y13044"/>
    </row>
    <row r="13045" spans="25:25" x14ac:dyDescent="0.2">
      <c r="Y13045"/>
    </row>
    <row r="13046" spans="25:25" x14ac:dyDescent="0.2">
      <c r="Y13046"/>
    </row>
    <row r="13047" spans="25:25" x14ac:dyDescent="0.2">
      <c r="Y13047"/>
    </row>
    <row r="13048" spans="25:25" x14ac:dyDescent="0.2">
      <c r="Y13048"/>
    </row>
    <row r="13049" spans="25:25" x14ac:dyDescent="0.2">
      <c r="Y13049"/>
    </row>
    <row r="13050" spans="25:25" x14ac:dyDescent="0.2">
      <c r="Y13050"/>
    </row>
    <row r="13051" spans="25:25" x14ac:dyDescent="0.2">
      <c r="Y13051"/>
    </row>
    <row r="13052" spans="25:25" x14ac:dyDescent="0.2">
      <c r="Y13052"/>
    </row>
    <row r="13053" spans="25:25" x14ac:dyDescent="0.2">
      <c r="Y13053"/>
    </row>
    <row r="13054" spans="25:25" x14ac:dyDescent="0.2">
      <c r="Y13054"/>
    </row>
    <row r="13055" spans="25:25" x14ac:dyDescent="0.2">
      <c r="Y13055"/>
    </row>
    <row r="13056" spans="25:25" x14ac:dyDescent="0.2">
      <c r="Y13056"/>
    </row>
    <row r="13057" spans="25:25" x14ac:dyDescent="0.2">
      <c r="Y13057"/>
    </row>
    <row r="13058" spans="25:25" x14ac:dyDescent="0.2">
      <c r="Y13058"/>
    </row>
    <row r="13059" spans="25:25" x14ac:dyDescent="0.2">
      <c r="Y13059"/>
    </row>
    <row r="13060" spans="25:25" x14ac:dyDescent="0.2">
      <c r="Y13060"/>
    </row>
    <row r="13061" spans="25:25" x14ac:dyDescent="0.2">
      <c r="Y13061"/>
    </row>
    <row r="13062" spans="25:25" x14ac:dyDescent="0.2">
      <c r="Y13062"/>
    </row>
    <row r="13063" spans="25:25" x14ac:dyDescent="0.2">
      <c r="Y13063"/>
    </row>
    <row r="13064" spans="25:25" x14ac:dyDescent="0.2">
      <c r="Y13064"/>
    </row>
    <row r="13065" spans="25:25" x14ac:dyDescent="0.2">
      <c r="Y13065"/>
    </row>
    <row r="13066" spans="25:25" x14ac:dyDescent="0.2">
      <c r="Y13066"/>
    </row>
    <row r="13067" spans="25:25" x14ac:dyDescent="0.2">
      <c r="Y13067"/>
    </row>
    <row r="13068" spans="25:25" x14ac:dyDescent="0.2">
      <c r="Y13068"/>
    </row>
    <row r="13069" spans="25:25" x14ac:dyDescent="0.2">
      <c r="Y13069"/>
    </row>
    <row r="13070" spans="25:25" x14ac:dyDescent="0.2">
      <c r="Y13070"/>
    </row>
    <row r="13071" spans="25:25" x14ac:dyDescent="0.2">
      <c r="Y13071"/>
    </row>
    <row r="13072" spans="25:25" x14ac:dyDescent="0.2">
      <c r="Y13072"/>
    </row>
    <row r="13073" spans="25:25" x14ac:dyDescent="0.2">
      <c r="Y13073"/>
    </row>
    <row r="13074" spans="25:25" x14ac:dyDescent="0.2">
      <c r="Y13074"/>
    </row>
    <row r="13075" spans="25:25" x14ac:dyDescent="0.2">
      <c r="Y13075"/>
    </row>
    <row r="13076" spans="25:25" x14ac:dyDescent="0.2">
      <c r="Y13076"/>
    </row>
    <row r="13077" spans="25:25" x14ac:dyDescent="0.2">
      <c r="Y13077"/>
    </row>
    <row r="13078" spans="25:25" x14ac:dyDescent="0.2">
      <c r="Y13078"/>
    </row>
    <row r="13079" spans="25:25" x14ac:dyDescent="0.2">
      <c r="Y13079"/>
    </row>
    <row r="13080" spans="25:25" x14ac:dyDescent="0.2">
      <c r="Y13080"/>
    </row>
    <row r="13081" spans="25:25" x14ac:dyDescent="0.2">
      <c r="Y13081"/>
    </row>
    <row r="13082" spans="25:25" x14ac:dyDescent="0.2">
      <c r="Y13082"/>
    </row>
    <row r="13083" spans="25:25" x14ac:dyDescent="0.2">
      <c r="Y13083"/>
    </row>
    <row r="13084" spans="25:25" x14ac:dyDescent="0.2">
      <c r="Y13084"/>
    </row>
    <row r="13085" spans="25:25" x14ac:dyDescent="0.2">
      <c r="Y13085"/>
    </row>
    <row r="13086" spans="25:25" x14ac:dyDescent="0.2">
      <c r="Y13086"/>
    </row>
    <row r="13087" spans="25:25" x14ac:dyDescent="0.2">
      <c r="Y13087"/>
    </row>
    <row r="13088" spans="25:25" x14ac:dyDescent="0.2">
      <c r="Y13088"/>
    </row>
    <row r="13089" spans="25:25" x14ac:dyDescent="0.2">
      <c r="Y13089"/>
    </row>
    <row r="13090" spans="25:25" x14ac:dyDescent="0.2">
      <c r="Y13090"/>
    </row>
    <row r="13091" spans="25:25" x14ac:dyDescent="0.2">
      <c r="Y13091"/>
    </row>
    <row r="13092" spans="25:25" x14ac:dyDescent="0.2">
      <c r="Y13092"/>
    </row>
    <row r="13093" spans="25:25" x14ac:dyDescent="0.2">
      <c r="Y13093"/>
    </row>
    <row r="13094" spans="25:25" x14ac:dyDescent="0.2">
      <c r="Y13094"/>
    </row>
    <row r="13095" spans="25:25" x14ac:dyDescent="0.2">
      <c r="Y13095"/>
    </row>
    <row r="13096" spans="25:25" x14ac:dyDescent="0.2">
      <c r="Y13096"/>
    </row>
    <row r="13097" spans="25:25" x14ac:dyDescent="0.2">
      <c r="Y13097"/>
    </row>
    <row r="13098" spans="25:25" x14ac:dyDescent="0.2">
      <c r="Y13098"/>
    </row>
    <row r="13099" spans="25:25" x14ac:dyDescent="0.2">
      <c r="Y13099"/>
    </row>
    <row r="13100" spans="25:25" x14ac:dyDescent="0.2">
      <c r="Y13100"/>
    </row>
    <row r="13101" spans="25:25" x14ac:dyDescent="0.2">
      <c r="Y13101"/>
    </row>
    <row r="13102" spans="25:25" x14ac:dyDescent="0.2">
      <c r="Y13102"/>
    </row>
    <row r="13103" spans="25:25" x14ac:dyDescent="0.2">
      <c r="Y13103"/>
    </row>
    <row r="13104" spans="25:25" x14ac:dyDescent="0.2">
      <c r="Y13104"/>
    </row>
    <row r="13105" spans="25:25" x14ac:dyDescent="0.2">
      <c r="Y13105"/>
    </row>
    <row r="13106" spans="25:25" x14ac:dyDescent="0.2">
      <c r="Y13106"/>
    </row>
    <row r="13107" spans="25:25" x14ac:dyDescent="0.2">
      <c r="Y13107"/>
    </row>
    <row r="13108" spans="25:25" x14ac:dyDescent="0.2">
      <c r="Y13108"/>
    </row>
    <row r="13109" spans="25:25" x14ac:dyDescent="0.2">
      <c r="Y13109"/>
    </row>
    <row r="13110" spans="25:25" x14ac:dyDescent="0.2">
      <c r="Y13110"/>
    </row>
    <row r="13111" spans="25:25" x14ac:dyDescent="0.2">
      <c r="Y13111"/>
    </row>
    <row r="13112" spans="25:25" x14ac:dyDescent="0.2">
      <c r="Y13112"/>
    </row>
    <row r="13113" spans="25:25" x14ac:dyDescent="0.2">
      <c r="Y13113"/>
    </row>
    <row r="13114" spans="25:25" x14ac:dyDescent="0.2">
      <c r="Y13114"/>
    </row>
    <row r="13115" spans="25:25" x14ac:dyDescent="0.2">
      <c r="Y13115"/>
    </row>
    <row r="13116" spans="25:25" x14ac:dyDescent="0.2">
      <c r="Y13116"/>
    </row>
    <row r="13117" spans="25:25" x14ac:dyDescent="0.2">
      <c r="Y13117"/>
    </row>
    <row r="13118" spans="25:25" x14ac:dyDescent="0.2">
      <c r="Y13118"/>
    </row>
    <row r="13119" spans="25:25" x14ac:dyDescent="0.2">
      <c r="Y13119"/>
    </row>
    <row r="13120" spans="25:25" x14ac:dyDescent="0.2">
      <c r="Y13120"/>
    </row>
    <row r="13121" spans="25:25" x14ac:dyDescent="0.2">
      <c r="Y13121"/>
    </row>
    <row r="13122" spans="25:25" x14ac:dyDescent="0.2">
      <c r="Y13122"/>
    </row>
    <row r="13123" spans="25:25" x14ac:dyDescent="0.2">
      <c r="Y13123"/>
    </row>
    <row r="13124" spans="25:25" x14ac:dyDescent="0.2">
      <c r="Y13124"/>
    </row>
    <row r="13125" spans="25:25" x14ac:dyDescent="0.2">
      <c r="Y13125"/>
    </row>
    <row r="13126" spans="25:25" x14ac:dyDescent="0.2">
      <c r="Y13126"/>
    </row>
    <row r="13127" spans="25:25" x14ac:dyDescent="0.2">
      <c r="Y13127"/>
    </row>
    <row r="13128" spans="25:25" x14ac:dyDescent="0.2">
      <c r="Y13128"/>
    </row>
    <row r="13129" spans="25:25" x14ac:dyDescent="0.2">
      <c r="Y13129"/>
    </row>
    <row r="13130" spans="25:25" x14ac:dyDescent="0.2">
      <c r="Y13130"/>
    </row>
    <row r="13131" spans="25:25" x14ac:dyDescent="0.2">
      <c r="Y13131"/>
    </row>
    <row r="13132" spans="25:25" x14ac:dyDescent="0.2">
      <c r="Y13132"/>
    </row>
    <row r="13133" spans="25:25" x14ac:dyDescent="0.2">
      <c r="Y13133"/>
    </row>
    <row r="13134" spans="25:25" x14ac:dyDescent="0.2">
      <c r="Y13134"/>
    </row>
    <row r="13135" spans="25:25" x14ac:dyDescent="0.2">
      <c r="Y13135"/>
    </row>
    <row r="13136" spans="25:25" x14ac:dyDescent="0.2">
      <c r="Y13136"/>
    </row>
    <row r="13137" spans="25:25" x14ac:dyDescent="0.2">
      <c r="Y13137"/>
    </row>
    <row r="13138" spans="25:25" x14ac:dyDescent="0.2">
      <c r="Y13138"/>
    </row>
    <row r="13139" spans="25:25" x14ac:dyDescent="0.2">
      <c r="Y13139"/>
    </row>
    <row r="13140" spans="25:25" x14ac:dyDescent="0.2">
      <c r="Y13140"/>
    </row>
    <row r="13141" spans="25:25" x14ac:dyDescent="0.2">
      <c r="Y13141"/>
    </row>
    <row r="13142" spans="25:25" x14ac:dyDescent="0.2">
      <c r="Y13142"/>
    </row>
    <row r="13143" spans="25:25" x14ac:dyDescent="0.2">
      <c r="Y13143"/>
    </row>
    <row r="13144" spans="25:25" x14ac:dyDescent="0.2">
      <c r="Y13144"/>
    </row>
    <row r="13145" spans="25:25" x14ac:dyDescent="0.2">
      <c r="Y13145"/>
    </row>
    <row r="13146" spans="25:25" x14ac:dyDescent="0.2">
      <c r="Y13146"/>
    </row>
    <row r="13147" spans="25:25" x14ac:dyDescent="0.2">
      <c r="Y13147"/>
    </row>
    <row r="13148" spans="25:25" x14ac:dyDescent="0.2">
      <c r="Y13148"/>
    </row>
    <row r="13149" spans="25:25" x14ac:dyDescent="0.2">
      <c r="Y13149"/>
    </row>
    <row r="13150" spans="25:25" x14ac:dyDescent="0.2">
      <c r="Y13150"/>
    </row>
    <row r="13151" spans="25:25" x14ac:dyDescent="0.2">
      <c r="Y13151"/>
    </row>
    <row r="13152" spans="25:25" x14ac:dyDescent="0.2">
      <c r="Y13152"/>
    </row>
    <row r="13153" spans="25:25" x14ac:dyDescent="0.2">
      <c r="Y13153"/>
    </row>
    <row r="13154" spans="25:25" x14ac:dyDescent="0.2">
      <c r="Y13154"/>
    </row>
    <row r="13155" spans="25:25" x14ac:dyDescent="0.2">
      <c r="Y13155"/>
    </row>
    <row r="13156" spans="25:25" x14ac:dyDescent="0.2">
      <c r="Y13156"/>
    </row>
    <row r="13157" spans="25:25" x14ac:dyDescent="0.2">
      <c r="Y13157"/>
    </row>
    <row r="13158" spans="25:25" x14ac:dyDescent="0.2">
      <c r="Y13158"/>
    </row>
    <row r="13159" spans="25:25" x14ac:dyDescent="0.2">
      <c r="Y13159"/>
    </row>
    <row r="13160" spans="25:25" x14ac:dyDescent="0.2">
      <c r="Y13160"/>
    </row>
    <row r="13161" spans="25:25" x14ac:dyDescent="0.2">
      <c r="Y13161"/>
    </row>
    <row r="13162" spans="25:25" x14ac:dyDescent="0.2">
      <c r="Y13162"/>
    </row>
    <row r="13163" spans="25:25" x14ac:dyDescent="0.2">
      <c r="Y13163"/>
    </row>
    <row r="13164" spans="25:25" x14ac:dyDescent="0.2">
      <c r="Y13164"/>
    </row>
    <row r="13165" spans="25:25" x14ac:dyDescent="0.2">
      <c r="Y13165"/>
    </row>
    <row r="13166" spans="25:25" x14ac:dyDescent="0.2">
      <c r="Y13166"/>
    </row>
    <row r="13167" spans="25:25" x14ac:dyDescent="0.2">
      <c r="Y13167"/>
    </row>
    <row r="13168" spans="25:25" x14ac:dyDescent="0.2">
      <c r="Y13168"/>
    </row>
    <row r="13169" spans="25:25" x14ac:dyDescent="0.2">
      <c r="Y13169"/>
    </row>
    <row r="13170" spans="25:25" x14ac:dyDescent="0.2">
      <c r="Y13170"/>
    </row>
    <row r="13171" spans="25:25" x14ac:dyDescent="0.2">
      <c r="Y13171"/>
    </row>
    <row r="13172" spans="25:25" x14ac:dyDescent="0.2">
      <c r="Y13172"/>
    </row>
    <row r="13173" spans="25:25" x14ac:dyDescent="0.2">
      <c r="Y13173"/>
    </row>
    <row r="13174" spans="25:25" x14ac:dyDescent="0.2">
      <c r="Y13174"/>
    </row>
    <row r="13175" spans="25:25" x14ac:dyDescent="0.2">
      <c r="Y13175"/>
    </row>
    <row r="13176" spans="25:25" x14ac:dyDescent="0.2">
      <c r="Y13176"/>
    </row>
    <row r="13177" spans="25:25" x14ac:dyDescent="0.2">
      <c r="Y13177"/>
    </row>
    <row r="13178" spans="25:25" x14ac:dyDescent="0.2">
      <c r="Y13178"/>
    </row>
    <row r="13179" spans="25:25" x14ac:dyDescent="0.2">
      <c r="Y13179"/>
    </row>
    <row r="13180" spans="25:25" x14ac:dyDescent="0.2">
      <c r="Y13180"/>
    </row>
    <row r="13181" spans="25:25" x14ac:dyDescent="0.2">
      <c r="Y13181"/>
    </row>
    <row r="13182" spans="25:25" x14ac:dyDescent="0.2">
      <c r="Y13182"/>
    </row>
    <row r="13183" spans="25:25" x14ac:dyDescent="0.2">
      <c r="Y13183"/>
    </row>
    <row r="13184" spans="25:25" x14ac:dyDescent="0.2">
      <c r="Y13184"/>
    </row>
    <row r="13185" spans="25:25" x14ac:dyDescent="0.2">
      <c r="Y13185"/>
    </row>
    <row r="13186" spans="25:25" x14ac:dyDescent="0.2">
      <c r="Y13186"/>
    </row>
    <row r="13187" spans="25:25" x14ac:dyDescent="0.2">
      <c r="Y13187"/>
    </row>
    <row r="13188" spans="25:25" x14ac:dyDescent="0.2">
      <c r="Y13188"/>
    </row>
    <row r="13189" spans="25:25" x14ac:dyDescent="0.2">
      <c r="Y13189"/>
    </row>
    <row r="13190" spans="25:25" x14ac:dyDescent="0.2">
      <c r="Y13190"/>
    </row>
    <row r="13191" spans="25:25" x14ac:dyDescent="0.2">
      <c r="Y13191"/>
    </row>
    <row r="13192" spans="25:25" x14ac:dyDescent="0.2">
      <c r="Y13192"/>
    </row>
    <row r="13193" spans="25:25" x14ac:dyDescent="0.2">
      <c r="Y13193"/>
    </row>
    <row r="13194" spans="25:25" x14ac:dyDescent="0.2">
      <c r="Y13194"/>
    </row>
    <row r="13195" spans="25:25" x14ac:dyDescent="0.2">
      <c r="Y13195"/>
    </row>
    <row r="13196" spans="25:25" x14ac:dyDescent="0.2">
      <c r="Y13196"/>
    </row>
    <row r="13197" spans="25:25" x14ac:dyDescent="0.2">
      <c r="Y13197"/>
    </row>
    <row r="13198" spans="25:25" x14ac:dyDescent="0.2">
      <c r="Y13198"/>
    </row>
    <row r="13199" spans="25:25" x14ac:dyDescent="0.2">
      <c r="Y13199"/>
    </row>
    <row r="13200" spans="25:25" x14ac:dyDescent="0.2">
      <c r="Y13200"/>
    </row>
    <row r="13201" spans="25:25" x14ac:dyDescent="0.2">
      <c r="Y13201"/>
    </row>
    <row r="13202" spans="25:25" x14ac:dyDescent="0.2">
      <c r="Y13202"/>
    </row>
    <row r="13203" spans="25:25" x14ac:dyDescent="0.2">
      <c r="Y13203"/>
    </row>
    <row r="13204" spans="25:25" x14ac:dyDescent="0.2">
      <c r="Y13204"/>
    </row>
    <row r="13205" spans="25:25" x14ac:dyDescent="0.2">
      <c r="Y13205"/>
    </row>
    <row r="13206" spans="25:25" x14ac:dyDescent="0.2">
      <c r="Y13206"/>
    </row>
    <row r="13207" spans="25:25" x14ac:dyDescent="0.2">
      <c r="Y13207"/>
    </row>
    <row r="13208" spans="25:25" x14ac:dyDescent="0.2">
      <c r="Y13208"/>
    </row>
    <row r="13209" spans="25:25" x14ac:dyDescent="0.2">
      <c r="Y13209"/>
    </row>
    <row r="13210" spans="25:25" x14ac:dyDescent="0.2">
      <c r="Y13210"/>
    </row>
    <row r="13211" spans="25:25" x14ac:dyDescent="0.2">
      <c r="Y13211"/>
    </row>
    <row r="13212" spans="25:25" x14ac:dyDescent="0.2">
      <c r="Y13212"/>
    </row>
    <row r="13213" spans="25:25" x14ac:dyDescent="0.2">
      <c r="Y13213"/>
    </row>
    <row r="13214" spans="25:25" x14ac:dyDescent="0.2">
      <c r="Y13214"/>
    </row>
    <row r="13215" spans="25:25" x14ac:dyDescent="0.2">
      <c r="Y13215"/>
    </row>
    <row r="13216" spans="25:25" x14ac:dyDescent="0.2">
      <c r="Y13216"/>
    </row>
    <row r="13217" spans="25:25" x14ac:dyDescent="0.2">
      <c r="Y13217"/>
    </row>
    <row r="13218" spans="25:25" x14ac:dyDescent="0.2">
      <c r="Y13218"/>
    </row>
    <row r="13219" spans="25:25" x14ac:dyDescent="0.2">
      <c r="Y13219"/>
    </row>
    <row r="13220" spans="25:25" x14ac:dyDescent="0.2">
      <c r="Y13220"/>
    </row>
    <row r="13221" spans="25:25" x14ac:dyDescent="0.2">
      <c r="Y13221"/>
    </row>
    <row r="13222" spans="25:25" x14ac:dyDescent="0.2">
      <c r="Y13222"/>
    </row>
    <row r="13223" spans="25:25" x14ac:dyDescent="0.2">
      <c r="Y13223"/>
    </row>
    <row r="13224" spans="25:25" x14ac:dyDescent="0.2">
      <c r="Y13224"/>
    </row>
    <row r="13225" spans="25:25" x14ac:dyDescent="0.2">
      <c r="Y13225"/>
    </row>
    <row r="13226" spans="25:25" x14ac:dyDescent="0.2">
      <c r="Y13226"/>
    </row>
    <row r="13227" spans="25:25" x14ac:dyDescent="0.2">
      <c r="Y13227"/>
    </row>
    <row r="13228" spans="25:25" x14ac:dyDescent="0.2">
      <c r="Y13228"/>
    </row>
    <row r="13229" spans="25:25" x14ac:dyDescent="0.2">
      <c r="Y13229"/>
    </row>
    <row r="13230" spans="25:25" x14ac:dyDescent="0.2">
      <c r="Y13230"/>
    </row>
    <row r="13231" spans="25:25" x14ac:dyDescent="0.2">
      <c r="Y13231"/>
    </row>
    <row r="13232" spans="25:25" x14ac:dyDescent="0.2">
      <c r="Y13232"/>
    </row>
    <row r="13233" spans="25:25" x14ac:dyDescent="0.2">
      <c r="Y13233"/>
    </row>
    <row r="13234" spans="25:25" x14ac:dyDescent="0.2">
      <c r="Y13234"/>
    </row>
    <row r="13235" spans="25:25" x14ac:dyDescent="0.2">
      <c r="Y13235"/>
    </row>
    <row r="13236" spans="25:25" x14ac:dyDescent="0.2">
      <c r="Y13236"/>
    </row>
    <row r="13237" spans="25:25" x14ac:dyDescent="0.2">
      <c r="Y13237"/>
    </row>
    <row r="13238" spans="25:25" x14ac:dyDescent="0.2">
      <c r="Y13238"/>
    </row>
    <row r="13239" spans="25:25" x14ac:dyDescent="0.2">
      <c r="Y13239"/>
    </row>
    <row r="13240" spans="25:25" x14ac:dyDescent="0.2">
      <c r="Y13240"/>
    </row>
    <row r="13241" spans="25:25" x14ac:dyDescent="0.2">
      <c r="Y13241"/>
    </row>
    <row r="13242" spans="25:25" x14ac:dyDescent="0.2">
      <c r="Y13242"/>
    </row>
    <row r="13243" spans="25:25" x14ac:dyDescent="0.2">
      <c r="Y13243"/>
    </row>
    <row r="13244" spans="25:25" x14ac:dyDescent="0.2">
      <c r="Y13244"/>
    </row>
    <row r="13245" spans="25:25" x14ac:dyDescent="0.2">
      <c r="Y13245"/>
    </row>
    <row r="13246" spans="25:25" x14ac:dyDescent="0.2">
      <c r="Y13246"/>
    </row>
    <row r="13247" spans="25:25" x14ac:dyDescent="0.2">
      <c r="Y13247"/>
    </row>
    <row r="13248" spans="25:25" x14ac:dyDescent="0.2">
      <c r="Y13248"/>
    </row>
    <row r="13249" spans="25:25" x14ac:dyDescent="0.2">
      <c r="Y13249"/>
    </row>
    <row r="13250" spans="25:25" x14ac:dyDescent="0.2">
      <c r="Y13250"/>
    </row>
    <row r="13251" spans="25:25" x14ac:dyDescent="0.2">
      <c r="Y13251"/>
    </row>
    <row r="13252" spans="25:25" x14ac:dyDescent="0.2">
      <c r="Y13252"/>
    </row>
    <row r="13253" spans="25:25" x14ac:dyDescent="0.2">
      <c r="Y13253"/>
    </row>
    <row r="13254" spans="25:25" x14ac:dyDescent="0.2">
      <c r="Y13254"/>
    </row>
    <row r="13255" spans="25:25" x14ac:dyDescent="0.2">
      <c r="Y13255"/>
    </row>
    <row r="13256" spans="25:25" x14ac:dyDescent="0.2">
      <c r="Y13256"/>
    </row>
    <row r="13257" spans="25:25" x14ac:dyDescent="0.2">
      <c r="Y13257"/>
    </row>
    <row r="13258" spans="25:25" x14ac:dyDescent="0.2">
      <c r="Y13258"/>
    </row>
    <row r="13259" spans="25:25" x14ac:dyDescent="0.2">
      <c r="Y13259"/>
    </row>
    <row r="13260" spans="25:25" x14ac:dyDescent="0.2">
      <c r="Y13260"/>
    </row>
    <row r="13261" spans="25:25" x14ac:dyDescent="0.2">
      <c r="Y13261"/>
    </row>
    <row r="13262" spans="25:25" x14ac:dyDescent="0.2">
      <c r="Y13262"/>
    </row>
    <row r="13263" spans="25:25" x14ac:dyDescent="0.2">
      <c r="Y13263"/>
    </row>
    <row r="13264" spans="25:25" x14ac:dyDescent="0.2">
      <c r="Y13264"/>
    </row>
    <row r="13265" spans="25:25" x14ac:dyDescent="0.2">
      <c r="Y13265"/>
    </row>
    <row r="13266" spans="25:25" x14ac:dyDescent="0.2">
      <c r="Y13266"/>
    </row>
    <row r="13267" spans="25:25" x14ac:dyDescent="0.2">
      <c r="Y13267"/>
    </row>
    <row r="13268" spans="25:25" x14ac:dyDescent="0.2">
      <c r="Y13268"/>
    </row>
    <row r="13269" spans="25:25" x14ac:dyDescent="0.2">
      <c r="Y13269"/>
    </row>
    <row r="13270" spans="25:25" x14ac:dyDescent="0.2">
      <c r="Y13270"/>
    </row>
    <row r="13271" spans="25:25" x14ac:dyDescent="0.2">
      <c r="Y13271"/>
    </row>
    <row r="13272" spans="25:25" x14ac:dyDescent="0.2">
      <c r="Y13272"/>
    </row>
    <row r="13273" spans="25:25" x14ac:dyDescent="0.2">
      <c r="Y13273"/>
    </row>
    <row r="13274" spans="25:25" x14ac:dyDescent="0.2">
      <c r="Y13274"/>
    </row>
    <row r="13275" spans="25:25" x14ac:dyDescent="0.2">
      <c r="Y13275"/>
    </row>
    <row r="13276" spans="25:25" x14ac:dyDescent="0.2">
      <c r="Y13276"/>
    </row>
    <row r="13277" spans="25:25" x14ac:dyDescent="0.2">
      <c r="Y13277"/>
    </row>
    <row r="13278" spans="25:25" x14ac:dyDescent="0.2">
      <c r="Y13278"/>
    </row>
    <row r="13279" spans="25:25" x14ac:dyDescent="0.2">
      <c r="Y13279"/>
    </row>
    <row r="13280" spans="25:25" x14ac:dyDescent="0.2">
      <c r="Y13280"/>
    </row>
    <row r="13281" spans="25:25" x14ac:dyDescent="0.2">
      <c r="Y13281"/>
    </row>
    <row r="13282" spans="25:25" x14ac:dyDescent="0.2">
      <c r="Y13282"/>
    </row>
    <row r="13283" spans="25:25" x14ac:dyDescent="0.2">
      <c r="Y13283"/>
    </row>
    <row r="13284" spans="25:25" x14ac:dyDescent="0.2">
      <c r="Y13284"/>
    </row>
    <row r="13285" spans="25:25" x14ac:dyDescent="0.2">
      <c r="Y13285"/>
    </row>
    <row r="13286" spans="25:25" x14ac:dyDescent="0.2">
      <c r="Y13286"/>
    </row>
    <row r="13287" spans="25:25" x14ac:dyDescent="0.2">
      <c r="Y13287"/>
    </row>
    <row r="13288" spans="25:25" x14ac:dyDescent="0.2">
      <c r="Y13288"/>
    </row>
    <row r="13289" spans="25:25" x14ac:dyDescent="0.2">
      <c r="Y13289"/>
    </row>
    <row r="13290" spans="25:25" x14ac:dyDescent="0.2">
      <c r="Y13290"/>
    </row>
    <row r="13291" spans="25:25" x14ac:dyDescent="0.2">
      <c r="Y13291"/>
    </row>
    <row r="13292" spans="25:25" x14ac:dyDescent="0.2">
      <c r="Y13292"/>
    </row>
    <row r="13293" spans="25:25" x14ac:dyDescent="0.2">
      <c r="Y13293"/>
    </row>
    <row r="13294" spans="25:25" x14ac:dyDescent="0.2">
      <c r="Y13294"/>
    </row>
    <row r="13295" spans="25:25" x14ac:dyDescent="0.2">
      <c r="Y13295"/>
    </row>
    <row r="13296" spans="25:25" x14ac:dyDescent="0.2">
      <c r="Y13296"/>
    </row>
    <row r="13297" spans="25:25" x14ac:dyDescent="0.2">
      <c r="Y13297"/>
    </row>
    <row r="13298" spans="25:25" x14ac:dyDescent="0.2">
      <c r="Y13298"/>
    </row>
    <row r="13299" spans="25:25" x14ac:dyDescent="0.2">
      <c r="Y13299"/>
    </row>
    <row r="13300" spans="25:25" x14ac:dyDescent="0.2">
      <c r="Y13300"/>
    </row>
    <row r="13301" spans="25:25" x14ac:dyDescent="0.2">
      <c r="Y13301"/>
    </row>
    <row r="13302" spans="25:25" x14ac:dyDescent="0.2">
      <c r="Y13302"/>
    </row>
    <row r="13303" spans="25:25" x14ac:dyDescent="0.2">
      <c r="Y13303"/>
    </row>
    <row r="13304" spans="25:25" x14ac:dyDescent="0.2">
      <c r="Y13304"/>
    </row>
    <row r="13305" spans="25:25" x14ac:dyDescent="0.2">
      <c r="Y13305"/>
    </row>
    <row r="13306" spans="25:25" x14ac:dyDescent="0.2">
      <c r="Y13306"/>
    </row>
    <row r="13307" spans="25:25" x14ac:dyDescent="0.2">
      <c r="Y13307"/>
    </row>
    <row r="13308" spans="25:25" x14ac:dyDescent="0.2">
      <c r="Y13308"/>
    </row>
    <row r="13309" spans="25:25" x14ac:dyDescent="0.2">
      <c r="Y13309"/>
    </row>
    <row r="13310" spans="25:25" x14ac:dyDescent="0.2">
      <c r="Y13310"/>
    </row>
    <row r="13311" spans="25:25" x14ac:dyDescent="0.2">
      <c r="Y13311"/>
    </row>
    <row r="13312" spans="25:25" x14ac:dyDescent="0.2">
      <c r="Y13312"/>
    </row>
    <row r="13313" spans="25:25" x14ac:dyDescent="0.2">
      <c r="Y13313"/>
    </row>
    <row r="13314" spans="25:25" x14ac:dyDescent="0.2">
      <c r="Y13314"/>
    </row>
    <row r="13315" spans="25:25" x14ac:dyDescent="0.2">
      <c r="Y13315"/>
    </row>
    <row r="13316" spans="25:25" x14ac:dyDescent="0.2">
      <c r="Y13316"/>
    </row>
    <row r="13317" spans="25:25" x14ac:dyDescent="0.2">
      <c r="Y13317"/>
    </row>
    <row r="13318" spans="25:25" x14ac:dyDescent="0.2">
      <c r="Y13318"/>
    </row>
    <row r="13319" spans="25:25" x14ac:dyDescent="0.2">
      <c r="Y13319"/>
    </row>
    <row r="13320" spans="25:25" x14ac:dyDescent="0.2">
      <c r="Y13320"/>
    </row>
    <row r="13321" spans="25:25" x14ac:dyDescent="0.2">
      <c r="Y13321"/>
    </row>
    <row r="13322" spans="25:25" x14ac:dyDescent="0.2">
      <c r="Y13322"/>
    </row>
    <row r="13323" spans="25:25" x14ac:dyDescent="0.2">
      <c r="Y13323"/>
    </row>
    <row r="13324" spans="25:25" x14ac:dyDescent="0.2">
      <c r="Y13324"/>
    </row>
    <row r="13325" spans="25:25" x14ac:dyDescent="0.2">
      <c r="Y13325"/>
    </row>
    <row r="13326" spans="25:25" x14ac:dyDescent="0.2">
      <c r="Y13326"/>
    </row>
    <row r="13327" spans="25:25" x14ac:dyDescent="0.2">
      <c r="Y13327"/>
    </row>
    <row r="13328" spans="25:25" x14ac:dyDescent="0.2">
      <c r="Y13328"/>
    </row>
    <row r="13329" spans="25:25" x14ac:dyDescent="0.2">
      <c r="Y13329"/>
    </row>
    <row r="13330" spans="25:25" x14ac:dyDescent="0.2">
      <c r="Y13330"/>
    </row>
    <row r="13331" spans="25:25" x14ac:dyDescent="0.2">
      <c r="Y13331"/>
    </row>
    <row r="13332" spans="25:25" x14ac:dyDescent="0.2">
      <c r="Y13332"/>
    </row>
    <row r="13333" spans="25:25" x14ac:dyDescent="0.2">
      <c r="Y13333"/>
    </row>
    <row r="13334" spans="25:25" x14ac:dyDescent="0.2">
      <c r="Y13334"/>
    </row>
    <row r="13335" spans="25:25" x14ac:dyDescent="0.2">
      <c r="Y13335"/>
    </row>
    <row r="13336" spans="25:25" x14ac:dyDescent="0.2">
      <c r="Y13336"/>
    </row>
    <row r="13337" spans="25:25" x14ac:dyDescent="0.2">
      <c r="Y13337"/>
    </row>
    <row r="13338" spans="25:25" x14ac:dyDescent="0.2">
      <c r="Y13338"/>
    </row>
    <row r="13339" spans="25:25" x14ac:dyDescent="0.2">
      <c r="Y13339"/>
    </row>
    <row r="13340" spans="25:25" x14ac:dyDescent="0.2">
      <c r="Y13340"/>
    </row>
    <row r="13341" spans="25:25" x14ac:dyDescent="0.2">
      <c r="Y13341"/>
    </row>
    <row r="13342" spans="25:25" x14ac:dyDescent="0.2">
      <c r="Y13342"/>
    </row>
    <row r="13343" spans="25:25" x14ac:dyDescent="0.2">
      <c r="Y13343"/>
    </row>
    <row r="13344" spans="25:25" x14ac:dyDescent="0.2">
      <c r="Y13344"/>
    </row>
    <row r="13345" spans="25:25" x14ac:dyDescent="0.2">
      <c r="Y13345"/>
    </row>
    <row r="13346" spans="25:25" x14ac:dyDescent="0.2">
      <c r="Y13346"/>
    </row>
    <row r="13347" spans="25:25" x14ac:dyDescent="0.2">
      <c r="Y13347"/>
    </row>
    <row r="13348" spans="25:25" x14ac:dyDescent="0.2">
      <c r="Y13348"/>
    </row>
    <row r="13349" spans="25:25" x14ac:dyDescent="0.2">
      <c r="Y13349"/>
    </row>
    <row r="13350" spans="25:25" x14ac:dyDescent="0.2">
      <c r="Y13350"/>
    </row>
    <row r="13351" spans="25:25" x14ac:dyDescent="0.2">
      <c r="Y13351"/>
    </row>
    <row r="13352" spans="25:25" x14ac:dyDescent="0.2">
      <c r="Y13352"/>
    </row>
    <row r="13353" spans="25:25" x14ac:dyDescent="0.2">
      <c r="Y13353"/>
    </row>
    <row r="13354" spans="25:25" x14ac:dyDescent="0.2">
      <c r="Y13354"/>
    </row>
    <row r="13355" spans="25:25" x14ac:dyDescent="0.2">
      <c r="Y13355"/>
    </row>
    <row r="13356" spans="25:25" x14ac:dyDescent="0.2">
      <c r="Y13356"/>
    </row>
    <row r="13357" spans="25:25" x14ac:dyDescent="0.2">
      <c r="Y13357"/>
    </row>
    <row r="13358" spans="25:25" x14ac:dyDescent="0.2">
      <c r="Y13358"/>
    </row>
    <row r="13359" spans="25:25" x14ac:dyDescent="0.2">
      <c r="Y13359"/>
    </row>
    <row r="13360" spans="25:25" x14ac:dyDescent="0.2">
      <c r="Y13360"/>
    </row>
    <row r="13361" spans="25:25" x14ac:dyDescent="0.2">
      <c r="Y13361"/>
    </row>
    <row r="13362" spans="25:25" x14ac:dyDescent="0.2">
      <c r="Y13362"/>
    </row>
    <row r="13363" spans="25:25" x14ac:dyDescent="0.2">
      <c r="Y13363"/>
    </row>
    <row r="13364" spans="25:25" x14ac:dyDescent="0.2">
      <c r="Y13364"/>
    </row>
    <row r="13365" spans="25:25" x14ac:dyDescent="0.2">
      <c r="Y13365"/>
    </row>
    <row r="13366" spans="25:25" x14ac:dyDescent="0.2">
      <c r="Y13366"/>
    </row>
    <row r="13367" spans="25:25" x14ac:dyDescent="0.2">
      <c r="Y13367"/>
    </row>
    <row r="13368" spans="25:25" x14ac:dyDescent="0.2">
      <c r="Y13368"/>
    </row>
    <row r="13369" spans="25:25" x14ac:dyDescent="0.2">
      <c r="Y13369"/>
    </row>
    <row r="13370" spans="25:25" x14ac:dyDescent="0.2">
      <c r="Y13370"/>
    </row>
    <row r="13371" spans="25:25" x14ac:dyDescent="0.2">
      <c r="Y13371"/>
    </row>
    <row r="13372" spans="25:25" x14ac:dyDescent="0.2">
      <c r="Y13372"/>
    </row>
    <row r="13373" spans="25:25" x14ac:dyDescent="0.2">
      <c r="Y13373"/>
    </row>
    <row r="13374" spans="25:25" x14ac:dyDescent="0.2">
      <c r="Y13374"/>
    </row>
    <row r="13375" spans="25:25" x14ac:dyDescent="0.2">
      <c r="Y13375"/>
    </row>
    <row r="13376" spans="25:25" x14ac:dyDescent="0.2">
      <c r="Y13376"/>
    </row>
    <row r="13377" spans="25:25" x14ac:dyDescent="0.2">
      <c r="Y13377"/>
    </row>
    <row r="13378" spans="25:25" x14ac:dyDescent="0.2">
      <c r="Y13378"/>
    </row>
    <row r="13379" spans="25:25" x14ac:dyDescent="0.2">
      <c r="Y13379"/>
    </row>
    <row r="13380" spans="25:25" x14ac:dyDescent="0.2">
      <c r="Y13380"/>
    </row>
    <row r="13381" spans="25:25" x14ac:dyDescent="0.2">
      <c r="Y13381"/>
    </row>
    <row r="13382" spans="25:25" x14ac:dyDescent="0.2">
      <c r="Y13382"/>
    </row>
    <row r="13383" spans="25:25" x14ac:dyDescent="0.2">
      <c r="Y13383"/>
    </row>
    <row r="13384" spans="25:25" x14ac:dyDescent="0.2">
      <c r="Y13384"/>
    </row>
    <row r="13385" spans="25:25" x14ac:dyDescent="0.2">
      <c r="Y13385"/>
    </row>
    <row r="13386" spans="25:25" x14ac:dyDescent="0.2">
      <c r="Y13386"/>
    </row>
    <row r="13387" spans="25:25" x14ac:dyDescent="0.2">
      <c r="Y13387"/>
    </row>
    <row r="13388" spans="25:25" x14ac:dyDescent="0.2">
      <c r="Y13388"/>
    </row>
    <row r="13389" spans="25:25" x14ac:dyDescent="0.2">
      <c r="Y13389"/>
    </row>
    <row r="13390" spans="25:25" x14ac:dyDescent="0.2">
      <c r="Y13390"/>
    </row>
    <row r="13391" spans="25:25" x14ac:dyDescent="0.2">
      <c r="Y13391"/>
    </row>
    <row r="13392" spans="25:25" x14ac:dyDescent="0.2">
      <c r="Y13392"/>
    </row>
    <row r="13393" spans="25:25" x14ac:dyDescent="0.2">
      <c r="Y13393"/>
    </row>
    <row r="13394" spans="25:25" x14ac:dyDescent="0.2">
      <c r="Y13394"/>
    </row>
    <row r="13395" spans="25:25" x14ac:dyDescent="0.2">
      <c r="Y13395"/>
    </row>
    <row r="13396" spans="25:25" x14ac:dyDescent="0.2">
      <c r="Y13396"/>
    </row>
    <row r="13397" spans="25:25" x14ac:dyDescent="0.2">
      <c r="Y13397"/>
    </row>
    <row r="13398" spans="25:25" x14ac:dyDescent="0.2">
      <c r="Y13398"/>
    </row>
    <row r="13399" spans="25:25" x14ac:dyDescent="0.2">
      <c r="Y13399"/>
    </row>
    <row r="13400" spans="25:25" x14ac:dyDescent="0.2">
      <c r="Y13400"/>
    </row>
    <row r="13401" spans="25:25" x14ac:dyDescent="0.2">
      <c r="Y13401"/>
    </row>
    <row r="13402" spans="25:25" x14ac:dyDescent="0.2">
      <c r="Y13402"/>
    </row>
    <row r="13403" spans="25:25" x14ac:dyDescent="0.2">
      <c r="Y13403"/>
    </row>
    <row r="13404" spans="25:25" x14ac:dyDescent="0.2">
      <c r="Y13404"/>
    </row>
    <row r="13405" spans="25:25" x14ac:dyDescent="0.2">
      <c r="Y13405"/>
    </row>
    <row r="13406" spans="25:25" x14ac:dyDescent="0.2">
      <c r="Y13406"/>
    </row>
    <row r="13407" spans="25:25" x14ac:dyDescent="0.2">
      <c r="Y13407"/>
    </row>
    <row r="13408" spans="25:25" x14ac:dyDescent="0.2">
      <c r="Y13408"/>
    </row>
    <row r="13409" spans="25:25" x14ac:dyDescent="0.2">
      <c r="Y13409"/>
    </row>
    <row r="13410" spans="25:25" x14ac:dyDescent="0.2">
      <c r="Y13410"/>
    </row>
    <row r="13411" spans="25:25" x14ac:dyDescent="0.2">
      <c r="Y13411"/>
    </row>
    <row r="13412" spans="25:25" x14ac:dyDescent="0.2">
      <c r="Y13412"/>
    </row>
    <row r="13413" spans="25:25" x14ac:dyDescent="0.2">
      <c r="Y13413"/>
    </row>
    <row r="13414" spans="25:25" x14ac:dyDescent="0.2">
      <c r="Y13414"/>
    </row>
    <row r="13415" spans="25:25" x14ac:dyDescent="0.2">
      <c r="Y13415"/>
    </row>
    <row r="13416" spans="25:25" x14ac:dyDescent="0.2">
      <c r="Y13416"/>
    </row>
    <row r="13417" spans="25:25" x14ac:dyDescent="0.2">
      <c r="Y13417"/>
    </row>
    <row r="13418" spans="25:25" x14ac:dyDescent="0.2">
      <c r="Y13418"/>
    </row>
    <row r="13419" spans="25:25" x14ac:dyDescent="0.2">
      <c r="Y13419"/>
    </row>
    <row r="13420" spans="25:25" x14ac:dyDescent="0.2">
      <c r="Y13420"/>
    </row>
    <row r="13421" spans="25:25" x14ac:dyDescent="0.2">
      <c r="Y13421"/>
    </row>
    <row r="13422" spans="25:25" x14ac:dyDescent="0.2">
      <c r="Y13422"/>
    </row>
    <row r="13423" spans="25:25" x14ac:dyDescent="0.2">
      <c r="Y13423"/>
    </row>
    <row r="13424" spans="25:25" x14ac:dyDescent="0.2">
      <c r="Y13424"/>
    </row>
    <row r="13425" spans="25:25" x14ac:dyDescent="0.2">
      <c r="Y13425"/>
    </row>
    <row r="13426" spans="25:25" x14ac:dyDescent="0.2">
      <c r="Y13426"/>
    </row>
    <row r="13427" spans="25:25" x14ac:dyDescent="0.2">
      <c r="Y13427"/>
    </row>
    <row r="13428" spans="25:25" x14ac:dyDescent="0.2">
      <c r="Y13428"/>
    </row>
    <row r="13429" spans="25:25" x14ac:dyDescent="0.2">
      <c r="Y13429"/>
    </row>
    <row r="13430" spans="25:25" x14ac:dyDescent="0.2">
      <c r="Y13430"/>
    </row>
    <row r="13431" spans="25:25" x14ac:dyDescent="0.2">
      <c r="Y13431"/>
    </row>
    <row r="13432" spans="25:25" x14ac:dyDescent="0.2">
      <c r="Y13432"/>
    </row>
    <row r="13433" spans="25:25" x14ac:dyDescent="0.2">
      <c r="Y13433"/>
    </row>
    <row r="13434" spans="25:25" x14ac:dyDescent="0.2">
      <c r="Y13434"/>
    </row>
    <row r="13435" spans="25:25" x14ac:dyDescent="0.2">
      <c r="Y13435"/>
    </row>
    <row r="13436" spans="25:25" x14ac:dyDescent="0.2">
      <c r="Y13436"/>
    </row>
    <row r="13437" spans="25:25" x14ac:dyDescent="0.2">
      <c r="Y13437"/>
    </row>
    <row r="13438" spans="25:25" x14ac:dyDescent="0.2">
      <c r="Y13438"/>
    </row>
    <row r="13439" spans="25:25" x14ac:dyDescent="0.2">
      <c r="Y13439"/>
    </row>
    <row r="13440" spans="25:25" x14ac:dyDescent="0.2">
      <c r="Y13440"/>
    </row>
    <row r="13441" spans="25:25" x14ac:dyDescent="0.2">
      <c r="Y13441"/>
    </row>
    <row r="13442" spans="25:25" x14ac:dyDescent="0.2">
      <c r="Y13442"/>
    </row>
    <row r="13443" spans="25:25" x14ac:dyDescent="0.2">
      <c r="Y13443"/>
    </row>
    <row r="13444" spans="25:25" x14ac:dyDescent="0.2">
      <c r="Y13444"/>
    </row>
    <row r="13445" spans="25:25" x14ac:dyDescent="0.2">
      <c r="Y13445"/>
    </row>
    <row r="13446" spans="25:25" x14ac:dyDescent="0.2">
      <c r="Y13446"/>
    </row>
    <row r="13447" spans="25:25" x14ac:dyDescent="0.2">
      <c r="Y13447"/>
    </row>
    <row r="13448" spans="25:25" x14ac:dyDescent="0.2">
      <c r="Y13448"/>
    </row>
    <row r="13449" spans="25:25" x14ac:dyDescent="0.2">
      <c r="Y13449"/>
    </row>
    <row r="13450" spans="25:25" x14ac:dyDescent="0.2">
      <c r="Y13450"/>
    </row>
    <row r="13451" spans="25:25" x14ac:dyDescent="0.2">
      <c r="Y13451"/>
    </row>
    <row r="13452" spans="25:25" x14ac:dyDescent="0.2">
      <c r="Y13452"/>
    </row>
    <row r="13453" spans="25:25" x14ac:dyDescent="0.2">
      <c r="Y13453"/>
    </row>
    <row r="13454" spans="25:25" x14ac:dyDescent="0.2">
      <c r="Y13454"/>
    </row>
    <row r="13455" spans="25:25" x14ac:dyDescent="0.2">
      <c r="Y13455"/>
    </row>
    <row r="13456" spans="25:25" x14ac:dyDescent="0.2">
      <c r="Y13456"/>
    </row>
    <row r="13457" spans="25:25" x14ac:dyDescent="0.2">
      <c r="Y13457"/>
    </row>
    <row r="13458" spans="25:25" x14ac:dyDescent="0.2">
      <c r="Y13458"/>
    </row>
    <row r="13459" spans="25:25" x14ac:dyDescent="0.2">
      <c r="Y13459"/>
    </row>
    <row r="13460" spans="25:25" x14ac:dyDescent="0.2">
      <c r="Y13460"/>
    </row>
    <row r="13461" spans="25:25" x14ac:dyDescent="0.2">
      <c r="Y13461"/>
    </row>
    <row r="13462" spans="25:25" x14ac:dyDescent="0.2">
      <c r="Y13462"/>
    </row>
    <row r="13463" spans="25:25" x14ac:dyDescent="0.2">
      <c r="Y13463"/>
    </row>
    <row r="13464" spans="25:25" x14ac:dyDescent="0.2">
      <c r="Y13464"/>
    </row>
    <row r="13465" spans="25:25" x14ac:dyDescent="0.2">
      <c r="Y13465"/>
    </row>
    <row r="13466" spans="25:25" x14ac:dyDescent="0.2">
      <c r="Y13466"/>
    </row>
    <row r="13467" spans="25:25" x14ac:dyDescent="0.2">
      <c r="Y13467"/>
    </row>
    <row r="13468" spans="25:25" x14ac:dyDescent="0.2">
      <c r="Y13468"/>
    </row>
    <row r="13469" spans="25:25" x14ac:dyDescent="0.2">
      <c r="Y13469"/>
    </row>
    <row r="13470" spans="25:25" x14ac:dyDescent="0.2">
      <c r="Y13470"/>
    </row>
    <row r="13471" spans="25:25" x14ac:dyDescent="0.2">
      <c r="Y13471"/>
    </row>
    <row r="13472" spans="25:25" x14ac:dyDescent="0.2">
      <c r="Y13472"/>
    </row>
    <row r="13473" spans="25:25" x14ac:dyDescent="0.2">
      <c r="Y13473"/>
    </row>
    <row r="13474" spans="25:25" x14ac:dyDescent="0.2">
      <c r="Y13474"/>
    </row>
    <row r="13475" spans="25:25" x14ac:dyDescent="0.2">
      <c r="Y13475"/>
    </row>
    <row r="13476" spans="25:25" x14ac:dyDescent="0.2">
      <c r="Y13476"/>
    </row>
    <row r="13477" spans="25:25" x14ac:dyDescent="0.2">
      <c r="Y13477"/>
    </row>
    <row r="13478" spans="25:25" x14ac:dyDescent="0.2">
      <c r="Y13478"/>
    </row>
    <row r="13479" spans="25:25" x14ac:dyDescent="0.2">
      <c r="Y13479"/>
    </row>
    <row r="13480" spans="25:25" x14ac:dyDescent="0.2">
      <c r="Y13480"/>
    </row>
    <row r="13481" spans="25:25" x14ac:dyDescent="0.2">
      <c r="Y13481"/>
    </row>
    <row r="13482" spans="25:25" x14ac:dyDescent="0.2">
      <c r="Y13482"/>
    </row>
    <row r="13483" spans="25:25" x14ac:dyDescent="0.2">
      <c r="Y13483"/>
    </row>
    <row r="13484" spans="25:25" x14ac:dyDescent="0.2">
      <c r="Y13484"/>
    </row>
    <row r="13485" spans="25:25" x14ac:dyDescent="0.2">
      <c r="Y13485"/>
    </row>
    <row r="13486" spans="25:25" x14ac:dyDescent="0.2">
      <c r="Y13486"/>
    </row>
    <row r="13487" spans="25:25" x14ac:dyDescent="0.2">
      <c r="Y13487"/>
    </row>
    <row r="13488" spans="25:25" x14ac:dyDescent="0.2">
      <c r="Y13488"/>
    </row>
    <row r="13489" spans="25:25" x14ac:dyDescent="0.2">
      <c r="Y13489"/>
    </row>
    <row r="13490" spans="25:25" x14ac:dyDescent="0.2">
      <c r="Y13490"/>
    </row>
    <row r="13491" spans="25:25" x14ac:dyDescent="0.2">
      <c r="Y13491"/>
    </row>
    <row r="13492" spans="25:25" x14ac:dyDescent="0.2">
      <c r="Y13492"/>
    </row>
    <row r="13493" spans="25:25" x14ac:dyDescent="0.2">
      <c r="Y13493"/>
    </row>
    <row r="13494" spans="25:25" x14ac:dyDescent="0.2">
      <c r="Y13494"/>
    </row>
    <row r="13495" spans="25:25" x14ac:dyDescent="0.2">
      <c r="Y13495"/>
    </row>
    <row r="13496" spans="25:25" x14ac:dyDescent="0.2">
      <c r="Y13496"/>
    </row>
    <row r="13497" spans="25:25" x14ac:dyDescent="0.2">
      <c r="Y13497"/>
    </row>
    <row r="13498" spans="25:25" x14ac:dyDescent="0.2">
      <c r="Y13498"/>
    </row>
    <row r="13499" spans="25:25" x14ac:dyDescent="0.2">
      <c r="Y13499"/>
    </row>
    <row r="13500" spans="25:25" x14ac:dyDescent="0.2">
      <c r="Y13500"/>
    </row>
    <row r="13501" spans="25:25" x14ac:dyDescent="0.2">
      <c r="Y13501"/>
    </row>
    <row r="13502" spans="25:25" x14ac:dyDescent="0.2">
      <c r="Y13502"/>
    </row>
    <row r="13503" spans="25:25" x14ac:dyDescent="0.2">
      <c r="Y13503"/>
    </row>
    <row r="13504" spans="25:25" x14ac:dyDescent="0.2">
      <c r="Y13504"/>
    </row>
    <row r="13505" spans="25:25" x14ac:dyDescent="0.2">
      <c r="Y13505"/>
    </row>
    <row r="13506" spans="25:25" x14ac:dyDescent="0.2">
      <c r="Y13506"/>
    </row>
    <row r="13507" spans="25:25" x14ac:dyDescent="0.2">
      <c r="Y13507"/>
    </row>
    <row r="13508" spans="25:25" x14ac:dyDescent="0.2">
      <c r="Y13508"/>
    </row>
    <row r="13509" spans="25:25" x14ac:dyDescent="0.2">
      <c r="Y13509"/>
    </row>
    <row r="13510" spans="25:25" x14ac:dyDescent="0.2">
      <c r="Y13510"/>
    </row>
    <row r="13511" spans="25:25" x14ac:dyDescent="0.2">
      <c r="Y13511"/>
    </row>
    <row r="13512" spans="25:25" x14ac:dyDescent="0.2">
      <c r="Y13512"/>
    </row>
    <row r="13513" spans="25:25" x14ac:dyDescent="0.2">
      <c r="Y13513"/>
    </row>
    <row r="13514" spans="25:25" x14ac:dyDescent="0.2">
      <c r="Y13514"/>
    </row>
    <row r="13515" spans="25:25" x14ac:dyDescent="0.2">
      <c r="Y13515"/>
    </row>
    <row r="13516" spans="25:25" x14ac:dyDescent="0.2">
      <c r="Y13516"/>
    </row>
    <row r="13517" spans="25:25" x14ac:dyDescent="0.2">
      <c r="Y13517"/>
    </row>
    <row r="13518" spans="25:25" x14ac:dyDescent="0.2">
      <c r="Y13518"/>
    </row>
    <row r="13519" spans="25:25" x14ac:dyDescent="0.2">
      <c r="Y13519"/>
    </row>
    <row r="13520" spans="25:25" x14ac:dyDescent="0.2">
      <c r="Y13520"/>
    </row>
    <row r="13521" spans="25:25" x14ac:dyDescent="0.2">
      <c r="Y13521"/>
    </row>
    <row r="13522" spans="25:25" x14ac:dyDescent="0.2">
      <c r="Y13522"/>
    </row>
    <row r="13523" spans="25:25" x14ac:dyDescent="0.2">
      <c r="Y13523"/>
    </row>
    <row r="13524" spans="25:25" x14ac:dyDescent="0.2">
      <c r="Y13524"/>
    </row>
    <row r="13525" spans="25:25" x14ac:dyDescent="0.2">
      <c r="Y13525"/>
    </row>
    <row r="13526" spans="25:25" x14ac:dyDescent="0.2">
      <c r="Y13526"/>
    </row>
    <row r="13527" spans="25:25" x14ac:dyDescent="0.2">
      <c r="Y13527"/>
    </row>
    <row r="13528" spans="25:25" x14ac:dyDescent="0.2">
      <c r="Y13528"/>
    </row>
    <row r="13529" spans="25:25" x14ac:dyDescent="0.2">
      <c r="Y13529"/>
    </row>
    <row r="13530" spans="25:25" x14ac:dyDescent="0.2">
      <c r="Y13530"/>
    </row>
    <row r="13531" spans="25:25" x14ac:dyDescent="0.2">
      <c r="Y13531"/>
    </row>
    <row r="13532" spans="25:25" x14ac:dyDescent="0.2">
      <c r="Y13532"/>
    </row>
    <row r="13533" spans="25:25" x14ac:dyDescent="0.2">
      <c r="Y13533"/>
    </row>
    <row r="13534" spans="25:25" x14ac:dyDescent="0.2">
      <c r="Y13534"/>
    </row>
    <row r="13535" spans="25:25" x14ac:dyDescent="0.2">
      <c r="Y13535"/>
    </row>
    <row r="13536" spans="25:25" x14ac:dyDescent="0.2">
      <c r="Y13536"/>
    </row>
    <row r="13537" spans="25:25" x14ac:dyDescent="0.2">
      <c r="Y13537"/>
    </row>
    <row r="13538" spans="25:25" x14ac:dyDescent="0.2">
      <c r="Y13538"/>
    </row>
    <row r="13539" spans="25:25" x14ac:dyDescent="0.2">
      <c r="Y13539"/>
    </row>
    <row r="13540" spans="25:25" x14ac:dyDescent="0.2">
      <c r="Y13540"/>
    </row>
    <row r="13541" spans="25:25" x14ac:dyDescent="0.2">
      <c r="Y13541"/>
    </row>
    <row r="13542" spans="25:25" x14ac:dyDescent="0.2">
      <c r="Y13542"/>
    </row>
    <row r="13543" spans="25:25" x14ac:dyDescent="0.2">
      <c r="Y13543"/>
    </row>
    <row r="13544" spans="25:25" x14ac:dyDescent="0.2">
      <c r="Y13544"/>
    </row>
    <row r="13545" spans="25:25" x14ac:dyDescent="0.2">
      <c r="Y13545"/>
    </row>
    <row r="13546" spans="25:25" x14ac:dyDescent="0.2">
      <c r="Y13546"/>
    </row>
    <row r="13547" spans="25:25" x14ac:dyDescent="0.2">
      <c r="Y13547"/>
    </row>
    <row r="13548" spans="25:25" x14ac:dyDescent="0.2">
      <c r="Y13548"/>
    </row>
    <row r="13549" spans="25:25" x14ac:dyDescent="0.2">
      <c r="Y13549"/>
    </row>
    <row r="13550" spans="25:25" x14ac:dyDescent="0.2">
      <c r="Y13550"/>
    </row>
    <row r="13551" spans="25:25" x14ac:dyDescent="0.2">
      <c r="Y13551"/>
    </row>
    <row r="13552" spans="25:25" x14ac:dyDescent="0.2">
      <c r="Y13552"/>
    </row>
    <row r="13553" spans="25:25" x14ac:dyDescent="0.2">
      <c r="Y13553"/>
    </row>
    <row r="13554" spans="25:25" x14ac:dyDescent="0.2">
      <c r="Y13554"/>
    </row>
    <row r="13555" spans="25:25" x14ac:dyDescent="0.2">
      <c r="Y13555"/>
    </row>
    <row r="13556" spans="25:25" x14ac:dyDescent="0.2">
      <c r="Y13556"/>
    </row>
    <row r="13557" spans="25:25" x14ac:dyDescent="0.2">
      <c r="Y13557"/>
    </row>
    <row r="13558" spans="25:25" x14ac:dyDescent="0.2">
      <c r="Y13558"/>
    </row>
    <row r="13559" spans="25:25" x14ac:dyDescent="0.2">
      <c r="Y13559"/>
    </row>
    <row r="13560" spans="25:25" x14ac:dyDescent="0.2">
      <c r="Y13560"/>
    </row>
    <row r="13561" spans="25:25" x14ac:dyDescent="0.2">
      <c r="Y13561"/>
    </row>
    <row r="13562" spans="25:25" x14ac:dyDescent="0.2">
      <c r="Y13562"/>
    </row>
    <row r="13563" spans="25:25" x14ac:dyDescent="0.2">
      <c r="Y13563"/>
    </row>
    <row r="13564" spans="25:25" x14ac:dyDescent="0.2">
      <c r="Y13564"/>
    </row>
    <row r="13565" spans="25:25" x14ac:dyDescent="0.2">
      <c r="Y13565"/>
    </row>
    <row r="13566" spans="25:25" x14ac:dyDescent="0.2">
      <c r="Y13566"/>
    </row>
    <row r="13567" spans="25:25" x14ac:dyDescent="0.2">
      <c r="Y13567"/>
    </row>
    <row r="13568" spans="25:25" x14ac:dyDescent="0.2">
      <c r="Y13568"/>
    </row>
    <row r="13569" spans="25:25" x14ac:dyDescent="0.2">
      <c r="Y13569"/>
    </row>
    <row r="13570" spans="25:25" x14ac:dyDescent="0.2">
      <c r="Y13570"/>
    </row>
    <row r="13571" spans="25:25" x14ac:dyDescent="0.2">
      <c r="Y13571"/>
    </row>
    <row r="13572" spans="25:25" x14ac:dyDescent="0.2">
      <c r="Y13572"/>
    </row>
    <row r="13573" spans="25:25" x14ac:dyDescent="0.2">
      <c r="Y13573"/>
    </row>
    <row r="13574" spans="25:25" x14ac:dyDescent="0.2">
      <c r="Y13574"/>
    </row>
    <row r="13575" spans="25:25" x14ac:dyDescent="0.2">
      <c r="Y13575"/>
    </row>
    <row r="13576" spans="25:25" x14ac:dyDescent="0.2">
      <c r="Y13576"/>
    </row>
    <row r="13577" spans="25:25" x14ac:dyDescent="0.2">
      <c r="Y13577"/>
    </row>
    <row r="13578" spans="25:25" x14ac:dyDescent="0.2">
      <c r="Y13578"/>
    </row>
    <row r="13579" spans="25:25" x14ac:dyDescent="0.2">
      <c r="Y13579"/>
    </row>
    <row r="13580" spans="25:25" x14ac:dyDescent="0.2">
      <c r="Y13580"/>
    </row>
    <row r="13581" spans="25:25" x14ac:dyDescent="0.2">
      <c r="Y13581"/>
    </row>
    <row r="13582" spans="25:25" x14ac:dyDescent="0.2">
      <c r="Y13582"/>
    </row>
    <row r="13583" spans="25:25" x14ac:dyDescent="0.2">
      <c r="Y13583"/>
    </row>
    <row r="13584" spans="25:25" x14ac:dyDescent="0.2">
      <c r="Y13584"/>
    </row>
    <row r="13585" spans="25:25" x14ac:dyDescent="0.2">
      <c r="Y13585"/>
    </row>
    <row r="13586" spans="25:25" x14ac:dyDescent="0.2">
      <c r="Y13586"/>
    </row>
    <row r="13587" spans="25:25" x14ac:dyDescent="0.2">
      <c r="Y13587"/>
    </row>
    <row r="13588" spans="25:25" x14ac:dyDescent="0.2">
      <c r="Y13588"/>
    </row>
    <row r="13589" spans="25:25" x14ac:dyDescent="0.2">
      <c r="Y13589"/>
    </row>
    <row r="13590" spans="25:25" x14ac:dyDescent="0.2">
      <c r="Y13590"/>
    </row>
    <row r="13591" spans="25:25" x14ac:dyDescent="0.2">
      <c r="Y13591"/>
    </row>
    <row r="13592" spans="25:25" x14ac:dyDescent="0.2">
      <c r="Y13592"/>
    </row>
    <row r="13593" spans="25:25" x14ac:dyDescent="0.2">
      <c r="Y13593"/>
    </row>
    <row r="13594" spans="25:25" x14ac:dyDescent="0.2">
      <c r="Y13594"/>
    </row>
    <row r="13595" spans="25:25" x14ac:dyDescent="0.2">
      <c r="Y13595"/>
    </row>
    <row r="13596" spans="25:25" x14ac:dyDescent="0.2">
      <c r="Y13596"/>
    </row>
    <row r="13597" spans="25:25" x14ac:dyDescent="0.2">
      <c r="Y13597"/>
    </row>
    <row r="13598" spans="25:25" x14ac:dyDescent="0.2">
      <c r="Y13598"/>
    </row>
    <row r="13599" spans="25:25" x14ac:dyDescent="0.2">
      <c r="Y13599"/>
    </row>
    <row r="13600" spans="25:25" x14ac:dyDescent="0.2">
      <c r="Y13600"/>
    </row>
    <row r="13601" spans="25:25" x14ac:dyDescent="0.2">
      <c r="Y13601"/>
    </row>
    <row r="13602" spans="25:25" x14ac:dyDescent="0.2">
      <c r="Y13602"/>
    </row>
    <row r="13603" spans="25:25" x14ac:dyDescent="0.2">
      <c r="Y13603"/>
    </row>
    <row r="13604" spans="25:25" x14ac:dyDescent="0.2">
      <c r="Y13604"/>
    </row>
    <row r="13605" spans="25:25" x14ac:dyDescent="0.2">
      <c r="Y13605"/>
    </row>
    <row r="13606" spans="25:25" x14ac:dyDescent="0.2">
      <c r="Y13606"/>
    </row>
    <row r="13607" spans="25:25" x14ac:dyDescent="0.2">
      <c r="Y13607"/>
    </row>
    <row r="13608" spans="25:25" x14ac:dyDescent="0.2">
      <c r="Y13608"/>
    </row>
    <row r="13609" spans="25:25" x14ac:dyDescent="0.2">
      <c r="Y13609"/>
    </row>
    <row r="13610" spans="25:25" x14ac:dyDescent="0.2">
      <c r="Y13610"/>
    </row>
    <row r="13611" spans="25:25" x14ac:dyDescent="0.2">
      <c r="Y13611"/>
    </row>
    <row r="13612" spans="25:25" x14ac:dyDescent="0.2">
      <c r="Y13612"/>
    </row>
    <row r="13613" spans="25:25" x14ac:dyDescent="0.2">
      <c r="Y13613"/>
    </row>
    <row r="13614" spans="25:25" x14ac:dyDescent="0.2">
      <c r="Y13614"/>
    </row>
    <row r="13615" spans="25:25" x14ac:dyDescent="0.2">
      <c r="Y13615"/>
    </row>
    <row r="13616" spans="25:25" x14ac:dyDescent="0.2">
      <c r="Y13616"/>
    </row>
    <row r="13617" spans="25:25" x14ac:dyDescent="0.2">
      <c r="Y13617"/>
    </row>
    <row r="13618" spans="25:25" x14ac:dyDescent="0.2">
      <c r="Y13618"/>
    </row>
    <row r="13619" spans="25:25" x14ac:dyDescent="0.2">
      <c r="Y13619"/>
    </row>
    <row r="13620" spans="25:25" x14ac:dyDescent="0.2">
      <c r="Y13620"/>
    </row>
    <row r="13621" spans="25:25" x14ac:dyDescent="0.2">
      <c r="Y13621"/>
    </row>
    <row r="13622" spans="25:25" x14ac:dyDescent="0.2">
      <c r="Y13622"/>
    </row>
    <row r="13623" spans="25:25" x14ac:dyDescent="0.2">
      <c r="Y13623"/>
    </row>
    <row r="13624" spans="25:25" x14ac:dyDescent="0.2">
      <c r="Y13624"/>
    </row>
    <row r="13625" spans="25:25" x14ac:dyDescent="0.2">
      <c r="Y13625"/>
    </row>
    <row r="13626" spans="25:25" x14ac:dyDescent="0.2">
      <c r="Y13626"/>
    </row>
    <row r="13627" spans="25:25" x14ac:dyDescent="0.2">
      <c r="Y13627"/>
    </row>
    <row r="13628" spans="25:25" x14ac:dyDescent="0.2">
      <c r="Y13628"/>
    </row>
    <row r="13629" spans="25:25" x14ac:dyDescent="0.2">
      <c r="Y13629"/>
    </row>
    <row r="13630" spans="25:25" x14ac:dyDescent="0.2">
      <c r="Y13630"/>
    </row>
    <row r="13631" spans="25:25" x14ac:dyDescent="0.2">
      <c r="Y13631"/>
    </row>
    <row r="13632" spans="25:25" x14ac:dyDescent="0.2">
      <c r="Y13632"/>
    </row>
    <row r="13633" spans="25:25" x14ac:dyDescent="0.2">
      <c r="Y13633"/>
    </row>
    <row r="13634" spans="25:25" x14ac:dyDescent="0.2">
      <c r="Y13634"/>
    </row>
    <row r="13635" spans="25:25" x14ac:dyDescent="0.2">
      <c r="Y13635"/>
    </row>
    <row r="13636" spans="25:25" x14ac:dyDescent="0.2">
      <c r="Y13636"/>
    </row>
    <row r="13637" spans="25:25" x14ac:dyDescent="0.2">
      <c r="Y13637"/>
    </row>
    <row r="13638" spans="25:25" x14ac:dyDescent="0.2">
      <c r="Y13638"/>
    </row>
    <row r="13639" spans="25:25" x14ac:dyDescent="0.2">
      <c r="Y13639"/>
    </row>
    <row r="13640" spans="25:25" x14ac:dyDescent="0.2">
      <c r="Y13640"/>
    </row>
    <row r="13641" spans="25:25" x14ac:dyDescent="0.2">
      <c r="Y13641"/>
    </row>
    <row r="13642" spans="25:25" x14ac:dyDescent="0.2">
      <c r="Y13642"/>
    </row>
    <row r="13643" spans="25:25" x14ac:dyDescent="0.2">
      <c r="Y13643"/>
    </row>
    <row r="13644" spans="25:25" x14ac:dyDescent="0.2">
      <c r="Y13644"/>
    </row>
    <row r="13645" spans="25:25" x14ac:dyDescent="0.2">
      <c r="Y13645"/>
    </row>
    <row r="13646" spans="25:25" x14ac:dyDescent="0.2">
      <c r="Y13646"/>
    </row>
    <row r="13647" spans="25:25" x14ac:dyDescent="0.2">
      <c r="Y13647"/>
    </row>
    <row r="13648" spans="25:25" x14ac:dyDescent="0.2">
      <c r="Y13648"/>
    </row>
    <row r="13649" spans="25:25" x14ac:dyDescent="0.2">
      <c r="Y13649"/>
    </row>
    <row r="13650" spans="25:25" x14ac:dyDescent="0.2">
      <c r="Y13650"/>
    </row>
    <row r="13651" spans="25:25" x14ac:dyDescent="0.2">
      <c r="Y13651"/>
    </row>
    <row r="13652" spans="25:25" x14ac:dyDescent="0.2">
      <c r="Y13652"/>
    </row>
    <row r="13653" spans="25:25" x14ac:dyDescent="0.2">
      <c r="Y13653"/>
    </row>
    <row r="13654" spans="25:25" x14ac:dyDescent="0.2">
      <c r="Y13654"/>
    </row>
    <row r="13655" spans="25:25" x14ac:dyDescent="0.2">
      <c r="Y13655"/>
    </row>
    <row r="13656" spans="25:25" x14ac:dyDescent="0.2">
      <c r="Y13656"/>
    </row>
    <row r="13657" spans="25:25" x14ac:dyDescent="0.2">
      <c r="Y13657"/>
    </row>
    <row r="13658" spans="25:25" x14ac:dyDescent="0.2">
      <c r="Y13658"/>
    </row>
    <row r="13659" spans="25:25" x14ac:dyDescent="0.2">
      <c r="Y13659"/>
    </row>
    <row r="13660" spans="25:25" x14ac:dyDescent="0.2">
      <c r="Y13660"/>
    </row>
    <row r="13661" spans="25:25" x14ac:dyDescent="0.2">
      <c r="Y13661"/>
    </row>
    <row r="13662" spans="25:25" x14ac:dyDescent="0.2">
      <c r="Y13662"/>
    </row>
    <row r="13663" spans="25:25" x14ac:dyDescent="0.2">
      <c r="Y13663"/>
    </row>
    <row r="13664" spans="25:25" x14ac:dyDescent="0.2">
      <c r="Y13664"/>
    </row>
    <row r="13665" spans="25:25" x14ac:dyDescent="0.2">
      <c r="Y13665"/>
    </row>
    <row r="13666" spans="25:25" x14ac:dyDescent="0.2">
      <c r="Y13666"/>
    </row>
    <row r="13667" spans="25:25" x14ac:dyDescent="0.2">
      <c r="Y13667"/>
    </row>
    <row r="13668" spans="25:25" x14ac:dyDescent="0.2">
      <c r="Y13668"/>
    </row>
    <row r="13669" spans="25:25" x14ac:dyDescent="0.2">
      <c r="Y13669"/>
    </row>
    <row r="13670" spans="25:25" x14ac:dyDescent="0.2">
      <c r="Y13670"/>
    </row>
    <row r="13671" spans="25:25" x14ac:dyDescent="0.2">
      <c r="Y13671"/>
    </row>
    <row r="13672" spans="25:25" x14ac:dyDescent="0.2">
      <c r="Y13672"/>
    </row>
    <row r="13673" spans="25:25" x14ac:dyDescent="0.2">
      <c r="Y13673"/>
    </row>
    <row r="13674" spans="25:25" x14ac:dyDescent="0.2">
      <c r="Y13674"/>
    </row>
    <row r="13675" spans="25:25" x14ac:dyDescent="0.2">
      <c r="Y13675"/>
    </row>
    <row r="13676" spans="25:25" x14ac:dyDescent="0.2">
      <c r="Y13676"/>
    </row>
    <row r="13677" spans="25:25" x14ac:dyDescent="0.2">
      <c r="Y13677"/>
    </row>
    <row r="13678" spans="25:25" x14ac:dyDescent="0.2">
      <c r="Y13678"/>
    </row>
    <row r="13679" spans="25:25" x14ac:dyDescent="0.2">
      <c r="Y13679"/>
    </row>
    <row r="13680" spans="25:25" x14ac:dyDescent="0.2">
      <c r="Y13680"/>
    </row>
    <row r="13681" spans="25:25" x14ac:dyDescent="0.2">
      <c r="Y13681"/>
    </row>
    <row r="13682" spans="25:25" x14ac:dyDescent="0.2">
      <c r="Y13682"/>
    </row>
    <row r="13683" spans="25:25" x14ac:dyDescent="0.2">
      <c r="Y13683"/>
    </row>
    <row r="13684" spans="25:25" x14ac:dyDescent="0.2">
      <c r="Y13684"/>
    </row>
    <row r="13685" spans="25:25" x14ac:dyDescent="0.2">
      <c r="Y13685"/>
    </row>
    <row r="13686" spans="25:25" x14ac:dyDescent="0.2">
      <c r="Y13686"/>
    </row>
    <row r="13687" spans="25:25" x14ac:dyDescent="0.2">
      <c r="Y13687"/>
    </row>
    <row r="13688" spans="25:25" x14ac:dyDescent="0.2">
      <c r="Y13688"/>
    </row>
    <row r="13689" spans="25:25" x14ac:dyDescent="0.2">
      <c r="Y13689"/>
    </row>
    <row r="13690" spans="25:25" x14ac:dyDescent="0.2">
      <c r="Y13690"/>
    </row>
    <row r="13691" spans="25:25" x14ac:dyDescent="0.2">
      <c r="Y13691"/>
    </row>
    <row r="13692" spans="25:25" x14ac:dyDescent="0.2">
      <c r="Y13692"/>
    </row>
    <row r="13693" spans="25:25" x14ac:dyDescent="0.2">
      <c r="Y13693"/>
    </row>
    <row r="13694" spans="25:25" x14ac:dyDescent="0.2">
      <c r="Y13694"/>
    </row>
    <row r="13695" spans="25:25" x14ac:dyDescent="0.2">
      <c r="Y13695"/>
    </row>
    <row r="13696" spans="25:25" x14ac:dyDescent="0.2">
      <c r="Y13696"/>
    </row>
    <row r="13697" spans="25:25" x14ac:dyDescent="0.2">
      <c r="Y13697"/>
    </row>
    <row r="13698" spans="25:25" x14ac:dyDescent="0.2">
      <c r="Y13698"/>
    </row>
    <row r="13699" spans="25:25" x14ac:dyDescent="0.2">
      <c r="Y13699"/>
    </row>
    <row r="13700" spans="25:25" x14ac:dyDescent="0.2">
      <c r="Y13700"/>
    </row>
    <row r="13701" spans="25:25" x14ac:dyDescent="0.2">
      <c r="Y13701"/>
    </row>
    <row r="13702" spans="25:25" x14ac:dyDescent="0.2">
      <c r="Y13702"/>
    </row>
    <row r="13703" spans="25:25" x14ac:dyDescent="0.2">
      <c r="Y13703"/>
    </row>
    <row r="13704" spans="25:25" x14ac:dyDescent="0.2">
      <c r="Y13704"/>
    </row>
    <row r="13705" spans="25:25" x14ac:dyDescent="0.2">
      <c r="Y13705"/>
    </row>
    <row r="13706" spans="25:25" x14ac:dyDescent="0.2">
      <c r="Y13706"/>
    </row>
    <row r="13707" spans="25:25" x14ac:dyDescent="0.2">
      <c r="Y13707"/>
    </row>
    <row r="13708" spans="25:25" x14ac:dyDescent="0.2">
      <c r="Y13708"/>
    </row>
    <row r="13709" spans="25:25" x14ac:dyDescent="0.2">
      <c r="Y13709"/>
    </row>
    <row r="13710" spans="25:25" x14ac:dyDescent="0.2">
      <c r="Y13710"/>
    </row>
    <row r="13711" spans="25:25" x14ac:dyDescent="0.2">
      <c r="Y13711"/>
    </row>
    <row r="13712" spans="25:25" x14ac:dyDescent="0.2">
      <c r="Y13712"/>
    </row>
    <row r="13713" spans="25:25" x14ac:dyDescent="0.2">
      <c r="Y13713"/>
    </row>
    <row r="13714" spans="25:25" x14ac:dyDescent="0.2">
      <c r="Y13714"/>
    </row>
    <row r="13715" spans="25:25" x14ac:dyDescent="0.2">
      <c r="Y13715"/>
    </row>
    <row r="13716" spans="25:25" x14ac:dyDescent="0.2">
      <c r="Y13716"/>
    </row>
    <row r="13717" spans="25:25" x14ac:dyDescent="0.2">
      <c r="Y13717"/>
    </row>
    <row r="13718" spans="25:25" x14ac:dyDescent="0.2">
      <c r="Y13718"/>
    </row>
    <row r="13719" spans="25:25" x14ac:dyDescent="0.2">
      <c r="Y13719"/>
    </row>
    <row r="13720" spans="25:25" x14ac:dyDescent="0.2">
      <c r="Y13720"/>
    </row>
    <row r="13721" spans="25:25" x14ac:dyDescent="0.2">
      <c r="Y13721"/>
    </row>
    <row r="13722" spans="25:25" x14ac:dyDescent="0.2">
      <c r="Y13722"/>
    </row>
    <row r="13723" spans="25:25" x14ac:dyDescent="0.2">
      <c r="Y13723"/>
    </row>
    <row r="13724" spans="25:25" x14ac:dyDescent="0.2">
      <c r="Y13724"/>
    </row>
    <row r="13725" spans="25:25" x14ac:dyDescent="0.2">
      <c r="Y13725"/>
    </row>
    <row r="13726" spans="25:25" x14ac:dyDescent="0.2">
      <c r="Y13726"/>
    </row>
    <row r="13727" spans="25:25" x14ac:dyDescent="0.2">
      <c r="Y13727"/>
    </row>
    <row r="13728" spans="25:25" x14ac:dyDescent="0.2">
      <c r="Y13728"/>
    </row>
    <row r="13729" spans="25:25" x14ac:dyDescent="0.2">
      <c r="Y13729"/>
    </row>
    <row r="13730" spans="25:25" x14ac:dyDescent="0.2">
      <c r="Y13730"/>
    </row>
    <row r="13731" spans="25:25" x14ac:dyDescent="0.2">
      <c r="Y13731"/>
    </row>
    <row r="13732" spans="25:25" x14ac:dyDescent="0.2">
      <c r="Y13732"/>
    </row>
    <row r="13733" spans="25:25" x14ac:dyDescent="0.2">
      <c r="Y13733"/>
    </row>
    <row r="13734" spans="25:25" x14ac:dyDescent="0.2">
      <c r="Y13734"/>
    </row>
    <row r="13735" spans="25:25" x14ac:dyDescent="0.2">
      <c r="Y13735"/>
    </row>
    <row r="13736" spans="25:25" x14ac:dyDescent="0.2">
      <c r="Y13736"/>
    </row>
    <row r="13737" spans="25:25" x14ac:dyDescent="0.2">
      <c r="Y13737"/>
    </row>
    <row r="13738" spans="25:25" x14ac:dyDescent="0.2">
      <c r="Y13738"/>
    </row>
    <row r="13739" spans="25:25" x14ac:dyDescent="0.2">
      <c r="Y13739"/>
    </row>
    <row r="13740" spans="25:25" x14ac:dyDescent="0.2">
      <c r="Y13740"/>
    </row>
    <row r="13741" spans="25:25" x14ac:dyDescent="0.2">
      <c r="Y13741"/>
    </row>
    <row r="13742" spans="25:25" x14ac:dyDescent="0.2">
      <c r="Y13742"/>
    </row>
    <row r="13743" spans="25:25" x14ac:dyDescent="0.2">
      <c r="Y13743"/>
    </row>
    <row r="13744" spans="25:25" x14ac:dyDescent="0.2">
      <c r="Y13744"/>
    </row>
    <row r="13745" spans="25:25" x14ac:dyDescent="0.2">
      <c r="Y13745"/>
    </row>
    <row r="13746" spans="25:25" x14ac:dyDescent="0.2">
      <c r="Y13746"/>
    </row>
    <row r="13747" spans="25:25" x14ac:dyDescent="0.2">
      <c r="Y13747"/>
    </row>
    <row r="13748" spans="25:25" x14ac:dyDescent="0.2">
      <c r="Y13748"/>
    </row>
    <row r="13749" spans="25:25" x14ac:dyDescent="0.2">
      <c r="Y13749"/>
    </row>
    <row r="13750" spans="25:25" x14ac:dyDescent="0.2">
      <c r="Y13750"/>
    </row>
    <row r="13751" spans="25:25" x14ac:dyDescent="0.2">
      <c r="Y13751"/>
    </row>
    <row r="13752" spans="25:25" x14ac:dyDescent="0.2">
      <c r="Y13752"/>
    </row>
    <row r="13753" spans="25:25" x14ac:dyDescent="0.2">
      <c r="Y13753"/>
    </row>
    <row r="13754" spans="25:25" x14ac:dyDescent="0.2">
      <c r="Y13754"/>
    </row>
    <row r="13755" spans="25:25" x14ac:dyDescent="0.2">
      <c r="Y13755"/>
    </row>
    <row r="13756" spans="25:25" x14ac:dyDescent="0.2">
      <c r="Y13756"/>
    </row>
    <row r="13757" spans="25:25" x14ac:dyDescent="0.2">
      <c r="Y13757"/>
    </row>
    <row r="13758" spans="25:25" x14ac:dyDescent="0.2">
      <c r="Y13758"/>
    </row>
    <row r="13759" spans="25:25" x14ac:dyDescent="0.2">
      <c r="Y13759"/>
    </row>
    <row r="13760" spans="25:25" x14ac:dyDescent="0.2">
      <c r="Y13760"/>
    </row>
    <row r="13761" spans="25:25" x14ac:dyDescent="0.2">
      <c r="Y13761"/>
    </row>
    <row r="13762" spans="25:25" x14ac:dyDescent="0.2">
      <c r="Y13762"/>
    </row>
    <row r="13763" spans="25:25" x14ac:dyDescent="0.2">
      <c r="Y13763"/>
    </row>
    <row r="13764" spans="25:25" x14ac:dyDescent="0.2">
      <c r="Y13764"/>
    </row>
    <row r="13765" spans="25:25" x14ac:dyDescent="0.2">
      <c r="Y13765"/>
    </row>
    <row r="13766" spans="25:25" x14ac:dyDescent="0.2">
      <c r="Y13766"/>
    </row>
    <row r="13767" spans="25:25" x14ac:dyDescent="0.2">
      <c r="Y13767"/>
    </row>
    <row r="13768" spans="25:25" x14ac:dyDescent="0.2">
      <c r="Y13768"/>
    </row>
    <row r="13769" spans="25:25" x14ac:dyDescent="0.2">
      <c r="Y13769"/>
    </row>
    <row r="13770" spans="25:25" x14ac:dyDescent="0.2">
      <c r="Y13770"/>
    </row>
    <row r="13771" spans="25:25" x14ac:dyDescent="0.2">
      <c r="Y13771"/>
    </row>
    <row r="13772" spans="25:25" x14ac:dyDescent="0.2">
      <c r="Y13772"/>
    </row>
    <row r="13773" spans="25:25" x14ac:dyDescent="0.2">
      <c r="Y13773"/>
    </row>
    <row r="13774" spans="25:25" x14ac:dyDescent="0.2">
      <c r="Y13774"/>
    </row>
    <row r="13775" spans="25:25" x14ac:dyDescent="0.2">
      <c r="Y13775"/>
    </row>
    <row r="13776" spans="25:25" x14ac:dyDescent="0.2">
      <c r="Y13776"/>
    </row>
    <row r="13777" spans="25:25" x14ac:dyDescent="0.2">
      <c r="Y13777"/>
    </row>
    <row r="13778" spans="25:25" x14ac:dyDescent="0.2">
      <c r="Y13778"/>
    </row>
    <row r="13779" spans="25:25" x14ac:dyDescent="0.2">
      <c r="Y13779"/>
    </row>
    <row r="13780" spans="25:25" x14ac:dyDescent="0.2">
      <c r="Y13780"/>
    </row>
    <row r="13781" spans="25:25" x14ac:dyDescent="0.2">
      <c r="Y13781"/>
    </row>
    <row r="13782" spans="25:25" x14ac:dyDescent="0.2">
      <c r="Y13782"/>
    </row>
    <row r="13783" spans="25:25" x14ac:dyDescent="0.2">
      <c r="Y13783"/>
    </row>
    <row r="13784" spans="25:25" x14ac:dyDescent="0.2">
      <c r="Y13784"/>
    </row>
    <row r="13785" spans="25:25" x14ac:dyDescent="0.2">
      <c r="Y13785"/>
    </row>
    <row r="13786" spans="25:25" x14ac:dyDescent="0.2">
      <c r="Y13786"/>
    </row>
    <row r="13787" spans="25:25" x14ac:dyDescent="0.2">
      <c r="Y13787"/>
    </row>
    <row r="13788" spans="25:25" x14ac:dyDescent="0.2">
      <c r="Y13788"/>
    </row>
    <row r="13789" spans="25:25" x14ac:dyDescent="0.2">
      <c r="Y13789"/>
    </row>
    <row r="13790" spans="25:25" x14ac:dyDescent="0.2">
      <c r="Y13790"/>
    </row>
    <row r="13791" spans="25:25" x14ac:dyDescent="0.2">
      <c r="Y13791"/>
    </row>
    <row r="13792" spans="25:25" x14ac:dyDescent="0.2">
      <c r="Y13792"/>
    </row>
    <row r="13793" spans="25:25" x14ac:dyDescent="0.2">
      <c r="Y13793"/>
    </row>
    <row r="13794" spans="25:25" x14ac:dyDescent="0.2">
      <c r="Y13794"/>
    </row>
    <row r="13795" spans="25:25" x14ac:dyDescent="0.2">
      <c r="Y13795"/>
    </row>
    <row r="13796" spans="25:25" x14ac:dyDescent="0.2">
      <c r="Y13796"/>
    </row>
    <row r="13797" spans="25:25" x14ac:dyDescent="0.2">
      <c r="Y13797"/>
    </row>
    <row r="13798" spans="25:25" x14ac:dyDescent="0.2">
      <c r="Y13798"/>
    </row>
    <row r="13799" spans="25:25" x14ac:dyDescent="0.2">
      <c r="Y13799"/>
    </row>
    <row r="13800" spans="25:25" x14ac:dyDescent="0.2">
      <c r="Y13800"/>
    </row>
    <row r="13801" spans="25:25" x14ac:dyDescent="0.2">
      <c r="Y13801"/>
    </row>
    <row r="13802" spans="25:25" x14ac:dyDescent="0.2">
      <c r="Y13802"/>
    </row>
    <row r="13803" spans="25:25" x14ac:dyDescent="0.2">
      <c r="Y13803"/>
    </row>
    <row r="13804" spans="25:25" x14ac:dyDescent="0.2">
      <c r="Y13804"/>
    </row>
    <row r="13805" spans="25:25" x14ac:dyDescent="0.2">
      <c r="Y13805"/>
    </row>
    <row r="13806" spans="25:25" x14ac:dyDescent="0.2">
      <c r="Y13806"/>
    </row>
    <row r="13807" spans="25:25" x14ac:dyDescent="0.2">
      <c r="Y13807"/>
    </row>
    <row r="13808" spans="25:25" x14ac:dyDescent="0.2">
      <c r="Y13808"/>
    </row>
    <row r="13809" spans="25:25" x14ac:dyDescent="0.2">
      <c r="Y13809"/>
    </row>
    <row r="13810" spans="25:25" x14ac:dyDescent="0.2">
      <c r="Y13810"/>
    </row>
    <row r="13811" spans="25:25" x14ac:dyDescent="0.2">
      <c r="Y13811"/>
    </row>
    <row r="13812" spans="25:25" x14ac:dyDescent="0.2">
      <c r="Y13812"/>
    </row>
    <row r="13813" spans="25:25" x14ac:dyDescent="0.2">
      <c r="Y13813"/>
    </row>
    <row r="13814" spans="25:25" x14ac:dyDescent="0.2">
      <c r="Y13814"/>
    </row>
    <row r="13815" spans="25:25" x14ac:dyDescent="0.2">
      <c r="Y13815"/>
    </row>
    <row r="13816" spans="25:25" x14ac:dyDescent="0.2">
      <c r="Y13816"/>
    </row>
    <row r="13817" spans="25:25" x14ac:dyDescent="0.2">
      <c r="Y13817"/>
    </row>
    <row r="13818" spans="25:25" x14ac:dyDescent="0.2">
      <c r="Y13818"/>
    </row>
    <row r="13819" spans="25:25" x14ac:dyDescent="0.2">
      <c r="Y13819"/>
    </row>
    <row r="13820" spans="25:25" x14ac:dyDescent="0.2">
      <c r="Y13820"/>
    </row>
    <row r="13821" spans="25:25" x14ac:dyDescent="0.2">
      <c r="Y13821"/>
    </row>
    <row r="13822" spans="25:25" x14ac:dyDescent="0.2">
      <c r="Y13822"/>
    </row>
    <row r="13823" spans="25:25" x14ac:dyDescent="0.2">
      <c r="Y13823"/>
    </row>
    <row r="13824" spans="25:25" x14ac:dyDescent="0.2">
      <c r="Y13824"/>
    </row>
    <row r="13825" spans="25:25" x14ac:dyDescent="0.2">
      <c r="Y13825"/>
    </row>
    <row r="13826" spans="25:25" x14ac:dyDescent="0.2">
      <c r="Y13826"/>
    </row>
    <row r="13827" spans="25:25" x14ac:dyDescent="0.2">
      <c r="Y13827"/>
    </row>
    <row r="13828" spans="25:25" x14ac:dyDescent="0.2">
      <c r="Y13828"/>
    </row>
    <row r="13829" spans="25:25" x14ac:dyDescent="0.2">
      <c r="Y13829"/>
    </row>
    <row r="13830" spans="25:25" x14ac:dyDescent="0.2">
      <c r="Y13830"/>
    </row>
    <row r="13831" spans="25:25" x14ac:dyDescent="0.2">
      <c r="Y13831"/>
    </row>
    <row r="13832" spans="25:25" x14ac:dyDescent="0.2">
      <c r="Y13832"/>
    </row>
    <row r="13833" spans="25:25" x14ac:dyDescent="0.2">
      <c r="Y13833"/>
    </row>
    <row r="13834" spans="25:25" x14ac:dyDescent="0.2">
      <c r="Y13834"/>
    </row>
    <row r="13835" spans="25:25" x14ac:dyDescent="0.2">
      <c r="Y13835"/>
    </row>
    <row r="13836" spans="25:25" x14ac:dyDescent="0.2">
      <c r="Y13836"/>
    </row>
    <row r="13837" spans="25:25" x14ac:dyDescent="0.2">
      <c r="Y13837"/>
    </row>
    <row r="13838" spans="25:25" x14ac:dyDescent="0.2">
      <c r="Y13838"/>
    </row>
    <row r="13839" spans="25:25" x14ac:dyDescent="0.2">
      <c r="Y13839"/>
    </row>
    <row r="13840" spans="25:25" x14ac:dyDescent="0.2">
      <c r="Y13840"/>
    </row>
    <row r="13841" spans="25:25" x14ac:dyDescent="0.2">
      <c r="Y13841"/>
    </row>
    <row r="13842" spans="25:25" x14ac:dyDescent="0.2">
      <c r="Y13842"/>
    </row>
    <row r="13843" spans="25:25" x14ac:dyDescent="0.2">
      <c r="Y13843"/>
    </row>
    <row r="13844" spans="25:25" x14ac:dyDescent="0.2">
      <c r="Y13844"/>
    </row>
    <row r="13845" spans="25:25" x14ac:dyDescent="0.2">
      <c r="Y13845"/>
    </row>
    <row r="13846" spans="25:25" x14ac:dyDescent="0.2">
      <c r="Y13846"/>
    </row>
    <row r="13847" spans="25:25" x14ac:dyDescent="0.2">
      <c r="Y13847"/>
    </row>
    <row r="13848" spans="25:25" x14ac:dyDescent="0.2">
      <c r="Y13848"/>
    </row>
    <row r="13849" spans="25:25" x14ac:dyDescent="0.2">
      <c r="Y13849"/>
    </row>
    <row r="13850" spans="25:25" x14ac:dyDescent="0.2">
      <c r="Y13850"/>
    </row>
    <row r="13851" spans="25:25" x14ac:dyDescent="0.2">
      <c r="Y13851"/>
    </row>
    <row r="13852" spans="25:25" x14ac:dyDescent="0.2">
      <c r="Y13852"/>
    </row>
    <row r="13853" spans="25:25" x14ac:dyDescent="0.2">
      <c r="Y13853"/>
    </row>
    <row r="13854" spans="25:25" x14ac:dyDescent="0.2">
      <c r="Y13854"/>
    </row>
    <row r="13855" spans="25:25" x14ac:dyDescent="0.2">
      <c r="Y13855"/>
    </row>
    <row r="13856" spans="25:25" x14ac:dyDescent="0.2">
      <c r="Y13856"/>
    </row>
    <row r="13857" spans="25:25" x14ac:dyDescent="0.2">
      <c r="Y13857"/>
    </row>
    <row r="13858" spans="25:25" x14ac:dyDescent="0.2">
      <c r="Y13858"/>
    </row>
    <row r="13859" spans="25:25" x14ac:dyDescent="0.2">
      <c r="Y13859"/>
    </row>
    <row r="13860" spans="25:25" x14ac:dyDescent="0.2">
      <c r="Y13860"/>
    </row>
    <row r="13861" spans="25:25" x14ac:dyDescent="0.2">
      <c r="Y13861"/>
    </row>
    <row r="13862" spans="25:25" x14ac:dyDescent="0.2">
      <c r="Y13862"/>
    </row>
    <row r="13863" spans="25:25" x14ac:dyDescent="0.2">
      <c r="Y13863"/>
    </row>
    <row r="13864" spans="25:25" x14ac:dyDescent="0.2">
      <c r="Y13864"/>
    </row>
    <row r="13865" spans="25:25" x14ac:dyDescent="0.2">
      <c r="Y13865"/>
    </row>
    <row r="13866" spans="25:25" x14ac:dyDescent="0.2">
      <c r="Y13866"/>
    </row>
    <row r="13867" spans="25:25" x14ac:dyDescent="0.2">
      <c r="Y13867"/>
    </row>
    <row r="13868" spans="25:25" x14ac:dyDescent="0.2">
      <c r="Y13868"/>
    </row>
    <row r="13869" spans="25:25" x14ac:dyDescent="0.2">
      <c r="Y13869"/>
    </row>
    <row r="13870" spans="25:25" x14ac:dyDescent="0.2">
      <c r="Y13870"/>
    </row>
    <row r="13871" spans="25:25" x14ac:dyDescent="0.2">
      <c r="Y13871"/>
    </row>
    <row r="13872" spans="25:25" x14ac:dyDescent="0.2">
      <c r="Y13872"/>
    </row>
    <row r="13873" spans="25:25" x14ac:dyDescent="0.2">
      <c r="Y13873"/>
    </row>
    <row r="13874" spans="25:25" x14ac:dyDescent="0.2">
      <c r="Y13874"/>
    </row>
    <row r="13875" spans="25:25" x14ac:dyDescent="0.2">
      <c r="Y13875"/>
    </row>
    <row r="13876" spans="25:25" x14ac:dyDescent="0.2">
      <c r="Y13876"/>
    </row>
    <row r="13877" spans="25:25" x14ac:dyDescent="0.2">
      <c r="Y13877"/>
    </row>
    <row r="13878" spans="25:25" x14ac:dyDescent="0.2">
      <c r="Y13878"/>
    </row>
    <row r="13879" spans="25:25" x14ac:dyDescent="0.2">
      <c r="Y13879"/>
    </row>
    <row r="13880" spans="25:25" x14ac:dyDescent="0.2">
      <c r="Y13880"/>
    </row>
    <row r="13881" spans="25:25" x14ac:dyDescent="0.2">
      <c r="Y13881"/>
    </row>
    <row r="13882" spans="25:25" x14ac:dyDescent="0.2">
      <c r="Y13882"/>
    </row>
    <row r="13883" spans="25:25" x14ac:dyDescent="0.2">
      <c r="Y13883"/>
    </row>
    <row r="13884" spans="25:25" x14ac:dyDescent="0.2">
      <c r="Y13884"/>
    </row>
    <row r="13885" spans="25:25" x14ac:dyDescent="0.2">
      <c r="Y13885"/>
    </row>
    <row r="13886" spans="25:25" x14ac:dyDescent="0.2">
      <c r="Y13886"/>
    </row>
    <row r="13887" spans="25:25" x14ac:dyDescent="0.2">
      <c r="Y13887"/>
    </row>
    <row r="13888" spans="25:25" x14ac:dyDescent="0.2">
      <c r="Y13888"/>
    </row>
    <row r="13889" spans="25:25" x14ac:dyDescent="0.2">
      <c r="Y13889"/>
    </row>
    <row r="13890" spans="25:25" x14ac:dyDescent="0.2">
      <c r="Y13890"/>
    </row>
    <row r="13891" spans="25:25" x14ac:dyDescent="0.2">
      <c r="Y13891"/>
    </row>
    <row r="13892" spans="25:25" x14ac:dyDescent="0.2">
      <c r="Y13892"/>
    </row>
    <row r="13893" spans="25:25" x14ac:dyDescent="0.2">
      <c r="Y13893"/>
    </row>
    <row r="13894" spans="25:25" x14ac:dyDescent="0.2">
      <c r="Y13894"/>
    </row>
    <row r="13895" spans="25:25" x14ac:dyDescent="0.2">
      <c r="Y13895"/>
    </row>
    <row r="13896" spans="25:25" x14ac:dyDescent="0.2">
      <c r="Y13896"/>
    </row>
    <row r="13897" spans="25:25" x14ac:dyDescent="0.2">
      <c r="Y13897"/>
    </row>
    <row r="13898" spans="25:25" x14ac:dyDescent="0.2">
      <c r="Y13898"/>
    </row>
    <row r="13899" spans="25:25" x14ac:dyDescent="0.2">
      <c r="Y13899"/>
    </row>
    <row r="13900" spans="25:25" x14ac:dyDescent="0.2">
      <c r="Y13900"/>
    </row>
    <row r="13901" spans="25:25" x14ac:dyDescent="0.2">
      <c r="Y13901"/>
    </row>
    <row r="13902" spans="25:25" x14ac:dyDescent="0.2">
      <c r="Y13902"/>
    </row>
    <row r="13903" spans="25:25" x14ac:dyDescent="0.2">
      <c r="Y13903"/>
    </row>
    <row r="13904" spans="25:25" x14ac:dyDescent="0.2">
      <c r="Y13904"/>
    </row>
    <row r="13905" spans="25:25" x14ac:dyDescent="0.2">
      <c r="Y13905"/>
    </row>
    <row r="13906" spans="25:25" x14ac:dyDescent="0.2">
      <c r="Y13906"/>
    </row>
    <row r="13907" spans="25:25" x14ac:dyDescent="0.2">
      <c r="Y13907"/>
    </row>
    <row r="13908" spans="25:25" x14ac:dyDescent="0.2">
      <c r="Y13908"/>
    </row>
    <row r="13909" spans="25:25" x14ac:dyDescent="0.2">
      <c r="Y13909"/>
    </row>
    <row r="13910" spans="25:25" x14ac:dyDescent="0.2">
      <c r="Y13910"/>
    </row>
    <row r="13911" spans="25:25" x14ac:dyDescent="0.2">
      <c r="Y13911"/>
    </row>
    <row r="13912" spans="25:25" x14ac:dyDescent="0.2">
      <c r="Y13912"/>
    </row>
    <row r="13913" spans="25:25" x14ac:dyDescent="0.2">
      <c r="Y13913"/>
    </row>
    <row r="13914" spans="25:25" x14ac:dyDescent="0.2">
      <c r="Y13914"/>
    </row>
    <row r="13915" spans="25:25" x14ac:dyDescent="0.2">
      <c r="Y13915"/>
    </row>
    <row r="13916" spans="25:25" x14ac:dyDescent="0.2">
      <c r="Y13916"/>
    </row>
    <row r="13917" spans="25:25" x14ac:dyDescent="0.2">
      <c r="Y13917"/>
    </row>
    <row r="13918" spans="25:25" x14ac:dyDescent="0.2">
      <c r="Y13918"/>
    </row>
    <row r="13919" spans="25:25" x14ac:dyDescent="0.2">
      <c r="Y13919"/>
    </row>
    <row r="13920" spans="25:25" x14ac:dyDescent="0.2">
      <c r="Y13920"/>
    </row>
    <row r="13921" spans="25:25" x14ac:dyDescent="0.2">
      <c r="Y13921"/>
    </row>
    <row r="13922" spans="25:25" x14ac:dyDescent="0.2">
      <c r="Y13922"/>
    </row>
    <row r="13923" spans="25:25" x14ac:dyDescent="0.2">
      <c r="Y13923"/>
    </row>
    <row r="13924" spans="25:25" x14ac:dyDescent="0.2">
      <c r="Y13924"/>
    </row>
    <row r="13925" spans="25:25" x14ac:dyDescent="0.2">
      <c r="Y13925"/>
    </row>
    <row r="13926" spans="25:25" x14ac:dyDescent="0.2">
      <c r="Y13926"/>
    </row>
    <row r="13927" spans="25:25" x14ac:dyDescent="0.2">
      <c r="Y13927"/>
    </row>
    <row r="13928" spans="25:25" x14ac:dyDescent="0.2">
      <c r="Y13928"/>
    </row>
    <row r="13929" spans="25:25" x14ac:dyDescent="0.2">
      <c r="Y13929"/>
    </row>
    <row r="13930" spans="25:25" x14ac:dyDescent="0.2">
      <c r="Y13930"/>
    </row>
    <row r="13931" spans="25:25" x14ac:dyDescent="0.2">
      <c r="Y13931"/>
    </row>
    <row r="13932" spans="25:25" x14ac:dyDescent="0.2">
      <c r="Y13932"/>
    </row>
    <row r="13933" spans="25:25" x14ac:dyDescent="0.2">
      <c r="Y13933"/>
    </row>
    <row r="13934" spans="25:25" x14ac:dyDescent="0.2">
      <c r="Y13934"/>
    </row>
    <row r="13935" spans="25:25" x14ac:dyDescent="0.2">
      <c r="Y13935"/>
    </row>
    <row r="13936" spans="25:25" x14ac:dyDescent="0.2">
      <c r="Y13936"/>
    </row>
    <row r="13937" spans="25:25" x14ac:dyDescent="0.2">
      <c r="Y13937"/>
    </row>
    <row r="13938" spans="25:25" x14ac:dyDescent="0.2">
      <c r="Y13938"/>
    </row>
    <row r="13939" spans="25:25" x14ac:dyDescent="0.2">
      <c r="Y13939"/>
    </row>
    <row r="13940" spans="25:25" x14ac:dyDescent="0.2">
      <c r="Y13940"/>
    </row>
    <row r="13941" spans="25:25" x14ac:dyDescent="0.2">
      <c r="Y13941"/>
    </row>
    <row r="13942" spans="25:25" x14ac:dyDescent="0.2">
      <c r="Y13942"/>
    </row>
    <row r="13943" spans="25:25" x14ac:dyDescent="0.2">
      <c r="Y13943"/>
    </row>
    <row r="13944" spans="25:25" x14ac:dyDescent="0.2">
      <c r="Y13944"/>
    </row>
    <row r="13945" spans="25:25" x14ac:dyDescent="0.2">
      <c r="Y13945"/>
    </row>
    <row r="13946" spans="25:25" x14ac:dyDescent="0.2">
      <c r="Y13946"/>
    </row>
    <row r="13947" spans="25:25" x14ac:dyDescent="0.2">
      <c r="Y13947"/>
    </row>
    <row r="13948" spans="25:25" x14ac:dyDescent="0.2">
      <c r="Y13948"/>
    </row>
    <row r="13949" spans="25:25" x14ac:dyDescent="0.2">
      <c r="Y13949"/>
    </row>
    <row r="13950" spans="25:25" x14ac:dyDescent="0.2">
      <c r="Y13950"/>
    </row>
    <row r="13951" spans="25:25" x14ac:dyDescent="0.2">
      <c r="Y13951"/>
    </row>
    <row r="13952" spans="25:25" x14ac:dyDescent="0.2">
      <c r="Y13952"/>
    </row>
    <row r="13953" spans="25:25" x14ac:dyDescent="0.2">
      <c r="Y13953"/>
    </row>
    <row r="13954" spans="25:25" x14ac:dyDescent="0.2">
      <c r="Y13954"/>
    </row>
    <row r="13955" spans="25:25" x14ac:dyDescent="0.2">
      <c r="Y13955"/>
    </row>
    <row r="13956" spans="25:25" x14ac:dyDescent="0.2">
      <c r="Y13956"/>
    </row>
    <row r="13957" spans="25:25" x14ac:dyDescent="0.2">
      <c r="Y13957"/>
    </row>
    <row r="13958" spans="25:25" x14ac:dyDescent="0.2">
      <c r="Y13958"/>
    </row>
    <row r="13959" spans="25:25" x14ac:dyDescent="0.2">
      <c r="Y13959"/>
    </row>
    <row r="13960" spans="25:25" x14ac:dyDescent="0.2">
      <c r="Y13960"/>
    </row>
    <row r="13961" spans="25:25" x14ac:dyDescent="0.2">
      <c r="Y13961"/>
    </row>
    <row r="13962" spans="25:25" x14ac:dyDescent="0.2">
      <c r="Y13962"/>
    </row>
    <row r="13963" spans="25:25" x14ac:dyDescent="0.2">
      <c r="Y13963"/>
    </row>
    <row r="13964" spans="25:25" x14ac:dyDescent="0.2">
      <c r="Y13964"/>
    </row>
    <row r="13965" spans="25:25" x14ac:dyDescent="0.2">
      <c r="Y13965"/>
    </row>
    <row r="13966" spans="25:25" x14ac:dyDescent="0.2">
      <c r="Y13966"/>
    </row>
    <row r="13967" spans="25:25" x14ac:dyDescent="0.2">
      <c r="Y13967"/>
    </row>
    <row r="13968" spans="25:25" x14ac:dyDescent="0.2">
      <c r="Y13968"/>
    </row>
    <row r="13969" spans="25:25" x14ac:dyDescent="0.2">
      <c r="Y13969"/>
    </row>
    <row r="13970" spans="25:25" x14ac:dyDescent="0.2">
      <c r="Y13970"/>
    </row>
    <row r="13971" spans="25:25" x14ac:dyDescent="0.2">
      <c r="Y13971"/>
    </row>
    <row r="13972" spans="25:25" x14ac:dyDescent="0.2">
      <c r="Y13972"/>
    </row>
    <row r="13973" spans="25:25" x14ac:dyDescent="0.2">
      <c r="Y13973"/>
    </row>
    <row r="13974" spans="25:25" x14ac:dyDescent="0.2">
      <c r="Y13974"/>
    </row>
    <row r="13975" spans="25:25" x14ac:dyDescent="0.2">
      <c r="Y13975"/>
    </row>
    <row r="13976" spans="25:25" x14ac:dyDescent="0.2">
      <c r="Y13976"/>
    </row>
    <row r="13977" spans="25:25" x14ac:dyDescent="0.2">
      <c r="Y13977"/>
    </row>
    <row r="13978" spans="25:25" x14ac:dyDescent="0.2">
      <c r="Y13978"/>
    </row>
    <row r="13979" spans="25:25" x14ac:dyDescent="0.2">
      <c r="Y13979"/>
    </row>
    <row r="13980" spans="25:25" x14ac:dyDescent="0.2">
      <c r="Y13980"/>
    </row>
    <row r="13981" spans="25:25" x14ac:dyDescent="0.2">
      <c r="Y13981"/>
    </row>
    <row r="13982" spans="25:25" x14ac:dyDescent="0.2">
      <c r="Y13982"/>
    </row>
    <row r="13983" spans="25:25" x14ac:dyDescent="0.2">
      <c r="Y13983"/>
    </row>
    <row r="13984" spans="25:25" x14ac:dyDescent="0.2">
      <c r="Y13984"/>
    </row>
    <row r="13985" spans="25:25" x14ac:dyDescent="0.2">
      <c r="Y13985"/>
    </row>
    <row r="13986" spans="25:25" x14ac:dyDescent="0.2">
      <c r="Y13986"/>
    </row>
    <row r="13987" spans="25:25" x14ac:dyDescent="0.2">
      <c r="Y13987"/>
    </row>
    <row r="13988" spans="25:25" x14ac:dyDescent="0.2">
      <c r="Y13988"/>
    </row>
    <row r="13989" spans="25:25" x14ac:dyDescent="0.2">
      <c r="Y13989"/>
    </row>
    <row r="13990" spans="25:25" x14ac:dyDescent="0.2">
      <c r="Y13990"/>
    </row>
    <row r="13991" spans="25:25" x14ac:dyDescent="0.2">
      <c r="Y13991"/>
    </row>
    <row r="13992" spans="25:25" x14ac:dyDescent="0.2">
      <c r="Y13992"/>
    </row>
    <row r="13993" spans="25:25" x14ac:dyDescent="0.2">
      <c r="Y13993"/>
    </row>
    <row r="13994" spans="25:25" x14ac:dyDescent="0.2">
      <c r="Y13994"/>
    </row>
    <row r="13995" spans="25:25" x14ac:dyDescent="0.2">
      <c r="Y13995"/>
    </row>
    <row r="13996" spans="25:25" x14ac:dyDescent="0.2">
      <c r="Y13996"/>
    </row>
    <row r="13997" spans="25:25" x14ac:dyDescent="0.2">
      <c r="Y13997"/>
    </row>
    <row r="13998" spans="25:25" x14ac:dyDescent="0.2">
      <c r="Y13998"/>
    </row>
    <row r="13999" spans="25:25" x14ac:dyDescent="0.2">
      <c r="Y13999"/>
    </row>
    <row r="14000" spans="25:25" x14ac:dyDescent="0.2">
      <c r="Y14000"/>
    </row>
    <row r="14001" spans="25:25" x14ac:dyDescent="0.2">
      <c r="Y14001"/>
    </row>
    <row r="14002" spans="25:25" x14ac:dyDescent="0.2">
      <c r="Y14002"/>
    </row>
    <row r="14003" spans="25:25" x14ac:dyDescent="0.2">
      <c r="Y14003"/>
    </row>
    <row r="14004" spans="25:25" x14ac:dyDescent="0.2">
      <c r="Y14004"/>
    </row>
    <row r="14005" spans="25:25" x14ac:dyDescent="0.2">
      <c r="Y14005"/>
    </row>
    <row r="14006" spans="25:25" x14ac:dyDescent="0.2">
      <c r="Y14006"/>
    </row>
    <row r="14007" spans="25:25" x14ac:dyDescent="0.2">
      <c r="Y14007"/>
    </row>
    <row r="14008" spans="25:25" x14ac:dyDescent="0.2">
      <c r="Y14008"/>
    </row>
    <row r="14009" spans="25:25" x14ac:dyDescent="0.2">
      <c r="Y14009"/>
    </row>
    <row r="14010" spans="25:25" x14ac:dyDescent="0.2">
      <c r="Y14010"/>
    </row>
    <row r="14011" spans="25:25" x14ac:dyDescent="0.2">
      <c r="Y14011"/>
    </row>
    <row r="14012" spans="25:25" x14ac:dyDescent="0.2">
      <c r="Y14012"/>
    </row>
    <row r="14013" spans="25:25" x14ac:dyDescent="0.2">
      <c r="Y14013"/>
    </row>
    <row r="14014" spans="25:25" x14ac:dyDescent="0.2">
      <c r="Y14014"/>
    </row>
    <row r="14015" spans="25:25" x14ac:dyDescent="0.2">
      <c r="Y14015"/>
    </row>
    <row r="14016" spans="25:25" x14ac:dyDescent="0.2">
      <c r="Y14016"/>
    </row>
    <row r="14017" spans="25:25" x14ac:dyDescent="0.2">
      <c r="Y14017"/>
    </row>
    <row r="14018" spans="25:25" x14ac:dyDescent="0.2">
      <c r="Y14018"/>
    </row>
    <row r="14019" spans="25:25" x14ac:dyDescent="0.2">
      <c r="Y14019"/>
    </row>
    <row r="14020" spans="25:25" x14ac:dyDescent="0.2">
      <c r="Y14020"/>
    </row>
    <row r="14021" spans="25:25" x14ac:dyDescent="0.2">
      <c r="Y14021"/>
    </row>
    <row r="14022" spans="25:25" x14ac:dyDescent="0.2">
      <c r="Y14022"/>
    </row>
    <row r="14023" spans="25:25" x14ac:dyDescent="0.2">
      <c r="Y14023"/>
    </row>
    <row r="14024" spans="25:25" x14ac:dyDescent="0.2">
      <c r="Y14024"/>
    </row>
    <row r="14025" spans="25:25" x14ac:dyDescent="0.2">
      <c r="Y14025"/>
    </row>
    <row r="14026" spans="25:25" x14ac:dyDescent="0.2">
      <c r="Y14026"/>
    </row>
    <row r="14027" spans="25:25" x14ac:dyDescent="0.2">
      <c r="Y14027"/>
    </row>
    <row r="14028" spans="25:25" x14ac:dyDescent="0.2">
      <c r="Y14028"/>
    </row>
    <row r="14029" spans="25:25" x14ac:dyDescent="0.2">
      <c r="Y14029"/>
    </row>
    <row r="14030" spans="25:25" x14ac:dyDescent="0.2">
      <c r="Y14030"/>
    </row>
    <row r="14031" spans="25:25" x14ac:dyDescent="0.2">
      <c r="Y14031"/>
    </row>
    <row r="14032" spans="25:25" x14ac:dyDescent="0.2">
      <c r="Y14032"/>
    </row>
    <row r="14033" spans="25:25" x14ac:dyDescent="0.2">
      <c r="Y14033"/>
    </row>
    <row r="14034" spans="25:25" x14ac:dyDescent="0.2">
      <c r="Y14034"/>
    </row>
    <row r="14035" spans="25:25" x14ac:dyDescent="0.2">
      <c r="Y14035"/>
    </row>
    <row r="14036" spans="25:25" x14ac:dyDescent="0.2">
      <c r="Y14036"/>
    </row>
    <row r="14037" spans="25:25" x14ac:dyDescent="0.2">
      <c r="Y14037"/>
    </row>
    <row r="14038" spans="25:25" x14ac:dyDescent="0.2">
      <c r="Y14038"/>
    </row>
    <row r="14039" spans="25:25" x14ac:dyDescent="0.2">
      <c r="Y14039"/>
    </row>
    <row r="14040" spans="25:25" x14ac:dyDescent="0.2">
      <c r="Y14040"/>
    </row>
    <row r="14041" spans="25:25" x14ac:dyDescent="0.2">
      <c r="Y14041"/>
    </row>
    <row r="14042" spans="25:25" x14ac:dyDescent="0.2">
      <c r="Y14042"/>
    </row>
    <row r="14043" spans="25:25" x14ac:dyDescent="0.2">
      <c r="Y14043"/>
    </row>
    <row r="14044" spans="25:25" x14ac:dyDescent="0.2">
      <c r="Y14044"/>
    </row>
    <row r="14045" spans="25:25" x14ac:dyDescent="0.2">
      <c r="Y14045"/>
    </row>
    <row r="14046" spans="25:25" x14ac:dyDescent="0.2">
      <c r="Y14046"/>
    </row>
    <row r="14047" spans="25:25" x14ac:dyDescent="0.2">
      <c r="Y14047"/>
    </row>
    <row r="14048" spans="25:25" x14ac:dyDescent="0.2">
      <c r="Y14048"/>
    </row>
    <row r="14049" spans="25:25" x14ac:dyDescent="0.2">
      <c r="Y14049"/>
    </row>
    <row r="14050" spans="25:25" x14ac:dyDescent="0.2">
      <c r="Y14050"/>
    </row>
    <row r="14051" spans="25:25" x14ac:dyDescent="0.2">
      <c r="Y14051"/>
    </row>
    <row r="14052" spans="25:25" x14ac:dyDescent="0.2">
      <c r="Y14052"/>
    </row>
    <row r="14053" spans="25:25" x14ac:dyDescent="0.2">
      <c r="Y14053"/>
    </row>
    <row r="14054" spans="25:25" x14ac:dyDescent="0.2">
      <c r="Y14054"/>
    </row>
    <row r="14055" spans="25:25" x14ac:dyDescent="0.2">
      <c r="Y14055"/>
    </row>
    <row r="14056" spans="25:25" x14ac:dyDescent="0.2">
      <c r="Y14056"/>
    </row>
    <row r="14057" spans="25:25" x14ac:dyDescent="0.2">
      <c r="Y14057"/>
    </row>
    <row r="14058" spans="25:25" x14ac:dyDescent="0.2">
      <c r="Y14058"/>
    </row>
    <row r="14059" spans="25:25" x14ac:dyDescent="0.2">
      <c r="Y14059"/>
    </row>
    <row r="14060" spans="25:25" x14ac:dyDescent="0.2">
      <c r="Y14060"/>
    </row>
    <row r="14061" spans="25:25" x14ac:dyDescent="0.2">
      <c r="Y14061"/>
    </row>
    <row r="14062" spans="25:25" x14ac:dyDescent="0.2">
      <c r="Y14062"/>
    </row>
    <row r="14063" spans="25:25" x14ac:dyDescent="0.2">
      <c r="Y14063"/>
    </row>
    <row r="14064" spans="25:25" x14ac:dyDescent="0.2">
      <c r="Y14064"/>
    </row>
    <row r="14065" spans="25:25" x14ac:dyDescent="0.2">
      <c r="Y14065"/>
    </row>
    <row r="14066" spans="25:25" x14ac:dyDescent="0.2">
      <c r="Y14066"/>
    </row>
    <row r="14067" spans="25:25" x14ac:dyDescent="0.2">
      <c r="Y14067"/>
    </row>
    <row r="14068" spans="25:25" x14ac:dyDescent="0.2">
      <c r="Y14068"/>
    </row>
    <row r="14069" spans="25:25" x14ac:dyDescent="0.2">
      <c r="Y14069"/>
    </row>
    <row r="14070" spans="25:25" x14ac:dyDescent="0.2">
      <c r="Y14070"/>
    </row>
    <row r="14071" spans="25:25" x14ac:dyDescent="0.2">
      <c r="Y14071"/>
    </row>
    <row r="14072" spans="25:25" x14ac:dyDescent="0.2">
      <c r="Y14072"/>
    </row>
    <row r="14073" spans="25:25" x14ac:dyDescent="0.2">
      <c r="Y14073"/>
    </row>
    <row r="14074" spans="25:25" x14ac:dyDescent="0.2">
      <c r="Y14074"/>
    </row>
    <row r="14075" spans="25:25" x14ac:dyDescent="0.2">
      <c r="Y14075"/>
    </row>
    <row r="14076" spans="25:25" x14ac:dyDescent="0.2">
      <c r="Y14076"/>
    </row>
    <row r="14077" spans="25:25" x14ac:dyDescent="0.2">
      <c r="Y14077"/>
    </row>
    <row r="14078" spans="25:25" x14ac:dyDescent="0.2">
      <c r="Y14078"/>
    </row>
    <row r="14079" spans="25:25" x14ac:dyDescent="0.2">
      <c r="Y14079"/>
    </row>
    <row r="14080" spans="25:25" x14ac:dyDescent="0.2">
      <c r="Y14080"/>
    </row>
    <row r="14081" spans="25:25" x14ac:dyDescent="0.2">
      <c r="Y14081"/>
    </row>
    <row r="14082" spans="25:25" x14ac:dyDescent="0.2">
      <c r="Y14082"/>
    </row>
    <row r="14083" spans="25:25" x14ac:dyDescent="0.2">
      <c r="Y14083"/>
    </row>
    <row r="14084" spans="25:25" x14ac:dyDescent="0.2">
      <c r="Y14084"/>
    </row>
    <row r="14085" spans="25:25" x14ac:dyDescent="0.2">
      <c r="Y14085"/>
    </row>
    <row r="14086" spans="25:25" x14ac:dyDescent="0.2">
      <c r="Y14086"/>
    </row>
    <row r="14087" spans="25:25" x14ac:dyDescent="0.2">
      <c r="Y14087"/>
    </row>
    <row r="14088" spans="25:25" x14ac:dyDescent="0.2">
      <c r="Y14088"/>
    </row>
    <row r="14089" spans="25:25" x14ac:dyDescent="0.2">
      <c r="Y14089"/>
    </row>
    <row r="14090" spans="25:25" x14ac:dyDescent="0.2">
      <c r="Y14090"/>
    </row>
    <row r="14091" spans="25:25" x14ac:dyDescent="0.2">
      <c r="Y14091"/>
    </row>
    <row r="14092" spans="25:25" x14ac:dyDescent="0.2">
      <c r="Y14092"/>
    </row>
    <row r="14093" spans="25:25" x14ac:dyDescent="0.2">
      <c r="Y14093"/>
    </row>
    <row r="14094" spans="25:25" x14ac:dyDescent="0.2">
      <c r="Y14094"/>
    </row>
    <row r="14095" spans="25:25" x14ac:dyDescent="0.2">
      <c r="Y14095"/>
    </row>
    <row r="14096" spans="25:25" x14ac:dyDescent="0.2">
      <c r="Y14096"/>
    </row>
    <row r="14097" spans="25:25" x14ac:dyDescent="0.2">
      <c r="Y14097"/>
    </row>
    <row r="14098" spans="25:25" x14ac:dyDescent="0.2">
      <c r="Y14098"/>
    </row>
    <row r="14099" spans="25:25" x14ac:dyDescent="0.2">
      <c r="Y14099"/>
    </row>
    <row r="14100" spans="25:25" x14ac:dyDescent="0.2">
      <c r="Y14100"/>
    </row>
    <row r="14101" spans="25:25" x14ac:dyDescent="0.2">
      <c r="Y14101"/>
    </row>
    <row r="14102" spans="25:25" x14ac:dyDescent="0.2">
      <c r="Y14102"/>
    </row>
    <row r="14103" spans="25:25" x14ac:dyDescent="0.2">
      <c r="Y14103"/>
    </row>
    <row r="14104" spans="25:25" x14ac:dyDescent="0.2">
      <c r="Y14104"/>
    </row>
    <row r="14105" spans="25:25" x14ac:dyDescent="0.2">
      <c r="Y14105"/>
    </row>
    <row r="14106" spans="25:25" x14ac:dyDescent="0.2">
      <c r="Y14106"/>
    </row>
    <row r="14107" spans="25:25" x14ac:dyDescent="0.2">
      <c r="Y14107"/>
    </row>
    <row r="14108" spans="25:25" x14ac:dyDescent="0.2">
      <c r="Y14108"/>
    </row>
    <row r="14109" spans="25:25" x14ac:dyDescent="0.2">
      <c r="Y14109"/>
    </row>
    <row r="14110" spans="25:25" x14ac:dyDescent="0.2">
      <c r="Y14110"/>
    </row>
    <row r="14111" spans="25:25" x14ac:dyDescent="0.2">
      <c r="Y14111"/>
    </row>
    <row r="14112" spans="25:25" x14ac:dyDescent="0.2">
      <c r="Y14112"/>
    </row>
    <row r="14113" spans="25:25" x14ac:dyDescent="0.2">
      <c r="Y14113"/>
    </row>
    <row r="14114" spans="25:25" x14ac:dyDescent="0.2">
      <c r="Y14114"/>
    </row>
    <row r="14115" spans="25:25" x14ac:dyDescent="0.2">
      <c r="Y14115"/>
    </row>
    <row r="14116" spans="25:25" x14ac:dyDescent="0.2">
      <c r="Y14116"/>
    </row>
    <row r="14117" spans="25:25" x14ac:dyDescent="0.2">
      <c r="Y14117"/>
    </row>
    <row r="14118" spans="25:25" x14ac:dyDescent="0.2">
      <c r="Y14118"/>
    </row>
    <row r="14119" spans="25:25" x14ac:dyDescent="0.2">
      <c r="Y14119"/>
    </row>
    <row r="14120" spans="25:25" x14ac:dyDescent="0.2">
      <c r="Y14120"/>
    </row>
    <row r="14121" spans="25:25" x14ac:dyDescent="0.2">
      <c r="Y14121"/>
    </row>
    <row r="14122" spans="25:25" x14ac:dyDescent="0.2">
      <c r="Y14122"/>
    </row>
    <row r="14123" spans="25:25" x14ac:dyDescent="0.2">
      <c r="Y14123"/>
    </row>
    <row r="14124" spans="25:25" x14ac:dyDescent="0.2">
      <c r="Y14124"/>
    </row>
    <row r="14125" spans="25:25" x14ac:dyDescent="0.2">
      <c r="Y14125"/>
    </row>
    <row r="14126" spans="25:25" x14ac:dyDescent="0.2">
      <c r="Y14126"/>
    </row>
    <row r="14127" spans="25:25" x14ac:dyDescent="0.2">
      <c r="Y14127"/>
    </row>
    <row r="14128" spans="25:25" x14ac:dyDescent="0.2">
      <c r="Y14128"/>
    </row>
    <row r="14129" spans="25:25" x14ac:dyDescent="0.2">
      <c r="Y14129"/>
    </row>
    <row r="14130" spans="25:25" x14ac:dyDescent="0.2">
      <c r="Y14130"/>
    </row>
    <row r="14131" spans="25:25" x14ac:dyDescent="0.2">
      <c r="Y14131"/>
    </row>
    <row r="14132" spans="25:25" x14ac:dyDescent="0.2">
      <c r="Y14132"/>
    </row>
    <row r="14133" spans="25:25" x14ac:dyDescent="0.2">
      <c r="Y14133"/>
    </row>
    <row r="14134" spans="25:25" x14ac:dyDescent="0.2">
      <c r="Y14134"/>
    </row>
    <row r="14135" spans="25:25" x14ac:dyDescent="0.2">
      <c r="Y14135"/>
    </row>
    <row r="14136" spans="25:25" x14ac:dyDescent="0.2">
      <c r="Y14136"/>
    </row>
    <row r="14137" spans="25:25" x14ac:dyDescent="0.2">
      <c r="Y14137"/>
    </row>
    <row r="14138" spans="25:25" x14ac:dyDescent="0.2">
      <c r="Y14138"/>
    </row>
    <row r="14139" spans="25:25" x14ac:dyDescent="0.2">
      <c r="Y14139"/>
    </row>
    <row r="14140" spans="25:25" x14ac:dyDescent="0.2">
      <c r="Y14140"/>
    </row>
    <row r="14141" spans="25:25" x14ac:dyDescent="0.2">
      <c r="Y14141"/>
    </row>
    <row r="14142" spans="25:25" x14ac:dyDescent="0.2">
      <c r="Y14142"/>
    </row>
    <row r="14143" spans="25:25" x14ac:dyDescent="0.2">
      <c r="Y14143"/>
    </row>
    <row r="14144" spans="25:25" x14ac:dyDescent="0.2">
      <c r="Y14144"/>
    </row>
    <row r="14145" spans="25:25" x14ac:dyDescent="0.2">
      <c r="Y14145"/>
    </row>
    <row r="14146" spans="25:25" x14ac:dyDescent="0.2">
      <c r="Y14146"/>
    </row>
    <row r="14147" spans="25:25" x14ac:dyDescent="0.2">
      <c r="Y14147"/>
    </row>
    <row r="14148" spans="25:25" x14ac:dyDescent="0.2">
      <c r="Y14148"/>
    </row>
    <row r="14149" spans="25:25" x14ac:dyDescent="0.2">
      <c r="Y14149"/>
    </row>
    <row r="14150" spans="25:25" x14ac:dyDescent="0.2">
      <c r="Y14150"/>
    </row>
    <row r="14151" spans="25:25" x14ac:dyDescent="0.2">
      <c r="Y14151"/>
    </row>
    <row r="14152" spans="25:25" x14ac:dyDescent="0.2">
      <c r="Y14152"/>
    </row>
    <row r="14153" spans="25:25" x14ac:dyDescent="0.2">
      <c r="Y14153"/>
    </row>
    <row r="14154" spans="25:25" x14ac:dyDescent="0.2">
      <c r="Y14154"/>
    </row>
    <row r="14155" spans="25:25" x14ac:dyDescent="0.2">
      <c r="Y14155"/>
    </row>
    <row r="14156" spans="25:25" x14ac:dyDescent="0.2">
      <c r="Y14156"/>
    </row>
    <row r="14157" spans="25:25" x14ac:dyDescent="0.2">
      <c r="Y14157"/>
    </row>
    <row r="14158" spans="25:25" x14ac:dyDescent="0.2">
      <c r="Y14158"/>
    </row>
    <row r="14159" spans="25:25" x14ac:dyDescent="0.2">
      <c r="Y14159"/>
    </row>
    <row r="14160" spans="25:25" x14ac:dyDescent="0.2">
      <c r="Y14160"/>
    </row>
    <row r="14161" spans="25:25" x14ac:dyDescent="0.2">
      <c r="Y14161"/>
    </row>
    <row r="14162" spans="25:25" x14ac:dyDescent="0.2">
      <c r="Y14162"/>
    </row>
    <row r="14163" spans="25:25" x14ac:dyDescent="0.2">
      <c r="Y14163"/>
    </row>
    <row r="14164" spans="25:25" x14ac:dyDescent="0.2">
      <c r="Y14164"/>
    </row>
    <row r="14165" spans="25:25" x14ac:dyDescent="0.2">
      <c r="Y14165"/>
    </row>
    <row r="14166" spans="25:25" x14ac:dyDescent="0.2">
      <c r="Y14166"/>
    </row>
    <row r="14167" spans="25:25" x14ac:dyDescent="0.2">
      <c r="Y14167"/>
    </row>
    <row r="14168" spans="25:25" x14ac:dyDescent="0.2">
      <c r="Y14168"/>
    </row>
    <row r="14169" spans="25:25" x14ac:dyDescent="0.2">
      <c r="Y14169"/>
    </row>
    <row r="14170" spans="25:25" x14ac:dyDescent="0.2">
      <c r="Y14170"/>
    </row>
    <row r="14171" spans="25:25" x14ac:dyDescent="0.2">
      <c r="Y14171"/>
    </row>
    <row r="14172" spans="25:25" x14ac:dyDescent="0.2">
      <c r="Y14172"/>
    </row>
    <row r="14173" spans="25:25" x14ac:dyDescent="0.2">
      <c r="Y14173"/>
    </row>
    <row r="14174" spans="25:25" x14ac:dyDescent="0.2">
      <c r="Y14174"/>
    </row>
    <row r="14175" spans="25:25" x14ac:dyDescent="0.2">
      <c r="Y14175"/>
    </row>
    <row r="14176" spans="25:25" x14ac:dyDescent="0.2">
      <c r="Y14176"/>
    </row>
    <row r="14177" spans="25:25" x14ac:dyDescent="0.2">
      <c r="Y14177"/>
    </row>
    <row r="14178" spans="25:25" x14ac:dyDescent="0.2">
      <c r="Y14178"/>
    </row>
    <row r="14179" spans="25:25" x14ac:dyDescent="0.2">
      <c r="Y14179"/>
    </row>
    <row r="14180" spans="25:25" x14ac:dyDescent="0.2">
      <c r="Y14180"/>
    </row>
    <row r="14181" spans="25:25" x14ac:dyDescent="0.2">
      <c r="Y14181"/>
    </row>
    <row r="14182" spans="25:25" x14ac:dyDescent="0.2">
      <c r="Y14182"/>
    </row>
    <row r="14183" spans="25:25" x14ac:dyDescent="0.2">
      <c r="Y14183"/>
    </row>
    <row r="14184" spans="25:25" x14ac:dyDescent="0.2">
      <c r="Y14184"/>
    </row>
    <row r="14185" spans="25:25" x14ac:dyDescent="0.2">
      <c r="Y14185"/>
    </row>
    <row r="14186" spans="25:25" x14ac:dyDescent="0.2">
      <c r="Y14186"/>
    </row>
    <row r="14187" spans="25:25" x14ac:dyDescent="0.2">
      <c r="Y14187"/>
    </row>
    <row r="14188" spans="25:25" x14ac:dyDescent="0.2">
      <c r="Y14188"/>
    </row>
    <row r="14189" spans="25:25" x14ac:dyDescent="0.2">
      <c r="Y14189"/>
    </row>
    <row r="14190" spans="25:25" x14ac:dyDescent="0.2">
      <c r="Y14190"/>
    </row>
    <row r="14191" spans="25:25" x14ac:dyDescent="0.2">
      <c r="Y14191"/>
    </row>
    <row r="14192" spans="25:25" x14ac:dyDescent="0.2">
      <c r="Y14192"/>
    </row>
    <row r="14193" spans="25:25" x14ac:dyDescent="0.2">
      <c r="Y14193"/>
    </row>
    <row r="14194" spans="25:25" x14ac:dyDescent="0.2">
      <c r="Y14194"/>
    </row>
    <row r="14195" spans="25:25" x14ac:dyDescent="0.2">
      <c r="Y14195"/>
    </row>
    <row r="14196" spans="25:25" x14ac:dyDescent="0.2">
      <c r="Y14196"/>
    </row>
    <row r="14197" spans="25:25" x14ac:dyDescent="0.2">
      <c r="Y14197"/>
    </row>
    <row r="14198" spans="25:25" x14ac:dyDescent="0.2">
      <c r="Y14198"/>
    </row>
    <row r="14199" spans="25:25" x14ac:dyDescent="0.2">
      <c r="Y14199"/>
    </row>
    <row r="14200" spans="25:25" x14ac:dyDescent="0.2">
      <c r="Y14200"/>
    </row>
    <row r="14201" spans="25:25" x14ac:dyDescent="0.2">
      <c r="Y14201"/>
    </row>
    <row r="14202" spans="25:25" x14ac:dyDescent="0.2">
      <c r="Y14202"/>
    </row>
    <row r="14203" spans="25:25" x14ac:dyDescent="0.2">
      <c r="Y14203"/>
    </row>
    <row r="14204" spans="25:25" x14ac:dyDescent="0.2">
      <c r="Y14204"/>
    </row>
    <row r="14205" spans="25:25" x14ac:dyDescent="0.2">
      <c r="Y14205"/>
    </row>
    <row r="14206" spans="25:25" x14ac:dyDescent="0.2">
      <c r="Y14206"/>
    </row>
    <row r="14207" spans="25:25" x14ac:dyDescent="0.2">
      <c r="Y14207"/>
    </row>
    <row r="14208" spans="25:25" x14ac:dyDescent="0.2">
      <c r="Y14208"/>
    </row>
    <row r="14209" spans="25:25" x14ac:dyDescent="0.2">
      <c r="Y14209"/>
    </row>
    <row r="14210" spans="25:25" x14ac:dyDescent="0.2">
      <c r="Y14210"/>
    </row>
    <row r="14211" spans="25:25" x14ac:dyDescent="0.2">
      <c r="Y14211"/>
    </row>
    <row r="14212" spans="25:25" x14ac:dyDescent="0.2">
      <c r="Y14212"/>
    </row>
    <row r="14213" spans="25:25" x14ac:dyDescent="0.2">
      <c r="Y14213"/>
    </row>
    <row r="14214" spans="25:25" x14ac:dyDescent="0.2">
      <c r="Y14214"/>
    </row>
    <row r="14215" spans="25:25" x14ac:dyDescent="0.2">
      <c r="Y14215"/>
    </row>
    <row r="14216" spans="25:25" x14ac:dyDescent="0.2">
      <c r="Y14216"/>
    </row>
    <row r="14217" spans="25:25" x14ac:dyDescent="0.2">
      <c r="Y14217"/>
    </row>
    <row r="14218" spans="25:25" x14ac:dyDescent="0.2">
      <c r="Y14218"/>
    </row>
    <row r="14219" spans="25:25" x14ac:dyDescent="0.2">
      <c r="Y14219"/>
    </row>
    <row r="14220" spans="25:25" x14ac:dyDescent="0.2">
      <c r="Y14220"/>
    </row>
    <row r="14221" spans="25:25" x14ac:dyDescent="0.2">
      <c r="Y14221"/>
    </row>
    <row r="14222" spans="25:25" x14ac:dyDescent="0.2">
      <c r="Y14222"/>
    </row>
    <row r="14223" spans="25:25" x14ac:dyDescent="0.2">
      <c r="Y14223"/>
    </row>
    <row r="14224" spans="25:25" x14ac:dyDescent="0.2">
      <c r="Y14224"/>
    </row>
    <row r="14225" spans="25:33" x14ac:dyDescent="0.2">
      <c r="Y14225"/>
    </row>
    <row r="14226" spans="25:33" x14ac:dyDescent="0.2">
      <c r="Y14226"/>
    </row>
    <row r="14227" spans="25:33" x14ac:dyDescent="0.2">
      <c r="Y14227"/>
    </row>
    <row r="14228" spans="25:33" x14ac:dyDescent="0.2">
      <c r="Y14228"/>
    </row>
    <row r="14229" spans="25:33" x14ac:dyDescent="0.2">
      <c r="Y14229"/>
    </row>
    <row r="14230" spans="25:33" x14ac:dyDescent="0.2">
      <c r="Y14230"/>
    </row>
    <row r="14231" spans="25:33" x14ac:dyDescent="0.2">
      <c r="Y14231"/>
    </row>
    <row r="14232" spans="25:33" x14ac:dyDescent="0.2">
      <c r="Y14232"/>
    </row>
    <row r="14233" spans="25:33" x14ac:dyDescent="0.2">
      <c r="Y14233"/>
    </row>
    <row r="14234" spans="25:33" x14ac:dyDescent="0.2">
      <c r="Y14234"/>
    </row>
    <row r="14235" spans="25:33" x14ac:dyDescent="0.2">
      <c r="Y14235"/>
    </row>
    <row r="14236" spans="25:33" x14ac:dyDescent="0.2">
      <c r="Y14236"/>
    </row>
    <row r="14237" spans="25:33" x14ac:dyDescent="0.2">
      <c r="Y14237"/>
      <c r="AG14237" s="21"/>
    </row>
    <row r="14238" spans="25:33" x14ac:dyDescent="0.2">
      <c r="Y14238"/>
      <c r="AG14238" s="21"/>
    </row>
    <row r="14239" spans="25:33" x14ac:dyDescent="0.2">
      <c r="Y14239"/>
      <c r="AG14239" s="21"/>
    </row>
    <row r="14240" spans="25:33" x14ac:dyDescent="0.2">
      <c r="Y14240"/>
      <c r="AG14240" s="21"/>
    </row>
    <row r="14241" spans="25:33" x14ac:dyDescent="0.2">
      <c r="Y14241"/>
      <c r="AG14241" s="21"/>
    </row>
    <row r="14242" spans="25:33" x14ac:dyDescent="0.2">
      <c r="Y14242"/>
      <c r="AG14242" s="21"/>
    </row>
    <row r="14243" spans="25:33" x14ac:dyDescent="0.2">
      <c r="Y14243"/>
      <c r="AG14243" s="21"/>
    </row>
    <row r="14244" spans="25:33" x14ac:dyDescent="0.2">
      <c r="Y14244"/>
      <c r="AG14244" s="21"/>
    </row>
    <row r="14245" spans="25:33" x14ac:dyDescent="0.2">
      <c r="Y14245"/>
      <c r="AG14245" s="21"/>
    </row>
    <row r="14246" spans="25:33" x14ac:dyDescent="0.2">
      <c r="Y14246"/>
      <c r="AG14246" s="21"/>
    </row>
    <row r="14247" spans="25:33" x14ac:dyDescent="0.2">
      <c r="Y14247"/>
      <c r="AG14247" s="21"/>
    </row>
    <row r="14248" spans="25:33" x14ac:dyDescent="0.2">
      <c r="Y14248"/>
      <c r="AG14248" s="21"/>
    </row>
    <row r="14249" spans="25:33" x14ac:dyDescent="0.2">
      <c r="Y14249"/>
      <c r="AG14249" s="21"/>
    </row>
    <row r="14250" spans="25:33" x14ac:dyDescent="0.2">
      <c r="Y14250"/>
      <c r="AG14250" s="21"/>
    </row>
    <row r="14251" spans="25:33" x14ac:dyDescent="0.2">
      <c r="Y14251"/>
      <c r="AG14251" s="21"/>
    </row>
    <row r="14252" spans="25:33" x14ac:dyDescent="0.2">
      <c r="Y14252"/>
      <c r="AG14252" s="21"/>
    </row>
    <row r="14253" spans="25:33" x14ac:dyDescent="0.2">
      <c r="Y14253"/>
      <c r="AG14253" s="21"/>
    </row>
    <row r="14254" spans="25:33" x14ac:dyDescent="0.2">
      <c r="Y14254"/>
      <c r="AG14254" s="21"/>
    </row>
    <row r="14255" spans="25:33" x14ac:dyDescent="0.2">
      <c r="Y14255"/>
      <c r="AG14255" s="21"/>
    </row>
    <row r="14256" spans="25:33" x14ac:dyDescent="0.2">
      <c r="Y14256"/>
      <c r="AG14256" s="21"/>
    </row>
    <row r="14257" spans="25:33" x14ac:dyDescent="0.2">
      <c r="Y14257"/>
      <c r="AG14257" s="21"/>
    </row>
    <row r="14258" spans="25:33" x14ac:dyDescent="0.2">
      <c r="Y14258"/>
      <c r="AG14258" s="21"/>
    </row>
    <row r="14259" spans="25:33" x14ac:dyDescent="0.2">
      <c r="Y14259"/>
      <c r="AG14259" s="21"/>
    </row>
    <row r="14260" spans="25:33" x14ac:dyDescent="0.2">
      <c r="Y14260"/>
      <c r="AG14260" s="21"/>
    </row>
    <row r="14261" spans="25:33" x14ac:dyDescent="0.2">
      <c r="Y14261"/>
      <c r="AG14261" s="21"/>
    </row>
    <row r="14262" spans="25:33" x14ac:dyDescent="0.2">
      <c r="Y14262"/>
      <c r="AG14262" s="21"/>
    </row>
    <row r="14263" spans="25:33" x14ac:dyDescent="0.2">
      <c r="Y14263"/>
      <c r="AG14263" s="21"/>
    </row>
    <row r="14264" spans="25:33" x14ac:dyDescent="0.2">
      <c r="Y14264"/>
      <c r="AG14264" s="21"/>
    </row>
    <row r="14265" spans="25:33" x14ac:dyDescent="0.2">
      <c r="Y14265"/>
      <c r="AG14265" s="21"/>
    </row>
    <row r="14266" spans="25:33" x14ac:dyDescent="0.2">
      <c r="Y14266"/>
      <c r="AG14266" s="21"/>
    </row>
    <row r="14267" spans="25:33" x14ac:dyDescent="0.2">
      <c r="Y14267"/>
      <c r="AG14267" s="21"/>
    </row>
    <row r="14268" spans="25:33" x14ac:dyDescent="0.2">
      <c r="Y14268"/>
      <c r="AG14268" s="21"/>
    </row>
    <row r="14269" spans="25:33" x14ac:dyDescent="0.2">
      <c r="Y14269"/>
      <c r="AG14269" s="21"/>
    </row>
    <row r="14270" spans="25:33" x14ac:dyDescent="0.2">
      <c r="Y14270"/>
      <c r="AG14270" s="21"/>
    </row>
    <row r="14271" spans="25:33" x14ac:dyDescent="0.2">
      <c r="Y14271"/>
      <c r="AG14271" s="21"/>
    </row>
    <row r="14272" spans="25:33" x14ac:dyDescent="0.2">
      <c r="Y14272"/>
      <c r="AG14272" s="21"/>
    </row>
    <row r="14273" spans="25:33" x14ac:dyDescent="0.2">
      <c r="Y14273"/>
      <c r="AG14273" s="21"/>
    </row>
    <row r="14274" spans="25:33" x14ac:dyDescent="0.2">
      <c r="Y14274"/>
      <c r="AG14274" s="21"/>
    </row>
    <row r="14275" spans="25:33" x14ac:dyDescent="0.2">
      <c r="Y14275"/>
      <c r="AG14275" s="21"/>
    </row>
    <row r="14276" spans="25:33" x14ac:dyDescent="0.2">
      <c r="Y14276"/>
      <c r="AG14276" s="21"/>
    </row>
    <row r="14277" spans="25:33" x14ac:dyDescent="0.2">
      <c r="Y14277"/>
      <c r="AG14277" s="21"/>
    </row>
    <row r="14278" spans="25:33" x14ac:dyDescent="0.2">
      <c r="Y14278"/>
      <c r="AG14278" s="21"/>
    </row>
    <row r="14279" spans="25:33" x14ac:dyDescent="0.2">
      <c r="Y14279"/>
      <c r="AG14279" s="21"/>
    </row>
    <row r="14280" spans="25:33" x14ac:dyDescent="0.2">
      <c r="Y14280"/>
      <c r="AG14280" s="21"/>
    </row>
    <row r="14281" spans="25:33" x14ac:dyDescent="0.2">
      <c r="Y14281"/>
      <c r="AG14281" s="21"/>
    </row>
    <row r="14282" spans="25:33" x14ac:dyDescent="0.2">
      <c r="Y14282"/>
      <c r="AG14282" s="21"/>
    </row>
    <row r="14283" spans="25:33" x14ac:dyDescent="0.2">
      <c r="Y14283"/>
      <c r="AG14283" s="21"/>
    </row>
    <row r="14284" spans="25:33" x14ac:dyDescent="0.2">
      <c r="Y14284"/>
      <c r="AG14284" s="21"/>
    </row>
    <row r="14285" spans="25:33" x14ac:dyDescent="0.2">
      <c r="Y14285"/>
      <c r="AG14285" s="21"/>
    </row>
    <row r="14286" spans="25:33" x14ac:dyDescent="0.2">
      <c r="Y14286"/>
      <c r="AG14286" s="21"/>
    </row>
    <row r="14287" spans="25:33" x14ac:dyDescent="0.2">
      <c r="Y14287"/>
      <c r="AG14287" s="21"/>
    </row>
    <row r="14288" spans="25:33" x14ac:dyDescent="0.2">
      <c r="Y14288"/>
      <c r="AG14288" s="21"/>
    </row>
    <row r="14289" spans="25:33" x14ac:dyDescent="0.2">
      <c r="Y14289"/>
      <c r="AG14289" s="21"/>
    </row>
    <row r="14290" spans="25:33" x14ac:dyDescent="0.2">
      <c r="Y14290"/>
      <c r="AG14290" s="21"/>
    </row>
    <row r="14291" spans="25:33" x14ac:dyDescent="0.2">
      <c r="Y14291"/>
      <c r="AG14291" s="21"/>
    </row>
    <row r="14292" spans="25:33" x14ac:dyDescent="0.2">
      <c r="Y14292"/>
      <c r="AG14292" s="21"/>
    </row>
    <row r="14293" spans="25:33" x14ac:dyDescent="0.2">
      <c r="Y14293"/>
      <c r="AG14293" s="21"/>
    </row>
    <row r="14294" spans="25:33" x14ac:dyDescent="0.2">
      <c r="Y14294"/>
      <c r="AG14294" s="21"/>
    </row>
    <row r="14295" spans="25:33" x14ac:dyDescent="0.2">
      <c r="Y14295"/>
      <c r="AG14295" s="21"/>
    </row>
    <row r="14296" spans="25:33" x14ac:dyDescent="0.2">
      <c r="Y14296"/>
      <c r="AG14296" s="21"/>
    </row>
    <row r="14297" spans="25:33" x14ac:dyDescent="0.2">
      <c r="Y14297"/>
      <c r="AG14297" s="21"/>
    </row>
    <row r="14298" spans="25:33" x14ac:dyDescent="0.2">
      <c r="Y14298"/>
      <c r="AG14298" s="21"/>
    </row>
    <row r="14299" spans="25:33" x14ac:dyDescent="0.2">
      <c r="Y14299"/>
      <c r="AG14299" s="21"/>
    </row>
    <row r="14300" spans="25:33" x14ac:dyDescent="0.2">
      <c r="Y14300"/>
      <c r="AG14300" s="21"/>
    </row>
    <row r="14301" spans="25:33" x14ac:dyDescent="0.2">
      <c r="Y14301"/>
      <c r="AG14301" s="21"/>
    </row>
    <row r="14302" spans="25:33" x14ac:dyDescent="0.2">
      <c r="Y14302"/>
      <c r="AG14302" s="21"/>
    </row>
    <row r="14303" spans="25:33" x14ac:dyDescent="0.2">
      <c r="Y14303"/>
      <c r="AG14303" s="21"/>
    </row>
    <row r="14304" spans="25:33" x14ac:dyDescent="0.2">
      <c r="Y14304"/>
      <c r="AG14304" s="21"/>
    </row>
    <row r="14305" spans="25:33" x14ac:dyDescent="0.2">
      <c r="Y14305"/>
      <c r="AG14305" s="21"/>
    </row>
    <row r="14306" spans="25:33" x14ac:dyDescent="0.2">
      <c r="Y14306"/>
      <c r="AG14306" s="21"/>
    </row>
    <row r="14307" spans="25:33" x14ac:dyDescent="0.2">
      <c r="Y14307"/>
      <c r="AG14307" s="21"/>
    </row>
    <row r="14308" spans="25:33" x14ac:dyDescent="0.2">
      <c r="Y14308"/>
      <c r="AG14308" s="21"/>
    </row>
    <row r="14309" spans="25:33" x14ac:dyDescent="0.2">
      <c r="Y14309"/>
      <c r="AG14309" s="21"/>
    </row>
    <row r="14310" spans="25:33" x14ac:dyDescent="0.2">
      <c r="Y14310"/>
      <c r="AG14310" s="21"/>
    </row>
    <row r="14311" spans="25:33" x14ac:dyDescent="0.2">
      <c r="Y14311"/>
      <c r="AG14311" s="21"/>
    </row>
    <row r="14312" spans="25:33" x14ac:dyDescent="0.2">
      <c r="Y14312"/>
      <c r="AG14312" s="21"/>
    </row>
    <row r="14313" spans="25:33" x14ac:dyDescent="0.2">
      <c r="Y14313"/>
      <c r="AG14313" s="21"/>
    </row>
    <row r="14314" spans="25:33" x14ac:dyDescent="0.2">
      <c r="Y14314"/>
      <c r="AG14314" s="21"/>
    </row>
    <row r="14315" spans="25:33" x14ac:dyDescent="0.2">
      <c r="Y14315"/>
      <c r="AG14315" s="21"/>
    </row>
    <row r="14316" spans="25:33" x14ac:dyDescent="0.2">
      <c r="Y14316"/>
      <c r="AG14316" s="21"/>
    </row>
    <row r="14317" spans="25:33" x14ac:dyDescent="0.2">
      <c r="Y14317"/>
      <c r="AG14317" s="21"/>
    </row>
    <row r="14318" spans="25:33" x14ac:dyDescent="0.2">
      <c r="Y14318"/>
      <c r="AG14318" s="21"/>
    </row>
    <row r="14319" spans="25:33" x14ac:dyDescent="0.2">
      <c r="Y14319"/>
      <c r="AG14319" s="21"/>
    </row>
    <row r="14320" spans="25:33" x14ac:dyDescent="0.2">
      <c r="Y14320"/>
      <c r="AG14320" s="21"/>
    </row>
    <row r="14321" spans="25:33" x14ac:dyDescent="0.2">
      <c r="Y14321"/>
      <c r="AG14321" s="21"/>
    </row>
    <row r="14322" spans="25:33" x14ac:dyDescent="0.2">
      <c r="Y14322"/>
      <c r="AG14322" s="21"/>
    </row>
    <row r="14323" spans="25:33" x14ac:dyDescent="0.2">
      <c r="Y14323"/>
      <c r="AG14323" s="21"/>
    </row>
    <row r="14324" spans="25:33" x14ac:dyDescent="0.2">
      <c r="Y14324"/>
      <c r="AG14324" s="21"/>
    </row>
    <row r="14325" spans="25:33" x14ac:dyDescent="0.2">
      <c r="Y14325"/>
      <c r="AG14325" s="21"/>
    </row>
    <row r="14326" spans="25:33" x14ac:dyDescent="0.2">
      <c r="Y14326"/>
      <c r="AG14326" s="21"/>
    </row>
    <row r="14327" spans="25:33" x14ac:dyDescent="0.2">
      <c r="Y14327"/>
      <c r="AG14327" s="21"/>
    </row>
    <row r="14328" spans="25:33" x14ac:dyDescent="0.2">
      <c r="Y14328"/>
      <c r="AG14328" s="21"/>
    </row>
    <row r="14329" spans="25:33" x14ac:dyDescent="0.2">
      <c r="Y14329"/>
      <c r="AG14329" s="21"/>
    </row>
    <row r="14330" spans="25:33" x14ac:dyDescent="0.2">
      <c r="Y14330"/>
      <c r="AG14330" s="21"/>
    </row>
    <row r="14331" spans="25:33" x14ac:dyDescent="0.2">
      <c r="Y14331"/>
      <c r="AG14331" s="21"/>
    </row>
    <row r="14332" spans="25:33" x14ac:dyDescent="0.2">
      <c r="Y14332"/>
      <c r="AG14332" s="21"/>
    </row>
    <row r="14333" spans="25:33" x14ac:dyDescent="0.2">
      <c r="Y14333"/>
      <c r="AG14333" s="21"/>
    </row>
    <row r="14334" spans="25:33" x14ac:dyDescent="0.2">
      <c r="Y14334"/>
      <c r="AG14334" s="21"/>
    </row>
    <row r="14335" spans="25:33" x14ac:dyDescent="0.2">
      <c r="Y14335"/>
      <c r="AG14335" s="21"/>
    </row>
    <row r="14336" spans="25:33" x14ac:dyDescent="0.2">
      <c r="Y14336"/>
      <c r="AG14336" s="21"/>
    </row>
    <row r="14337" spans="25:33" x14ac:dyDescent="0.2">
      <c r="Y14337"/>
      <c r="AG14337" s="21"/>
    </row>
    <row r="14338" spans="25:33" x14ac:dyDescent="0.2">
      <c r="Y14338"/>
      <c r="AG14338" s="21"/>
    </row>
    <row r="14339" spans="25:33" x14ac:dyDescent="0.2">
      <c r="Y14339"/>
      <c r="AG14339" s="21"/>
    </row>
    <row r="14340" spans="25:33" x14ac:dyDescent="0.2">
      <c r="Y14340"/>
      <c r="AG14340" s="21"/>
    </row>
    <row r="14341" spans="25:33" x14ac:dyDescent="0.2">
      <c r="Y14341"/>
      <c r="AG14341" s="21"/>
    </row>
    <row r="14342" spans="25:33" x14ac:dyDescent="0.2">
      <c r="Y14342"/>
      <c r="AG14342" s="21"/>
    </row>
    <row r="14343" spans="25:33" x14ac:dyDescent="0.2">
      <c r="Y14343"/>
      <c r="AG14343" s="21"/>
    </row>
    <row r="14344" spans="25:33" x14ac:dyDescent="0.2">
      <c r="Y14344"/>
      <c r="AG14344" s="21"/>
    </row>
    <row r="14345" spans="25:33" x14ac:dyDescent="0.2">
      <c r="Y14345"/>
      <c r="AG14345" s="21"/>
    </row>
    <row r="14346" spans="25:33" x14ac:dyDescent="0.2">
      <c r="Y14346"/>
      <c r="AG14346" s="21"/>
    </row>
    <row r="14347" spans="25:33" x14ac:dyDescent="0.2">
      <c r="Y14347"/>
      <c r="AG14347" s="21"/>
    </row>
    <row r="14348" spans="25:33" x14ac:dyDescent="0.2">
      <c r="Y14348"/>
      <c r="AG14348" s="21"/>
    </row>
    <row r="14349" spans="25:33" x14ac:dyDescent="0.2">
      <c r="Y14349"/>
      <c r="AG14349" s="21"/>
    </row>
    <row r="14350" spans="25:33" x14ac:dyDescent="0.2">
      <c r="Y14350"/>
      <c r="AG14350" s="21"/>
    </row>
    <row r="14351" spans="25:33" x14ac:dyDescent="0.2">
      <c r="Y14351"/>
      <c r="AG14351" s="21"/>
    </row>
    <row r="14352" spans="25:33" x14ac:dyDescent="0.2">
      <c r="Y14352"/>
      <c r="AG14352" s="21"/>
    </row>
    <row r="14353" spans="25:33" x14ac:dyDescent="0.2">
      <c r="Y14353"/>
      <c r="AG14353" s="21"/>
    </row>
    <row r="14354" spans="25:33" x14ac:dyDescent="0.2">
      <c r="Y14354"/>
      <c r="AG14354" s="21"/>
    </row>
    <row r="14355" spans="25:33" x14ac:dyDescent="0.2">
      <c r="Y14355"/>
      <c r="AG14355" s="21"/>
    </row>
    <row r="14356" spans="25:33" x14ac:dyDescent="0.2">
      <c r="Y14356"/>
      <c r="AG14356" s="21"/>
    </row>
    <row r="14357" spans="25:33" x14ac:dyDescent="0.2">
      <c r="Y14357"/>
      <c r="AG14357" s="21"/>
    </row>
    <row r="14358" spans="25:33" x14ac:dyDescent="0.2">
      <c r="Y14358"/>
      <c r="AG14358" s="21"/>
    </row>
    <row r="14359" spans="25:33" x14ac:dyDescent="0.2">
      <c r="Y14359"/>
      <c r="AG14359" s="21"/>
    </row>
    <row r="14360" spans="25:33" x14ac:dyDescent="0.2">
      <c r="Y14360"/>
      <c r="AG14360" s="21"/>
    </row>
    <row r="14361" spans="25:33" x14ac:dyDescent="0.2">
      <c r="Y14361"/>
      <c r="AG14361" s="21"/>
    </row>
    <row r="14362" spans="25:33" x14ac:dyDescent="0.2">
      <c r="Y14362"/>
      <c r="AG14362" s="21"/>
    </row>
    <row r="14363" spans="25:33" x14ac:dyDescent="0.2">
      <c r="Y14363"/>
      <c r="AG14363" s="21"/>
    </row>
    <row r="14364" spans="25:33" x14ac:dyDescent="0.2">
      <c r="Y14364"/>
      <c r="AG14364" s="21"/>
    </row>
    <row r="14365" spans="25:33" x14ac:dyDescent="0.2">
      <c r="Y14365"/>
      <c r="AG14365" s="21"/>
    </row>
    <row r="14366" spans="25:33" x14ac:dyDescent="0.2">
      <c r="Y14366"/>
      <c r="AG14366" s="21"/>
    </row>
    <row r="14367" spans="25:33" x14ac:dyDescent="0.2">
      <c r="Y14367"/>
      <c r="AG14367" s="21"/>
    </row>
    <row r="14368" spans="25:33" x14ac:dyDescent="0.2">
      <c r="Y14368"/>
      <c r="AG14368" s="21"/>
    </row>
    <row r="14369" spans="25:33" x14ac:dyDescent="0.2">
      <c r="Y14369"/>
      <c r="AG14369" s="21"/>
    </row>
    <row r="14370" spans="25:33" x14ac:dyDescent="0.2">
      <c r="Y14370"/>
      <c r="AG14370" s="21"/>
    </row>
    <row r="14371" spans="25:33" x14ac:dyDescent="0.2">
      <c r="Y14371"/>
      <c r="AG14371" s="21"/>
    </row>
    <row r="14372" spans="25:33" x14ac:dyDescent="0.2">
      <c r="Y14372"/>
      <c r="AG14372" s="21"/>
    </row>
    <row r="14373" spans="25:33" x14ac:dyDescent="0.2">
      <c r="Y14373"/>
      <c r="AG14373" s="21"/>
    </row>
    <row r="14374" spans="25:33" x14ac:dyDescent="0.2">
      <c r="Y14374"/>
      <c r="AG14374" s="21"/>
    </row>
    <row r="14375" spans="25:33" x14ac:dyDescent="0.2">
      <c r="Y14375"/>
      <c r="AG14375" s="21"/>
    </row>
    <row r="14376" spans="25:33" x14ac:dyDescent="0.2">
      <c r="Y14376"/>
      <c r="AG14376" s="21"/>
    </row>
    <row r="14377" spans="25:33" x14ac:dyDescent="0.2">
      <c r="Y14377"/>
      <c r="AG14377" s="21"/>
    </row>
    <row r="14378" spans="25:33" x14ac:dyDescent="0.2">
      <c r="Y14378"/>
      <c r="AG14378" s="21"/>
    </row>
    <row r="14379" spans="25:33" x14ac:dyDescent="0.2">
      <c r="Y14379"/>
      <c r="AG14379" s="21"/>
    </row>
    <row r="14380" spans="25:33" x14ac:dyDescent="0.2">
      <c r="Y14380"/>
      <c r="AG14380" s="21"/>
    </row>
    <row r="14381" spans="25:33" x14ac:dyDescent="0.2">
      <c r="Y14381"/>
      <c r="AG14381" s="21"/>
    </row>
    <row r="14382" spans="25:33" x14ac:dyDescent="0.2">
      <c r="Y14382"/>
      <c r="AG14382" s="21"/>
    </row>
    <row r="14383" spans="25:33" x14ac:dyDescent="0.2">
      <c r="Y14383"/>
      <c r="AG14383" s="21"/>
    </row>
    <row r="14384" spans="25:33" x14ac:dyDescent="0.2">
      <c r="Y14384"/>
      <c r="AG14384" s="21"/>
    </row>
    <row r="14385" spans="25:33" x14ac:dyDescent="0.2">
      <c r="Y14385"/>
      <c r="AG14385" s="21"/>
    </row>
    <row r="14386" spans="25:33" x14ac:dyDescent="0.2">
      <c r="Y14386"/>
      <c r="AG14386" s="21"/>
    </row>
    <row r="14387" spans="25:33" x14ac:dyDescent="0.2">
      <c r="Y14387"/>
      <c r="AG14387" s="21"/>
    </row>
    <row r="14388" spans="25:33" x14ac:dyDescent="0.2">
      <c r="Y14388"/>
      <c r="AG14388" s="21"/>
    </row>
    <row r="14389" spans="25:33" x14ac:dyDescent="0.2">
      <c r="Y14389"/>
      <c r="AG14389" s="21"/>
    </row>
    <row r="14390" spans="25:33" x14ac:dyDescent="0.2">
      <c r="Y14390"/>
      <c r="AG14390" s="21"/>
    </row>
    <row r="14391" spans="25:33" x14ac:dyDescent="0.2">
      <c r="Y14391"/>
      <c r="AG14391" s="21"/>
    </row>
    <row r="14392" spans="25:33" x14ac:dyDescent="0.2">
      <c r="Y14392"/>
      <c r="AG14392" s="21"/>
    </row>
    <row r="14393" spans="25:33" x14ac:dyDescent="0.2">
      <c r="Y14393"/>
      <c r="AG14393" s="21"/>
    </row>
    <row r="14394" spans="25:33" x14ac:dyDescent="0.2">
      <c r="Y14394"/>
      <c r="AG14394" s="21"/>
    </row>
    <row r="14395" spans="25:33" x14ac:dyDescent="0.2">
      <c r="Y14395"/>
      <c r="AG14395" s="21"/>
    </row>
    <row r="14396" spans="25:33" x14ac:dyDescent="0.2">
      <c r="Y14396"/>
      <c r="AG14396" s="21"/>
    </row>
    <row r="14397" spans="25:33" x14ac:dyDescent="0.2">
      <c r="Y14397"/>
      <c r="AG14397" s="21"/>
    </row>
    <row r="14398" spans="25:33" x14ac:dyDescent="0.2">
      <c r="Y14398"/>
      <c r="AG14398" s="21"/>
    </row>
    <row r="14399" spans="25:33" x14ac:dyDescent="0.2">
      <c r="Y14399"/>
      <c r="AG14399" s="21"/>
    </row>
    <row r="14400" spans="25:33" x14ac:dyDescent="0.2">
      <c r="Y14400"/>
      <c r="AG14400" s="21"/>
    </row>
    <row r="14401" spans="25:33" x14ac:dyDescent="0.2">
      <c r="Y14401"/>
      <c r="AG14401" s="21"/>
    </row>
    <row r="14402" spans="25:33" x14ac:dyDescent="0.2">
      <c r="Y14402"/>
      <c r="AG14402" s="21"/>
    </row>
    <row r="14403" spans="25:33" x14ac:dyDescent="0.2">
      <c r="Y14403"/>
      <c r="AG14403" s="21"/>
    </row>
    <row r="14404" spans="25:33" x14ac:dyDescent="0.2">
      <c r="Y14404"/>
      <c r="AG14404" s="21"/>
    </row>
    <row r="14405" spans="25:33" x14ac:dyDescent="0.2">
      <c r="Y14405"/>
      <c r="AG14405" s="21"/>
    </row>
    <row r="14406" spans="25:33" x14ac:dyDescent="0.2">
      <c r="Y14406"/>
      <c r="AG14406" s="21"/>
    </row>
    <row r="14407" spans="25:33" x14ac:dyDescent="0.2">
      <c r="Y14407"/>
      <c r="AG14407" s="21"/>
    </row>
    <row r="14408" spans="25:33" x14ac:dyDescent="0.2">
      <c r="Y14408"/>
      <c r="AG14408" s="21"/>
    </row>
    <row r="14409" spans="25:33" x14ac:dyDescent="0.2">
      <c r="Y14409"/>
      <c r="AG14409" s="21"/>
    </row>
    <row r="14410" spans="25:33" x14ac:dyDescent="0.2">
      <c r="Y14410"/>
      <c r="AG14410" s="21"/>
    </row>
    <row r="14411" spans="25:33" x14ac:dyDescent="0.2">
      <c r="Y14411"/>
      <c r="AG14411" s="21"/>
    </row>
    <row r="14412" spans="25:33" x14ac:dyDescent="0.2">
      <c r="Y14412"/>
      <c r="AG14412" s="21"/>
    </row>
    <row r="14413" spans="25:33" x14ac:dyDescent="0.2">
      <c r="Y14413"/>
      <c r="AG14413" s="21"/>
    </row>
    <row r="14414" spans="25:33" x14ac:dyDescent="0.2">
      <c r="Y14414"/>
      <c r="AG14414" s="21"/>
    </row>
    <row r="14415" spans="25:33" x14ac:dyDescent="0.2">
      <c r="Y14415"/>
      <c r="AG14415" s="21"/>
    </row>
    <row r="14416" spans="25:33" x14ac:dyDescent="0.2">
      <c r="Y14416"/>
      <c r="AG14416" s="21"/>
    </row>
    <row r="14417" spans="25:33" x14ac:dyDescent="0.2">
      <c r="Y14417"/>
      <c r="AG14417" s="21"/>
    </row>
    <row r="14418" spans="25:33" x14ac:dyDescent="0.2">
      <c r="Y14418"/>
      <c r="AG14418" s="21"/>
    </row>
    <row r="14419" spans="25:33" x14ac:dyDescent="0.2">
      <c r="Y14419"/>
      <c r="AG14419" s="21"/>
    </row>
    <row r="14420" spans="25:33" x14ac:dyDescent="0.2">
      <c r="Y14420"/>
      <c r="AG14420" s="21"/>
    </row>
    <row r="14421" spans="25:33" x14ac:dyDescent="0.2">
      <c r="Y14421"/>
      <c r="AG14421" s="21"/>
    </row>
    <row r="14422" spans="25:33" x14ac:dyDescent="0.2">
      <c r="Y14422"/>
      <c r="AG14422" s="21"/>
    </row>
    <row r="14423" spans="25:33" x14ac:dyDescent="0.2">
      <c r="Y14423"/>
      <c r="AG14423" s="21"/>
    </row>
    <row r="14424" spans="25:33" x14ac:dyDescent="0.2">
      <c r="Y14424"/>
      <c r="AG14424" s="21"/>
    </row>
    <row r="14425" spans="25:33" x14ac:dyDescent="0.2">
      <c r="Y14425"/>
      <c r="AG14425" s="21"/>
    </row>
    <row r="14426" spans="25:33" x14ac:dyDescent="0.2">
      <c r="Y14426"/>
      <c r="AG14426" s="21"/>
    </row>
    <row r="14427" spans="25:33" x14ac:dyDescent="0.2">
      <c r="Y14427"/>
      <c r="AG14427" s="21"/>
    </row>
    <row r="14428" spans="25:33" x14ac:dyDescent="0.2">
      <c r="Y14428"/>
      <c r="AG14428" s="21"/>
    </row>
    <row r="14429" spans="25:33" x14ac:dyDescent="0.2">
      <c r="Y14429"/>
      <c r="AG14429" s="21"/>
    </row>
    <row r="14430" spans="25:33" x14ac:dyDescent="0.2">
      <c r="Y14430"/>
      <c r="AG14430" s="21"/>
    </row>
    <row r="14431" spans="25:33" x14ac:dyDescent="0.2">
      <c r="Y14431"/>
      <c r="AG14431" s="21"/>
    </row>
    <row r="14432" spans="25:33" x14ac:dyDescent="0.2">
      <c r="Y14432"/>
      <c r="AG14432" s="21"/>
    </row>
    <row r="14433" spans="25:33" x14ac:dyDescent="0.2">
      <c r="Y14433"/>
      <c r="AG14433" s="21"/>
    </row>
    <row r="14434" spans="25:33" x14ac:dyDescent="0.2">
      <c r="Y14434"/>
      <c r="AG14434" s="21"/>
    </row>
    <row r="14435" spans="25:33" x14ac:dyDescent="0.2">
      <c r="Y14435"/>
      <c r="AG14435" s="21"/>
    </row>
    <row r="14436" spans="25:33" x14ac:dyDescent="0.2">
      <c r="Y14436"/>
      <c r="AG14436" s="21"/>
    </row>
    <row r="14437" spans="25:33" x14ac:dyDescent="0.2">
      <c r="Y14437"/>
      <c r="AG14437" s="21"/>
    </row>
    <row r="14438" spans="25:33" x14ac:dyDescent="0.2">
      <c r="Y14438"/>
      <c r="AG14438" s="21"/>
    </row>
    <row r="14439" spans="25:33" x14ac:dyDescent="0.2">
      <c r="Y14439"/>
      <c r="AG14439" s="21"/>
    </row>
    <row r="14440" spans="25:33" x14ac:dyDescent="0.2">
      <c r="Y14440"/>
      <c r="AG14440" s="21"/>
    </row>
    <row r="14441" spans="25:33" x14ac:dyDescent="0.2">
      <c r="Y14441"/>
      <c r="AG14441" s="21"/>
    </row>
    <row r="14442" spans="25:33" x14ac:dyDescent="0.2">
      <c r="Y14442"/>
      <c r="AG14442" s="21"/>
    </row>
    <row r="14443" spans="25:33" x14ac:dyDescent="0.2">
      <c r="Y14443"/>
      <c r="AG14443" s="21"/>
    </row>
    <row r="14444" spans="25:33" x14ac:dyDescent="0.2">
      <c r="Y14444"/>
      <c r="AG14444" s="21"/>
    </row>
    <row r="14445" spans="25:33" x14ac:dyDescent="0.2">
      <c r="Y14445"/>
      <c r="AG14445" s="21"/>
    </row>
    <row r="14446" spans="25:33" x14ac:dyDescent="0.2">
      <c r="Y14446"/>
      <c r="AG14446" s="21"/>
    </row>
    <row r="14447" spans="25:33" x14ac:dyDescent="0.2">
      <c r="Y14447"/>
      <c r="AG14447" s="21"/>
    </row>
    <row r="14448" spans="25:33" x14ac:dyDescent="0.2">
      <c r="Y14448"/>
      <c r="AG14448" s="21"/>
    </row>
    <row r="14449" spans="25:33" x14ac:dyDescent="0.2">
      <c r="Y14449"/>
      <c r="AG14449" s="21"/>
    </row>
    <row r="14450" spans="25:33" x14ac:dyDescent="0.2">
      <c r="Y14450"/>
      <c r="AG14450" s="21"/>
    </row>
    <row r="14451" spans="25:33" x14ac:dyDescent="0.2">
      <c r="Y14451"/>
      <c r="AG14451" s="21"/>
    </row>
    <row r="14452" spans="25:33" x14ac:dyDescent="0.2">
      <c r="Y14452"/>
      <c r="AG14452" s="21"/>
    </row>
    <row r="14453" spans="25:33" x14ac:dyDescent="0.2">
      <c r="Y14453"/>
      <c r="AG14453" s="21"/>
    </row>
    <row r="14454" spans="25:33" x14ac:dyDescent="0.2">
      <c r="Y14454"/>
      <c r="AG14454" s="21"/>
    </row>
    <row r="14455" spans="25:33" x14ac:dyDescent="0.2">
      <c r="Y14455"/>
      <c r="AG14455" s="21"/>
    </row>
    <row r="14456" spans="25:33" x14ac:dyDescent="0.2">
      <c r="Y14456"/>
      <c r="AG14456" s="21"/>
    </row>
    <row r="14457" spans="25:33" x14ac:dyDescent="0.2">
      <c r="Y14457"/>
      <c r="AG14457" s="21"/>
    </row>
    <row r="14458" spans="25:33" x14ac:dyDescent="0.2">
      <c r="Y14458"/>
      <c r="AG14458" s="21"/>
    </row>
    <row r="14459" spans="25:33" x14ac:dyDescent="0.2">
      <c r="Y14459"/>
      <c r="AG14459" s="21"/>
    </row>
    <row r="14460" spans="25:33" x14ac:dyDescent="0.2">
      <c r="Y14460"/>
      <c r="AG14460" s="21"/>
    </row>
    <row r="14461" spans="25:33" x14ac:dyDescent="0.2">
      <c r="Y14461"/>
      <c r="AG14461" s="21"/>
    </row>
    <row r="14462" spans="25:33" x14ac:dyDescent="0.2">
      <c r="Y14462"/>
      <c r="AG14462" s="21"/>
    </row>
    <row r="14463" spans="25:33" x14ac:dyDescent="0.2">
      <c r="Y14463"/>
      <c r="AG14463" s="21"/>
    </row>
    <row r="14464" spans="25:33" x14ac:dyDescent="0.2">
      <c r="Y14464"/>
      <c r="AG14464" s="21"/>
    </row>
    <row r="14465" spans="25:33" x14ac:dyDescent="0.2">
      <c r="Y14465"/>
      <c r="AG14465" s="21"/>
    </row>
    <row r="14466" spans="25:33" x14ac:dyDescent="0.2">
      <c r="Y14466"/>
      <c r="AG14466" s="21"/>
    </row>
    <row r="14467" spans="25:33" x14ac:dyDescent="0.2">
      <c r="Y14467"/>
      <c r="AG14467" s="21"/>
    </row>
    <row r="14468" spans="25:33" x14ac:dyDescent="0.2">
      <c r="Y14468"/>
      <c r="AG14468" s="21"/>
    </row>
    <row r="14469" spans="25:33" x14ac:dyDescent="0.2">
      <c r="Y14469"/>
      <c r="AG14469" s="21"/>
    </row>
    <row r="14470" spans="25:33" x14ac:dyDescent="0.2">
      <c r="Y14470"/>
      <c r="AG14470" s="21"/>
    </row>
    <row r="14471" spans="25:33" x14ac:dyDescent="0.2">
      <c r="Y14471"/>
      <c r="AG14471" s="21"/>
    </row>
    <row r="14472" spans="25:33" x14ac:dyDescent="0.2">
      <c r="Y14472"/>
      <c r="AG14472" s="21"/>
    </row>
    <row r="14473" spans="25:33" x14ac:dyDescent="0.2">
      <c r="Y14473"/>
      <c r="AG14473" s="21"/>
    </row>
    <row r="14474" spans="25:33" x14ac:dyDescent="0.2">
      <c r="Y14474"/>
      <c r="AG14474" s="21"/>
    </row>
    <row r="14475" spans="25:33" x14ac:dyDescent="0.2">
      <c r="Y14475"/>
      <c r="AG14475" s="21"/>
    </row>
    <row r="14476" spans="25:33" x14ac:dyDescent="0.2">
      <c r="Y14476"/>
      <c r="AG14476" s="21"/>
    </row>
    <row r="14477" spans="25:33" x14ac:dyDescent="0.2">
      <c r="Y14477"/>
      <c r="AG14477" s="21"/>
    </row>
    <row r="14478" spans="25:33" x14ac:dyDescent="0.2">
      <c r="Y14478"/>
      <c r="AG14478" s="21"/>
    </row>
    <row r="14479" spans="25:33" x14ac:dyDescent="0.2">
      <c r="Y14479"/>
      <c r="AG14479" s="21"/>
    </row>
    <row r="14480" spans="25:33" x14ac:dyDescent="0.2">
      <c r="Y14480"/>
      <c r="AG14480" s="21"/>
    </row>
    <row r="14481" spans="25:33" x14ac:dyDescent="0.2">
      <c r="Y14481"/>
      <c r="AG14481" s="21"/>
    </row>
    <row r="14482" spans="25:33" x14ac:dyDescent="0.2">
      <c r="Y14482"/>
      <c r="AG14482" s="21"/>
    </row>
    <row r="14483" spans="25:33" x14ac:dyDescent="0.2">
      <c r="Y14483"/>
      <c r="AG14483" s="21"/>
    </row>
    <row r="14484" spans="25:33" x14ac:dyDescent="0.2">
      <c r="Y14484"/>
      <c r="AG14484" s="21"/>
    </row>
    <row r="14485" spans="25:33" x14ac:dyDescent="0.2">
      <c r="Y14485"/>
      <c r="AG14485" s="21"/>
    </row>
    <row r="14486" spans="25:33" x14ac:dyDescent="0.2">
      <c r="Y14486"/>
      <c r="AG14486" s="21"/>
    </row>
    <row r="14487" spans="25:33" x14ac:dyDescent="0.2">
      <c r="Y14487"/>
      <c r="AG14487" s="21"/>
    </row>
    <row r="14488" spans="25:33" x14ac:dyDescent="0.2">
      <c r="Y14488"/>
      <c r="AG14488" s="21"/>
    </row>
    <row r="14489" spans="25:33" x14ac:dyDescent="0.2">
      <c r="Y14489"/>
      <c r="AG14489" s="21"/>
    </row>
    <row r="14490" spans="25:33" x14ac:dyDescent="0.2">
      <c r="Y14490"/>
      <c r="AG14490" s="21"/>
    </row>
    <row r="14491" spans="25:33" x14ac:dyDescent="0.2">
      <c r="Y14491"/>
      <c r="AG14491" s="21"/>
    </row>
    <row r="14492" spans="25:33" x14ac:dyDescent="0.2">
      <c r="Y14492"/>
      <c r="AG14492" s="21"/>
    </row>
    <row r="14493" spans="25:33" x14ac:dyDescent="0.2">
      <c r="Y14493"/>
      <c r="AG14493" s="21"/>
    </row>
    <row r="14494" spans="25:33" x14ac:dyDescent="0.2">
      <c r="Y14494"/>
      <c r="AG14494" s="21"/>
    </row>
    <row r="14495" spans="25:33" x14ac:dyDescent="0.2">
      <c r="Y14495"/>
      <c r="AG14495" s="21"/>
    </row>
    <row r="14496" spans="25:33" x14ac:dyDescent="0.2">
      <c r="Y14496"/>
      <c r="AG14496" s="21"/>
    </row>
    <row r="14497" spans="25:33" x14ac:dyDescent="0.2">
      <c r="Y14497"/>
      <c r="AG14497" s="21"/>
    </row>
    <row r="14498" spans="25:33" x14ac:dyDescent="0.2">
      <c r="Y14498"/>
      <c r="AG14498" s="21"/>
    </row>
    <row r="14499" spans="25:33" x14ac:dyDescent="0.2">
      <c r="Y14499"/>
      <c r="AG14499" s="21"/>
    </row>
    <row r="14500" spans="25:33" x14ac:dyDescent="0.2">
      <c r="Y14500"/>
      <c r="AG14500" s="21"/>
    </row>
    <row r="14501" spans="25:33" x14ac:dyDescent="0.2">
      <c r="Y14501"/>
      <c r="AG14501" s="21"/>
    </row>
    <row r="14502" spans="25:33" x14ac:dyDescent="0.2">
      <c r="Y14502"/>
      <c r="AG14502" s="21"/>
    </row>
    <row r="14503" spans="25:33" x14ac:dyDescent="0.2">
      <c r="Y14503"/>
      <c r="AG14503" s="21"/>
    </row>
    <row r="14504" spans="25:33" x14ac:dyDescent="0.2">
      <c r="Y14504"/>
      <c r="AG14504" s="21"/>
    </row>
    <row r="14505" spans="25:33" x14ac:dyDescent="0.2">
      <c r="Y14505"/>
      <c r="AG14505" s="21"/>
    </row>
    <row r="14506" spans="25:33" x14ac:dyDescent="0.2">
      <c r="Y14506"/>
      <c r="AG14506" s="21"/>
    </row>
    <row r="14507" spans="25:33" x14ac:dyDescent="0.2">
      <c r="Y14507"/>
      <c r="AG14507" s="21"/>
    </row>
    <row r="14508" spans="25:33" x14ac:dyDescent="0.2">
      <c r="Y14508"/>
      <c r="AG14508" s="21"/>
    </row>
    <row r="14509" spans="25:33" x14ac:dyDescent="0.2">
      <c r="Y14509"/>
      <c r="AG14509" s="21"/>
    </row>
    <row r="14510" spans="25:33" x14ac:dyDescent="0.2">
      <c r="Y14510"/>
      <c r="AG14510" s="21"/>
    </row>
    <row r="14511" spans="25:33" x14ac:dyDescent="0.2">
      <c r="Y14511"/>
      <c r="AG14511" s="21"/>
    </row>
    <row r="14512" spans="25:33" x14ac:dyDescent="0.2">
      <c r="Y14512"/>
      <c r="AG14512" s="21"/>
    </row>
    <row r="14513" spans="25:33" x14ac:dyDescent="0.2">
      <c r="Y14513"/>
      <c r="AG14513" s="21"/>
    </row>
    <row r="14514" spans="25:33" x14ac:dyDescent="0.2">
      <c r="Y14514"/>
      <c r="AG14514" s="21"/>
    </row>
    <row r="14515" spans="25:33" x14ac:dyDescent="0.2">
      <c r="Y14515"/>
      <c r="AG14515" s="21"/>
    </row>
    <row r="14516" spans="25:33" x14ac:dyDescent="0.2">
      <c r="Y14516"/>
      <c r="AG14516" s="21"/>
    </row>
    <row r="14517" spans="25:33" x14ac:dyDescent="0.2">
      <c r="Y14517"/>
      <c r="AG14517" s="21"/>
    </row>
    <row r="14518" spans="25:33" x14ac:dyDescent="0.2">
      <c r="Y14518"/>
      <c r="AG14518" s="21"/>
    </row>
    <row r="14519" spans="25:33" x14ac:dyDescent="0.2">
      <c r="Y14519"/>
      <c r="AG14519" s="21"/>
    </row>
    <row r="14520" spans="25:33" x14ac:dyDescent="0.2">
      <c r="Y14520"/>
      <c r="AG14520" s="21"/>
    </row>
    <row r="14521" spans="25:33" x14ac:dyDescent="0.2">
      <c r="Y14521"/>
      <c r="AG14521" s="21"/>
    </row>
    <row r="14522" spans="25:33" x14ac:dyDescent="0.2">
      <c r="Y14522"/>
      <c r="AG14522" s="21"/>
    </row>
    <row r="14523" spans="25:33" x14ac:dyDescent="0.2">
      <c r="Y14523"/>
      <c r="AG14523" s="21"/>
    </row>
    <row r="14524" spans="25:33" x14ac:dyDescent="0.2">
      <c r="Y14524"/>
      <c r="AG14524" s="21"/>
    </row>
    <row r="14525" spans="25:33" x14ac:dyDescent="0.2">
      <c r="Y14525"/>
      <c r="AG14525" s="21"/>
    </row>
    <row r="14526" spans="25:33" x14ac:dyDescent="0.2">
      <c r="Y14526"/>
      <c r="AG14526" s="21"/>
    </row>
    <row r="14527" spans="25:33" x14ac:dyDescent="0.2">
      <c r="Y14527"/>
      <c r="AG14527" s="21"/>
    </row>
    <row r="14528" spans="25:33" x14ac:dyDescent="0.2">
      <c r="Y14528"/>
      <c r="AG14528" s="21"/>
    </row>
    <row r="14529" spans="25:33" x14ac:dyDescent="0.2">
      <c r="Y14529"/>
      <c r="AG14529" s="21"/>
    </row>
    <row r="14530" spans="25:33" x14ac:dyDescent="0.2">
      <c r="Y14530"/>
      <c r="AG14530" s="21"/>
    </row>
    <row r="14531" spans="25:33" x14ac:dyDescent="0.2">
      <c r="Y14531"/>
      <c r="AG14531" s="21"/>
    </row>
    <row r="14532" spans="25:33" x14ac:dyDescent="0.2">
      <c r="Y14532"/>
      <c r="AG14532" s="21"/>
    </row>
    <row r="14533" spans="25:33" x14ac:dyDescent="0.2">
      <c r="Y14533"/>
      <c r="AG14533" s="21"/>
    </row>
    <row r="14534" spans="25:33" x14ac:dyDescent="0.2">
      <c r="Y14534"/>
      <c r="AG14534" s="21"/>
    </row>
    <row r="14535" spans="25:33" x14ac:dyDescent="0.2">
      <c r="Y14535"/>
      <c r="AG14535" s="21"/>
    </row>
    <row r="14536" spans="25:33" x14ac:dyDescent="0.2">
      <c r="Y14536"/>
      <c r="AG14536" s="21"/>
    </row>
    <row r="14537" spans="25:33" x14ac:dyDescent="0.2">
      <c r="Y14537"/>
      <c r="AG14537" s="21"/>
    </row>
    <row r="14538" spans="25:33" x14ac:dyDescent="0.2">
      <c r="Y14538"/>
      <c r="AG14538" s="21"/>
    </row>
    <row r="14539" spans="25:33" x14ac:dyDescent="0.2">
      <c r="Y14539"/>
      <c r="AG14539" s="21"/>
    </row>
    <row r="14540" spans="25:33" x14ac:dyDescent="0.2">
      <c r="Y14540"/>
      <c r="AG14540" s="21"/>
    </row>
    <row r="14541" spans="25:33" x14ac:dyDescent="0.2">
      <c r="Y14541"/>
      <c r="AG14541" s="21"/>
    </row>
    <row r="14542" spans="25:33" x14ac:dyDescent="0.2">
      <c r="Y14542"/>
      <c r="AG14542" s="21"/>
    </row>
    <row r="14543" spans="25:33" x14ac:dyDescent="0.2">
      <c r="Y14543"/>
      <c r="AG14543" s="21"/>
    </row>
    <row r="14544" spans="25:33" x14ac:dyDescent="0.2">
      <c r="Y14544"/>
      <c r="AG14544" s="21"/>
    </row>
    <row r="14545" spans="25:33" x14ac:dyDescent="0.2">
      <c r="Y14545"/>
      <c r="AG14545" s="21"/>
    </row>
    <row r="14546" spans="25:33" x14ac:dyDescent="0.2">
      <c r="Y14546"/>
      <c r="AG14546" s="21"/>
    </row>
  </sheetData>
  <sheetProtection algorithmName="SHA-512" hashValue="7DoR1yN8QvprO7ytiF4sXaoN56vrnlQC681dQn5lAkMmNssR3i8CReIlxsaOh3xjBL7AwdQ4nwtpt3VnbOJ8hw==" saltValue="7Cqv42ubc6GolJ6DEtaoag==" spinCount="100000" sheet="1" objects="1" scenarios="1"/>
  <sortState xmlns:xlrd2="http://schemas.microsoft.com/office/spreadsheetml/2017/richdata2" ref="AP3:AP9996">
    <sortCondition ref="AP3"/>
  </sortState>
  <mergeCells count="5">
    <mergeCell ref="A15:N15"/>
    <mergeCell ref="A32:N32"/>
    <mergeCell ref="A48:N48"/>
    <mergeCell ref="C1:E1"/>
    <mergeCell ref="F1:I1"/>
  </mergeCells>
  <phoneticPr fontId="14" type="noConversion"/>
  <conditionalFormatting sqref="J17:N30">
    <cfRule type="containsText" dxfId="1" priority="3" operator="containsText" text="N/A">
      <formula>NOT(ISERROR(SEARCH("N/A",J17)))</formula>
    </cfRule>
  </conditionalFormatting>
  <conditionalFormatting sqref="J34:N45">
    <cfRule type="containsText" dxfId="0" priority="1" operator="containsText" text="N/A">
      <formula>NOT(ISERROR(SEARCH("N/A",J34)))</formula>
    </cfRule>
  </conditionalFormatting>
  <dataValidations count="1">
    <dataValidation type="list" allowBlank="1" showInputMessage="1" showErrorMessage="1" sqref="F1:I1" xr:uid="{EE918DF6-9FB9-48E1-B278-21335EA58FA9}">
      <formula1>$AP$3:$AP$57</formula1>
    </dataValidation>
  </dataValidations>
  <printOptions horizontalCentered="1"/>
  <pageMargins left="0.5" right="0.5" top="0.5" bottom="0.5" header="0.3" footer="0.3"/>
  <pageSetup scale="65" orientation="landscape" blackAndWhite="1" horizontalDpi="4294967294" verticalDpi="4294967294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3:O63"/>
  <sheetViews>
    <sheetView zoomScale="90" zoomScaleNormal="90" zoomScaleSheetLayoutView="90" workbookViewId="0"/>
  </sheetViews>
  <sheetFormatPr defaultRowHeight="12.75" x14ac:dyDescent="0.2"/>
  <cols>
    <col min="2" max="2" width="13.5703125" bestFit="1" customWidth="1"/>
    <col min="3" max="4" width="12.7109375" customWidth="1"/>
    <col min="5" max="6" width="16.7109375" customWidth="1"/>
    <col min="7" max="7" width="13.5703125" bestFit="1" customWidth="1"/>
    <col min="8" max="8" width="13.7109375" customWidth="1"/>
    <col min="9" max="14" width="12.7109375" customWidth="1"/>
    <col min="15" max="15" width="10.7109375" customWidth="1"/>
  </cols>
  <sheetData>
    <row r="3" spans="1:15" ht="20.25" x14ac:dyDescent="0.3">
      <c r="A3" s="34" t="str">
        <f>'Operating Results'!A3</f>
        <v>COUNTRYWIDE CAIP/CAP/SRDP Financial Data as of 2nd Calendar Quarter 2024</v>
      </c>
    </row>
    <row r="4" spans="1:15" ht="20.25" x14ac:dyDescent="0.3">
      <c r="A4" s="36" t="str">
        <f>IF(AND(LEFT('Operating Results'!F1,6)="Alaska",RIGHT(V1,1)&lt;&gt;"3"),"Alaska data is only available 3rd quarter","")</f>
        <v/>
      </c>
    </row>
    <row r="5" spans="1:15" ht="15" x14ac:dyDescent="0.2">
      <c r="A5" s="37" t="s">
        <v>223</v>
      </c>
    </row>
    <row r="7" spans="1:15" x14ac:dyDescent="0.2">
      <c r="A7" s="41"/>
      <c r="B7" s="63" t="s">
        <v>362</v>
      </c>
      <c r="C7" s="64"/>
      <c r="D7" s="65"/>
      <c r="E7" s="63" t="str">
        <f>IF(LEFT('Operating Results'!F1,23)="North Carolina Facility","SUBSIDY &amp; RECOUPMENT","LOSS ADJUSTMENT EXPENSE")</f>
        <v>LOSS ADJUSTMENT EXPENSE</v>
      </c>
      <c r="F7" s="65"/>
      <c r="G7" s="63" t="s">
        <v>437</v>
      </c>
      <c r="H7" s="64"/>
      <c r="I7" s="64"/>
      <c r="J7" s="65"/>
      <c r="K7" s="63" t="s">
        <v>363</v>
      </c>
      <c r="L7" s="64"/>
      <c r="M7" s="64"/>
      <c r="N7" s="64"/>
    </row>
    <row r="8" spans="1:15" x14ac:dyDescent="0.2">
      <c r="B8" s="41"/>
      <c r="C8" s="41"/>
      <c r="D8" s="41"/>
      <c r="E8" s="41"/>
      <c r="F8" s="41"/>
      <c r="G8" s="42" t="str">
        <f>IF(LEFT('Operating Results'!F1,6)="Hawaii","Operating","")</f>
        <v/>
      </c>
      <c r="H8" s="42"/>
      <c r="I8" s="42"/>
      <c r="J8" s="42" t="s">
        <v>121</v>
      </c>
      <c r="K8" s="42"/>
      <c r="L8" s="42"/>
      <c r="M8" s="42"/>
      <c r="N8" s="42" t="s">
        <v>113</v>
      </c>
    </row>
    <row r="9" spans="1:15" x14ac:dyDescent="0.2">
      <c r="A9" s="13" t="s">
        <v>119</v>
      </c>
      <c r="B9" s="13" t="s">
        <v>357</v>
      </c>
      <c r="E9" s="13" t="str">
        <f>IF(LEFT('Operating Results'!F1,23)="North Carolina Facility","Clean Risk","")</f>
        <v/>
      </c>
      <c r="F9" s="13" t="str">
        <f>IF(LEFT('Operating Results'!F1,23)="North Carolina Facility","",IF(LEFT('Operating Results'!F1,22)="New Hampshire Facility","","Incurred"))</f>
        <v>Incurred</v>
      </c>
      <c r="G9" s="13" t="str">
        <f>IF(LEFT('Operating Results'!F1,23)="North Carolina Facility","Claims Exp",IF(LEFT('Operating Results'!F1,6)="Hawaii","Service",IF(LEFT('Operating Results'!F1,22)="New Hampshire Facility","Ceding","Admin")))</f>
        <v>Admin</v>
      </c>
      <c r="H9" s="13" t="str">
        <f>IF(LEFT('Operating Results'!F1,23)="North Carolina Facility","Ceding Exp",IF(OR(LEFT('Operating Results'!F1,22)="New Hampshire Facility",LEFT('Operating Results'!F1,12)="New York PAP"),"",IF(LEFT('Operating Results'!F1,6)="Hawaii","CPAI","Premium")))</f>
        <v>Premium</v>
      </c>
      <c r="I9" s="13"/>
      <c r="J9" s="13" t="s">
        <v>434</v>
      </c>
      <c r="K9" s="13" t="s">
        <v>359</v>
      </c>
      <c r="L9" s="13" t="str">
        <f>IF(OR(LEFT('Operating Results'!F1,14)="North Carolina",LEFT('Operating Results'!F1,22)="New Hampshire Facility"),"","Charge-")</f>
        <v>Charge-</v>
      </c>
      <c r="M9" s="13" t="s">
        <v>365</v>
      </c>
      <c r="N9" s="13" t="s">
        <v>365</v>
      </c>
    </row>
    <row r="10" spans="1:15" x14ac:dyDescent="0.2">
      <c r="A10" s="28" t="s">
        <v>120</v>
      </c>
      <c r="B10" s="28" t="s">
        <v>213</v>
      </c>
      <c r="C10" s="28" t="s">
        <v>358</v>
      </c>
      <c r="D10" s="28" t="s">
        <v>59</v>
      </c>
      <c r="E10" s="28" t="str">
        <f>IF(LEFT('Operating Results'!F1,23)="North Carolina Facility","Subsidy",IF(LEFT('Operating Results'!F1,22)="New Hampshire Facility","N/A","ULAE"))</f>
        <v>ULAE</v>
      </c>
      <c r="F10" s="28" t="str">
        <f>IF(LEFT('Operating Results'!F1,23)="North Carolina Facility","Recoupment",IF(LEFT('Operating Results'!F1,22)="New Hampshire Facility","N/A","ALAE"))</f>
        <v>ALAE</v>
      </c>
      <c r="G10" s="28" t="str">
        <f>IF(LEFT('Operating Results'!F1,14)="North Carolina","Allowance",IF(LEFT('Operating Results'!F1,22)="New Hampshire Facility","Exp Allowance","Fees"))</f>
        <v>Fees</v>
      </c>
      <c r="H10" s="28" t="str">
        <f>IF(LEFT('Operating Results'!F1,23)="North Carolina Facility","Allowance",IF(LEFT('Operating Results'!F1,6)="Hawaii","Charge-offs",IF(OR(LEFT('Operating Results'!F1,22)="New Hampshire Facility",LEFT('Operating Results'!F1,12)="New York PAP"),"N/A","Taxes")))</f>
        <v>Taxes</v>
      </c>
      <c r="I10" s="28" t="str">
        <f>IF(LEFT('Operating Results'!F1,23)="North Carolina Facility","N/A","Commission")</f>
        <v>Commission</v>
      </c>
      <c r="J10" s="28" t="s">
        <v>435</v>
      </c>
      <c r="K10" s="28" t="s">
        <v>360</v>
      </c>
      <c r="L10" s="28" t="str">
        <f>IF(OR(LEFT('Operating Results'!F1,14)="North Carolina",LEFT('Operating Results'!F1,22)="New Hampshire Facility"),"N/A","Offs")</f>
        <v>Offs</v>
      </c>
      <c r="M10" s="28" t="s">
        <v>216</v>
      </c>
      <c r="N10" s="28" t="s">
        <v>360</v>
      </c>
    </row>
    <row r="11" spans="1:15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</row>
    <row r="12" spans="1:15" x14ac:dyDescent="0.2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</row>
    <row r="13" spans="1:15" x14ac:dyDescent="0.2">
      <c r="A13" s="59" t="str">
        <f>'Operating Results'!A15:N15</f>
        <v>Experience by Active Policy Year Through 2nd Calendar Quarter 2024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</row>
    <row r="15" spans="1:15" x14ac:dyDescent="0.2">
      <c r="A15" s="27" t="str">
        <f>'Operating Results'!A17</f>
        <v>2013</v>
      </c>
      <c r="B15" s="25">
        <f t="array" ref="B15">IF(LEFT('Operating Results'!F1:I1,6)="Alaska",B32,IF(A15="","",SUM(IF(Table_Query_from_Actuarial___Production[EffectiveYear]='Loss &amp; Expense Detail'!$A15,IF(Table_Query_from_Actuarial___Production[StateName]='Operating Results'!$F$1,IF(Table_Query_from_Actuarial___Production[RecordType]="Losses Paid",Table_Query_from_Actuarial___Production[SumOfAmount],0),0),0))))</f>
        <v>44842460.300000019</v>
      </c>
      <c r="C15" s="25">
        <f t="array" ref="C15">IF(LEFT('Operating Results'!F1:I1,6)="Alaska",C32,IF(A15="","",SUM(IF(Table_Query_from_Actuarial___Production[EffectiveYear]='Loss &amp; Expense Detail'!$A15,IF(Table_Query_from_Actuarial___Production[StateName]='Operating Results'!$F$1,IF(Table_Query_from_Actuarial___Production[RecordType]="Losses Outstanding",Table_Query_from_Actuarial___Production[SumOfAmount],0),0),0))))</f>
        <v>0</v>
      </c>
      <c r="D15" s="25">
        <f t="array" ref="D15">IF(LEFT('Operating Results'!F1:I1,6)="Alaska",D32,IF(A15="","",SUM(IF(Table_Query_from_Actuarial___Production[EffectiveYear]='Loss &amp; Expense Detail'!$A15,IF(Table_Query_from_Actuarial___Production[StateName]='Operating Results'!$F$1,IF(Table_Query_from_Actuarial___Production[RecordType]="IBNR",Table_Query_from_Actuarial___Production[SumOfAmount],0),0),0))))</f>
        <v>0</v>
      </c>
      <c r="E15" s="25">
        <f t="array" ref="E15">IF(A15="","",IF(LEFT('Operating Results'!$F$1,23)="North Carolina Facility",SUM(IF(Table_Query_from_Actuarial___Production[EffectiveYear]='Loss &amp; Expense Detail'!$A15,IF(Table_Query_from_Actuarial___Production[StateName]='Operating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Detail'!$A15,IF(Table_Query_from_Actuarial___Production[StateName]='Operating Results'!$F$1,IF(Table_Query_from_Actuarial___Production[RecordType]="Claims Expense",Table_Query_from_Actuarial___Production[SumOfAmount],0),0),0)))))</f>
        <v>4771484.3599999985</v>
      </c>
      <c r="F15" s="25">
        <f t="array" ref="F15">IF(A15="","",IF(LEFT('Operating Results'!F1,6)="Alaska",F32,IF(LEFT('Operating Results'!$F$1,23)="North Carolina Facility",SUM(IF(Table_Query_from_Actuarial___Production[EffectiveYear]='Loss &amp; Expense Detail'!$A15,IF(Table_Query_from_Actuarial___Production[StateName]='Operating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Detail'!$A15,IF(Table_Query_from_Actuarial___Production[StateName]='Operating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Detail'!$A15,IF(Table_Query_from_Actuarial___Production[StateName]='Operating Results'!$F$1,IF(Table_Query_from_Actuarial___Production[RecordType]="ALAE Reserve",Table_Query_from_Actuarial___Production[SumOfAmount],0),0),0)))))</f>
        <v>3771014.92</v>
      </c>
      <c r="G15" s="25">
        <f t="array" ref="G15">IF(LEFT('Operating Results'!F1,6)="Alaska",G32,IF(A15="","",IF(LEFT('Operating Results'!$F$1,23)="North Carolina Facility",SUM(IF(Table_Query_from_Actuarial___Production[EffectiveYear]='Loss &amp; Expense Detail'!$A15,IF(Table_Query_from_Actuarial___Production[StateName]='Operating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Detail'!$A15,IF(Table_Query_from_Actuarial___Production[StateName]='Operating Results'!$F$1,IF(Table_Query_from_Actuarial___Production[RecordType]="Operating Service Fees",Table_Query_from_Actuarial___Production[SumOfAmount],0),0),0)))))</f>
        <v>9594278.879999999</v>
      </c>
      <c r="H15" s="25">
        <f t="array" ref="H15">IF(A15="","",IF(LEFT('Operating Results'!F1,6)="Hawaii",SUM(IF(Table_Query_from_Actuarial___Production[EffectiveYear]='Loss &amp; Expense Detail'!$A15,IF(Table_Query_from_Actuarial___Production[StateName]='Operating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Detail'!$A15,IF(Table_Query_from_Actuarial___Production[StateName]='Operating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Detail'!$A15,IF(Table_Query_from_Actuarial___Production[StateName]='Operating Results'!$F$1,IF(Table_Query_from_Actuarial___Production[RecordType]="Premium Tax",Table_Query_from_Actuarial___Production[SumOfAmount],0),0),0)))))</f>
        <v>1014751.6799999998</v>
      </c>
      <c r="I15" s="25">
        <f t="array" ref="I15">IF(A15="","",SUM(IF(Table_Query_from_Actuarial___Production[EffectiveYear]='Loss &amp; Expense Detail'!$A15,IF(Table_Query_from_Actuarial___Production[StateName]='Operating Results'!$F$1,IF(Table_Query_from_Actuarial___Production[RecordType]="Commissions",Table_Query_from_Actuarial___Production[SumOfAmount],0),0),0)))</f>
        <v>3132715.7499999995</v>
      </c>
      <c r="J15" s="25">
        <f t="array" ref="J15">IF(A15="","",SUM(IF(Table_Query_from_Actuarial___Production[EffectiveYear]='Loss &amp; Expense Detail'!$A15,IF(Table_Query_from_Actuarial___Production[StateName]='Operating Results'!$F$1,IF(Table_Query_from_Actuarial___Production[RecordType]="PDR",Table_Query_from_Actuarial___Production[SumOfAmount],0),0),0)))</f>
        <v>0</v>
      </c>
      <c r="K15" s="25">
        <f t="array" ref="K15">IF(A15="","",SUM(IF(Table_Query_from_Actuarial___Production[EffectiveYear]='Loss &amp; Expense Detail'!$A15,IF(Table_Query_from_Actuarial___Production[StateName]='Operating Results'!$F$1,IF(Table_Query_from_Actuarial___Production[RecordType]="Investment Income",Table_Query_from_Actuarial___Production[SumOfAmount],0),0),0)))</f>
        <v>415.57</v>
      </c>
      <c r="L15" s="25">
        <f t="array" ref="L15">IF(A15="","",SUM(IF(Table_Query_from_Actuarial___Production[EffectiveYear]='Loss &amp; Expense Detail'!$A15,IF(Table_Query_from_Actuarial___Production[StateName]='Operating Results'!$F$1,IF(Table_Query_from_Actuarial___Production[RecordType]="Charge-offs",Table_Query_from_Actuarial___Production[SumOfAmount],0),0),0)))</f>
        <v>2049358.2900000005</v>
      </c>
      <c r="M15" s="25">
        <f t="array" ref="M15">IF(A15="","",SUM(IF(Table_Query_from_Actuarial___Production[EffectiveYear]='Loss &amp; Expense Detail'!$A15,IF(Table_Query_from_Actuarial___Production[StateName]='Operating Results'!$F$1,IF(Table_Query_from_Actuarial___Production[RecordType]="Misc. Expense",Table_Query_from_Actuarial___Production[SumOfAmount],0),0),0)))</f>
        <v>8295697.450000002</v>
      </c>
      <c r="N15" s="25">
        <f t="array" ref="N15">IF(A15="","",SUM(IF(Table_Query_from_Actuarial___Production[EffectiveYear]='Loss &amp; Expense Detail'!$A15,IF(Table_Query_from_Actuarial___Production[StateName]='Operating Results'!$F$1,IF(Table_Query_from_Actuarial___Production[RecordType]="Misc. Income",Table_Query_from_Actuarial___Production[SumOfAmount],0),0),0)))</f>
        <v>18714.73000000001</v>
      </c>
      <c r="O15" s="26"/>
    </row>
    <row r="16" spans="1:15" x14ac:dyDescent="0.2">
      <c r="A16" s="27" t="str">
        <f>'Operating Results'!A18</f>
        <v>2014</v>
      </c>
      <c r="B16" s="25">
        <f t="array" ref="B16">SUM(IF(Table_Query_from_Actuarial___Production[EffectiveYear]='Loss &amp; Expense Detail'!$A16,IF(Table_Query_from_Actuarial___Production[StateName]='Operating Results'!$F$1,IF(Table_Query_from_Actuarial___Production[RecordType]="Losses Paid",Table_Query_from_Actuarial___Production[SumOfAmount],0),0),0))</f>
        <v>63565880.030000001</v>
      </c>
      <c r="C16" s="25">
        <f t="array" ref="C16">SUM(IF(Table_Query_from_Actuarial___Production[EffectiveYear]='Loss &amp; Expense Detail'!$A16,IF(Table_Query_from_Actuarial___Production[StateName]='Operating Results'!$F$1,IF(Table_Query_from_Actuarial___Production[RecordType]="Losses Outstanding",Table_Query_from_Actuarial___Production[SumOfAmount],0),0),0))</f>
        <v>323824.5</v>
      </c>
      <c r="D16" s="25">
        <f t="array" ref="D16">SUM(IF(Table_Query_from_Actuarial___Production[EffectiveYear]='Loss &amp; Expense Detail'!$A16,IF(Table_Query_from_Actuarial___Production[StateName]='Operating Results'!$F$1,IF(Table_Query_from_Actuarial___Production[RecordType]="IBNR",Table_Query_from_Actuarial___Production[SumOfAmount],0),0),0))</f>
        <v>150000</v>
      </c>
      <c r="E16" s="25">
        <f t="array" ref="E16">IF(LEFT('Operating Results'!$F$1,23)="North Carolina Facility",SUM(IF(Table_Query_from_Actuarial___Production[EffectiveYear]='Loss &amp; Expense Detail'!$A16,IF(Table_Query_from_Actuarial___Production[StateName]='Operating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Detail'!$A16,IF(Table_Query_from_Actuarial___Production[StateName]='Operating Results'!$F$1,IF(Table_Query_from_Actuarial___Production[RecordType]="Claims Expense",Table_Query_from_Actuarial___Production[SumOfAmount],0),0),0))))</f>
        <v>6320788.1899999985</v>
      </c>
      <c r="F16" s="25">
        <f t="array" ref="F16">IF(LEFT('Operating Results'!$F$1,23)="North Carolina Facility",SUM(IF(Table_Query_from_Actuarial___Production[EffectiveYear]='Loss &amp; Expense Detail'!$A16,IF(Table_Query_from_Actuarial___Production[StateName]='Operating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Detail'!$A16,IF(Table_Query_from_Actuarial___Production[StateName]='Operating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Detail'!$A16,IF(Table_Query_from_Actuarial___Production[StateName]='Operating Results'!$F$1,IF(Table_Query_from_Actuarial___Production[RecordType]="ALAE Reserve",Table_Query_from_Actuarial___Production[SumOfAmount],0),0),0)))</f>
        <v>4336189.3500000006</v>
      </c>
      <c r="G16" s="25">
        <f t="array" ref="G16">IF(LEFT('Operating Results'!$F$1,23)="North Carolina Facility",SUM(IF(Table_Query_from_Actuarial___Production[EffectiveYear]='Loss &amp; Expense Detail'!$A16,IF(Table_Query_from_Actuarial___Production[StateName]='Operating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Detail'!$A16,IF(Table_Query_from_Actuarial___Production[StateName]='Operating Results'!$F$1,IF(Table_Query_from_Actuarial___Production[RecordType]="Operating Service Fees",Table_Query_from_Actuarial___Production[SumOfAmount],0),0),0)))</f>
        <v>12600824.74</v>
      </c>
      <c r="H16" s="25">
        <f t="array" ref="H16">IF(LEFT('Operating Results'!$F$1,6)="Hawaii",SUM(IF(Table_Query_from_Actuarial___Production[EffectiveYear]='Loss &amp; Expense Detail'!$A16,IF(Table_Query_from_Actuarial___Production[StateName]='Operating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Detail'!$A16,IF(Table_Query_from_Actuarial___Production[StateName]='Operating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Detail'!$A16,IF(Table_Query_from_Actuarial___Production[StateName]='Operating Results'!$F$1,IF(Table_Query_from_Actuarial___Production[RecordType]="Premium Tax",Table_Query_from_Actuarial___Production[SumOfAmount],0),0),0))))</f>
        <v>1316332.7500000002</v>
      </c>
      <c r="I16" s="25">
        <f t="array" ref="I16">SUM(IF(Table_Query_from_Actuarial___Production[EffectiveYear]='Loss &amp; Expense Detail'!$A16,IF(Table_Query_from_Actuarial___Production[StateName]='Operating Results'!$F$1,IF(Table_Query_from_Actuarial___Production[RecordType]="Commissions",Table_Query_from_Actuarial___Production[SumOfAmount],0),0),0))</f>
        <v>3998133.560000001</v>
      </c>
      <c r="J16" s="25">
        <f t="array" ref="J16">SUM(IF(Table_Query_from_Actuarial___Production[EffectiveYear]='Loss &amp; Expense Detail'!$A16,IF(Table_Query_from_Actuarial___Production[StateName]='Operating Results'!$F$1,IF(Table_Query_from_Actuarial___Production[RecordType]="PDR",Table_Query_from_Actuarial___Production[SumOfAmount],0),0),0))</f>
        <v>0</v>
      </c>
      <c r="K16" s="25">
        <f t="array" ref="K16">SUM(IF(Table_Query_from_Actuarial___Production[EffectiveYear]='Loss &amp; Expense Detail'!$A16,IF(Table_Query_from_Actuarial___Production[StateName]='Operating Results'!$F$1,IF(Table_Query_from_Actuarial___Production[RecordType]="Investment Income",Table_Query_from_Actuarial___Production[SumOfAmount],0),0),0))</f>
        <v>6640.51</v>
      </c>
      <c r="L16" s="25">
        <f t="array" ref="L16">SUM(IF(Table_Query_from_Actuarial___Production[EffectiveYear]='Loss &amp; Expense Detail'!$A16,IF(Table_Query_from_Actuarial___Production[StateName]='Operating Results'!$F$1,IF(Table_Query_from_Actuarial___Production[RecordType]="Charge-offs",Table_Query_from_Actuarial___Production[SumOfAmount],0),0),0))</f>
        <v>2375558.9500000002</v>
      </c>
      <c r="M16" s="25">
        <f t="array" ref="M16">SUM(IF(Table_Query_from_Actuarial___Production[EffectiveYear]='Loss &amp; Expense Detail'!$A16,IF(Table_Query_from_Actuarial___Production[StateName]='Operating Results'!$F$1,IF(Table_Query_from_Actuarial___Production[RecordType]="Misc. Expense",Table_Query_from_Actuarial___Production[SumOfAmount],0),0),0))</f>
        <v>-5423816.7499999963</v>
      </c>
      <c r="N16" s="25">
        <f t="array" ref="N16">SUM(IF(Table_Query_from_Actuarial___Production[EffectiveYear]='Loss &amp; Expense Detail'!$A16,IF(Table_Query_from_Actuarial___Production[StateName]='Operating Results'!$F$1,IF(Table_Query_from_Actuarial___Production[RecordType]="Misc. Income",Table_Query_from_Actuarial___Production[SumOfAmount],0),0),0))</f>
        <v>44608.640000000007</v>
      </c>
      <c r="O16" s="26"/>
    </row>
    <row r="17" spans="1:15" x14ac:dyDescent="0.2">
      <c r="A17" s="27" t="str">
        <f>'Operating Results'!A19</f>
        <v>2015</v>
      </c>
      <c r="B17" s="25">
        <f t="array" ref="B17">SUM(IF(Table_Query_from_Actuarial___Production[EffectiveYear]='Loss &amp; Expense Detail'!$A17,IF(Table_Query_from_Actuarial___Production[StateName]='Operating Results'!$F$1,IF(Table_Query_from_Actuarial___Production[RecordType]="Losses Paid",Table_Query_from_Actuarial___Production[SumOfAmount],0),0),0))</f>
        <v>86441953.010000005</v>
      </c>
      <c r="C17" s="25">
        <f t="array" ref="C17">SUM(IF(Table_Query_from_Actuarial___Production[EffectiveYear]='Loss &amp; Expense Detail'!$A17,IF(Table_Query_from_Actuarial___Production[StateName]='Operating Results'!$F$1,IF(Table_Query_from_Actuarial___Production[RecordType]="Losses Outstanding",Table_Query_from_Actuarial___Production[SumOfAmount],0),0),0))</f>
        <v>458042.5</v>
      </c>
      <c r="D17" s="25">
        <f t="array" ref="D17">SUM(IF(Table_Query_from_Actuarial___Production[EffectiveYear]='Loss &amp; Expense Detail'!$A17,IF(Table_Query_from_Actuarial___Production[StateName]='Operating Results'!$F$1,IF(Table_Query_from_Actuarial___Production[RecordType]="IBNR",Table_Query_from_Actuarial___Production[SumOfAmount],0),0),0))</f>
        <v>0</v>
      </c>
      <c r="E17" s="25">
        <f t="array" ref="E17">IF(LEFT('Operating Results'!$F$1,23)="North Carolina Facility",SUM(IF(Table_Query_from_Actuarial___Production[EffectiveYear]='Loss &amp; Expense Detail'!$A17,IF(Table_Query_from_Actuarial___Production[StateName]='Operating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Detail'!$A17,IF(Table_Query_from_Actuarial___Production[StateName]='Operating Results'!$F$1,IF(Table_Query_from_Actuarial___Production[RecordType]="Claims Expense",Table_Query_from_Actuarial___Production[SumOfAmount],0),0),0))))</f>
        <v>8733003.7199999988</v>
      </c>
      <c r="F17" s="25">
        <f t="array" ref="F17">IF(LEFT('Operating Results'!$F$1,23)="North Carolina Facility",SUM(IF(Table_Query_from_Actuarial___Production[EffectiveYear]='Loss &amp; Expense Detail'!$A17,IF(Table_Query_from_Actuarial___Production[StateName]='Operating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Detail'!$A17,IF(Table_Query_from_Actuarial___Production[StateName]='Operating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Detail'!$A17,IF(Table_Query_from_Actuarial___Production[StateName]='Operating Results'!$F$1,IF(Table_Query_from_Actuarial___Production[RecordType]="ALAE Reserve",Table_Query_from_Actuarial___Production[SumOfAmount],0),0),0)))</f>
        <v>6166198.5699999994</v>
      </c>
      <c r="G17" s="25">
        <f t="array" ref="G17">IF(LEFT('Operating Results'!$F$1,23)="North Carolina Facility",SUM(IF(Table_Query_from_Actuarial___Production[EffectiveYear]='Loss &amp; Expense Detail'!$A17,IF(Table_Query_from_Actuarial___Production[StateName]='Operating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Detail'!$A17,IF(Table_Query_from_Actuarial___Production[StateName]='Operating Results'!$F$1,IF(Table_Query_from_Actuarial___Production[RecordType]="Operating Service Fees",Table_Query_from_Actuarial___Production[SumOfAmount],0),0),0)))</f>
        <v>17445924.579999998</v>
      </c>
      <c r="H17" s="25">
        <f t="array" ref="H17">IF(LEFT('Operating Results'!$F$1,6)="Hawaii",SUM(IF(Table_Query_from_Actuarial___Production[EffectiveYear]='Loss &amp; Expense Detail'!$A17,IF(Table_Query_from_Actuarial___Production[StateName]='Operating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Detail'!$A17,IF(Table_Query_from_Actuarial___Production[StateName]='Operating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Detail'!$A17,IF(Table_Query_from_Actuarial___Production[StateName]='Operating Results'!$F$1,IF(Table_Query_from_Actuarial___Production[RecordType]="Premium Tax",Table_Query_from_Actuarial___Production[SumOfAmount],0),0),0))))</f>
        <v>1744373.1400000004</v>
      </c>
      <c r="I17" s="25">
        <f t="array" ref="I17">SUM(IF(Table_Query_from_Actuarial___Production[EffectiveYear]='Loss &amp; Expense Detail'!$A17,IF(Table_Query_from_Actuarial___Production[StateName]='Operating Results'!$F$1,IF(Table_Query_from_Actuarial___Production[RecordType]="Commissions",Table_Query_from_Actuarial___Production[SumOfAmount],0),0),0))</f>
        <v>5549595.2000000002</v>
      </c>
      <c r="J17" s="25">
        <f t="array" ref="J17">SUM(IF(Table_Query_from_Actuarial___Production[EffectiveYear]='Loss &amp; Expense Detail'!$A17,IF(Table_Query_from_Actuarial___Production[StateName]='Operating Results'!$F$1,IF(Table_Query_from_Actuarial___Production[RecordType]="PDR",Table_Query_from_Actuarial___Production[SumOfAmount],0),0),0))</f>
        <v>0</v>
      </c>
      <c r="K17" s="25">
        <f t="array" ref="K17">SUM(IF(Table_Query_from_Actuarial___Production[EffectiveYear]='Loss &amp; Expense Detail'!$A17,IF(Table_Query_from_Actuarial___Production[StateName]='Operating Results'!$F$1,IF(Table_Query_from_Actuarial___Production[RecordType]="Investment Income",Table_Query_from_Actuarial___Production[SumOfAmount],0),0),0))</f>
        <v>1329.2599999999998</v>
      </c>
      <c r="L17" s="25">
        <f t="array" ref="L17">SUM(IF(Table_Query_from_Actuarial___Production[EffectiveYear]='Loss &amp; Expense Detail'!$A17,IF(Table_Query_from_Actuarial___Production[StateName]='Operating Results'!$F$1,IF(Table_Query_from_Actuarial___Production[RecordType]="Charge-offs",Table_Query_from_Actuarial___Production[SumOfAmount],0),0),0))</f>
        <v>5320165.34</v>
      </c>
      <c r="M17" s="25">
        <f t="array" ref="M17">SUM(IF(Table_Query_from_Actuarial___Production[EffectiveYear]='Loss &amp; Expense Detail'!$A17,IF(Table_Query_from_Actuarial___Production[StateName]='Operating Results'!$F$1,IF(Table_Query_from_Actuarial___Production[RecordType]="Misc. Expense",Table_Query_from_Actuarial___Production[SumOfAmount],0),0),0))</f>
        <v>2649665.0600000005</v>
      </c>
      <c r="N17" s="25">
        <f t="array" ref="N17">SUM(IF(Table_Query_from_Actuarial___Production[EffectiveYear]='Loss &amp; Expense Detail'!$A17,IF(Table_Query_from_Actuarial___Production[StateName]='Operating Results'!$F$1,IF(Table_Query_from_Actuarial___Production[RecordType]="Misc. Income",Table_Query_from_Actuarial___Production[SumOfAmount],0),0),0))</f>
        <v>305677.98999999987</v>
      </c>
      <c r="O17" s="26"/>
    </row>
    <row r="18" spans="1:15" x14ac:dyDescent="0.2">
      <c r="A18" s="27" t="str">
        <f>'Operating Results'!A20</f>
        <v>2016</v>
      </c>
      <c r="B18" s="25">
        <f t="array" ref="B18">SUM(IF(Table_Query_from_Actuarial___Production[EffectiveYear]='Loss &amp; Expense Detail'!$A18,IF(Table_Query_from_Actuarial___Production[StateName]='Operating Results'!$F$1,IF(Table_Query_from_Actuarial___Production[RecordType]="Losses Paid",Table_Query_from_Actuarial___Production[SumOfAmount],0),0),0))</f>
        <v>101131897.43000001</v>
      </c>
      <c r="C18" s="25">
        <f t="array" ref="C18">SUM(IF(Table_Query_from_Actuarial___Production[EffectiveYear]='Loss &amp; Expense Detail'!$A18,IF(Table_Query_from_Actuarial___Production[StateName]='Operating Results'!$F$1,IF(Table_Query_from_Actuarial___Production[RecordType]="Losses Outstanding",Table_Query_from_Actuarial___Production[SumOfAmount],0),0),0))</f>
        <v>3543810.04</v>
      </c>
      <c r="D18" s="25">
        <f t="array" ref="D18">SUM(IF(Table_Query_from_Actuarial___Production[EffectiveYear]='Loss &amp; Expense Detail'!$A18,IF(Table_Query_from_Actuarial___Production[StateName]='Operating Results'!$F$1,IF(Table_Query_from_Actuarial___Production[RecordType]="IBNR",Table_Query_from_Actuarial___Production[SumOfAmount],0),0),0))</f>
        <v>0</v>
      </c>
      <c r="E18" s="25">
        <f t="array" ref="E18">IF(LEFT('Operating Results'!$F$1,23)="North Carolina Facility",SUM(IF(Table_Query_from_Actuarial___Production[EffectiveYear]='Loss &amp; Expense Detail'!$A18,IF(Table_Query_from_Actuarial___Production[StateName]='Operating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Detail'!$A18,IF(Table_Query_from_Actuarial___Production[StateName]='Operating Results'!$F$1,IF(Table_Query_from_Actuarial___Production[RecordType]="Claims Expense",Table_Query_from_Actuarial___Production[SumOfAmount],0),0),0))))</f>
        <v>9821979.8100000024</v>
      </c>
      <c r="F18" s="25">
        <f t="array" ref="F18">IF(LEFT('Operating Results'!$F$1,23)="North Carolina Facility",SUM(IF(Table_Query_from_Actuarial___Production[EffectiveYear]='Loss &amp; Expense Detail'!$A18,IF(Table_Query_from_Actuarial___Production[StateName]='Operating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Detail'!$A18,IF(Table_Query_from_Actuarial___Production[StateName]='Operating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Detail'!$A18,IF(Table_Query_from_Actuarial___Production[StateName]='Operating Results'!$F$1,IF(Table_Query_from_Actuarial___Production[RecordType]="ALAE Reserve",Table_Query_from_Actuarial___Production[SumOfAmount],0),0),0)))</f>
        <v>5992903.8199999994</v>
      </c>
      <c r="G18" s="25">
        <f t="array" ref="G18">IF(LEFT('Operating Results'!$F$1,23)="North Carolina Facility",SUM(IF(Table_Query_from_Actuarial___Production[EffectiveYear]='Loss &amp; Expense Detail'!$A18,IF(Table_Query_from_Actuarial___Production[StateName]='Operating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Detail'!$A18,IF(Table_Query_from_Actuarial___Production[StateName]='Operating Results'!$F$1,IF(Table_Query_from_Actuarial___Production[RecordType]="Operating Service Fees",Table_Query_from_Actuarial___Production[SumOfAmount],0),0),0)))</f>
        <v>20045139.849999998</v>
      </c>
      <c r="H18" s="25">
        <f t="array" ref="H18">IF(LEFT('Operating Results'!$F$1,6)="Hawaii",SUM(IF(Table_Query_from_Actuarial___Production[EffectiveYear]='Loss &amp; Expense Detail'!$A18,IF(Table_Query_from_Actuarial___Production[StateName]='Operating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Detail'!$A18,IF(Table_Query_from_Actuarial___Production[StateName]='Operating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Detail'!$A18,IF(Table_Query_from_Actuarial___Production[StateName]='Operating Results'!$F$1,IF(Table_Query_from_Actuarial___Production[RecordType]="Premium Tax",Table_Query_from_Actuarial___Production[SumOfAmount],0),0),0))))</f>
        <v>2083780.7799999998</v>
      </c>
      <c r="I18" s="25">
        <f t="array" ref="I18">SUM(IF(Table_Query_from_Actuarial___Production[EffectiveYear]='Loss &amp; Expense Detail'!$A18,IF(Table_Query_from_Actuarial___Production[StateName]='Operating Results'!$F$1,IF(Table_Query_from_Actuarial___Production[RecordType]="Commissions",Table_Query_from_Actuarial___Production[SumOfAmount],0),0),0))</f>
        <v>6507041.6800000016</v>
      </c>
      <c r="J18" s="25">
        <f t="array" ref="J18">SUM(IF(Table_Query_from_Actuarial___Production[EffectiveYear]='Loss &amp; Expense Detail'!$A18,IF(Table_Query_from_Actuarial___Production[StateName]='Operating Results'!$F$1,IF(Table_Query_from_Actuarial___Production[RecordType]="PDR",Table_Query_from_Actuarial___Production[SumOfAmount],0),0),0))</f>
        <v>0</v>
      </c>
      <c r="K18" s="25">
        <f t="array" ref="K18">SUM(IF(Table_Query_from_Actuarial___Production[EffectiveYear]='Loss &amp; Expense Detail'!$A18,IF(Table_Query_from_Actuarial___Production[StateName]='Operating Results'!$F$1,IF(Table_Query_from_Actuarial___Production[RecordType]="Investment Income",Table_Query_from_Actuarial___Production[SumOfAmount],0),0),0))</f>
        <v>40010.400000000009</v>
      </c>
      <c r="L18" s="25">
        <f t="array" ref="L18">SUM(IF(Table_Query_from_Actuarial___Production[EffectiveYear]='Loss &amp; Expense Detail'!$A18,IF(Table_Query_from_Actuarial___Production[StateName]='Operating Results'!$F$1,IF(Table_Query_from_Actuarial___Production[RecordType]="Charge-offs",Table_Query_from_Actuarial___Production[SumOfAmount],0),0),0))</f>
        <v>5759833.4499999993</v>
      </c>
      <c r="M18" s="25">
        <f t="array" ref="M18">SUM(IF(Table_Query_from_Actuarial___Production[EffectiveYear]='Loss &amp; Expense Detail'!$A18,IF(Table_Query_from_Actuarial___Production[StateName]='Operating Results'!$F$1,IF(Table_Query_from_Actuarial___Production[RecordType]="Misc. Expense",Table_Query_from_Actuarial___Production[SumOfAmount],0),0),0))</f>
        <v>2389306.4499999997</v>
      </c>
      <c r="N18" s="25">
        <f t="array" ref="N18">SUM(IF(Table_Query_from_Actuarial___Production[EffectiveYear]='Loss &amp; Expense Detail'!$A18,IF(Table_Query_from_Actuarial___Production[StateName]='Operating Results'!$F$1,IF(Table_Query_from_Actuarial___Production[RecordType]="Misc. Income",Table_Query_from_Actuarial___Production[SumOfAmount],0),0),0))</f>
        <v>570794.66</v>
      </c>
      <c r="O18" s="26"/>
    </row>
    <row r="19" spans="1:15" x14ac:dyDescent="0.2">
      <c r="A19" s="27" t="str">
        <f>'Operating Results'!A21</f>
        <v>2017</v>
      </c>
      <c r="B19" s="25">
        <f t="array" ref="B19">SUM(IF(Table_Query_from_Actuarial___Production[EffectiveYear]='Loss &amp; Expense Detail'!$A19,IF(Table_Query_from_Actuarial___Production[StateName]='Operating Results'!$F$1,IF(Table_Query_from_Actuarial___Production[RecordType]="Losses Paid",Table_Query_from_Actuarial___Production[SumOfAmount],0),0),0))</f>
        <v>112101718.08</v>
      </c>
      <c r="C19" s="25">
        <f t="array" ref="C19">SUM(IF(Table_Query_from_Actuarial___Production[EffectiveYear]='Loss &amp; Expense Detail'!$A19,IF(Table_Query_from_Actuarial___Production[StateName]='Operating Results'!$F$1,IF(Table_Query_from_Actuarial___Production[RecordType]="Losses Outstanding",Table_Query_from_Actuarial___Production[SumOfAmount],0),0),0))</f>
        <v>2469752.9699999997</v>
      </c>
      <c r="D19" s="25">
        <f t="array" ref="D19">SUM(IF(Table_Query_from_Actuarial___Production[EffectiveYear]='Loss &amp; Expense Detail'!$A19,IF(Table_Query_from_Actuarial___Production[StateName]='Operating Results'!$F$1,IF(Table_Query_from_Actuarial___Production[RecordType]="IBNR",Table_Query_from_Actuarial___Production[SumOfAmount],0),0),0))</f>
        <v>9163</v>
      </c>
      <c r="E19" s="25">
        <f t="array" ref="E19">IF(LEFT('Operating Results'!$F$1,23)="North Carolina Facility",SUM(IF(Table_Query_from_Actuarial___Production[EffectiveYear]='Loss &amp; Expense Detail'!$A19,IF(Table_Query_from_Actuarial___Production[StateName]='Operating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Detail'!$A19,IF(Table_Query_from_Actuarial___Production[StateName]='Operating Results'!$F$1,IF(Table_Query_from_Actuarial___Production[RecordType]="Claims Expense",Table_Query_from_Actuarial___Production[SumOfAmount],0),0),0))))</f>
        <v>12496560.189999996</v>
      </c>
      <c r="F19" s="25">
        <f t="array" ref="F19">IF(LEFT('Operating Results'!$F$1,23)="North Carolina Facility",SUM(IF(Table_Query_from_Actuarial___Production[EffectiveYear]='Loss &amp; Expense Detail'!$A19,IF(Table_Query_from_Actuarial___Production[StateName]='Operating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Detail'!$A19,IF(Table_Query_from_Actuarial___Production[StateName]='Operating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Detail'!$A19,IF(Table_Query_from_Actuarial___Production[StateName]='Operating Results'!$F$1,IF(Table_Query_from_Actuarial___Production[RecordType]="ALAE Reserve",Table_Query_from_Actuarial___Production[SumOfAmount],0),0),0)))</f>
        <v>7002462.3500000015</v>
      </c>
      <c r="G19" s="25">
        <f t="array" ref="G19">IF(LEFT('Operating Results'!$F$1,23)="North Carolina Facility",SUM(IF(Table_Query_from_Actuarial___Production[EffectiveYear]='Loss &amp; Expense Detail'!$A19,IF(Table_Query_from_Actuarial___Production[StateName]='Operating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Detail'!$A19,IF(Table_Query_from_Actuarial___Production[StateName]='Operating Results'!$F$1,IF(Table_Query_from_Actuarial___Production[RecordType]="Operating Service Fees",Table_Query_from_Actuarial___Production[SumOfAmount],0),0),0)))</f>
        <v>23797671.289999995</v>
      </c>
      <c r="H19" s="25">
        <f t="array" ref="H19">IF(LEFT('Operating Results'!$F$1,6)="Hawaii",SUM(IF(Table_Query_from_Actuarial___Production[EffectiveYear]='Loss &amp; Expense Detail'!$A19,IF(Table_Query_from_Actuarial___Production[StateName]='Operating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Detail'!$A19,IF(Table_Query_from_Actuarial___Production[StateName]='Operating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Detail'!$A19,IF(Table_Query_from_Actuarial___Production[StateName]='Operating Results'!$F$1,IF(Table_Query_from_Actuarial___Production[RecordType]="Premium Tax",Table_Query_from_Actuarial___Production[SumOfAmount],0),0),0))))</f>
        <v>2503699.9999999991</v>
      </c>
      <c r="I19" s="25">
        <f t="array" ref="I19">SUM(IF(Table_Query_from_Actuarial___Production[EffectiveYear]='Loss &amp; Expense Detail'!$A19,IF(Table_Query_from_Actuarial___Production[StateName]='Operating Results'!$F$1,IF(Table_Query_from_Actuarial___Production[RecordType]="Commissions",Table_Query_from_Actuarial___Production[SumOfAmount],0),0),0))</f>
        <v>8285409.8800000008</v>
      </c>
      <c r="J19" s="25">
        <f t="array" ref="J19">SUM(IF(Table_Query_from_Actuarial___Production[EffectiveYear]='Loss &amp; Expense Detail'!$A19,IF(Table_Query_from_Actuarial___Production[StateName]='Operating Results'!$F$1,IF(Table_Query_from_Actuarial___Production[RecordType]="PDR",Table_Query_from_Actuarial___Production[SumOfAmount],0),0),0))</f>
        <v>0</v>
      </c>
      <c r="K19" s="25">
        <f t="array" ref="K19">SUM(IF(Table_Query_from_Actuarial___Production[EffectiveYear]='Loss &amp; Expense Detail'!$A19,IF(Table_Query_from_Actuarial___Production[StateName]='Operating Results'!$F$1,IF(Table_Query_from_Actuarial___Production[RecordType]="Investment Income",Table_Query_from_Actuarial___Production[SumOfAmount],0),0),0))</f>
        <v>142962.20000000001</v>
      </c>
      <c r="L19" s="25">
        <f t="array" ref="L19">SUM(IF(Table_Query_from_Actuarial___Production[EffectiveYear]='Loss &amp; Expense Detail'!$A19,IF(Table_Query_from_Actuarial___Production[StateName]='Operating Results'!$F$1,IF(Table_Query_from_Actuarial___Production[RecordType]="Charge-offs",Table_Query_from_Actuarial___Production[SumOfAmount],0),0),0))</f>
        <v>7477795.7300000014</v>
      </c>
      <c r="M19" s="25">
        <f t="array" ref="M19">SUM(IF(Table_Query_from_Actuarial___Production[EffectiveYear]='Loss &amp; Expense Detail'!$A19,IF(Table_Query_from_Actuarial___Production[StateName]='Operating Results'!$F$1,IF(Table_Query_from_Actuarial___Production[RecordType]="Misc. Expense",Table_Query_from_Actuarial___Production[SumOfAmount],0),0),0))</f>
        <v>2424518.9899999984</v>
      </c>
      <c r="N19" s="25">
        <f t="array" ref="N19">SUM(IF(Table_Query_from_Actuarial___Production[EffectiveYear]='Loss &amp; Expense Detail'!$A19,IF(Table_Query_from_Actuarial___Production[StateName]='Operating Results'!$F$1,IF(Table_Query_from_Actuarial___Production[RecordType]="Misc. Income",Table_Query_from_Actuarial___Production[SumOfAmount],0),0),0))</f>
        <v>51811.799999999996</v>
      </c>
      <c r="O19" s="26"/>
    </row>
    <row r="20" spans="1:15" x14ac:dyDescent="0.2">
      <c r="A20" s="27" t="str">
        <f>'Operating Results'!A22</f>
        <v>2018</v>
      </c>
      <c r="B20" s="25">
        <f t="array" ref="B20">SUM(IF(Table_Query_from_Actuarial___Production[EffectiveYear]='Loss &amp; Expense Detail'!$A20,IF(Table_Query_from_Actuarial___Production[StateName]='Operating Results'!$F$1,IF(Table_Query_from_Actuarial___Production[RecordType]="Losses Paid",Table_Query_from_Actuarial___Production[SumOfAmount],0),0),0))</f>
        <v>159010078.36999997</v>
      </c>
      <c r="C20" s="25">
        <f t="array" ref="C20">SUM(IF(Table_Query_from_Actuarial___Production[EffectiveYear]='Loss &amp; Expense Detail'!$A20,IF(Table_Query_from_Actuarial___Production[StateName]='Operating Results'!$F$1,IF(Table_Query_from_Actuarial___Production[RecordType]="Losses Outstanding",Table_Query_from_Actuarial___Production[SumOfAmount],0),0),0))</f>
        <v>11838490.9</v>
      </c>
      <c r="D20" s="25">
        <f t="array" ref="D20">SUM(IF(Table_Query_from_Actuarial___Production[EffectiveYear]='Loss &amp; Expense Detail'!$A20,IF(Table_Query_from_Actuarial___Production[StateName]='Operating Results'!$F$1,IF(Table_Query_from_Actuarial___Production[RecordType]="IBNR",Table_Query_from_Actuarial___Production[SumOfAmount],0),0),0))</f>
        <v>210039</v>
      </c>
      <c r="E20" s="25">
        <f t="array" ref="E20">IF(LEFT('Operating Results'!$F$1,23)="North Carolina Facility",SUM(IF(Table_Query_from_Actuarial___Production[EffectiveYear]='Loss &amp; Expense Detail'!$A20,IF(Table_Query_from_Actuarial___Production[StateName]='Operating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Detail'!$A20,IF(Table_Query_from_Actuarial___Production[StateName]='Operating Results'!$F$1,IF(Table_Query_from_Actuarial___Production[RecordType]="Claims Expense",Table_Query_from_Actuarial___Production[SumOfAmount],0),0),0))))</f>
        <v>16674875.979999997</v>
      </c>
      <c r="F20" s="25">
        <f t="array" ref="F20">IF(LEFT('Operating Results'!$F$1,23)="North Carolina Facility",SUM(IF(Table_Query_from_Actuarial___Production[EffectiveYear]='Loss &amp; Expense Detail'!$A20,IF(Table_Query_from_Actuarial___Production[StateName]='Operating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Detail'!$A20,IF(Table_Query_from_Actuarial___Production[StateName]='Operating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Detail'!$A20,IF(Table_Query_from_Actuarial___Production[StateName]='Operating Results'!$F$1,IF(Table_Query_from_Actuarial___Production[RecordType]="ALAE Reserve",Table_Query_from_Actuarial___Production[SumOfAmount],0),0),0)))</f>
        <v>8427906.2300000004</v>
      </c>
      <c r="G20" s="25">
        <f t="array" ref="G20">IF(LEFT('Operating Results'!$F$1,23)="North Carolina Facility",SUM(IF(Table_Query_from_Actuarial___Production[EffectiveYear]='Loss &amp; Expense Detail'!$A20,IF(Table_Query_from_Actuarial___Production[StateName]='Operating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Detail'!$A20,IF(Table_Query_from_Actuarial___Production[StateName]='Operating Results'!$F$1,IF(Table_Query_from_Actuarial___Production[RecordType]="Operating Service Fees",Table_Query_from_Actuarial___Production[SumOfAmount],0),0),0)))</f>
        <v>31033381.810000002</v>
      </c>
      <c r="H20" s="25">
        <f t="array" ref="H20">IF(LEFT('Operating Results'!$F$1,6)="Hawaii",SUM(IF(Table_Query_from_Actuarial___Production[EffectiveYear]='Loss &amp; Expense Detail'!$A20,IF(Table_Query_from_Actuarial___Production[StateName]='Operating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Detail'!$A20,IF(Table_Query_from_Actuarial___Production[StateName]='Operating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Detail'!$A20,IF(Table_Query_from_Actuarial___Production[StateName]='Operating Results'!$F$1,IF(Table_Query_from_Actuarial___Production[RecordType]="Premium Tax",Table_Query_from_Actuarial___Production[SumOfAmount],0),0),0))))</f>
        <v>3598186.6699999995</v>
      </c>
      <c r="I20" s="25">
        <f t="array" ref="I20">SUM(IF(Table_Query_from_Actuarial___Production[EffectiveYear]='Loss &amp; Expense Detail'!$A20,IF(Table_Query_from_Actuarial___Production[StateName]='Operating Results'!$F$1,IF(Table_Query_from_Actuarial___Production[RecordType]="Commissions",Table_Query_from_Actuarial___Production[SumOfAmount],0),0),0))</f>
        <v>11229838.529999999</v>
      </c>
      <c r="J20" s="25">
        <f t="array" ref="J20">SUM(IF(Table_Query_from_Actuarial___Production[EffectiveYear]='Loss &amp; Expense Detail'!$A20,IF(Table_Query_from_Actuarial___Production[StateName]='Operating Results'!$F$1,IF(Table_Query_from_Actuarial___Production[RecordType]="PDR",Table_Query_from_Actuarial___Production[SumOfAmount],0),0),0))</f>
        <v>0</v>
      </c>
      <c r="K20" s="25">
        <f t="array" ref="K20">SUM(IF(Table_Query_from_Actuarial___Production[EffectiveYear]='Loss &amp; Expense Detail'!$A20,IF(Table_Query_from_Actuarial___Production[StateName]='Operating Results'!$F$1,IF(Table_Query_from_Actuarial___Production[RecordType]="Investment Income",Table_Query_from_Actuarial___Production[SumOfAmount],0),0),0))</f>
        <v>397683.83</v>
      </c>
      <c r="L20" s="25">
        <f t="array" ref="L20">SUM(IF(Table_Query_from_Actuarial___Production[EffectiveYear]='Loss &amp; Expense Detail'!$A20,IF(Table_Query_from_Actuarial___Production[StateName]='Operating Results'!$F$1,IF(Table_Query_from_Actuarial___Production[RecordType]="Charge-offs",Table_Query_from_Actuarial___Production[SumOfAmount],0),0),0))</f>
        <v>8297919.2399999993</v>
      </c>
      <c r="M20" s="25">
        <f t="array" ref="M20">SUM(IF(Table_Query_from_Actuarial___Production[EffectiveYear]='Loss &amp; Expense Detail'!$A20,IF(Table_Query_from_Actuarial___Production[StateName]='Operating Results'!$F$1,IF(Table_Query_from_Actuarial___Production[RecordType]="Misc. Expense",Table_Query_from_Actuarial___Production[SumOfAmount],0),0),0))</f>
        <v>1672412.8799999987</v>
      </c>
      <c r="N20" s="25">
        <f t="array" ref="N20">SUM(IF(Table_Query_from_Actuarial___Production[EffectiveYear]='Loss &amp; Expense Detail'!$A20,IF(Table_Query_from_Actuarial___Production[StateName]='Operating Results'!$F$1,IF(Table_Query_from_Actuarial___Production[RecordType]="Misc. Income",Table_Query_from_Actuarial___Production[SumOfAmount],0),0),0))</f>
        <v>81615.38</v>
      </c>
      <c r="O20" s="26"/>
    </row>
    <row r="21" spans="1:15" x14ac:dyDescent="0.2">
      <c r="A21" s="27" t="str">
        <f>'Operating Results'!A23</f>
        <v>2019</v>
      </c>
      <c r="B21" s="25">
        <f t="array" ref="B21">SUM(IF(Table_Query_from_Actuarial___Production[EffectiveYear]='Loss &amp; Expense Detail'!$A21,IF(Table_Query_from_Actuarial___Production[StateName]='Operating Results'!$F$1,IF(Table_Query_from_Actuarial___Production[RecordType]="Losses Paid",Table_Query_from_Actuarial___Production[SumOfAmount],0),0),0))</f>
        <v>157791718.28</v>
      </c>
      <c r="C21" s="25">
        <f t="array" ref="C21">SUM(IF(Table_Query_from_Actuarial___Production[EffectiveYear]='Loss &amp; Expense Detail'!$A21,IF(Table_Query_from_Actuarial___Production[StateName]='Operating Results'!$F$1,IF(Table_Query_from_Actuarial___Production[RecordType]="Losses Outstanding",Table_Query_from_Actuarial___Production[SumOfAmount],0),0),0))</f>
        <v>50466827.530000001</v>
      </c>
      <c r="D21" s="25">
        <f t="array" ref="D21">SUM(IF(Table_Query_from_Actuarial___Production[EffectiveYear]='Loss &amp; Expense Detail'!$A21,IF(Table_Query_from_Actuarial___Production[StateName]='Operating Results'!$F$1,IF(Table_Query_from_Actuarial___Production[RecordType]="IBNR",Table_Query_from_Actuarial___Production[SumOfAmount],0),0),0))</f>
        <v>1179382.78</v>
      </c>
      <c r="E21" s="25">
        <f t="array" ref="E21">IF(LEFT('Operating Results'!$F$1,23)="North Carolina Facility",SUM(IF(Table_Query_from_Actuarial___Production[EffectiveYear]='Loss &amp; Expense Detail'!$A21,IF(Table_Query_from_Actuarial___Production[StateName]='Operating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Detail'!$A21,IF(Table_Query_from_Actuarial___Production[StateName]='Operating Results'!$F$1,IF(Table_Query_from_Actuarial___Production[RecordType]="Claims Expense",Table_Query_from_Actuarial___Production[SumOfAmount],0),0),0))))</f>
        <v>19415605.010000002</v>
      </c>
      <c r="F21" s="25">
        <f t="array" ref="F21">IF(LEFT('Operating Results'!$F$1,23)="North Carolina Facility",SUM(IF(Table_Query_from_Actuarial___Production[EffectiveYear]='Loss &amp; Expense Detail'!$A21,IF(Table_Query_from_Actuarial___Production[StateName]='Operating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Detail'!$A21,IF(Table_Query_from_Actuarial___Production[StateName]='Operating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Detail'!$A21,IF(Table_Query_from_Actuarial___Production[StateName]='Operating Results'!$F$1,IF(Table_Query_from_Actuarial___Production[RecordType]="ALAE Reserve",Table_Query_from_Actuarial___Production[SumOfAmount],0),0),0)))</f>
        <v>11272548.479999999</v>
      </c>
      <c r="G21" s="25">
        <f t="array" ref="G21">IF(LEFT('Operating Results'!$F$1,23)="North Carolina Facility",SUM(IF(Table_Query_from_Actuarial___Production[EffectiveYear]='Loss &amp; Expense Detail'!$A21,IF(Table_Query_from_Actuarial___Production[StateName]='Operating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Detail'!$A21,IF(Table_Query_from_Actuarial___Production[StateName]='Operating Results'!$F$1,IF(Table_Query_from_Actuarial___Production[RecordType]="Operating Service Fees",Table_Query_from_Actuarial___Production[SumOfAmount],0),0),0)))</f>
        <v>37084669.329999998</v>
      </c>
      <c r="H21" s="25">
        <f t="array" ref="H21">IF(LEFT('Operating Results'!$F$1,6)="Hawaii",SUM(IF(Table_Query_from_Actuarial___Production[EffectiveYear]='Loss &amp; Expense Detail'!$A21,IF(Table_Query_from_Actuarial___Production[StateName]='Operating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Detail'!$A21,IF(Table_Query_from_Actuarial___Production[StateName]='Operating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Detail'!$A21,IF(Table_Query_from_Actuarial___Production[StateName]='Operating Results'!$F$1,IF(Table_Query_from_Actuarial___Production[RecordType]="Premium Tax",Table_Query_from_Actuarial___Production[SumOfAmount],0),0),0))))</f>
        <v>4167139.2600000002</v>
      </c>
      <c r="I21" s="25">
        <f t="array" ref="I21">SUM(IF(Table_Query_from_Actuarial___Production[EffectiveYear]='Loss &amp; Expense Detail'!$A21,IF(Table_Query_from_Actuarial___Production[StateName]='Operating Results'!$F$1,IF(Table_Query_from_Actuarial___Production[RecordType]="Commissions",Table_Query_from_Actuarial___Production[SumOfAmount],0),0),0))</f>
        <v>14481070.610000001</v>
      </c>
      <c r="J21" s="25">
        <f t="array" ref="J21">SUM(IF(Table_Query_from_Actuarial___Production[EffectiveYear]='Loss &amp; Expense Detail'!$A21,IF(Table_Query_from_Actuarial___Production[StateName]='Operating Results'!$F$1,IF(Table_Query_from_Actuarial___Production[RecordType]="PDR",Table_Query_from_Actuarial___Production[SumOfAmount],0),0),0))</f>
        <v>0</v>
      </c>
      <c r="K21" s="25">
        <f t="array" ref="K21">SUM(IF(Table_Query_from_Actuarial___Production[EffectiveYear]='Loss &amp; Expense Detail'!$A21,IF(Table_Query_from_Actuarial___Production[StateName]='Operating Results'!$F$1,IF(Table_Query_from_Actuarial___Production[RecordType]="Investment Income",Table_Query_from_Actuarial___Production[SumOfAmount],0),0),0))</f>
        <v>589194.75</v>
      </c>
      <c r="L21" s="25">
        <f t="array" ref="L21">SUM(IF(Table_Query_from_Actuarial___Production[EffectiveYear]='Loss &amp; Expense Detail'!$A21,IF(Table_Query_from_Actuarial___Production[StateName]='Operating Results'!$F$1,IF(Table_Query_from_Actuarial___Production[RecordType]="Charge-offs",Table_Query_from_Actuarial___Production[SumOfAmount],0),0),0))</f>
        <v>6793920.9199999999</v>
      </c>
      <c r="M21" s="25">
        <f t="array" ref="M21">SUM(IF(Table_Query_from_Actuarial___Production[EffectiveYear]='Loss &amp; Expense Detail'!$A21,IF(Table_Query_from_Actuarial___Production[StateName]='Operating Results'!$F$1,IF(Table_Query_from_Actuarial___Production[RecordType]="Misc. Expense",Table_Query_from_Actuarial___Production[SumOfAmount],0),0),0))</f>
        <v>5883202.5999999996</v>
      </c>
      <c r="N21" s="25">
        <f t="array" ref="N21">SUM(IF(Table_Query_from_Actuarial___Production[EffectiveYear]='Loss &amp; Expense Detail'!$A21,IF(Table_Query_from_Actuarial___Production[StateName]='Operating Results'!$F$1,IF(Table_Query_from_Actuarial___Production[RecordType]="Misc. Income",Table_Query_from_Actuarial___Production[SumOfAmount],0),0),0))</f>
        <v>13758.910000000002</v>
      </c>
      <c r="O21" s="26"/>
    </row>
    <row r="22" spans="1:15" x14ac:dyDescent="0.2">
      <c r="A22" s="27" t="str">
        <f>'Operating Results'!A24</f>
        <v>2020</v>
      </c>
      <c r="B22" s="25">
        <f t="array" ref="B22">SUM(IF(Table_Query_from_Actuarial___Production[EffectiveYear]='Loss &amp; Expense Detail'!$A22,IF(Table_Query_from_Actuarial___Production[StateName]='Operating Results'!$F$1,IF(Table_Query_from_Actuarial___Production[RecordType]="Losses Paid",Table_Query_from_Actuarial___Production[SumOfAmount],0),0),0))</f>
        <v>177461705.88000003</v>
      </c>
      <c r="C22" s="25">
        <f t="array" ref="C22">SUM(IF(Table_Query_from_Actuarial___Production[EffectiveYear]='Loss &amp; Expense Detail'!$A22,IF(Table_Query_from_Actuarial___Production[StateName]='Operating Results'!$F$1,IF(Table_Query_from_Actuarial___Production[RecordType]="Losses Outstanding",Table_Query_from_Actuarial___Production[SumOfAmount],0),0),0))</f>
        <v>59899916.240000002</v>
      </c>
      <c r="D22" s="25">
        <f t="array" ref="D22">SUM(IF(Table_Query_from_Actuarial___Production[EffectiveYear]='Loss &amp; Expense Detail'!$A22,IF(Table_Query_from_Actuarial___Production[StateName]='Operating Results'!$F$1,IF(Table_Query_from_Actuarial___Production[RecordType]="IBNR",Table_Query_from_Actuarial___Production[SumOfAmount],0),0),0))</f>
        <v>22164681.709999997</v>
      </c>
      <c r="E22" s="25">
        <f t="array" ref="E22">IF(LEFT('Operating Results'!$F$1,23)="North Carolina Facility",SUM(IF(Table_Query_from_Actuarial___Production[EffectiveYear]='Loss &amp; Expense Detail'!$A22,IF(Table_Query_from_Actuarial___Production[StateName]='Operating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Detail'!$A22,IF(Table_Query_from_Actuarial___Production[StateName]='Operating Results'!$F$1,IF(Table_Query_from_Actuarial___Production[RecordType]="Claims Expense",Table_Query_from_Actuarial___Production[SumOfAmount],0),0),0))))</f>
        <v>20959191.109999999</v>
      </c>
      <c r="F22" s="25">
        <f t="array" ref="F22">IF(LEFT('Operating Results'!$F$1,23)="North Carolina Facility",SUM(IF(Table_Query_from_Actuarial___Production[EffectiveYear]='Loss &amp; Expense Detail'!$A22,IF(Table_Query_from_Actuarial___Production[StateName]='Operating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Detail'!$A22,IF(Table_Query_from_Actuarial___Production[StateName]='Operating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Detail'!$A22,IF(Table_Query_from_Actuarial___Production[StateName]='Operating Results'!$F$1,IF(Table_Query_from_Actuarial___Production[RecordType]="ALAE Reserve",Table_Query_from_Actuarial___Production[SumOfAmount],0),0),0)))</f>
        <v>14544669.829999998</v>
      </c>
      <c r="G22" s="25">
        <f t="array" ref="G22">IF(LEFT('Operating Results'!$F$1,23)="North Carolina Facility",SUM(IF(Table_Query_from_Actuarial___Production[EffectiveYear]='Loss &amp; Expense Detail'!$A22,IF(Table_Query_from_Actuarial___Production[StateName]='Operating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Detail'!$A22,IF(Table_Query_from_Actuarial___Production[StateName]='Operating Results'!$F$1,IF(Table_Query_from_Actuarial___Production[RecordType]="Operating Service Fees",Table_Query_from_Actuarial___Production[SumOfAmount],0),0),0)))</f>
        <v>44300162.469999999</v>
      </c>
      <c r="H22" s="25">
        <f t="array" ref="H22">IF(LEFT('Operating Results'!$F$1,6)="Hawaii",SUM(IF(Table_Query_from_Actuarial___Production[EffectiveYear]='Loss &amp; Expense Detail'!$A22,IF(Table_Query_from_Actuarial___Production[StateName]='Operating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Detail'!$A22,IF(Table_Query_from_Actuarial___Production[StateName]='Operating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Detail'!$A22,IF(Table_Query_from_Actuarial___Production[StateName]='Operating Results'!$F$1,IF(Table_Query_from_Actuarial___Production[RecordType]="Premium Tax",Table_Query_from_Actuarial___Production[SumOfAmount],0),0),0))))</f>
        <v>4525416.169999999</v>
      </c>
      <c r="I22" s="25">
        <f t="array" ref="I22">SUM(IF(Table_Query_from_Actuarial___Production[EffectiveYear]='Loss &amp; Expense Detail'!$A22,IF(Table_Query_from_Actuarial___Production[StateName]='Operating Results'!$F$1,IF(Table_Query_from_Actuarial___Production[RecordType]="Commissions",Table_Query_from_Actuarial___Production[SumOfAmount],0),0),0))</f>
        <v>14570077.330000006</v>
      </c>
      <c r="J22" s="25">
        <f t="array" ref="J22">SUM(IF(Table_Query_from_Actuarial___Production[EffectiveYear]='Loss &amp; Expense Detail'!$A22,IF(Table_Query_from_Actuarial___Production[StateName]='Operating Results'!$F$1,IF(Table_Query_from_Actuarial___Production[RecordType]="PDR",Table_Query_from_Actuarial___Production[SumOfAmount],0),0),0))</f>
        <v>0</v>
      </c>
      <c r="K22" s="25">
        <f t="array" ref="K22">SUM(IF(Table_Query_from_Actuarial___Production[EffectiveYear]='Loss &amp; Expense Detail'!$A22,IF(Table_Query_from_Actuarial___Production[StateName]='Operating Results'!$F$1,IF(Table_Query_from_Actuarial___Production[RecordType]="Investment Income",Table_Query_from_Actuarial___Production[SumOfAmount],0),0),0))</f>
        <v>171388.16000000003</v>
      </c>
      <c r="L22" s="25">
        <f t="array" ref="L22">SUM(IF(Table_Query_from_Actuarial___Production[EffectiveYear]='Loss &amp; Expense Detail'!$A22,IF(Table_Query_from_Actuarial___Production[StateName]='Operating Results'!$F$1,IF(Table_Query_from_Actuarial___Production[RecordType]="Charge-offs",Table_Query_from_Actuarial___Production[SumOfAmount],0),0),0))</f>
        <v>8327511.459999999</v>
      </c>
      <c r="M22" s="25">
        <f t="array" ref="M22">SUM(IF(Table_Query_from_Actuarial___Production[EffectiveYear]='Loss &amp; Expense Detail'!$A22,IF(Table_Query_from_Actuarial___Production[StateName]='Operating Results'!$F$1,IF(Table_Query_from_Actuarial___Production[RecordType]="Misc. Expense",Table_Query_from_Actuarial___Production[SumOfAmount],0),0),0))</f>
        <v>2470281.9000000004</v>
      </c>
      <c r="N22" s="25">
        <f t="array" ref="N22">SUM(IF(Table_Query_from_Actuarial___Production[EffectiveYear]='Loss &amp; Expense Detail'!$A22,IF(Table_Query_from_Actuarial___Production[StateName]='Operating Results'!$F$1,IF(Table_Query_from_Actuarial___Production[RecordType]="Misc. Income",Table_Query_from_Actuarial___Production[SumOfAmount],0),0),0))</f>
        <v>12962.539999999999</v>
      </c>
      <c r="O22" s="26"/>
    </row>
    <row r="23" spans="1:15" x14ac:dyDescent="0.2">
      <c r="A23" s="27" t="str">
        <f>'Operating Results'!A25</f>
        <v>2021</v>
      </c>
      <c r="B23" s="25">
        <f t="array" ref="B23">SUM(IF(Table_Query_from_Actuarial___Production[EffectiveYear]='Loss &amp; Expense Detail'!$A23,IF(Table_Query_from_Actuarial___Production[StateName]='Operating Results'!$F$1,IF(Table_Query_from_Actuarial___Production[RecordType]="Losses Paid",Table_Query_from_Actuarial___Production[SumOfAmount],0),0),0))</f>
        <v>176501402.34000003</v>
      </c>
      <c r="C23" s="25">
        <f t="array" ref="C23">SUM(IF(Table_Query_from_Actuarial___Production[EffectiveYear]='Loss &amp; Expense Detail'!$A23,IF(Table_Query_from_Actuarial___Production[StateName]='Operating Results'!$F$1,IF(Table_Query_from_Actuarial___Production[RecordType]="Losses Outstanding",Table_Query_from_Actuarial___Production[SumOfAmount],0),0),0))</f>
        <v>116001460.22</v>
      </c>
      <c r="D23" s="25">
        <f t="array" ref="D23">SUM(IF(Table_Query_from_Actuarial___Production[EffectiveYear]='Loss &amp; Expense Detail'!$A23,IF(Table_Query_from_Actuarial___Production[StateName]='Operating Results'!$F$1,IF(Table_Query_from_Actuarial___Production[RecordType]="IBNR",Table_Query_from_Actuarial___Production[SumOfAmount],0),0),0))</f>
        <v>28474160.009999998</v>
      </c>
      <c r="E23" s="25">
        <f t="array" ref="E23">IF(LEFT('Operating Results'!$F$1,23)="North Carolina Facility",SUM(IF(Table_Query_from_Actuarial___Production[EffectiveYear]='Loss &amp; Expense Detail'!$A23,IF(Table_Query_from_Actuarial___Production[StateName]='Operating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Detail'!$A23,IF(Table_Query_from_Actuarial___Production[StateName]='Operating Results'!$F$1,IF(Table_Query_from_Actuarial___Production[RecordType]="Claims Expense",Table_Query_from_Actuarial___Production[SumOfAmount],0),0),0))))</f>
        <v>25858393.659999996</v>
      </c>
      <c r="F23" s="25">
        <f t="array" ref="F23">IF(LEFT('Operating Results'!$F$1,23)="North Carolina Facility",SUM(IF(Table_Query_from_Actuarial___Production[EffectiveYear]='Loss &amp; Expense Detail'!$A23,IF(Table_Query_from_Actuarial___Production[StateName]='Operating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Detail'!$A23,IF(Table_Query_from_Actuarial___Production[StateName]='Operating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Detail'!$A23,IF(Table_Query_from_Actuarial___Production[StateName]='Operating Results'!$F$1,IF(Table_Query_from_Actuarial___Production[RecordType]="ALAE Reserve",Table_Query_from_Actuarial___Production[SumOfAmount],0),0),0)))</f>
        <v>15805201.829999998</v>
      </c>
      <c r="G23" s="25">
        <f t="array" ref="G23">IF(LEFT('Operating Results'!$F$1,23)="North Carolina Facility",SUM(IF(Table_Query_from_Actuarial___Production[EffectiveYear]='Loss &amp; Expense Detail'!$A23,IF(Table_Query_from_Actuarial___Production[StateName]='Operating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Detail'!$A23,IF(Table_Query_from_Actuarial___Production[StateName]='Operating Results'!$F$1,IF(Table_Query_from_Actuarial___Production[RecordType]="Operating Service Fees",Table_Query_from_Actuarial___Production[SumOfAmount],0),0),0)))</f>
        <v>50170738.729999997</v>
      </c>
      <c r="H23" s="25">
        <f t="array" ref="H23">IF(LEFT('Operating Results'!$F$1,6)="Hawaii",SUM(IF(Table_Query_from_Actuarial___Production[EffectiveYear]='Loss &amp; Expense Detail'!$A23,IF(Table_Query_from_Actuarial___Production[StateName]='Operating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Detail'!$A23,IF(Table_Query_from_Actuarial___Production[StateName]='Operating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Detail'!$A23,IF(Table_Query_from_Actuarial___Production[StateName]='Operating Results'!$F$1,IF(Table_Query_from_Actuarial___Production[RecordType]="Premium Tax",Table_Query_from_Actuarial___Production[SumOfAmount],0),0),0))))</f>
        <v>5434455.709999999</v>
      </c>
      <c r="I23" s="25">
        <f t="array" ref="I23">SUM(IF(Table_Query_from_Actuarial___Production[EffectiveYear]='Loss &amp; Expense Detail'!$A23,IF(Table_Query_from_Actuarial___Production[StateName]='Operating Results'!$F$1,IF(Table_Query_from_Actuarial___Production[RecordType]="Commissions",Table_Query_from_Actuarial___Production[SumOfAmount],0),0),0))</f>
        <v>18102542.860000003</v>
      </c>
      <c r="J23" s="25">
        <f t="array" ref="J23">SUM(IF(Table_Query_from_Actuarial___Production[EffectiveYear]='Loss &amp; Expense Detail'!$A23,IF(Table_Query_from_Actuarial___Production[StateName]='Operating Results'!$F$1,IF(Table_Query_from_Actuarial___Production[RecordType]="PDR",Table_Query_from_Actuarial___Production[SumOfAmount],0),0),0))</f>
        <v>0</v>
      </c>
      <c r="K23" s="25">
        <f t="array" ref="K23">SUM(IF(Table_Query_from_Actuarial___Production[EffectiveYear]='Loss &amp; Expense Detail'!$A23,IF(Table_Query_from_Actuarial___Production[StateName]='Operating Results'!$F$1,IF(Table_Query_from_Actuarial___Production[RecordType]="Investment Income",Table_Query_from_Actuarial___Production[SumOfAmount],0),0),0))</f>
        <v>4830.7800000000007</v>
      </c>
      <c r="L23" s="25">
        <f t="array" ref="L23">SUM(IF(Table_Query_from_Actuarial___Production[EffectiveYear]='Loss &amp; Expense Detail'!$A23,IF(Table_Query_from_Actuarial___Production[StateName]='Operating Results'!$F$1,IF(Table_Query_from_Actuarial___Production[RecordType]="Charge-offs",Table_Query_from_Actuarial___Production[SumOfAmount],0),0),0))</f>
        <v>10831117.280000001</v>
      </c>
      <c r="M23" s="25">
        <f t="array" ref="M23">SUM(IF(Table_Query_from_Actuarial___Production[EffectiveYear]='Loss &amp; Expense Detail'!$A23,IF(Table_Query_from_Actuarial___Production[StateName]='Operating Results'!$F$1,IF(Table_Query_from_Actuarial___Production[RecordType]="Misc. Expense",Table_Query_from_Actuarial___Production[SumOfAmount],0),0),0))</f>
        <v>2324509.1200000006</v>
      </c>
      <c r="N23" s="25">
        <f t="array" ref="N23">SUM(IF(Table_Query_from_Actuarial___Production[EffectiveYear]='Loss &amp; Expense Detail'!$A23,IF(Table_Query_from_Actuarial___Production[StateName]='Operating Results'!$F$1,IF(Table_Query_from_Actuarial___Production[RecordType]="Misc. Income",Table_Query_from_Actuarial___Production[SumOfAmount],0),0),0))</f>
        <v>29463.43</v>
      </c>
      <c r="O23" s="26"/>
    </row>
    <row r="24" spans="1:15" x14ac:dyDescent="0.2">
      <c r="A24" s="27" t="str">
        <f>'Operating Results'!A26</f>
        <v>2022</v>
      </c>
      <c r="B24" s="25">
        <f t="array" ref="B24">SUM(IF(Table_Query_from_Actuarial___Production[EffectiveYear]='Loss &amp; Expense Detail'!$A24,IF(Table_Query_from_Actuarial___Production[StateName]='Operating Results'!$F$1,IF(Table_Query_from_Actuarial___Production[RecordType]="Losses Paid",Table_Query_from_Actuarial___Production[SumOfAmount],0),0),0))</f>
        <v>123464525.38</v>
      </c>
      <c r="C24" s="25">
        <f t="array" ref="C24">SUM(IF(Table_Query_from_Actuarial___Production[EffectiveYear]='Loss &amp; Expense Detail'!$A24,IF(Table_Query_from_Actuarial___Production[StateName]='Operating Results'!$F$1,IF(Table_Query_from_Actuarial___Production[RecordType]="Losses Outstanding",Table_Query_from_Actuarial___Production[SumOfAmount],0),0),0))</f>
        <v>140810294.02000004</v>
      </c>
      <c r="D24" s="25">
        <f t="array" ref="D24">SUM(IF(Table_Query_from_Actuarial___Production[EffectiveYear]='Loss &amp; Expense Detail'!$A24,IF(Table_Query_from_Actuarial___Production[StateName]='Operating Results'!$F$1,IF(Table_Query_from_Actuarial___Production[RecordType]="IBNR",Table_Query_from_Actuarial___Production[SumOfAmount],0),0),0))</f>
        <v>47415839.909999989</v>
      </c>
      <c r="E24" s="25">
        <f t="array" ref="E24">IF(LEFT('Operating Results'!$F$1,23)="North Carolina Facility",SUM(IF(Table_Query_from_Actuarial___Production[EffectiveYear]='Loss &amp; Expense Detail'!$A24,IF(Table_Query_from_Actuarial___Production[StateName]='Operating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Detail'!$A24,IF(Table_Query_from_Actuarial___Production[StateName]='Operating Results'!$F$1,IF(Table_Query_from_Actuarial___Production[RecordType]="Claims Expense",Table_Query_from_Actuarial___Production[SumOfAmount],0),0),0))))</f>
        <v>21936033.859999992</v>
      </c>
      <c r="F24" s="25">
        <f t="array" ref="F24">IF(LEFT('Operating Results'!$F$1,23)="North Carolina Facility",SUM(IF(Table_Query_from_Actuarial___Production[EffectiveYear]='Loss &amp; Expense Detail'!$A24,IF(Table_Query_from_Actuarial___Production[StateName]='Operating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Detail'!$A24,IF(Table_Query_from_Actuarial___Production[StateName]='Operating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Detail'!$A24,IF(Table_Query_from_Actuarial___Production[StateName]='Operating Results'!$F$1,IF(Table_Query_from_Actuarial___Production[RecordType]="ALAE Reserve",Table_Query_from_Actuarial___Production[SumOfAmount],0),0),0)))</f>
        <v>10758641.139999999</v>
      </c>
      <c r="G24" s="25">
        <f t="array" ref="G24">IF(LEFT('Operating Results'!$F$1,23)="North Carolina Facility",SUM(IF(Table_Query_from_Actuarial___Production[EffectiveYear]='Loss &amp; Expense Detail'!$A24,IF(Table_Query_from_Actuarial___Production[StateName]='Operating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Detail'!$A24,IF(Table_Query_from_Actuarial___Production[StateName]='Operating Results'!$F$1,IF(Table_Query_from_Actuarial___Production[RecordType]="Operating Service Fees",Table_Query_from_Actuarial___Production[SumOfAmount],0),0),0)))</f>
        <v>41929701.060000002</v>
      </c>
      <c r="H24" s="25">
        <f t="array" ref="H24">IF(LEFT('Operating Results'!$F$1,6)="Hawaii",SUM(IF(Table_Query_from_Actuarial___Production[EffectiveYear]='Loss &amp; Expense Detail'!$A24,IF(Table_Query_from_Actuarial___Production[StateName]='Operating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Detail'!$A24,IF(Table_Query_from_Actuarial___Production[StateName]='Operating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Detail'!$A24,IF(Table_Query_from_Actuarial___Production[StateName]='Operating Results'!$F$1,IF(Table_Query_from_Actuarial___Production[RecordType]="Premium Tax",Table_Query_from_Actuarial___Production[SumOfAmount],0),0),0))))</f>
        <v>5256837.709999999</v>
      </c>
      <c r="I24" s="25">
        <f t="array" ref="I24">SUM(IF(Table_Query_from_Actuarial___Production[EffectiveYear]='Loss &amp; Expense Detail'!$A24,IF(Table_Query_from_Actuarial___Production[StateName]='Operating Results'!$F$1,IF(Table_Query_from_Actuarial___Production[RecordType]="Commissions",Table_Query_from_Actuarial___Production[SumOfAmount],0),0),0))</f>
        <v>14481330.519999996</v>
      </c>
      <c r="J24" s="25">
        <f t="array" ref="J24">SUM(IF(Table_Query_from_Actuarial___Production[EffectiveYear]='Loss &amp; Expense Detail'!$A24,IF(Table_Query_from_Actuarial___Production[StateName]='Operating Results'!$F$1,IF(Table_Query_from_Actuarial___Production[RecordType]="PDR",Table_Query_from_Actuarial___Production[SumOfAmount],0),0),0))</f>
        <v>0</v>
      </c>
      <c r="K24" s="25">
        <f t="array" ref="K24">SUM(IF(Table_Query_from_Actuarial___Production[EffectiveYear]='Loss &amp; Expense Detail'!$A24,IF(Table_Query_from_Actuarial___Production[StateName]='Operating Results'!$F$1,IF(Table_Query_from_Actuarial___Production[RecordType]="Investment Income",Table_Query_from_Actuarial___Production[SumOfAmount],0),0),0))</f>
        <v>317271.51</v>
      </c>
      <c r="L24" s="25">
        <f t="array" ref="L24">SUM(IF(Table_Query_from_Actuarial___Production[EffectiveYear]='Loss &amp; Expense Detail'!$A24,IF(Table_Query_from_Actuarial___Production[StateName]='Operating Results'!$F$1,IF(Table_Query_from_Actuarial___Production[RecordType]="Charge-offs",Table_Query_from_Actuarial___Production[SumOfAmount],0),0),0))</f>
        <v>9594522.7900000047</v>
      </c>
      <c r="M24" s="25">
        <f t="array" ref="M24">SUM(IF(Table_Query_from_Actuarial___Production[EffectiveYear]='Loss &amp; Expense Detail'!$A24,IF(Table_Query_from_Actuarial___Production[StateName]='Operating Results'!$F$1,IF(Table_Query_from_Actuarial___Production[RecordType]="Misc. Expense",Table_Query_from_Actuarial___Production[SumOfAmount],0),0),0))</f>
        <v>166514.73999999964</v>
      </c>
      <c r="N24" s="25">
        <f t="array" ref="N24">SUM(IF(Table_Query_from_Actuarial___Production[EffectiveYear]='Loss &amp; Expense Detail'!$A24,IF(Table_Query_from_Actuarial___Production[StateName]='Operating Results'!$F$1,IF(Table_Query_from_Actuarial___Production[RecordType]="Misc. Income",Table_Query_from_Actuarial___Production[SumOfAmount],0),0),0))</f>
        <v>61384.289999999986</v>
      </c>
      <c r="O24" s="26"/>
    </row>
    <row r="25" spans="1:15" x14ac:dyDescent="0.2">
      <c r="A25" s="27" t="str">
        <f>'Operating Results'!A27</f>
        <v>2023</v>
      </c>
      <c r="B25" s="25">
        <f t="array" ref="B25">SUM(IF(Table_Query_from_Actuarial___Production[EffectiveYear]='Loss &amp; Expense Detail'!$A25,IF(Table_Query_from_Actuarial___Production[StateName]='Operating Results'!$F$1,IF(Table_Query_from_Actuarial___Production[RecordType]="Losses Paid",Table_Query_from_Actuarial___Production[SumOfAmount],0),0),0))</f>
        <v>43772901.759999998</v>
      </c>
      <c r="C25" s="25">
        <f t="array" ref="C25">SUM(IF(Table_Query_from_Actuarial___Production[EffectiveYear]='Loss &amp; Expense Detail'!$A25,IF(Table_Query_from_Actuarial___Production[StateName]='Operating Results'!$F$1,IF(Table_Query_from_Actuarial___Production[RecordType]="Losses Outstanding",Table_Query_from_Actuarial___Production[SumOfAmount],0),0),0))</f>
        <v>66339136.68999999</v>
      </c>
      <c r="D25" s="25">
        <f t="array" ref="D25">SUM(IF(Table_Query_from_Actuarial___Production[EffectiveYear]='Loss &amp; Expense Detail'!$A25,IF(Table_Query_from_Actuarial___Production[StateName]='Operating Results'!$F$1,IF(Table_Query_from_Actuarial___Production[RecordType]="IBNR",Table_Query_from_Actuarial___Production[SumOfAmount],0),0),0))</f>
        <v>73243655.489999995</v>
      </c>
      <c r="E25" s="25">
        <f t="array" ref="E25">IF(LEFT('Operating Results'!$F$1,23)="North Carolina Facility",SUM(IF(Table_Query_from_Actuarial___Production[EffectiveYear]='Loss &amp; Expense Detail'!$A25,IF(Table_Query_from_Actuarial___Production[StateName]='Operating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Detail'!$A25,IF(Table_Query_from_Actuarial___Production[StateName]='Operating Results'!$F$1,IF(Table_Query_from_Actuarial___Production[RecordType]="Claims Expense",Table_Query_from_Actuarial___Production[SumOfAmount],0),0),0))))</f>
        <v>16463817.160000002</v>
      </c>
      <c r="F25" s="25">
        <f t="array" ref="F25">IF(LEFT('Operating Results'!$F$1,23)="North Carolina Facility",SUM(IF(Table_Query_from_Actuarial___Production[EffectiveYear]='Loss &amp; Expense Detail'!$A25,IF(Table_Query_from_Actuarial___Production[StateName]='Operating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Detail'!$A25,IF(Table_Query_from_Actuarial___Production[StateName]='Operating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Detail'!$A25,IF(Table_Query_from_Actuarial___Production[StateName]='Operating Results'!$F$1,IF(Table_Query_from_Actuarial___Production[RecordType]="ALAE Reserve",Table_Query_from_Actuarial___Production[SumOfAmount],0),0),0)))</f>
        <v>698202.25</v>
      </c>
      <c r="G25" s="25">
        <f t="array" ref="G25">IF(LEFT('Operating Results'!$F$1,23)="North Carolina Facility",SUM(IF(Table_Query_from_Actuarial___Production[EffectiveYear]='Loss &amp; Expense Detail'!$A25,IF(Table_Query_from_Actuarial___Production[StateName]='Operating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Detail'!$A25,IF(Table_Query_from_Actuarial___Production[StateName]='Operating Results'!$F$1,IF(Table_Query_from_Actuarial___Production[RecordType]="Operating Service Fees",Table_Query_from_Actuarial___Production[SumOfAmount],0),0),0)))</f>
        <v>32267128.759999994</v>
      </c>
      <c r="H25" s="25">
        <f t="array" ref="H25">IF(LEFT('Operating Results'!$F$1,6)="Hawaii",SUM(IF(Table_Query_from_Actuarial___Production[EffectiveYear]='Loss &amp; Expense Detail'!$A25,IF(Table_Query_from_Actuarial___Production[StateName]='Operating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Detail'!$A25,IF(Table_Query_from_Actuarial___Production[StateName]='Operating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Detail'!$A25,IF(Table_Query_from_Actuarial___Production[StateName]='Operating Results'!$F$1,IF(Table_Query_from_Actuarial___Production[RecordType]="Premium Tax",Table_Query_from_Actuarial___Production[SumOfAmount],0),0),0))))</f>
        <v>4224252.7699999996</v>
      </c>
      <c r="I25" s="25">
        <f t="array" ref="I25">SUM(IF(Table_Query_from_Actuarial___Production[EffectiveYear]='Loss &amp; Expense Detail'!$A25,IF(Table_Query_from_Actuarial___Production[StateName]='Operating Results'!$F$1,IF(Table_Query_from_Actuarial___Production[RecordType]="Commissions",Table_Query_from_Actuarial___Production[SumOfAmount],0),0),0))</f>
        <v>13805308.869999999</v>
      </c>
      <c r="J25" s="25">
        <f t="array" ref="J25">SUM(IF(Table_Query_from_Actuarial___Production[EffectiveYear]='Loss &amp; Expense Detail'!$A25,IF(Table_Query_from_Actuarial___Production[StateName]='Operating Results'!$F$1,IF(Table_Query_from_Actuarial___Production[RecordType]="PDR",Table_Query_from_Actuarial___Production[SumOfAmount],0),0),0))</f>
        <v>9891661</v>
      </c>
      <c r="K25" s="25">
        <f t="array" ref="K25">SUM(IF(Table_Query_from_Actuarial___Production[EffectiveYear]='Loss &amp; Expense Detail'!$A25,IF(Table_Query_from_Actuarial___Production[StateName]='Operating Results'!$F$1,IF(Table_Query_from_Actuarial___Production[RecordType]="Investment Income",Table_Query_from_Actuarial___Production[SumOfAmount],0),0),0))</f>
        <v>1474942.5100000005</v>
      </c>
      <c r="L25" s="25">
        <f t="array" ref="L25">SUM(IF(Table_Query_from_Actuarial___Production[EffectiveYear]='Loss &amp; Expense Detail'!$A25,IF(Table_Query_from_Actuarial___Production[StateName]='Operating Results'!$F$1,IF(Table_Query_from_Actuarial___Production[RecordType]="Charge-offs",Table_Query_from_Actuarial___Production[SumOfAmount],0),0),0))</f>
        <v>5267884.5500000007</v>
      </c>
      <c r="M25" s="25">
        <f t="array" ref="M25">SUM(IF(Table_Query_from_Actuarial___Production[EffectiveYear]='Loss &amp; Expense Detail'!$A25,IF(Table_Query_from_Actuarial___Production[StateName]='Operating Results'!$F$1,IF(Table_Query_from_Actuarial___Production[RecordType]="Misc. Expense",Table_Query_from_Actuarial___Production[SumOfAmount],0),0),0))</f>
        <v>5174269.2899999963</v>
      </c>
      <c r="N25" s="25">
        <f t="array" ref="N25">SUM(IF(Table_Query_from_Actuarial___Production[EffectiveYear]='Loss &amp; Expense Detail'!$A25,IF(Table_Query_from_Actuarial___Production[StateName]='Operating Results'!$F$1,IF(Table_Query_from_Actuarial___Production[RecordType]="Misc. Income",Table_Query_from_Actuarial___Production[SumOfAmount],0),0),0))</f>
        <v>333082.19000000012</v>
      </c>
      <c r="O25" s="26"/>
    </row>
    <row r="26" spans="1:15" x14ac:dyDescent="0.2">
      <c r="A26" s="27" t="str">
        <f>'Operating Results'!A28</f>
        <v>2024</v>
      </c>
      <c r="B26" s="25">
        <f t="array" ref="B26">SUM(IF(Table_Query_from_Actuarial___Production[EffectiveYear]='Loss &amp; Expense Detail'!$A26,IF(Table_Query_from_Actuarial___Production[StateName]='Operating Results'!$F$1,IF(Table_Query_from_Actuarial___Production[RecordType]="Losses Paid",Table_Query_from_Actuarial___Production[SumOfAmount],0),0),0))</f>
        <v>524387.02</v>
      </c>
      <c r="C26" s="25">
        <f t="array" ref="C26">SUM(IF(Table_Query_from_Actuarial___Production[EffectiveYear]='Loss &amp; Expense Detail'!$A26,IF(Table_Query_from_Actuarial___Production[StateName]='Operating Results'!$F$1,IF(Table_Query_from_Actuarial___Production[RecordType]="Losses Outstanding",Table_Query_from_Actuarial___Production[SumOfAmount],0),0),0))</f>
        <v>3447448.4</v>
      </c>
      <c r="D26" s="25">
        <f t="array" ref="D26">SUM(IF(Table_Query_from_Actuarial___Production[EffectiveYear]='Loss &amp; Expense Detail'!$A26,IF(Table_Query_from_Actuarial___Production[StateName]='Operating Results'!$F$1,IF(Table_Query_from_Actuarial___Production[RecordType]="IBNR",Table_Query_from_Actuarial___Production[SumOfAmount],0),0),0))</f>
        <v>15489896.690000003</v>
      </c>
      <c r="E26" s="25">
        <f t="array" ref="E26">IF(LEFT('Operating Results'!$F$1,23)="North Carolina Facility",SUM(IF(Table_Query_from_Actuarial___Production[EffectiveYear]='Loss &amp; Expense Detail'!$A26,IF(Table_Query_from_Actuarial___Production[StateName]='Operating Results'!$F$1,IF(Table_Query_from_Actuarial___Production[RecordType]="Clean Risk Subsidy",Table_Query_from_Actuarial___Production[SumOfAmount],0),0),0)),IF(LEFT('Operating Results'!$F$1,6)="Hawaii",0,SUM(IF(Table_Query_from_Actuarial___Production[EffectiveYear]='Loss &amp; Expense Detail'!$A26,IF(Table_Query_from_Actuarial___Production[StateName]='Operating Results'!$F$1,IF(Table_Query_from_Actuarial___Production[RecordType]="Claims Expense",Table_Query_from_Actuarial___Production[SumOfAmount],0),0),0))))</f>
        <v>2144323.9999999995</v>
      </c>
      <c r="F26" s="25">
        <f t="array" ref="F26">IF(LEFT('Operating Results'!$F$1,23)="North Carolina Facility",SUM(IF(Table_Query_from_Actuarial___Production[EffectiveYear]='Loss &amp; Expense Detail'!$A26,IF(Table_Query_from_Actuarial___Production[StateName]='Operating Results'!$F$1,IF(Table_Query_from_Actuarial___Production[RecordType]="Recoupment",Table_Query_from_Actuarial___Production[SumOfAmount],0),0),0)),SUM(IF(Table_Query_from_Actuarial___Production[EffectiveYear]='Loss &amp; Expense Detail'!$A26,IF(Table_Query_from_Actuarial___Production[StateName]='Operating Results'!$F$1,IF(Table_Query_from_Actuarial___Production[RecordType]="ALAE Paid",Table_Query_from_Actuarial___Production[SumOfAmount],0),0),0))+SUM(IF(Table_Query_from_Actuarial___Production[EffectiveYear]='Loss &amp; Expense Detail'!$A26,IF(Table_Query_from_Actuarial___Production[StateName]='Operating Results'!$F$1,IF(Table_Query_from_Actuarial___Production[RecordType]="ALAE Reserve",Table_Query_from_Actuarial___Production[SumOfAmount],0),0),0)))</f>
        <v>0</v>
      </c>
      <c r="G26" s="25">
        <f t="array" ref="G26">IF(LEFT('Operating Results'!$F$1,23)="North Carolina Facility",SUM(IF(Table_Query_from_Actuarial___Production[EffectiveYear]='Loss &amp; Expense Detail'!$A26,IF(Table_Query_from_Actuarial___Production[StateName]='Operating Results'!$F$1,IF(Table_Query_from_Actuarial___Production[RecordType]="Claims Expense",Table_Query_from_Actuarial___Production[SumOfAmount],0),0),0)),SUM(IF(Table_Query_from_Actuarial___Production[EffectiveYear]='Loss &amp; Expense Detail'!$A26,IF(Table_Query_from_Actuarial___Production[StateName]='Operating Results'!$F$1,IF(Table_Query_from_Actuarial___Production[RecordType]="Operating Service Fees",Table_Query_from_Actuarial___Production[SumOfAmount],0),0),0)))</f>
        <v>18269262.430000007</v>
      </c>
      <c r="H26" s="25">
        <f t="array" ref="H26">IF(LEFT('Operating Results'!$F$1,6)="Hawaii",SUM(IF(Table_Query_from_Actuarial___Production[EffectiveYear]='Loss &amp; Expense Detail'!$A26,IF(Table_Query_from_Actuarial___Production[StateName]='Operating Results'!$F$1,IF(Table_Query_from_Actuarial___Production[RecordType]="CPAI Charge-offs",Table_Query_from_Actuarial___Production[SumOfAmount],0),0),0)),IF(LEFT('Operating Results'!$F$1,23)="North Carolina Facility",SUM(IF(Table_Query_from_Actuarial___Production[EffectiveYear]='Loss &amp; Expense Detail'!$A26,IF(Table_Query_from_Actuarial___Production[StateName]='Operating Results'!$F$1,IF(Table_Query_from_Actuarial___Production[RecordType]="Operating Service Fees",Table_Query_from_Actuarial___Production[SumOfAmount],0),0),0)),SUM(IF(Table_Query_from_Actuarial___Production[EffectiveYear]='Loss &amp; Expense Detail'!$A26,IF(Table_Query_from_Actuarial___Production[StateName]='Operating Results'!$F$1,IF(Table_Query_from_Actuarial___Production[RecordType]="Premium Tax",Table_Query_from_Actuarial___Production[SumOfAmount],0),0),0))))</f>
        <v>2240139.8099999996</v>
      </c>
      <c r="I26" s="25">
        <f t="array" ref="I26">SUM(IF(Table_Query_from_Actuarial___Production[EffectiveYear]='Loss &amp; Expense Detail'!$A26,IF(Table_Query_from_Actuarial___Production[StateName]='Operating Results'!$F$1,IF(Table_Query_from_Actuarial___Production[RecordType]="Commissions",Table_Query_from_Actuarial___Production[SumOfAmount],0),0),0))</f>
        <v>6526763.6999999993</v>
      </c>
      <c r="J26" s="25">
        <f t="array" ref="J26">SUM(IF(Table_Query_from_Actuarial___Production[EffectiveYear]='Loss &amp; Expense Detail'!$A26,IF(Table_Query_from_Actuarial___Production[StateName]='Operating Results'!$F$1,IF(Table_Query_from_Actuarial___Production[RecordType]="PDR",Table_Query_from_Actuarial___Production[SumOfAmount],0),0),0))</f>
        <v>22349611</v>
      </c>
      <c r="K26" s="25">
        <f t="array" ref="K26">SUM(IF(Table_Query_from_Actuarial___Production[EffectiveYear]='Loss &amp; Expense Detail'!$A26,IF(Table_Query_from_Actuarial___Production[StateName]='Operating Results'!$F$1,IF(Table_Query_from_Actuarial___Production[RecordType]="Investment Income",Table_Query_from_Actuarial___Production[SumOfAmount],0),0),0))</f>
        <v>1607430.9799999995</v>
      </c>
      <c r="L26" s="25">
        <f t="array" ref="L26">SUM(IF(Table_Query_from_Actuarial___Production[EffectiveYear]='Loss &amp; Expense Detail'!$A26,IF(Table_Query_from_Actuarial___Production[StateName]='Operating Results'!$F$1,IF(Table_Query_from_Actuarial___Production[RecordType]="Charge-offs",Table_Query_from_Actuarial___Production[SumOfAmount],0),0),0))</f>
        <v>29798.130000000005</v>
      </c>
      <c r="M26" s="25">
        <f t="array" ref="M26">SUM(IF(Table_Query_from_Actuarial___Production[EffectiveYear]='Loss &amp; Expense Detail'!$A26,IF(Table_Query_from_Actuarial___Production[StateName]='Operating Results'!$F$1,IF(Table_Query_from_Actuarial___Production[RecordType]="Misc. Expense",Table_Query_from_Actuarial___Production[SumOfAmount],0),0),0))</f>
        <v>1775016.4499999993</v>
      </c>
      <c r="N26" s="25">
        <f t="array" ref="N26">SUM(IF(Table_Query_from_Actuarial___Production[EffectiveYear]='Loss &amp; Expense Detail'!$A26,IF(Table_Query_from_Actuarial___Production[StateName]='Operating Results'!$F$1,IF(Table_Query_from_Actuarial___Production[RecordType]="Misc. Income",Table_Query_from_Actuarial___Production[SumOfAmount],0),0),0))</f>
        <v>24721.85</v>
      </c>
      <c r="O26" s="26"/>
    </row>
    <row r="27" spans="1:15" x14ac:dyDescent="0.2">
      <c r="A27" s="46" t="s">
        <v>118</v>
      </c>
      <c r="B27" s="47">
        <f t="shared" ref="B27:N27" si="0">SUM(B15:B26)</f>
        <v>1246610627.8799999</v>
      </c>
      <c r="C27" s="47">
        <f t="shared" si="0"/>
        <v>455599004.01000005</v>
      </c>
      <c r="D27" s="47">
        <f t="shared" si="0"/>
        <v>188336818.58999997</v>
      </c>
      <c r="E27" s="47">
        <f t="shared" si="0"/>
        <v>165596057.04999998</v>
      </c>
      <c r="F27" s="47">
        <f t="shared" si="0"/>
        <v>88775938.769999996</v>
      </c>
      <c r="G27" s="47">
        <f t="shared" si="0"/>
        <v>338538883.93000001</v>
      </c>
      <c r="H27" s="47">
        <f t="shared" si="0"/>
        <v>38109366.450000003</v>
      </c>
      <c r="I27" s="47">
        <f t="shared" si="0"/>
        <v>120669828.49000002</v>
      </c>
      <c r="J27" s="47">
        <f t="shared" si="0"/>
        <v>32241272</v>
      </c>
      <c r="K27" s="47">
        <f t="shared" si="0"/>
        <v>4754100.46</v>
      </c>
      <c r="L27" s="47">
        <f t="shared" si="0"/>
        <v>72125386.13000001</v>
      </c>
      <c r="M27" s="47">
        <f t="shared" si="0"/>
        <v>29801578.18</v>
      </c>
      <c r="N27" s="47">
        <f t="shared" si="0"/>
        <v>1548596.4100000001</v>
      </c>
    </row>
    <row r="30" spans="1:15" x14ac:dyDescent="0.2">
      <c r="A30" s="59" t="str">
        <f>'Operating Results'!A32:N32</f>
        <v>Experience by Active Policy Year Through 2nd Calendar Quarter 2023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2" spans="1:15" x14ac:dyDescent="0.2">
      <c r="A32" s="27" t="str">
        <f>'Operating Results'!A34</f>
        <v>2013</v>
      </c>
      <c r="B32" s="25">
        <f t="array" ref="B32">IF(A32="","",SUM(IF(Table_Query_from_Actuarial___Production3[EffectiveYear]='Loss &amp; Expense Detail'!$A32,IF(Table_Query_from_Actuarial___Production3[StateName]='Operating Results'!$F$1,IF(Table_Query_from_Actuarial___Production3[RecordType]="Losses Paid",Table_Query_from_Actuarial___Production3[SumOfAmount],0),0),0)))</f>
        <v>43773267.560000025</v>
      </c>
      <c r="C32" s="25">
        <f t="array" ref="C32">IF(A32="","",SUM(IF(Table_Query_from_Actuarial___Production3[EffectiveYear]='Loss &amp; Expense Detail'!$A32,IF(Table_Query_from_Actuarial___Production3[StateName]='Operating Results'!$F$1,IF(Table_Query_from_Actuarial___Production3[RecordType]="Losses Outstanding",Table_Query_from_Actuarial___Production3[SumOfAmount],0),0),0)))</f>
        <v>271420.56</v>
      </c>
      <c r="D32" s="25">
        <f t="array" ref="D32">IF(A32="","",SUM(IF(Table_Query_from_Actuarial___Production3[EffectiveYear]='Loss &amp; Expense Detail'!$A32,IF(Table_Query_from_Actuarial___Production3[StateName]='Operating Results'!$F$1,IF(Table_Query_from_Actuarial___Production3[RecordType]="IBNR",Table_Query_from_Actuarial___Production3[SumOfAmount],0),0),0)))</f>
        <v>900000</v>
      </c>
      <c r="E32" s="25">
        <f t="array" ref="E32">IF(A32="","",IF(LEFT('Operating Results'!$F$1,23)="North Carolina Facility",SUM(IF(Table_Query_from_Actuarial___Production3[EffectiveYear]='Loss &amp; Expense Detail'!$A32,IF(Table_Query_from_Actuarial___Production3[StateName]='Operating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Detail'!$A32,IF(Table_Query_from_Actuarial___Production3[StateName]='Operating Results'!$F$1,IF(Table_Query_from_Actuarial___Production3[RecordType]="Claims Expense",Table_Query_from_Actuarial___Production3[SumOfAmount],0),0),0)))))</f>
        <v>4771484.3599999985</v>
      </c>
      <c r="F32" s="25">
        <f t="array" ref="F32">IF(A32="","",IF(LEFT('Operating Results'!$F$1,23)="North Carolina Facility",SUM(IF(Table_Query_from_Actuarial___Production3[EffectiveYear]='Loss &amp; Expense Detail'!$A32,IF(Table_Query_from_Actuarial___Production3[StateName]='Operating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Detail'!$A32,IF(Table_Query_from_Actuarial___Production3[StateName]='Operating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Detail'!$A32,IF(Table_Query_from_Actuarial___Production3[StateName]='Operating Results'!$F$1,IF(Table_Query_from_Actuarial___Production3[RecordType]="ALAE Reserve",Table_Query_from_Actuarial___Production3[SumOfAmount],0),0),0))))</f>
        <v>3767917.1800000006</v>
      </c>
      <c r="G32" s="25">
        <f t="array" ref="G32">IF(A32="","",IF(LEFT('Operating Results'!$F$1,23)="North Carolina Facility",SUM(IF(Table_Query_from_Actuarial___Production3[EffectiveYear]='Loss &amp; Expense Detail'!$A32,IF(Table_Query_from_Actuarial___Production3[StateName]='Operating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Detail'!$A32,IF(Table_Query_from_Actuarial___Production3[StateName]='Operating Results'!$F$1,IF(Table_Query_from_Actuarial___Production3[RecordType]="Operating Service Fees",Table_Query_from_Actuarial___Production3[SumOfAmount],0),0),0))))</f>
        <v>9594278.879999999</v>
      </c>
      <c r="H32" s="25">
        <f t="array" ref="H32">IF(A32="","",IF(LEFT('Operating Results'!F1,6)="Hawaii",SUM(IF(Table_Query_from_Actuarial___Production3[EffectiveYear]='Loss &amp; Expense Detail'!$A32,IF(Table_Query_from_Actuarial___Production3[StateName]='Operating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Detail'!$A32,IF(Table_Query_from_Actuarial___Production3[StateName]='Operating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Detail'!$A32,IF(Table_Query_from_Actuarial___Production3[StateName]='Operating Results'!$F$1,IF(Table_Query_from_Actuarial___Production3[RecordType]="Premium Tax",Table_Query_from_Actuarial___Production3[SumOfAmount],0),0),0)))))</f>
        <v>1014751.6799999998</v>
      </c>
      <c r="I32" s="25">
        <f t="array" ref="I32">IF(A32="","",SUM(IF(Table_Query_from_Actuarial___Production3[EffectiveYear]='Loss &amp; Expense Detail'!$A32,IF(Table_Query_from_Actuarial___Production3[StateName]='Operating Results'!$F$1,IF(Table_Query_from_Actuarial___Production3[RecordType]="Commissions",Table_Query_from_Actuarial___Production3[SumOfAmount],0),0),0)))</f>
        <v>3132715.7499999995</v>
      </c>
      <c r="J32" s="25">
        <f t="array" ref="J32">IF(A32="","",SUM(IF(Table_Query_from_Actuarial___Production3[EffectiveYear]='Loss &amp; Expense Detail'!$A32,IF(Table_Query_from_Actuarial___Production3[StateName]='Operating Results'!$F$1,IF(Table_Query_from_Actuarial___Production3[RecordType]="PDR",Table_Query_from_Actuarial___Production3[SumOfAmount],0),0),0)))</f>
        <v>0</v>
      </c>
      <c r="K32" s="25">
        <f t="array" ref="K32">IF(A32="","",SUM(IF(Table_Query_from_Actuarial___Production3[EffectiveYear]='Loss &amp; Expense Detail'!$A32,IF(Table_Query_from_Actuarial___Production3[StateName]='Operating Results'!$F$1,IF(Table_Query_from_Actuarial___Production3[RecordType]="Investment Income",Table_Query_from_Actuarial___Production3[SumOfAmount],0),0),0)))</f>
        <v>415.57</v>
      </c>
      <c r="L32" s="25">
        <f t="array" ref="L32">IF(A32="","",SUM(IF(Table_Query_from_Actuarial___Production3[EffectiveYear]='Loss &amp; Expense Detail'!$A32,IF(Table_Query_from_Actuarial___Production3[StateName]='Operating Results'!$F$1,IF(Table_Query_from_Actuarial___Production3[RecordType]="Charge-offs",Table_Query_from_Actuarial___Production3[SumOfAmount],0),0),0)))</f>
        <v>2049358.2900000005</v>
      </c>
      <c r="M32" s="25">
        <f t="array" ref="M32">IF(A32="","",SUM(IF(Table_Query_from_Actuarial___Production3[EffectiveYear]='Loss &amp; Expense Detail'!$A32,IF(Table_Query_from_Actuarial___Production3[StateName]='Operating Results'!$F$1,IF(Table_Query_from_Actuarial___Production3[RecordType]="Misc. Expense",Table_Query_from_Actuarial___Production3[SumOfAmount],0),0),0)))</f>
        <v>8295697.410000002</v>
      </c>
      <c r="N32" s="25">
        <f t="array" ref="N32">IF(A32="","",SUM(IF(Table_Query_from_Actuarial___Production3[EffectiveYear]='Loss &amp; Expense Detail'!$A32,IF(Table_Query_from_Actuarial___Production3[StateName]='Operating Results'!$F$1,IF(Table_Query_from_Actuarial___Production3[RecordType]="Misc. Income",Table_Query_from_Actuarial___Production3[SumOfAmount],0),0),0)))</f>
        <v>18714.410000000007</v>
      </c>
    </row>
    <row r="33" spans="1:15" x14ac:dyDescent="0.2">
      <c r="A33" s="27" t="str">
        <f>'Operating Results'!A35</f>
        <v>2014</v>
      </c>
      <c r="B33" s="25">
        <f t="array" ref="B33">SUM(IF(Table_Query_from_Actuarial___Production3[EffectiveYear]='Loss &amp; Expense Detail'!$A33,IF(Table_Query_from_Actuarial___Production3[StateName]='Operating Results'!$F$1,IF(Table_Query_from_Actuarial___Production3[RecordType]="Losses Paid",Table_Query_from_Actuarial___Production3[SumOfAmount],0),0),0))</f>
        <v>62897324.63000001</v>
      </c>
      <c r="C33" s="25">
        <f t="array" ref="C33">SUM(IF(Table_Query_from_Actuarial___Production3[EffectiveYear]='Loss &amp; Expense Detail'!$A33,IF(Table_Query_from_Actuarial___Production3[StateName]='Operating Results'!$F$1,IF(Table_Query_from_Actuarial___Production3[RecordType]="Losses Outstanding",Table_Query_from_Actuarial___Production3[SumOfAmount],0),0),0))</f>
        <v>1031326.89</v>
      </c>
      <c r="D33" s="25">
        <f t="array" ref="D33">SUM(IF(Table_Query_from_Actuarial___Production3[EffectiveYear]='Loss &amp; Expense Detail'!$A33,IF(Table_Query_from_Actuarial___Production3[StateName]='Operating Results'!$F$1,IF(Table_Query_from_Actuarial___Production3[RecordType]="IBNR",Table_Query_from_Actuarial___Production3[SumOfAmount],0),0),0))</f>
        <v>0</v>
      </c>
      <c r="E33" s="25">
        <f t="array" ref="E33">IF(LEFT('Operating Results'!$F$1,23)="North Carolina Facility",SUM(IF(Table_Query_from_Actuarial___Production3[EffectiveYear]='Loss &amp; Expense Detail'!$A33,IF(Table_Query_from_Actuarial___Production3[StateName]='Operating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Detail'!$A33,IF(Table_Query_from_Actuarial___Production3[StateName]='Operating Results'!$F$1,IF(Table_Query_from_Actuarial___Production3[RecordType]="Claims Expense",Table_Query_from_Actuarial___Production3[SumOfAmount],0),0),0))))</f>
        <v>6320788.1899999985</v>
      </c>
      <c r="F33" s="25">
        <f t="array" ref="F33">IF(LEFT('Operating Results'!$F$1,23)="North Carolina Facility",SUM(IF(Table_Query_from_Actuarial___Production3[EffectiveYear]='Loss &amp; Expense Detail'!$A33,IF(Table_Query_from_Actuarial___Production3[StateName]='Operating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Detail'!$A33,IF(Table_Query_from_Actuarial___Production3[StateName]='Operating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Detail'!$A33,IF(Table_Query_from_Actuarial___Production3[StateName]='Operating Results'!$F$1,IF(Table_Query_from_Actuarial___Production3[RecordType]="ALAE Reserve",Table_Query_from_Actuarial___Production3[SumOfAmount],0),0),0)))</f>
        <v>4312932.620000001</v>
      </c>
      <c r="G33" s="25">
        <f t="array" ref="G33">IF(LEFT('Operating Results'!$F$1,23)="North Carolina Facility",SUM(IF(Table_Query_from_Actuarial___Production3[EffectiveYear]='Loss &amp; Expense Detail'!$A33,IF(Table_Query_from_Actuarial___Production3[StateName]='Operating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Detail'!$A33,IF(Table_Query_from_Actuarial___Production3[StateName]='Operating Results'!$F$1,IF(Table_Query_from_Actuarial___Production3[RecordType]="Operating Service Fees",Table_Query_from_Actuarial___Production3[SumOfAmount],0),0),0)))</f>
        <v>12600824.74</v>
      </c>
      <c r="H33" s="25">
        <f t="array" ref="H33">IF(LEFT('Operating Results'!$F$1,6)="Hawaii",SUM(IF(Table_Query_from_Actuarial___Production3[EffectiveYear]='Loss &amp; Expense Detail'!$A33,IF(Table_Query_from_Actuarial___Production3[StateName]='Operating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Detail'!$A33,IF(Table_Query_from_Actuarial___Production3[StateName]='Operating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Detail'!$A33,IF(Table_Query_from_Actuarial___Production3[StateName]='Operating Results'!$F$1,IF(Table_Query_from_Actuarial___Production3[RecordType]="Premium Tax",Table_Query_from_Actuarial___Production3[SumOfAmount],0),0),0))))</f>
        <v>1316332.7500000002</v>
      </c>
      <c r="I33" s="25">
        <f t="array" ref="I33">SUM(IF(Table_Query_from_Actuarial___Production3[EffectiveYear]='Loss &amp; Expense Detail'!$A33,IF(Table_Query_from_Actuarial___Production3[StateName]='Operating Results'!$F$1,IF(Table_Query_from_Actuarial___Production3[RecordType]="Commissions",Table_Query_from_Actuarial___Production3[SumOfAmount],0),0),0))</f>
        <v>3998133.560000001</v>
      </c>
      <c r="J33" s="25">
        <f t="array" ref="J33">SUM(IF(Table_Query_from_Actuarial___Production3[EffectiveYear]='Loss &amp; Expense Detail'!$A33,IF(Table_Query_from_Actuarial___Production3[StateName]='Operating Results'!$F$1,IF(Table_Query_from_Actuarial___Production3[RecordType]="PDR",Table_Query_from_Actuarial___Production3[SumOfAmount],0),0),0))</f>
        <v>0</v>
      </c>
      <c r="K33" s="25">
        <f t="array" ref="K33">SUM(IF(Table_Query_from_Actuarial___Production3[EffectiveYear]='Loss &amp; Expense Detail'!$A33,IF(Table_Query_from_Actuarial___Production3[StateName]='Operating Results'!$F$1,IF(Table_Query_from_Actuarial___Production3[RecordType]="Investment Income",Table_Query_from_Actuarial___Production3[SumOfAmount],0),0),0))</f>
        <v>6640.51</v>
      </c>
      <c r="L33" s="25">
        <f t="array" ref="L33">SUM(IF(Table_Query_from_Actuarial___Production3[EffectiveYear]='Loss &amp; Expense Detail'!$A33,IF(Table_Query_from_Actuarial___Production3[StateName]='Operating Results'!$F$1,IF(Table_Query_from_Actuarial___Production3[RecordType]="Charge-offs",Table_Query_from_Actuarial___Production3[SumOfAmount],0),0),0))</f>
        <v>2375558.9500000002</v>
      </c>
      <c r="M33" s="25">
        <f t="array" ref="M33">SUM(IF(Table_Query_from_Actuarial___Production3[EffectiveYear]='Loss &amp; Expense Detail'!$A33,IF(Table_Query_from_Actuarial___Production3[StateName]='Operating Results'!$F$1,IF(Table_Query_from_Actuarial___Production3[RecordType]="Misc. Expense",Table_Query_from_Actuarial___Production3[SumOfAmount],0),0),0))</f>
        <v>-5423816.7499999963</v>
      </c>
      <c r="N33" s="25">
        <f t="array" ref="N33">SUM(IF(Table_Query_from_Actuarial___Production3[EffectiveYear]='Loss &amp; Expense Detail'!$A33,IF(Table_Query_from_Actuarial___Production3[StateName]='Operating Results'!$F$1,IF(Table_Query_from_Actuarial___Production3[RecordType]="Misc. Income",Table_Query_from_Actuarial___Production3[SumOfAmount],0),0),0))</f>
        <v>44608.640000000007</v>
      </c>
    </row>
    <row r="34" spans="1:15" x14ac:dyDescent="0.2">
      <c r="A34" s="27" t="str">
        <f>'Operating Results'!A36</f>
        <v>2015</v>
      </c>
      <c r="B34" s="25">
        <f t="array" ref="B34">SUM(IF(Table_Query_from_Actuarial___Production3[EffectiveYear]='Loss &amp; Expense Detail'!$A34,IF(Table_Query_from_Actuarial___Production3[StateName]='Operating Results'!$F$1,IF(Table_Query_from_Actuarial___Production3[RecordType]="Losses Paid",Table_Query_from_Actuarial___Production3[SumOfAmount],0),0),0))</f>
        <v>86307269.120000005</v>
      </c>
      <c r="C34" s="25">
        <f t="array" ref="C34">SUM(IF(Table_Query_from_Actuarial___Production3[EffectiveYear]='Loss &amp; Expense Detail'!$A34,IF(Table_Query_from_Actuarial___Production3[StateName]='Operating Results'!$F$1,IF(Table_Query_from_Actuarial___Production3[RecordType]="Losses Outstanding",Table_Query_from_Actuarial___Production3[SumOfAmount],0),0),0))</f>
        <v>435479.21</v>
      </c>
      <c r="D34" s="25">
        <f t="array" ref="D34">SUM(IF(Table_Query_from_Actuarial___Production3[EffectiveYear]='Loss &amp; Expense Detail'!$A34,IF(Table_Query_from_Actuarial___Production3[StateName]='Operating Results'!$F$1,IF(Table_Query_from_Actuarial___Production3[RecordType]="IBNR",Table_Query_from_Actuarial___Production3[SumOfAmount],0),0),0))</f>
        <v>2603</v>
      </c>
      <c r="E34" s="25">
        <f t="array" ref="E34">IF(LEFT('Operating Results'!$F$1,23)="North Carolina Facility",SUM(IF(Table_Query_from_Actuarial___Production3[EffectiveYear]='Loss &amp; Expense Detail'!$A34,IF(Table_Query_from_Actuarial___Production3[StateName]='Operating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Detail'!$A34,IF(Table_Query_from_Actuarial___Production3[StateName]='Operating Results'!$F$1,IF(Table_Query_from_Actuarial___Production3[RecordType]="Claims Expense",Table_Query_from_Actuarial___Production3[SumOfAmount],0),0),0))))</f>
        <v>8733003.7199999988</v>
      </c>
      <c r="F34" s="25">
        <f t="array" ref="F34">IF(LEFT('Operating Results'!$F$1,23)="North Carolina Facility",SUM(IF(Table_Query_from_Actuarial___Production3[EffectiveYear]='Loss &amp; Expense Detail'!$A34,IF(Table_Query_from_Actuarial___Production3[StateName]='Operating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Detail'!$A34,IF(Table_Query_from_Actuarial___Production3[StateName]='Operating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Detail'!$A34,IF(Table_Query_from_Actuarial___Production3[StateName]='Operating Results'!$F$1,IF(Table_Query_from_Actuarial___Production3[RecordType]="ALAE Reserve",Table_Query_from_Actuarial___Production3[SumOfAmount],0),0),0)))</f>
        <v>6110250.8099999996</v>
      </c>
      <c r="G34" s="25">
        <f t="array" ref="G34">IF(LEFT('Operating Results'!$F$1,23)="North Carolina Facility",SUM(IF(Table_Query_from_Actuarial___Production3[EffectiveYear]='Loss &amp; Expense Detail'!$A34,IF(Table_Query_from_Actuarial___Production3[StateName]='Operating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Detail'!$A34,IF(Table_Query_from_Actuarial___Production3[StateName]='Operating Results'!$F$1,IF(Table_Query_from_Actuarial___Production3[RecordType]="Operating Service Fees",Table_Query_from_Actuarial___Production3[SumOfAmount],0),0),0)))</f>
        <v>17445924.579999998</v>
      </c>
      <c r="H34" s="25">
        <f t="array" ref="H34">IF(LEFT('Operating Results'!$F$1,6)="Hawaii",SUM(IF(Table_Query_from_Actuarial___Production3[EffectiveYear]='Loss &amp; Expense Detail'!$A34,IF(Table_Query_from_Actuarial___Production3[StateName]='Operating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Detail'!$A34,IF(Table_Query_from_Actuarial___Production3[StateName]='Operating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Detail'!$A34,IF(Table_Query_from_Actuarial___Production3[StateName]='Operating Results'!$F$1,IF(Table_Query_from_Actuarial___Production3[RecordType]="Premium Tax",Table_Query_from_Actuarial___Production3[SumOfAmount],0),0),0))))</f>
        <v>1744373.1400000004</v>
      </c>
      <c r="I34" s="25">
        <f t="array" ref="I34">SUM(IF(Table_Query_from_Actuarial___Production3[EffectiveYear]='Loss &amp; Expense Detail'!$A34,IF(Table_Query_from_Actuarial___Production3[StateName]='Operating Results'!$F$1,IF(Table_Query_from_Actuarial___Production3[RecordType]="Commissions",Table_Query_from_Actuarial___Production3[SumOfAmount],0),0),0))</f>
        <v>5549595.2000000002</v>
      </c>
      <c r="J34" s="25">
        <f t="array" ref="J34">SUM(IF(Table_Query_from_Actuarial___Production3[EffectiveYear]='Loss &amp; Expense Detail'!$A34,IF(Table_Query_from_Actuarial___Production3[StateName]='Operating Results'!$F$1,IF(Table_Query_from_Actuarial___Production3[RecordType]="PDR",Table_Query_from_Actuarial___Production3[SumOfAmount],0),0),0))</f>
        <v>0</v>
      </c>
      <c r="K34" s="25">
        <f t="array" ref="K34">SUM(IF(Table_Query_from_Actuarial___Production3[EffectiveYear]='Loss &amp; Expense Detail'!$A34,IF(Table_Query_from_Actuarial___Production3[StateName]='Operating Results'!$F$1,IF(Table_Query_from_Actuarial___Production3[RecordType]="Investment Income",Table_Query_from_Actuarial___Production3[SumOfAmount],0),0),0))</f>
        <v>1329.4299999999998</v>
      </c>
      <c r="L34" s="25">
        <f t="array" ref="L34">SUM(IF(Table_Query_from_Actuarial___Production3[EffectiveYear]='Loss &amp; Expense Detail'!$A34,IF(Table_Query_from_Actuarial___Production3[StateName]='Operating Results'!$F$1,IF(Table_Query_from_Actuarial___Production3[RecordType]="Charge-offs",Table_Query_from_Actuarial___Production3[SumOfAmount],0),0),0))</f>
        <v>5320165.34</v>
      </c>
      <c r="M34" s="25">
        <f t="array" ref="M34">SUM(IF(Table_Query_from_Actuarial___Production3[EffectiveYear]='Loss &amp; Expense Detail'!$A34,IF(Table_Query_from_Actuarial___Production3[StateName]='Operating Results'!$F$1,IF(Table_Query_from_Actuarial___Production3[RecordType]="Misc. Expense",Table_Query_from_Actuarial___Production3[SumOfAmount],0),0),0))</f>
        <v>2649665.0600000005</v>
      </c>
      <c r="N34" s="25">
        <f t="array" ref="N34">SUM(IF(Table_Query_from_Actuarial___Production3[EffectiveYear]='Loss &amp; Expense Detail'!$A34,IF(Table_Query_from_Actuarial___Production3[StateName]='Operating Results'!$F$1,IF(Table_Query_from_Actuarial___Production3[RecordType]="Misc. Income",Table_Query_from_Actuarial___Production3[SumOfAmount],0),0),0))</f>
        <v>305679.48999999987</v>
      </c>
    </row>
    <row r="35" spans="1:15" x14ac:dyDescent="0.2">
      <c r="A35" s="27" t="str">
        <f>'Operating Results'!A37</f>
        <v>2016</v>
      </c>
      <c r="B35" s="25">
        <f t="array" ref="B35">SUM(IF(Table_Query_from_Actuarial___Production3[EffectiveYear]='Loss &amp; Expense Detail'!$A35,IF(Table_Query_from_Actuarial___Production3[StateName]='Operating Results'!$F$1,IF(Table_Query_from_Actuarial___Production3[RecordType]="Losses Paid",Table_Query_from_Actuarial___Production3[SumOfAmount],0),0),0))</f>
        <v>98380790.88000001</v>
      </c>
      <c r="C35" s="25">
        <f t="array" ref="C35">SUM(IF(Table_Query_from_Actuarial___Production3[EffectiveYear]='Loss &amp; Expense Detail'!$A35,IF(Table_Query_from_Actuarial___Production3[StateName]='Operating Results'!$F$1,IF(Table_Query_from_Actuarial___Production3[RecordType]="Losses Outstanding",Table_Query_from_Actuarial___Production3[SumOfAmount],0),0),0))</f>
        <v>6874795.669999999</v>
      </c>
      <c r="D35" s="25">
        <f t="array" ref="D35">SUM(IF(Table_Query_from_Actuarial___Production3[EffectiveYear]='Loss &amp; Expense Detail'!$A35,IF(Table_Query_from_Actuarial___Production3[StateName]='Operating Results'!$F$1,IF(Table_Query_from_Actuarial___Production3[RecordType]="IBNR",Table_Query_from_Actuarial___Production3[SumOfAmount],0),0),0))</f>
        <v>41079</v>
      </c>
      <c r="E35" s="25">
        <f t="array" ref="E35">IF(LEFT('Operating Results'!$F$1,23)="North Carolina Facility",SUM(IF(Table_Query_from_Actuarial___Production3[EffectiveYear]='Loss &amp; Expense Detail'!$A35,IF(Table_Query_from_Actuarial___Production3[StateName]='Operating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Detail'!$A35,IF(Table_Query_from_Actuarial___Production3[StateName]='Operating Results'!$F$1,IF(Table_Query_from_Actuarial___Production3[RecordType]="Claims Expense",Table_Query_from_Actuarial___Production3[SumOfAmount],0),0),0))))</f>
        <v>9821979.8100000024</v>
      </c>
      <c r="F35" s="25">
        <f t="array" ref="F35">IF(LEFT('Operating Results'!$F$1,23)="North Carolina Facility",SUM(IF(Table_Query_from_Actuarial___Production3[EffectiveYear]='Loss &amp; Expense Detail'!$A35,IF(Table_Query_from_Actuarial___Production3[StateName]='Operating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Detail'!$A35,IF(Table_Query_from_Actuarial___Production3[StateName]='Operating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Detail'!$A35,IF(Table_Query_from_Actuarial___Production3[StateName]='Operating Results'!$F$1,IF(Table_Query_from_Actuarial___Production3[RecordType]="ALAE Reserve",Table_Query_from_Actuarial___Production3[SumOfAmount],0),0),0)))</f>
        <v>5937092.5599999996</v>
      </c>
      <c r="G35" s="25">
        <f t="array" ref="G35">IF(LEFT('Operating Results'!$F$1,23)="North Carolina Facility",SUM(IF(Table_Query_from_Actuarial___Production3[EffectiveYear]='Loss &amp; Expense Detail'!$A35,IF(Table_Query_from_Actuarial___Production3[StateName]='Operating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Detail'!$A35,IF(Table_Query_from_Actuarial___Production3[StateName]='Operating Results'!$F$1,IF(Table_Query_from_Actuarial___Production3[RecordType]="Operating Service Fees",Table_Query_from_Actuarial___Production3[SumOfAmount],0),0),0)))</f>
        <v>20045139.849999998</v>
      </c>
      <c r="H35" s="25">
        <f t="array" ref="H35">IF(LEFT('Operating Results'!$F$1,6)="Hawaii",SUM(IF(Table_Query_from_Actuarial___Production3[EffectiveYear]='Loss &amp; Expense Detail'!$A35,IF(Table_Query_from_Actuarial___Production3[StateName]='Operating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Detail'!$A35,IF(Table_Query_from_Actuarial___Production3[StateName]='Operating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Detail'!$A35,IF(Table_Query_from_Actuarial___Production3[StateName]='Operating Results'!$F$1,IF(Table_Query_from_Actuarial___Production3[RecordType]="Premium Tax",Table_Query_from_Actuarial___Production3[SumOfAmount],0),0),0))))</f>
        <v>2083780.7799999998</v>
      </c>
      <c r="I35" s="25">
        <f t="array" ref="I35">SUM(IF(Table_Query_from_Actuarial___Production3[EffectiveYear]='Loss &amp; Expense Detail'!$A35,IF(Table_Query_from_Actuarial___Production3[StateName]='Operating Results'!$F$1,IF(Table_Query_from_Actuarial___Production3[RecordType]="Commissions",Table_Query_from_Actuarial___Production3[SumOfAmount],0),0),0))</f>
        <v>6506208.3400000017</v>
      </c>
      <c r="J35" s="25">
        <f t="array" ref="J35">SUM(IF(Table_Query_from_Actuarial___Production3[EffectiveYear]='Loss &amp; Expense Detail'!$A35,IF(Table_Query_from_Actuarial___Production3[StateName]='Operating Results'!$F$1,IF(Table_Query_from_Actuarial___Production3[RecordType]="PDR",Table_Query_from_Actuarial___Production3[SumOfAmount],0),0),0))</f>
        <v>0</v>
      </c>
      <c r="K35" s="25">
        <f t="array" ref="K35">SUM(IF(Table_Query_from_Actuarial___Production3[EffectiveYear]='Loss &amp; Expense Detail'!$A35,IF(Table_Query_from_Actuarial___Production3[StateName]='Operating Results'!$F$1,IF(Table_Query_from_Actuarial___Production3[RecordType]="Investment Income",Table_Query_from_Actuarial___Production3[SumOfAmount],0),0),0))</f>
        <v>40010.400000000009</v>
      </c>
      <c r="L35" s="25">
        <f t="array" ref="L35">SUM(IF(Table_Query_from_Actuarial___Production3[EffectiveYear]='Loss &amp; Expense Detail'!$A35,IF(Table_Query_from_Actuarial___Production3[StateName]='Operating Results'!$F$1,IF(Table_Query_from_Actuarial___Production3[RecordType]="Charge-offs",Table_Query_from_Actuarial___Production3[SumOfAmount],0),0),0))</f>
        <v>5787000.0899999989</v>
      </c>
      <c r="M35" s="25">
        <f t="array" ref="M35">SUM(IF(Table_Query_from_Actuarial___Production3[EffectiveYear]='Loss &amp; Expense Detail'!$A35,IF(Table_Query_from_Actuarial___Production3[StateName]='Operating Results'!$F$1,IF(Table_Query_from_Actuarial___Production3[RecordType]="Misc. Expense",Table_Query_from_Actuarial___Production3[SumOfAmount],0),0),0))</f>
        <v>2389306.4499999997</v>
      </c>
      <c r="N35" s="25">
        <f t="array" ref="N35">SUM(IF(Table_Query_from_Actuarial___Production3[EffectiveYear]='Loss &amp; Expense Detail'!$A35,IF(Table_Query_from_Actuarial___Production3[StateName]='Operating Results'!$F$1,IF(Table_Query_from_Actuarial___Production3[RecordType]="Misc. Income",Table_Query_from_Actuarial___Production3[SumOfAmount],0),0),0))</f>
        <v>570794.66</v>
      </c>
    </row>
    <row r="36" spans="1:15" x14ac:dyDescent="0.2">
      <c r="A36" s="27" t="str">
        <f>'Operating Results'!A38</f>
        <v>2017</v>
      </c>
      <c r="B36" s="25">
        <f t="array" ref="B36">SUM(IF(Table_Query_from_Actuarial___Production3[EffectiveYear]='Loss &amp; Expense Detail'!$A36,IF(Table_Query_from_Actuarial___Production3[StateName]='Operating Results'!$F$1,IF(Table_Query_from_Actuarial___Production3[RecordType]="Losses Paid",Table_Query_from_Actuarial___Production3[SumOfAmount],0),0),0))</f>
        <v>107954744.23999999</v>
      </c>
      <c r="C36" s="25">
        <f t="array" ref="C36">SUM(IF(Table_Query_from_Actuarial___Production3[EffectiveYear]='Loss &amp; Expense Detail'!$A36,IF(Table_Query_from_Actuarial___Production3[StateName]='Operating Results'!$F$1,IF(Table_Query_from_Actuarial___Production3[RecordType]="Losses Outstanding",Table_Query_from_Actuarial___Production3[SumOfAmount],0),0),0))</f>
        <v>6919689.1699999999</v>
      </c>
      <c r="D36" s="25">
        <f t="array" ref="D36">SUM(IF(Table_Query_from_Actuarial___Production3[EffectiveYear]='Loss &amp; Expense Detail'!$A36,IF(Table_Query_from_Actuarial___Production3[StateName]='Operating Results'!$F$1,IF(Table_Query_from_Actuarial___Production3[RecordType]="IBNR",Table_Query_from_Actuarial___Production3[SumOfAmount],0),0),0))</f>
        <v>173491</v>
      </c>
      <c r="E36" s="25">
        <f t="array" ref="E36">IF(LEFT('Operating Results'!$F$1,23)="North Carolina Facility",SUM(IF(Table_Query_from_Actuarial___Production3[EffectiveYear]='Loss &amp; Expense Detail'!$A36,IF(Table_Query_from_Actuarial___Production3[StateName]='Operating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Detail'!$A36,IF(Table_Query_from_Actuarial___Production3[StateName]='Operating Results'!$F$1,IF(Table_Query_from_Actuarial___Production3[RecordType]="Claims Expense",Table_Query_from_Actuarial___Production3[SumOfAmount],0),0),0))))</f>
        <v>12496560.189999996</v>
      </c>
      <c r="F36" s="25">
        <f t="array" ref="F36">IF(LEFT('Operating Results'!$F$1,23)="North Carolina Facility",SUM(IF(Table_Query_from_Actuarial___Production3[EffectiveYear]='Loss &amp; Expense Detail'!$A36,IF(Table_Query_from_Actuarial___Production3[StateName]='Operating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Detail'!$A36,IF(Table_Query_from_Actuarial___Production3[StateName]='Operating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Detail'!$A36,IF(Table_Query_from_Actuarial___Production3[StateName]='Operating Results'!$F$1,IF(Table_Query_from_Actuarial___Production3[RecordType]="ALAE Reserve",Table_Query_from_Actuarial___Production3[SumOfAmount],0),0),0)))</f>
        <v>6919049.0300000012</v>
      </c>
      <c r="G36" s="25">
        <f t="array" ref="G36">IF(LEFT('Operating Results'!$F$1,23)="North Carolina Facility",SUM(IF(Table_Query_from_Actuarial___Production3[EffectiveYear]='Loss &amp; Expense Detail'!$A36,IF(Table_Query_from_Actuarial___Production3[StateName]='Operating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Detail'!$A36,IF(Table_Query_from_Actuarial___Production3[StateName]='Operating Results'!$F$1,IF(Table_Query_from_Actuarial___Production3[RecordType]="Operating Service Fees",Table_Query_from_Actuarial___Production3[SumOfAmount],0),0),0)))</f>
        <v>23797671.289999995</v>
      </c>
      <c r="H36" s="25">
        <f t="array" ref="H36">IF(LEFT('Operating Results'!$F$1,6)="Hawaii",SUM(IF(Table_Query_from_Actuarial___Production3[EffectiveYear]='Loss &amp; Expense Detail'!$A36,IF(Table_Query_from_Actuarial___Production3[StateName]='Operating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Detail'!$A36,IF(Table_Query_from_Actuarial___Production3[StateName]='Operating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Detail'!$A36,IF(Table_Query_from_Actuarial___Production3[StateName]='Operating Results'!$F$1,IF(Table_Query_from_Actuarial___Production3[RecordType]="Premium Tax",Table_Query_from_Actuarial___Production3[SumOfAmount],0),0),0))))</f>
        <v>2503699.9999999991</v>
      </c>
      <c r="I36" s="25">
        <f t="array" ref="I36">SUM(IF(Table_Query_from_Actuarial___Production3[EffectiveYear]='Loss &amp; Expense Detail'!$A36,IF(Table_Query_from_Actuarial___Production3[StateName]='Operating Results'!$F$1,IF(Table_Query_from_Actuarial___Production3[RecordType]="Commissions",Table_Query_from_Actuarial___Production3[SumOfAmount],0),0),0))</f>
        <v>8285045.2800000012</v>
      </c>
      <c r="J36" s="25">
        <f t="array" ref="J36">SUM(IF(Table_Query_from_Actuarial___Production3[EffectiveYear]='Loss &amp; Expense Detail'!$A36,IF(Table_Query_from_Actuarial___Production3[StateName]='Operating Results'!$F$1,IF(Table_Query_from_Actuarial___Production3[RecordType]="PDR",Table_Query_from_Actuarial___Production3[SumOfAmount],0),0),0))</f>
        <v>0</v>
      </c>
      <c r="K36" s="25">
        <f t="array" ref="K36">SUM(IF(Table_Query_from_Actuarial___Production3[EffectiveYear]='Loss &amp; Expense Detail'!$A36,IF(Table_Query_from_Actuarial___Production3[StateName]='Operating Results'!$F$1,IF(Table_Query_from_Actuarial___Production3[RecordType]="Investment Income",Table_Query_from_Actuarial___Production3[SumOfAmount],0),0),0))</f>
        <v>142962.20000000001</v>
      </c>
      <c r="L36" s="25">
        <f t="array" ref="L36">SUM(IF(Table_Query_from_Actuarial___Production3[EffectiveYear]='Loss &amp; Expense Detail'!$A36,IF(Table_Query_from_Actuarial___Production3[StateName]='Operating Results'!$F$1,IF(Table_Query_from_Actuarial___Production3[RecordType]="Charge-offs",Table_Query_from_Actuarial___Production3[SumOfAmount],0),0),0))</f>
        <v>7477795.7300000014</v>
      </c>
      <c r="M36" s="25">
        <f t="array" ref="M36">SUM(IF(Table_Query_from_Actuarial___Production3[EffectiveYear]='Loss &amp; Expense Detail'!$A36,IF(Table_Query_from_Actuarial___Production3[StateName]='Operating Results'!$F$1,IF(Table_Query_from_Actuarial___Production3[RecordType]="Misc. Expense",Table_Query_from_Actuarial___Production3[SumOfAmount],0),0),0))</f>
        <v>2424518.9899999984</v>
      </c>
      <c r="N36" s="25">
        <f t="array" ref="N36">SUM(IF(Table_Query_from_Actuarial___Production3[EffectiveYear]='Loss &amp; Expense Detail'!$A36,IF(Table_Query_from_Actuarial___Production3[StateName]='Operating Results'!$F$1,IF(Table_Query_from_Actuarial___Production3[RecordType]="Misc. Income",Table_Query_from_Actuarial___Production3[SumOfAmount],0),0),0))</f>
        <v>51811.799999999996</v>
      </c>
    </row>
    <row r="37" spans="1:15" x14ac:dyDescent="0.2">
      <c r="A37" s="27" t="str">
        <f>'Operating Results'!A39</f>
        <v>2018</v>
      </c>
      <c r="B37" s="25">
        <f t="array" ref="B37">SUM(IF(Table_Query_from_Actuarial___Production3[EffectiveYear]='Loss &amp; Expense Detail'!$A37,IF(Table_Query_from_Actuarial___Production3[StateName]='Operating Results'!$F$1,IF(Table_Query_from_Actuarial___Production3[RecordType]="Losses Paid",Table_Query_from_Actuarial___Production3[SumOfAmount],0),0),0))</f>
        <v>143089879.81999999</v>
      </c>
      <c r="C37" s="25">
        <f t="array" ref="C37">SUM(IF(Table_Query_from_Actuarial___Production3[EffectiveYear]='Loss &amp; Expense Detail'!$A37,IF(Table_Query_from_Actuarial___Production3[StateName]='Operating Results'!$F$1,IF(Table_Query_from_Actuarial___Production3[RecordType]="Losses Outstanding",Table_Query_from_Actuarial___Production3[SumOfAmount],0),0),0))</f>
        <v>22006225.050000001</v>
      </c>
      <c r="D37" s="25">
        <f t="array" ref="D37">SUM(IF(Table_Query_from_Actuarial___Production3[EffectiveYear]='Loss &amp; Expense Detail'!$A37,IF(Table_Query_from_Actuarial___Production3[StateName]='Operating Results'!$F$1,IF(Table_Query_from_Actuarial___Production3[RecordType]="IBNR",Table_Query_from_Actuarial___Production3[SumOfAmount],0),0),0))</f>
        <v>522898.56</v>
      </c>
      <c r="E37" s="25">
        <f t="array" ref="E37">IF(LEFT('Operating Results'!$F$1,23)="North Carolina Facility",SUM(IF(Table_Query_from_Actuarial___Production3[EffectiveYear]='Loss &amp; Expense Detail'!$A37,IF(Table_Query_from_Actuarial___Production3[StateName]='Operating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Detail'!$A37,IF(Table_Query_from_Actuarial___Production3[StateName]='Operating Results'!$F$1,IF(Table_Query_from_Actuarial___Production3[RecordType]="Claims Expense",Table_Query_from_Actuarial___Production3[SumOfAmount],0),0),0))))</f>
        <v>16674875.979999997</v>
      </c>
      <c r="F37" s="25">
        <f t="array" ref="F37">IF(LEFT('Operating Results'!$F$1,23)="North Carolina Facility",SUM(IF(Table_Query_from_Actuarial___Production3[EffectiveYear]='Loss &amp; Expense Detail'!$A37,IF(Table_Query_from_Actuarial___Production3[StateName]='Operating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Detail'!$A37,IF(Table_Query_from_Actuarial___Production3[StateName]='Operating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Detail'!$A37,IF(Table_Query_from_Actuarial___Production3[StateName]='Operating Results'!$F$1,IF(Table_Query_from_Actuarial___Production3[RecordType]="ALAE Reserve",Table_Query_from_Actuarial___Production3[SumOfAmount],0),0),0)))</f>
        <v>8347563.9699999979</v>
      </c>
      <c r="G37" s="25">
        <f t="array" ref="G37">IF(LEFT('Operating Results'!$F$1,23)="North Carolina Facility",SUM(IF(Table_Query_from_Actuarial___Production3[EffectiveYear]='Loss &amp; Expense Detail'!$A37,IF(Table_Query_from_Actuarial___Production3[StateName]='Operating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Detail'!$A37,IF(Table_Query_from_Actuarial___Production3[StateName]='Operating Results'!$F$1,IF(Table_Query_from_Actuarial___Production3[RecordType]="Operating Service Fees",Table_Query_from_Actuarial___Production3[SumOfAmount],0),0),0)))</f>
        <v>31033381.810000002</v>
      </c>
      <c r="H37" s="25">
        <f t="array" ref="H37">IF(LEFT('Operating Results'!$F$1,6)="Hawaii",SUM(IF(Table_Query_from_Actuarial___Production3[EffectiveYear]='Loss &amp; Expense Detail'!$A37,IF(Table_Query_from_Actuarial___Production3[StateName]='Operating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Detail'!$A37,IF(Table_Query_from_Actuarial___Production3[StateName]='Operating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Detail'!$A37,IF(Table_Query_from_Actuarial___Production3[StateName]='Operating Results'!$F$1,IF(Table_Query_from_Actuarial___Production3[RecordType]="Premium Tax",Table_Query_from_Actuarial___Production3[SumOfAmount],0),0),0))))</f>
        <v>3598186.6699999995</v>
      </c>
      <c r="I37" s="25">
        <f t="array" ref="I37">SUM(IF(Table_Query_from_Actuarial___Production3[EffectiveYear]='Loss &amp; Expense Detail'!$A37,IF(Table_Query_from_Actuarial___Production3[StateName]='Operating Results'!$F$1,IF(Table_Query_from_Actuarial___Production3[RecordType]="Commissions",Table_Query_from_Actuarial___Production3[SumOfAmount],0),0),0))</f>
        <v>11224283.24</v>
      </c>
      <c r="J37" s="25">
        <f t="array" ref="J37">SUM(IF(Table_Query_from_Actuarial___Production3[EffectiveYear]='Loss &amp; Expense Detail'!$A37,IF(Table_Query_from_Actuarial___Production3[StateName]='Operating Results'!$F$1,IF(Table_Query_from_Actuarial___Production3[RecordType]="PDR",Table_Query_from_Actuarial___Production3[SumOfAmount],0),0),0))</f>
        <v>0</v>
      </c>
      <c r="K37" s="25">
        <f t="array" ref="K37">SUM(IF(Table_Query_from_Actuarial___Production3[EffectiveYear]='Loss &amp; Expense Detail'!$A37,IF(Table_Query_from_Actuarial___Production3[StateName]='Operating Results'!$F$1,IF(Table_Query_from_Actuarial___Production3[RecordType]="Investment Income",Table_Query_from_Actuarial___Production3[SumOfAmount],0),0),0))</f>
        <v>397683.83</v>
      </c>
      <c r="L37" s="25">
        <f t="array" ref="L37">SUM(IF(Table_Query_from_Actuarial___Production3[EffectiveYear]='Loss &amp; Expense Detail'!$A37,IF(Table_Query_from_Actuarial___Production3[StateName]='Operating Results'!$F$1,IF(Table_Query_from_Actuarial___Production3[RecordType]="Charge-offs",Table_Query_from_Actuarial___Production3[SumOfAmount],0),0),0))</f>
        <v>8438595.6299999971</v>
      </c>
      <c r="M37" s="25">
        <f t="array" ref="M37">SUM(IF(Table_Query_from_Actuarial___Production3[EffectiveYear]='Loss &amp; Expense Detail'!$A37,IF(Table_Query_from_Actuarial___Production3[StateName]='Operating Results'!$F$1,IF(Table_Query_from_Actuarial___Production3[RecordType]="Misc. Expense",Table_Query_from_Actuarial___Production3[SumOfAmount],0),0),0))</f>
        <v>1672412.8799999987</v>
      </c>
      <c r="N37" s="25">
        <f t="array" ref="N37">SUM(IF(Table_Query_from_Actuarial___Production3[EffectiveYear]='Loss &amp; Expense Detail'!$A37,IF(Table_Query_from_Actuarial___Production3[StateName]='Operating Results'!$F$1,IF(Table_Query_from_Actuarial___Production3[RecordType]="Misc. Income",Table_Query_from_Actuarial___Production3[SumOfAmount],0),0),0))</f>
        <v>81615.38</v>
      </c>
    </row>
    <row r="38" spans="1:15" x14ac:dyDescent="0.2">
      <c r="A38" s="27" t="str">
        <f>'Operating Results'!A40</f>
        <v>2019</v>
      </c>
      <c r="B38" s="25">
        <f t="array" ref="B38">SUM(IF(Table_Query_from_Actuarial___Production3[EffectiveYear]='Loss &amp; Expense Detail'!$A38,IF(Table_Query_from_Actuarial___Production3[StateName]='Operating Results'!$F$1,IF(Table_Query_from_Actuarial___Production3[RecordType]="Losses Paid",Table_Query_from_Actuarial___Production3[SumOfAmount],0),0),0))</f>
        <v>129635652.62000002</v>
      </c>
      <c r="C38" s="25">
        <f t="array" ref="C38">SUM(IF(Table_Query_from_Actuarial___Production3[EffectiveYear]='Loss &amp; Expense Detail'!$A38,IF(Table_Query_from_Actuarial___Production3[StateName]='Operating Results'!$F$1,IF(Table_Query_from_Actuarial___Production3[RecordType]="Losses Outstanding",Table_Query_from_Actuarial___Production3[SumOfAmount],0),0),0))</f>
        <v>69160069.020000011</v>
      </c>
      <c r="D38" s="25">
        <f t="array" ref="D38">SUM(IF(Table_Query_from_Actuarial___Production3[EffectiveYear]='Loss &amp; Expense Detail'!$A38,IF(Table_Query_from_Actuarial___Production3[StateName]='Operating Results'!$F$1,IF(Table_Query_from_Actuarial___Production3[RecordType]="IBNR",Table_Query_from_Actuarial___Production3[SumOfAmount],0),0),0))</f>
        <v>23145449.390000001</v>
      </c>
      <c r="E38" s="25">
        <f t="array" ref="E38">IF(LEFT('Operating Results'!$F$1,23)="North Carolina Facility",SUM(IF(Table_Query_from_Actuarial___Production3[EffectiveYear]='Loss &amp; Expense Detail'!$A38,IF(Table_Query_from_Actuarial___Production3[StateName]='Operating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Detail'!$A38,IF(Table_Query_from_Actuarial___Production3[StateName]='Operating Results'!$F$1,IF(Table_Query_from_Actuarial___Production3[RecordType]="Claims Expense",Table_Query_from_Actuarial___Production3[SumOfAmount],0),0),0))))</f>
        <v>19423697.580000002</v>
      </c>
      <c r="F38" s="25">
        <f t="array" ref="F38">IF(LEFT('Operating Results'!$F$1,23)="North Carolina Facility",SUM(IF(Table_Query_from_Actuarial___Production3[EffectiveYear]='Loss &amp; Expense Detail'!$A38,IF(Table_Query_from_Actuarial___Production3[StateName]='Operating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Detail'!$A38,IF(Table_Query_from_Actuarial___Production3[StateName]='Operating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Detail'!$A38,IF(Table_Query_from_Actuarial___Production3[StateName]='Operating Results'!$F$1,IF(Table_Query_from_Actuarial___Production3[RecordType]="ALAE Reserve",Table_Query_from_Actuarial___Production3[SumOfAmount],0),0),0)))</f>
        <v>12053145.07</v>
      </c>
      <c r="G38" s="25">
        <f t="array" ref="G38">IF(LEFT('Operating Results'!$F$1,23)="North Carolina Facility",SUM(IF(Table_Query_from_Actuarial___Production3[EffectiveYear]='Loss &amp; Expense Detail'!$A38,IF(Table_Query_from_Actuarial___Production3[StateName]='Operating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Detail'!$A38,IF(Table_Query_from_Actuarial___Production3[StateName]='Operating Results'!$F$1,IF(Table_Query_from_Actuarial___Production3[RecordType]="Operating Service Fees",Table_Query_from_Actuarial___Production3[SumOfAmount],0),0),0)))</f>
        <v>37095459.43</v>
      </c>
      <c r="H38" s="25">
        <f t="array" ref="H38">IF(LEFT('Operating Results'!$F$1,6)="Hawaii",SUM(IF(Table_Query_from_Actuarial___Production3[EffectiveYear]='Loss &amp; Expense Detail'!$A38,IF(Table_Query_from_Actuarial___Production3[StateName]='Operating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Detail'!$A38,IF(Table_Query_from_Actuarial___Production3[StateName]='Operating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Detail'!$A38,IF(Table_Query_from_Actuarial___Production3[StateName]='Operating Results'!$F$1,IF(Table_Query_from_Actuarial___Production3[RecordType]="Premium Tax",Table_Query_from_Actuarial___Production3[SumOfAmount],0),0),0))))</f>
        <v>4168338.1600000006</v>
      </c>
      <c r="I38" s="25">
        <f t="array" ref="I38">SUM(IF(Table_Query_from_Actuarial___Production3[EffectiveYear]='Loss &amp; Expense Detail'!$A38,IF(Table_Query_from_Actuarial___Production3[StateName]='Operating Results'!$F$1,IF(Table_Query_from_Actuarial___Production3[RecordType]="Commissions",Table_Query_from_Actuarial___Production3[SumOfAmount],0),0),0))</f>
        <v>14479730.890000001</v>
      </c>
      <c r="J38" s="25">
        <f t="array" ref="J38">SUM(IF(Table_Query_from_Actuarial___Production3[EffectiveYear]='Loss &amp; Expense Detail'!$A38,IF(Table_Query_from_Actuarial___Production3[StateName]='Operating Results'!$F$1,IF(Table_Query_from_Actuarial___Production3[RecordType]="PDR",Table_Query_from_Actuarial___Production3[SumOfAmount],0),0),0))</f>
        <v>0</v>
      </c>
      <c r="K38" s="25">
        <f t="array" ref="K38">SUM(IF(Table_Query_from_Actuarial___Production3[EffectiveYear]='Loss &amp; Expense Detail'!$A38,IF(Table_Query_from_Actuarial___Production3[StateName]='Operating Results'!$F$1,IF(Table_Query_from_Actuarial___Production3[RecordType]="Investment Income",Table_Query_from_Actuarial___Production3[SumOfAmount],0),0),0))</f>
        <v>589194.75</v>
      </c>
      <c r="L38" s="25">
        <f t="array" ref="L38">SUM(IF(Table_Query_from_Actuarial___Production3[EffectiveYear]='Loss &amp; Expense Detail'!$A38,IF(Table_Query_from_Actuarial___Production3[StateName]='Operating Results'!$F$1,IF(Table_Query_from_Actuarial___Production3[RecordType]="Charge-offs",Table_Query_from_Actuarial___Production3[SumOfAmount],0),0),0))</f>
        <v>6848828.4899999993</v>
      </c>
      <c r="M38" s="25">
        <f t="array" ref="M38">SUM(IF(Table_Query_from_Actuarial___Production3[EffectiveYear]='Loss &amp; Expense Detail'!$A38,IF(Table_Query_from_Actuarial___Production3[StateName]='Operating Results'!$F$1,IF(Table_Query_from_Actuarial___Production3[RecordType]="Misc. Expense",Table_Query_from_Actuarial___Production3[SumOfAmount],0),0),0))</f>
        <v>5883259.8699999992</v>
      </c>
      <c r="N38" s="25">
        <f t="array" ref="N38">SUM(IF(Table_Query_from_Actuarial___Production3[EffectiveYear]='Loss &amp; Expense Detail'!$A38,IF(Table_Query_from_Actuarial___Production3[StateName]='Operating Results'!$F$1,IF(Table_Query_from_Actuarial___Production3[RecordType]="Misc. Income",Table_Query_from_Actuarial___Production3[SumOfAmount],0),0),0))</f>
        <v>13758.910000000002</v>
      </c>
    </row>
    <row r="39" spans="1:15" x14ac:dyDescent="0.2">
      <c r="A39" s="27" t="str">
        <f>'Operating Results'!A41</f>
        <v>2020</v>
      </c>
      <c r="B39" s="25">
        <f t="array" ref="B39">SUM(IF(Table_Query_from_Actuarial___Production3[EffectiveYear]='Loss &amp; Expense Detail'!$A39,IF(Table_Query_from_Actuarial___Production3[StateName]='Operating Results'!$F$1,IF(Table_Query_from_Actuarial___Production3[RecordType]="Losses Paid",Table_Query_from_Actuarial___Production3[SumOfAmount],0),0),0))</f>
        <v>130637252.62</v>
      </c>
      <c r="C39" s="25">
        <f t="array" ref="C39">SUM(IF(Table_Query_from_Actuarial___Production3[EffectiveYear]='Loss &amp; Expense Detail'!$A39,IF(Table_Query_from_Actuarial___Production3[StateName]='Operating Results'!$F$1,IF(Table_Query_from_Actuarial___Production3[RecordType]="Losses Outstanding",Table_Query_from_Actuarial___Production3[SumOfAmount],0),0),0))</f>
        <v>84574781.789999992</v>
      </c>
      <c r="D39" s="25">
        <f t="array" ref="D39">SUM(IF(Table_Query_from_Actuarial___Production3[EffectiveYear]='Loss &amp; Expense Detail'!$A39,IF(Table_Query_from_Actuarial___Production3[StateName]='Operating Results'!$F$1,IF(Table_Query_from_Actuarial___Production3[RecordType]="IBNR",Table_Query_from_Actuarial___Production3[SumOfAmount],0),0),0))</f>
        <v>23083411.790000003</v>
      </c>
      <c r="E39" s="25">
        <f t="array" ref="E39">IF(LEFT('Operating Results'!$F$1,23)="North Carolina Facility",SUM(IF(Table_Query_from_Actuarial___Production3[EffectiveYear]='Loss &amp; Expense Detail'!$A39,IF(Table_Query_from_Actuarial___Production3[StateName]='Operating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Detail'!$A39,IF(Table_Query_from_Actuarial___Production3[StateName]='Operating Results'!$F$1,IF(Table_Query_from_Actuarial___Production3[RecordType]="Claims Expense",Table_Query_from_Actuarial___Production3[SumOfAmount],0),0),0))))</f>
        <v>20961129.780000001</v>
      </c>
      <c r="F39" s="25">
        <f t="array" ref="F39">IF(LEFT('Operating Results'!$F$1,23)="North Carolina Facility",SUM(IF(Table_Query_from_Actuarial___Production3[EffectiveYear]='Loss &amp; Expense Detail'!$A39,IF(Table_Query_from_Actuarial___Production3[StateName]='Operating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Detail'!$A39,IF(Table_Query_from_Actuarial___Production3[StateName]='Operating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Detail'!$A39,IF(Table_Query_from_Actuarial___Production3[StateName]='Operating Results'!$F$1,IF(Table_Query_from_Actuarial___Production3[RecordType]="ALAE Reserve",Table_Query_from_Actuarial___Production3[SumOfAmount],0),0),0)))</f>
        <v>13491194.800000001</v>
      </c>
      <c r="G39" s="25">
        <f t="array" ref="G39">IF(LEFT('Operating Results'!$F$1,23)="North Carolina Facility",SUM(IF(Table_Query_from_Actuarial___Production3[EffectiveYear]='Loss &amp; Expense Detail'!$A39,IF(Table_Query_from_Actuarial___Production3[StateName]='Operating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Detail'!$A39,IF(Table_Query_from_Actuarial___Production3[StateName]='Operating Results'!$F$1,IF(Table_Query_from_Actuarial___Production3[RecordType]="Operating Service Fees",Table_Query_from_Actuarial___Production3[SumOfAmount],0),0),0)))</f>
        <v>44302051.410000004</v>
      </c>
      <c r="H39" s="25">
        <f t="array" ref="H39">IF(LEFT('Operating Results'!$F$1,6)="Hawaii",SUM(IF(Table_Query_from_Actuarial___Production3[EffectiveYear]='Loss &amp; Expense Detail'!$A39,IF(Table_Query_from_Actuarial___Production3[StateName]='Operating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Detail'!$A39,IF(Table_Query_from_Actuarial___Production3[StateName]='Operating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Detail'!$A39,IF(Table_Query_from_Actuarial___Production3[StateName]='Operating Results'!$F$1,IF(Table_Query_from_Actuarial___Production3[RecordType]="Premium Tax",Table_Query_from_Actuarial___Production3[SumOfAmount],0),0),0))))</f>
        <v>4525560.7999999989</v>
      </c>
      <c r="I39" s="25">
        <f t="array" ref="I39">SUM(IF(Table_Query_from_Actuarial___Production3[EffectiveYear]='Loss &amp; Expense Detail'!$A39,IF(Table_Query_from_Actuarial___Production3[StateName]='Operating Results'!$F$1,IF(Table_Query_from_Actuarial___Production3[RecordType]="Commissions",Table_Query_from_Actuarial___Production3[SumOfAmount],0),0),0))</f>
        <v>14567224.280000005</v>
      </c>
      <c r="J39" s="25">
        <f t="array" ref="J39">SUM(IF(Table_Query_from_Actuarial___Production3[EffectiveYear]='Loss &amp; Expense Detail'!$A39,IF(Table_Query_from_Actuarial___Production3[StateName]='Operating Results'!$F$1,IF(Table_Query_from_Actuarial___Production3[RecordType]="PDR",Table_Query_from_Actuarial___Production3[SumOfAmount],0),0),0))</f>
        <v>0</v>
      </c>
      <c r="K39" s="25">
        <f t="array" ref="K39">SUM(IF(Table_Query_from_Actuarial___Production3[EffectiveYear]='Loss &amp; Expense Detail'!$A39,IF(Table_Query_from_Actuarial___Production3[StateName]='Operating Results'!$F$1,IF(Table_Query_from_Actuarial___Production3[RecordType]="Investment Income",Table_Query_from_Actuarial___Production3[SumOfAmount],0),0),0))</f>
        <v>171388.16000000003</v>
      </c>
      <c r="L39" s="25">
        <f t="array" ref="L39">SUM(IF(Table_Query_from_Actuarial___Production3[EffectiveYear]='Loss &amp; Expense Detail'!$A39,IF(Table_Query_from_Actuarial___Production3[StateName]='Operating Results'!$F$1,IF(Table_Query_from_Actuarial___Production3[RecordType]="Charge-offs",Table_Query_from_Actuarial___Production3[SumOfAmount],0),0),0))</f>
        <v>8183103.5599999996</v>
      </c>
      <c r="M39" s="25">
        <f t="array" ref="M39">SUM(IF(Table_Query_from_Actuarial___Production3[EffectiveYear]='Loss &amp; Expense Detail'!$A39,IF(Table_Query_from_Actuarial___Production3[StateName]='Operating Results'!$F$1,IF(Table_Query_from_Actuarial___Production3[RecordType]="Misc. Expense",Table_Query_from_Actuarial___Production3[SumOfAmount],0),0),0))</f>
        <v>2470289.0200000005</v>
      </c>
      <c r="N39" s="25">
        <f t="array" ref="N39">SUM(IF(Table_Query_from_Actuarial___Production3[EffectiveYear]='Loss &amp; Expense Detail'!$A39,IF(Table_Query_from_Actuarial___Production3[StateName]='Operating Results'!$F$1,IF(Table_Query_from_Actuarial___Production3[RecordType]="Misc. Income",Table_Query_from_Actuarial___Production3[SumOfAmount],0),0),0))</f>
        <v>12865.699999999999</v>
      </c>
    </row>
    <row r="40" spans="1:15" x14ac:dyDescent="0.2">
      <c r="A40" s="27" t="str">
        <f>'Operating Results'!A42</f>
        <v>2021</v>
      </c>
      <c r="B40" s="25">
        <f t="array" ref="B40">SUM(IF(Table_Query_from_Actuarial___Production3[EffectiveYear]='Loss &amp; Expense Detail'!$A40,IF(Table_Query_from_Actuarial___Production3[StateName]='Operating Results'!$F$1,IF(Table_Query_from_Actuarial___Production3[RecordType]="Losses Paid",Table_Query_from_Actuarial___Production3[SumOfAmount],0),0),0))</f>
        <v>103058353.07999998</v>
      </c>
      <c r="C40" s="25">
        <f t="array" ref="C40">SUM(IF(Table_Query_from_Actuarial___Production3[EffectiveYear]='Loss &amp; Expense Detail'!$A40,IF(Table_Query_from_Actuarial___Production3[StateName]='Operating Results'!$F$1,IF(Table_Query_from_Actuarial___Production3[RecordType]="Losses Outstanding",Table_Query_from_Actuarial___Production3[SumOfAmount],0),0),0))</f>
        <v>135996463.94999999</v>
      </c>
      <c r="D40" s="25">
        <f t="array" ref="D40">SUM(IF(Table_Query_from_Actuarial___Production3[EffectiveYear]='Loss &amp; Expense Detail'!$A40,IF(Table_Query_from_Actuarial___Production3[StateName]='Operating Results'!$F$1,IF(Table_Query_from_Actuarial___Production3[RecordType]="IBNR",Table_Query_from_Actuarial___Production3[SumOfAmount],0),0),0))</f>
        <v>44263632.560000002</v>
      </c>
      <c r="E40" s="25">
        <f t="array" ref="E40">IF(LEFT('Operating Results'!$F$1,23)="North Carolina Facility",SUM(IF(Table_Query_from_Actuarial___Production3[EffectiveYear]='Loss &amp; Expense Detail'!$A40,IF(Table_Query_from_Actuarial___Production3[StateName]='Operating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Detail'!$A40,IF(Table_Query_from_Actuarial___Production3[StateName]='Operating Results'!$F$1,IF(Table_Query_from_Actuarial___Production3[RecordType]="Claims Expense",Table_Query_from_Actuarial___Production3[SumOfAmount],0),0),0))))</f>
        <v>26020553.229999997</v>
      </c>
      <c r="F40" s="25">
        <f t="array" ref="F40">IF(LEFT('Operating Results'!$F$1,23)="North Carolina Facility",SUM(IF(Table_Query_from_Actuarial___Production3[EffectiveYear]='Loss &amp; Expense Detail'!$A40,IF(Table_Query_from_Actuarial___Production3[StateName]='Operating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Detail'!$A40,IF(Table_Query_from_Actuarial___Production3[StateName]='Operating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Detail'!$A40,IF(Table_Query_from_Actuarial___Production3[StateName]='Operating Results'!$F$1,IF(Table_Query_from_Actuarial___Production3[RecordType]="ALAE Reserve",Table_Query_from_Actuarial___Production3[SumOfAmount],0),0),0)))</f>
        <v>13373627.879999999</v>
      </c>
      <c r="G40" s="25">
        <f t="array" ref="G40">IF(LEFT('Operating Results'!$F$1,23)="North Carolina Facility",SUM(IF(Table_Query_from_Actuarial___Production3[EffectiveYear]='Loss &amp; Expense Detail'!$A40,IF(Table_Query_from_Actuarial___Production3[StateName]='Operating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Detail'!$A40,IF(Table_Query_from_Actuarial___Production3[StateName]='Operating Results'!$F$1,IF(Table_Query_from_Actuarial___Production3[RecordType]="Operating Service Fees",Table_Query_from_Actuarial___Production3[SumOfAmount],0),0),0)))</f>
        <v>50278601.749999993</v>
      </c>
      <c r="H40" s="25">
        <f t="array" ref="H40">IF(LEFT('Operating Results'!$F$1,6)="Hawaii",SUM(IF(Table_Query_from_Actuarial___Production3[EffectiveYear]='Loss &amp; Expense Detail'!$A40,IF(Table_Query_from_Actuarial___Production3[StateName]='Operating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Detail'!$A40,IF(Table_Query_from_Actuarial___Production3[StateName]='Operating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Detail'!$A40,IF(Table_Query_from_Actuarial___Production3[StateName]='Operating Results'!$F$1,IF(Table_Query_from_Actuarial___Production3[RecordType]="Premium Tax",Table_Query_from_Actuarial___Production3[SumOfAmount],0),0),0))))</f>
        <v>5446197.629999999</v>
      </c>
      <c r="I40" s="25">
        <f t="array" ref="I40">SUM(IF(Table_Query_from_Actuarial___Production3[EffectiveYear]='Loss &amp; Expense Detail'!$A40,IF(Table_Query_from_Actuarial___Production3[StateName]='Operating Results'!$F$1,IF(Table_Query_from_Actuarial___Production3[RecordType]="Commissions",Table_Query_from_Actuarial___Production3[SumOfAmount],0),0),0))</f>
        <v>18105456.509999998</v>
      </c>
      <c r="J40" s="25">
        <f t="array" ref="J40">SUM(IF(Table_Query_from_Actuarial___Production3[EffectiveYear]='Loss &amp; Expense Detail'!$A40,IF(Table_Query_from_Actuarial___Production3[StateName]='Operating Results'!$F$1,IF(Table_Query_from_Actuarial___Production3[RecordType]="PDR",Table_Query_from_Actuarial___Production3[SumOfAmount],0),0),0))</f>
        <v>0</v>
      </c>
      <c r="K40" s="25">
        <f t="array" ref="K40">SUM(IF(Table_Query_from_Actuarial___Production3[EffectiveYear]='Loss &amp; Expense Detail'!$A40,IF(Table_Query_from_Actuarial___Production3[StateName]='Operating Results'!$F$1,IF(Table_Query_from_Actuarial___Production3[RecordType]="Investment Income",Table_Query_from_Actuarial___Production3[SumOfAmount],0),0),0))</f>
        <v>4850.62</v>
      </c>
      <c r="L40" s="25">
        <f t="array" ref="L40">SUM(IF(Table_Query_from_Actuarial___Production3[EffectiveYear]='Loss &amp; Expense Detail'!$A40,IF(Table_Query_from_Actuarial___Production3[StateName]='Operating Results'!$F$1,IF(Table_Query_from_Actuarial___Production3[RecordType]="Charge-offs",Table_Query_from_Actuarial___Production3[SumOfAmount],0),0),0))</f>
        <v>10240996.780000001</v>
      </c>
      <c r="M40" s="25">
        <f t="array" ref="M40">SUM(IF(Table_Query_from_Actuarial___Production3[EffectiveYear]='Loss &amp; Expense Detail'!$A40,IF(Table_Query_from_Actuarial___Production3[StateName]='Operating Results'!$F$1,IF(Table_Query_from_Actuarial___Production3[RecordType]="Misc. Expense",Table_Query_from_Actuarial___Production3[SumOfAmount],0),0),0))</f>
        <v>2326980.8300000005</v>
      </c>
      <c r="N40" s="25">
        <f t="array" ref="N40">SUM(IF(Table_Query_from_Actuarial___Production3[EffectiveYear]='Loss &amp; Expense Detail'!$A40,IF(Table_Query_from_Actuarial___Production3[StateName]='Operating Results'!$F$1,IF(Table_Query_from_Actuarial___Production3[RecordType]="Misc. Income",Table_Query_from_Actuarial___Production3[SumOfAmount],0),0),0))</f>
        <v>29457.64</v>
      </c>
    </row>
    <row r="41" spans="1:15" x14ac:dyDescent="0.2">
      <c r="A41" s="27" t="str">
        <f>'Operating Results'!A43</f>
        <v>2022</v>
      </c>
      <c r="B41" s="25">
        <f t="array" ref="B41">SUM(IF(Table_Query_from_Actuarial___Production3[EffectiveYear]='Loss &amp; Expense Detail'!$A41,IF(Table_Query_from_Actuarial___Production3[StateName]='Operating Results'!$F$1,IF(Table_Query_from_Actuarial___Production3[RecordType]="Losses Paid",Table_Query_from_Actuarial___Production3[SumOfAmount],0),0),0))</f>
        <v>49003678.579999998</v>
      </c>
      <c r="C41" s="25">
        <f t="array" ref="C41">SUM(IF(Table_Query_from_Actuarial___Production3[EffectiveYear]='Loss &amp; Expense Detail'!$A41,IF(Table_Query_from_Actuarial___Production3[StateName]='Operating Results'!$F$1,IF(Table_Query_from_Actuarial___Production3[RecordType]="Losses Outstanding",Table_Query_from_Actuarial___Production3[SumOfAmount],0),0),0))</f>
        <v>130907040.34999998</v>
      </c>
      <c r="D41" s="25">
        <f t="array" ref="D41">SUM(IF(Table_Query_from_Actuarial___Production3[EffectiveYear]='Loss &amp; Expense Detail'!$A41,IF(Table_Query_from_Actuarial___Production3[StateName]='Operating Results'!$F$1,IF(Table_Query_from_Actuarial___Production3[RecordType]="IBNR",Table_Query_from_Actuarial___Production3[SumOfAmount],0),0),0))</f>
        <v>59999028.989999995</v>
      </c>
      <c r="E41" s="25">
        <f t="array" ref="E41">IF(LEFT('Operating Results'!$F$1,23)="North Carolina Facility",SUM(IF(Table_Query_from_Actuarial___Production3[EffectiveYear]='Loss &amp; Expense Detail'!$A41,IF(Table_Query_from_Actuarial___Production3[StateName]='Operating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Detail'!$A41,IF(Table_Query_from_Actuarial___Production3[StateName]='Operating Results'!$F$1,IF(Table_Query_from_Actuarial___Production3[RecordType]="Claims Expense",Table_Query_from_Actuarial___Production3[SumOfAmount],0),0),0))))</f>
        <v>19585086.460000001</v>
      </c>
      <c r="F41" s="25">
        <f t="array" ref="F41">IF(LEFT('Operating Results'!$F$1,23)="North Carolina Facility",SUM(IF(Table_Query_from_Actuarial___Production3[EffectiveYear]='Loss &amp; Expense Detail'!$A41,IF(Table_Query_from_Actuarial___Production3[StateName]='Operating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Detail'!$A41,IF(Table_Query_from_Actuarial___Production3[StateName]='Operating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Detail'!$A41,IF(Table_Query_from_Actuarial___Production3[StateName]='Operating Results'!$F$1,IF(Table_Query_from_Actuarial___Production3[RecordType]="ALAE Reserve",Table_Query_from_Actuarial___Production3[SumOfAmount],0),0),0)))</f>
        <v>8092584.7299999986</v>
      </c>
      <c r="G41" s="25">
        <f t="array" ref="G41">IF(LEFT('Operating Results'!$F$1,23)="North Carolina Facility",SUM(IF(Table_Query_from_Actuarial___Production3[EffectiveYear]='Loss &amp; Expense Detail'!$A41,IF(Table_Query_from_Actuarial___Production3[StateName]='Operating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Detail'!$A41,IF(Table_Query_from_Actuarial___Production3[StateName]='Operating Results'!$F$1,IF(Table_Query_from_Actuarial___Production3[RecordType]="Operating Service Fees",Table_Query_from_Actuarial___Production3[SumOfAmount],0),0),0)))</f>
        <v>43390650.120000005</v>
      </c>
      <c r="H41" s="25">
        <f t="array" ref="H41">IF(LEFT('Operating Results'!$F$1,6)="Hawaii",SUM(IF(Table_Query_from_Actuarial___Production3[EffectiveYear]='Loss &amp; Expense Detail'!$A41,IF(Table_Query_from_Actuarial___Production3[StateName]='Operating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Detail'!$A41,IF(Table_Query_from_Actuarial___Production3[StateName]='Operating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Detail'!$A41,IF(Table_Query_from_Actuarial___Production3[StateName]='Operating Results'!$F$1,IF(Table_Query_from_Actuarial___Production3[RecordType]="Premium Tax",Table_Query_from_Actuarial___Production3[SumOfAmount],0),0),0))))</f>
        <v>5340454.25</v>
      </c>
      <c r="I41" s="25">
        <f t="array" ref="I41">SUM(IF(Table_Query_from_Actuarial___Production3[EffectiveYear]='Loss &amp; Expense Detail'!$A41,IF(Table_Query_from_Actuarial___Production3[StateName]='Operating Results'!$F$1,IF(Table_Query_from_Actuarial___Production3[RecordType]="Commissions",Table_Query_from_Actuarial___Production3[SumOfAmount],0),0),0))</f>
        <v>15067096.439999998</v>
      </c>
      <c r="J41" s="25">
        <f t="array" ref="J41">SUM(IF(Table_Query_from_Actuarial___Production3[EffectiveYear]='Loss &amp; Expense Detail'!$A41,IF(Table_Query_from_Actuarial___Production3[StateName]='Operating Results'!$F$1,IF(Table_Query_from_Actuarial___Production3[RecordType]="PDR",Table_Query_from_Actuarial___Production3[SumOfAmount],0),0),0))</f>
        <v>9122111</v>
      </c>
      <c r="K41" s="25">
        <f t="array" ref="K41">SUM(IF(Table_Query_from_Actuarial___Production3[EffectiveYear]='Loss &amp; Expense Detail'!$A41,IF(Table_Query_from_Actuarial___Production3[StateName]='Operating Results'!$F$1,IF(Table_Query_from_Actuarial___Production3[RecordType]="Investment Income",Table_Query_from_Actuarial___Production3[SumOfAmount],0),0),0))</f>
        <v>317271.51</v>
      </c>
      <c r="L41" s="25">
        <f t="array" ref="L41">SUM(IF(Table_Query_from_Actuarial___Production3[EffectiveYear]='Loss &amp; Expense Detail'!$A41,IF(Table_Query_from_Actuarial___Production3[StateName]='Operating Results'!$F$1,IF(Table_Query_from_Actuarial___Production3[RecordType]="Charge-offs",Table_Query_from_Actuarial___Production3[SumOfAmount],0),0),0))</f>
        <v>2617439.7999999998</v>
      </c>
      <c r="M41" s="25">
        <f t="array" ref="M41">SUM(IF(Table_Query_from_Actuarial___Production3[EffectiveYear]='Loss &amp; Expense Detail'!$A41,IF(Table_Query_from_Actuarial___Production3[StateName]='Operating Results'!$F$1,IF(Table_Query_from_Actuarial___Production3[RecordType]="Misc. Expense",Table_Query_from_Actuarial___Production3[SumOfAmount],0),0),0))</f>
        <v>135043.2100000004</v>
      </c>
      <c r="N41" s="25">
        <f t="array" ref="N41">SUM(IF(Table_Query_from_Actuarial___Production3[EffectiveYear]='Loss &amp; Expense Detail'!$A41,IF(Table_Query_from_Actuarial___Production3[StateName]='Operating Results'!$F$1,IF(Table_Query_from_Actuarial___Production3[RecordType]="Misc. Income",Table_Query_from_Actuarial___Production3[SumOfAmount],0),0),0))</f>
        <v>61996.039999999986</v>
      </c>
    </row>
    <row r="42" spans="1:15" x14ac:dyDescent="0.2">
      <c r="A42" s="27" t="str">
        <f>'Operating Results'!A44</f>
        <v>2023</v>
      </c>
      <c r="B42" s="25">
        <f t="array" ref="B42">SUM(IF(Table_Query_from_Actuarial___Production3[EffectiveYear]='Loss &amp; Expense Detail'!$A42,IF(Table_Query_from_Actuarial___Production3[StateName]='Operating Results'!$F$1,IF(Table_Query_from_Actuarial___Production3[RecordType]="Losses Paid",Table_Query_from_Actuarial___Production3[SumOfAmount],0),0),0))</f>
        <v>3715484.5900000003</v>
      </c>
      <c r="C42" s="25">
        <f t="array" ref="C42">SUM(IF(Table_Query_from_Actuarial___Production3[EffectiveYear]='Loss &amp; Expense Detail'!$A42,IF(Table_Query_from_Actuarial___Production3[StateName]='Operating Results'!$F$1,IF(Table_Query_from_Actuarial___Production3[RecordType]="Losses Outstanding",Table_Query_from_Actuarial___Production3[SumOfAmount],0),0),0))</f>
        <v>4450088.5199999996</v>
      </c>
      <c r="D42" s="25">
        <f t="array" ref="D42">SUM(IF(Table_Query_from_Actuarial___Production3[EffectiveYear]='Loss &amp; Expense Detail'!$A42,IF(Table_Query_from_Actuarial___Production3[StateName]='Operating Results'!$F$1,IF(Table_Query_from_Actuarial___Production3[RecordType]="IBNR",Table_Query_from_Actuarial___Production3[SumOfAmount],0),0),0))</f>
        <v>13502567.599999996</v>
      </c>
      <c r="E42" s="25">
        <f t="array" ref="E42">IF(LEFT('Operating Results'!$F$1,23)="North Carolina Facility",SUM(IF(Table_Query_from_Actuarial___Production3[EffectiveYear]='Loss &amp; Expense Detail'!$A42,IF(Table_Query_from_Actuarial___Production3[StateName]='Operating Results'!$F$1,IF(Table_Query_from_Actuarial___Production3[RecordType]="Clean Risk Subsidy",Table_Query_from_Actuarial___Production3[SumOfAmount],0),0),0)),IF(LEFT('Operating Results'!$F$1,6)="Hawaii",0,SUM(IF(Table_Query_from_Actuarial___Production3[EffectiveYear]='Loss &amp; Expense Detail'!$A42,IF(Table_Query_from_Actuarial___Production3[StateName]='Operating Results'!$F$1,IF(Table_Query_from_Actuarial___Production3[RecordType]="Claims Expense",Table_Query_from_Actuarial___Production3[SumOfAmount],0),0),0))))</f>
        <v>2044977.32</v>
      </c>
      <c r="F42" s="25">
        <f t="array" ref="F42">IF(LEFT('Operating Results'!$F$1,23)="North Carolina Facility",SUM(IF(Table_Query_from_Actuarial___Production3[EffectiveYear]='Loss &amp; Expense Detail'!$A42,IF(Table_Query_from_Actuarial___Production3[StateName]='Operating Results'!$F$1,IF(Table_Query_from_Actuarial___Production3[RecordType]="Recoupment",Table_Query_from_Actuarial___Production3[SumOfAmount],0),0),0)),SUM(IF(Table_Query_from_Actuarial___Production3[EffectiveYear]='Loss &amp; Expense Detail'!$A42,IF(Table_Query_from_Actuarial___Production3[StateName]='Operating Results'!$F$1,IF(Table_Query_from_Actuarial___Production3[RecordType]="ALAE Paid",Table_Query_from_Actuarial___Production3[SumOfAmount],0),0),0))+SUM(IF(Table_Query_from_Actuarial___Production3[EffectiveYear]='Loss &amp; Expense Detail'!$A42,IF(Table_Query_from_Actuarial___Production3[StateName]='Operating Results'!$F$1,IF(Table_Query_from_Actuarial___Production3[RecordType]="ALAE Reserve",Table_Query_from_Actuarial___Production3[SumOfAmount],0),0),0)))</f>
        <v>0</v>
      </c>
      <c r="G42" s="25">
        <f t="array" ref="G42">IF(LEFT('Operating Results'!$F$1,23)="North Carolina Facility",SUM(IF(Table_Query_from_Actuarial___Production3[EffectiveYear]='Loss &amp; Expense Detail'!$A42,IF(Table_Query_from_Actuarial___Production3[StateName]='Operating Results'!$F$1,IF(Table_Query_from_Actuarial___Production3[RecordType]="Claims Expense",Table_Query_from_Actuarial___Production3[SumOfAmount],0),0),0)),SUM(IF(Table_Query_from_Actuarial___Production3[EffectiveYear]='Loss &amp; Expense Detail'!$A42,IF(Table_Query_from_Actuarial___Production3[StateName]='Operating Results'!$F$1,IF(Table_Query_from_Actuarial___Production3[RecordType]="Operating Service Fees",Table_Query_from_Actuarial___Production3[SumOfAmount],0),0),0)))</f>
        <v>10174215.449999997</v>
      </c>
      <c r="H42" s="25">
        <f t="array" ref="H42">IF(LEFT('Operating Results'!$F$1,6)="Hawaii",SUM(IF(Table_Query_from_Actuarial___Production3[EffectiveYear]='Loss &amp; Expense Detail'!$A42,IF(Table_Query_from_Actuarial___Production3[StateName]='Operating Results'!$F$1,IF(Table_Query_from_Actuarial___Production3[RecordType]="CPAI Charge-offs",Table_Query_from_Actuarial___Production3[SumOfAmount],0),0),0)),IF(LEFT('Operating Results'!$F$1,23)="North Carolina Facility",SUM(IF(Table_Query_from_Actuarial___Production3[EffectiveYear]='Loss &amp; Expense Detail'!$A42,IF(Table_Query_from_Actuarial___Production3[StateName]='Operating Results'!$F$1,IF(Table_Query_from_Actuarial___Production3[RecordType]="Operating Service Fees",Table_Query_from_Actuarial___Production3[SumOfAmount],0),0),0)),SUM(IF(Table_Query_from_Actuarial___Production3[EffectiveYear]='Loss &amp; Expense Detail'!$A42,IF(Table_Query_from_Actuarial___Production3[StateName]='Operating Results'!$F$1,IF(Table_Query_from_Actuarial___Production3[RecordType]="Premium Tax",Table_Query_from_Actuarial___Production3[SumOfAmount],0),0),0))))</f>
        <v>1748276.68</v>
      </c>
      <c r="I42" s="25">
        <f t="array" ref="I42">SUM(IF(Table_Query_from_Actuarial___Production3[EffectiveYear]='Loss &amp; Expense Detail'!$A42,IF(Table_Query_from_Actuarial___Production3[StateName]='Operating Results'!$F$1,IF(Table_Query_from_Actuarial___Production3[RecordType]="Commissions",Table_Query_from_Actuarial___Production3[SumOfAmount],0),0),0))</f>
        <v>5602081.4199999999</v>
      </c>
      <c r="J42" s="25">
        <f t="array" ref="J42">SUM(IF(Table_Query_from_Actuarial___Production3[EffectiveYear]='Loss &amp; Expense Detail'!$A42,IF(Table_Query_from_Actuarial___Production3[StateName]='Operating Results'!$F$1,IF(Table_Query_from_Actuarial___Production3[RecordType]="PDR",Table_Query_from_Actuarial___Production3[SumOfAmount],0),0),0))</f>
        <v>17771072</v>
      </c>
      <c r="K42" s="25">
        <f t="array" ref="K42">SUM(IF(Table_Query_from_Actuarial___Production3[EffectiveYear]='Loss &amp; Expense Detail'!$A42,IF(Table_Query_from_Actuarial___Production3[StateName]='Operating Results'!$F$1,IF(Table_Query_from_Actuarial___Production3[RecordType]="Investment Income",Table_Query_from_Actuarial___Production3[SumOfAmount],0),0),0))</f>
        <v>436168.1</v>
      </c>
      <c r="L42" s="25">
        <f t="array" ref="L42">SUM(IF(Table_Query_from_Actuarial___Production3[EffectiveYear]='Loss &amp; Expense Detail'!$A42,IF(Table_Query_from_Actuarial___Production3[StateName]='Operating Results'!$F$1,IF(Table_Query_from_Actuarial___Production3[RecordType]="Charge-offs",Table_Query_from_Actuarial___Production3[SumOfAmount],0),0),0))</f>
        <v>45027.889999999992</v>
      </c>
      <c r="M42" s="25">
        <f t="array" ref="M42">SUM(IF(Table_Query_from_Actuarial___Production3[EffectiveYear]='Loss &amp; Expense Detail'!$A42,IF(Table_Query_from_Actuarial___Production3[StateName]='Operating Results'!$F$1,IF(Table_Query_from_Actuarial___Production3[RecordType]="Misc. Expense",Table_Query_from_Actuarial___Production3[SumOfAmount],0),0),0))</f>
        <v>1853173.2100000004</v>
      </c>
      <c r="N42" s="25">
        <f t="array" ref="N42">SUM(IF(Table_Query_from_Actuarial___Production3[EffectiveYear]='Loss &amp; Expense Detail'!$A42,IF(Table_Query_from_Actuarial___Production3[StateName]='Operating Results'!$F$1,IF(Table_Query_from_Actuarial___Production3[RecordType]="Misc. Income",Table_Query_from_Actuarial___Production3[SumOfAmount],0),0),0))</f>
        <v>25754.260000000002</v>
      </c>
    </row>
    <row r="43" spans="1:15" x14ac:dyDescent="0.2">
      <c r="A43" s="46" t="s">
        <v>118</v>
      </c>
      <c r="B43" s="47">
        <f t="shared" ref="B43:N43" si="1">SUM(B32:B42)</f>
        <v>958453697.74000001</v>
      </c>
      <c r="C43" s="47">
        <f t="shared" si="1"/>
        <v>462627380.17999995</v>
      </c>
      <c r="D43" s="47">
        <f t="shared" si="1"/>
        <v>165634161.89000002</v>
      </c>
      <c r="E43" s="47">
        <f t="shared" si="1"/>
        <v>146854136.62</v>
      </c>
      <c r="F43" s="47">
        <f t="shared" si="1"/>
        <v>82405358.650000006</v>
      </c>
      <c r="G43" s="47">
        <f t="shared" si="1"/>
        <v>299758199.31</v>
      </c>
      <c r="H43" s="47">
        <f t="shared" si="1"/>
        <v>33489952.539999995</v>
      </c>
      <c r="I43" s="47">
        <f t="shared" si="1"/>
        <v>106517570.91000001</v>
      </c>
      <c r="J43" s="47">
        <f t="shared" si="1"/>
        <v>26893183</v>
      </c>
      <c r="K43" s="47">
        <f t="shared" si="1"/>
        <v>2107915.08</v>
      </c>
      <c r="L43" s="47">
        <f t="shared" si="1"/>
        <v>59383870.549999997</v>
      </c>
      <c r="M43" s="47">
        <f t="shared" si="1"/>
        <v>24676530.180000007</v>
      </c>
      <c r="N43" s="47">
        <f t="shared" si="1"/>
        <v>1217056.9299999997</v>
      </c>
    </row>
    <row r="46" spans="1:15" x14ac:dyDescent="0.2">
      <c r="A46" s="59" t="str">
        <f>'Operating Results'!A48:N48</f>
        <v>Change in Experience by Active Policy Years from 2nd Calendar Quarter 2023 Through 2nd Calendar Quarter 2024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</row>
    <row r="48" spans="1:15" x14ac:dyDescent="0.2">
      <c r="A48" s="27" t="str">
        <f>'Operating Results'!A50</f>
        <v>2013</v>
      </c>
      <c r="B48" s="25">
        <f>IF(A48="","",(VLOOKUP(A48,$A$15:$B$27,2,FALSE))-IFERROR((VLOOKUP(A48,$A$32:$B$43,2,FALSE)),0))</f>
        <v>1069192.7399999946</v>
      </c>
      <c r="C48" s="25">
        <f>IF(A48="","",(VLOOKUP(A48,$A$15:$C$27,3,FALSE))-IFERROR((VLOOKUP(A48,$A$32:$C$43,3,FALSE)),0))</f>
        <v>-271420.56</v>
      </c>
      <c r="D48" s="25">
        <f>IF(A48="","",(VLOOKUP(A48,$A$15:$D$27,4,FALSE))-IFERROR((VLOOKUP(A48,$A$32:$D$43,4,FALSE)),0))</f>
        <v>-900000</v>
      </c>
      <c r="E48" s="25">
        <f>IF(A48="","",(VLOOKUP(A48,$A$15:$E$27,5,FALSE))-IFERROR((VLOOKUP(A48,$A$32:$E$43,5,FALSE)),0))</f>
        <v>0</v>
      </c>
      <c r="F48" s="25">
        <f>IF(A48="","",(VLOOKUP(A48,$A$15:$F$27,6,FALSE))-IFERROR((VLOOKUP(A48,$A$32:$F$43,6,FALSE)),0))</f>
        <v>3097.7399999992922</v>
      </c>
      <c r="G48" s="25">
        <f>IF(A48="","",(VLOOKUP(A48,$A$15:$G$27,7,FALSE))-IFERROR((VLOOKUP(A48,$A$32:$G$43,7,FALSE)),0))</f>
        <v>0</v>
      </c>
      <c r="H48" s="25">
        <f>IF(A48="","",(VLOOKUP(A48,$A$15:$H$27,8,FALSE))-IFERROR((VLOOKUP(A48,$A$32:$H$43,8,FALSE)),0))</f>
        <v>0</v>
      </c>
      <c r="I48" s="25">
        <f>IF(A48="","",(VLOOKUP(A48,$A$15:$I$27,9,FALSE))-IFERROR((VLOOKUP(A48,$A$32:$I$43,9,FALSE)),0))</f>
        <v>0</v>
      </c>
      <c r="J48" s="25">
        <f>IF(A48="","",(VLOOKUP(A48,$A$15:$J$27,10,FALSE))-IFERROR((VLOOKUP(A48,$A$32:$J$43,10,FALSE)),0))</f>
        <v>0</v>
      </c>
      <c r="K48" s="25">
        <f>IF(A48="","",(VLOOKUP(A48,$A$15:$K$27,11,FALSE))-IFERROR((VLOOKUP(A48,$A$32:$K$43,11,FALSE)),0))</f>
        <v>0</v>
      </c>
      <c r="L48" s="25">
        <f>IF(A48="","",(VLOOKUP(A48,$A$15:$L$27,12,FALSE))-IFERROR((VLOOKUP(A48,$A$32:$L$43,12,FALSE)),0))</f>
        <v>0</v>
      </c>
      <c r="M48" s="25">
        <f>IF(A48="","",(VLOOKUP(A48,$A$15:$M$27,13,FALSE))-IFERROR((VLOOKUP(A48,$A$32:$M$43,13,FALSE)),0))</f>
        <v>4.0000000037252903E-2</v>
      </c>
      <c r="N48" s="25">
        <f>IF(A48="","",(VLOOKUP(A48,$A$15:$N$27,14,FALSE))-IFERROR((VLOOKUP(A48,$A$32:$N$43,14,FALSE)),0))</f>
        <v>0.32000000000334694</v>
      </c>
      <c r="O48" s="13"/>
    </row>
    <row r="49" spans="1:14" x14ac:dyDescent="0.2">
      <c r="A49" s="27" t="str">
        <f>'Operating Results'!A51</f>
        <v>2014</v>
      </c>
      <c r="B49" s="25">
        <f t="shared" ref="B49:B59" si="2">(VLOOKUP(A49,$A$15:$B$27,2,FALSE))-IFERROR((VLOOKUP(A49,$A$32:$B$43,2,FALSE)),0)</f>
        <v>668555.39999999106</v>
      </c>
      <c r="C49" s="25">
        <f t="shared" ref="C49:C59" si="3">(VLOOKUP(A49,$A$15:$C$27,3,FALSE))-IFERROR((VLOOKUP(A49,$A$32:$C$43,3,FALSE)),0)</f>
        <v>-707502.39</v>
      </c>
      <c r="D49" s="25">
        <f t="shared" ref="D49:D59" si="4">(VLOOKUP(A49,$A$15:$D$27,4,FALSE))-IFERROR((VLOOKUP(A49,$A$32:$D$43,4,FALSE)),0)</f>
        <v>150000</v>
      </c>
      <c r="E49" s="25">
        <f t="shared" ref="E49:E59" si="5">(VLOOKUP(A49,$A$15:$E$27,5,FALSE))-IFERROR((VLOOKUP(A49,$A$32:$E$43,5,FALSE)),0)</f>
        <v>0</v>
      </c>
      <c r="F49" s="25">
        <f t="shared" ref="F49:F59" si="6">(VLOOKUP(A49,$A$15:$F$27,6,FALSE))-IFERROR((VLOOKUP(A49,$A$32:$F$43,6,FALSE)),0)</f>
        <v>23256.729999999516</v>
      </c>
      <c r="G49" s="25">
        <f t="shared" ref="G49:G59" si="7">(VLOOKUP(A49,$A$15:$G$27,7,FALSE))-IFERROR((VLOOKUP(A49,$A$32:$G$43,7,FALSE)),0)</f>
        <v>0</v>
      </c>
      <c r="H49" s="25">
        <f t="shared" ref="H49:H59" si="8">(VLOOKUP(A49,$A$15:$H$27,8,FALSE))-IFERROR((VLOOKUP(A49,$A$32:$H$43,8,FALSE)),0)</f>
        <v>0</v>
      </c>
      <c r="I49" s="25">
        <f t="shared" ref="I49:I59" si="9">(VLOOKUP(A49,$A$15:$I$27,9,FALSE))-IFERROR((VLOOKUP(A49,$A$32:$I$43,9,FALSE)),0)</f>
        <v>0</v>
      </c>
      <c r="J49" s="25">
        <f>(VLOOKUP(A49,$A$15:$J$27,10,FALSE))-IFERROR((VLOOKUP(A49,$A$32:$J$43,10,FALSE)),0)</f>
        <v>0</v>
      </c>
      <c r="K49" s="25">
        <f>(VLOOKUP(A49,$A$15:$K$27,11,FALSE))-IFERROR((VLOOKUP(A49,$A$32:$K$43,11,FALSE)),0)</f>
        <v>0</v>
      </c>
      <c r="L49" s="25">
        <f>(VLOOKUP(A49,$A$15:$L$27,12,FALSE))-IFERROR((VLOOKUP(A49,$A$32:$L$43,12,FALSE)),0)</f>
        <v>0</v>
      </c>
      <c r="M49" s="25">
        <f>(VLOOKUP(A49,$A$15:$M$27,13,FALSE))-IFERROR((VLOOKUP(A49,$A$32:$M$43,13,FALSE)),0)</f>
        <v>0</v>
      </c>
      <c r="N49" s="25">
        <f>(VLOOKUP(A49,$A$15:$N$27,14,FALSE))-IFERROR((VLOOKUP(A49,$A$32:$N$43,14,FALSE)),0)</f>
        <v>0</v>
      </c>
    </row>
    <row r="50" spans="1:14" x14ac:dyDescent="0.2">
      <c r="A50" s="27" t="str">
        <f>'Operating Results'!A52</f>
        <v>2015</v>
      </c>
      <c r="B50" s="25">
        <f t="shared" si="2"/>
        <v>134683.8900000006</v>
      </c>
      <c r="C50" s="25">
        <f t="shared" si="3"/>
        <v>22563.289999999979</v>
      </c>
      <c r="D50" s="25">
        <f t="shared" si="4"/>
        <v>-2603</v>
      </c>
      <c r="E50" s="25">
        <f t="shared" si="5"/>
        <v>0</v>
      </c>
      <c r="F50" s="25">
        <f t="shared" si="6"/>
        <v>55947.759999999776</v>
      </c>
      <c r="G50" s="25">
        <f t="shared" si="7"/>
        <v>0</v>
      </c>
      <c r="H50" s="25">
        <f t="shared" si="8"/>
        <v>0</v>
      </c>
      <c r="I50" s="25">
        <f t="shared" si="9"/>
        <v>0</v>
      </c>
      <c r="J50" s="25">
        <f t="shared" ref="J50:J59" si="10">(VLOOKUP(A50,$A$15:$J$27,10,FALSE))-IFERROR((VLOOKUP(A50,$A$32:$J$43,10,FALSE)),0)</f>
        <v>0</v>
      </c>
      <c r="K50" s="25">
        <f t="shared" ref="K50:K59" si="11">(VLOOKUP(A50,$A$15:$K$27,11,FALSE))-IFERROR((VLOOKUP(A50,$A$32:$K$43,11,FALSE)),0)</f>
        <v>-0.17000000000007276</v>
      </c>
      <c r="L50" s="25">
        <f t="shared" ref="L50:L59" si="12">(VLOOKUP(A50,$A$15:$L$27,12,FALSE))-IFERROR((VLOOKUP(A50,$A$32:$L$43,12,FALSE)),0)</f>
        <v>0</v>
      </c>
      <c r="M50" s="25">
        <f t="shared" ref="M50:M59" si="13">(VLOOKUP(A50,$A$15:$M$27,13,FALSE))-IFERROR((VLOOKUP(A50,$A$32:$M$43,13,FALSE)),0)</f>
        <v>0</v>
      </c>
      <c r="N50" s="25">
        <f t="shared" ref="N50:N59" si="14">(VLOOKUP(A50,$A$15:$N$27,14,FALSE))-IFERROR((VLOOKUP(A50,$A$32:$N$43,14,FALSE)),0)</f>
        <v>-1.5</v>
      </c>
    </row>
    <row r="51" spans="1:14" x14ac:dyDescent="0.2">
      <c r="A51" s="27" t="str">
        <f>'Operating Results'!A53</f>
        <v>2016</v>
      </c>
      <c r="B51" s="25">
        <f t="shared" si="2"/>
        <v>2751106.549999997</v>
      </c>
      <c r="C51" s="25">
        <f t="shared" si="3"/>
        <v>-3330985.629999999</v>
      </c>
      <c r="D51" s="25">
        <f t="shared" si="4"/>
        <v>-41079</v>
      </c>
      <c r="E51" s="25">
        <f t="shared" si="5"/>
        <v>0</v>
      </c>
      <c r="F51" s="25">
        <f t="shared" si="6"/>
        <v>55811.259999999776</v>
      </c>
      <c r="G51" s="25">
        <f t="shared" si="7"/>
        <v>0</v>
      </c>
      <c r="H51" s="25">
        <f t="shared" si="8"/>
        <v>0</v>
      </c>
      <c r="I51" s="25">
        <f t="shared" si="9"/>
        <v>833.33999999985099</v>
      </c>
      <c r="J51" s="25">
        <f t="shared" si="10"/>
        <v>0</v>
      </c>
      <c r="K51" s="25">
        <f t="shared" si="11"/>
        <v>0</v>
      </c>
      <c r="L51" s="25">
        <f t="shared" si="12"/>
        <v>-27166.639999999665</v>
      </c>
      <c r="M51" s="25">
        <f t="shared" si="13"/>
        <v>0</v>
      </c>
      <c r="N51" s="25">
        <f t="shared" si="14"/>
        <v>0</v>
      </c>
    </row>
    <row r="52" spans="1:14" x14ac:dyDescent="0.2">
      <c r="A52" s="27" t="str">
        <f>'Operating Results'!A54</f>
        <v>2017</v>
      </c>
      <c r="B52" s="25">
        <f t="shared" si="2"/>
        <v>4146973.8400000036</v>
      </c>
      <c r="C52" s="25">
        <f t="shared" si="3"/>
        <v>-4449936.2</v>
      </c>
      <c r="D52" s="25">
        <f t="shared" si="4"/>
        <v>-164328</v>
      </c>
      <c r="E52" s="25">
        <f t="shared" si="5"/>
        <v>0</v>
      </c>
      <c r="F52" s="25">
        <f t="shared" si="6"/>
        <v>83413.320000000298</v>
      </c>
      <c r="G52" s="25">
        <f t="shared" si="7"/>
        <v>0</v>
      </c>
      <c r="H52" s="25">
        <f t="shared" si="8"/>
        <v>0</v>
      </c>
      <c r="I52" s="25">
        <f t="shared" si="9"/>
        <v>364.59999999962747</v>
      </c>
      <c r="J52" s="25">
        <f t="shared" si="10"/>
        <v>0</v>
      </c>
      <c r="K52" s="25">
        <f t="shared" si="11"/>
        <v>0</v>
      </c>
      <c r="L52" s="25">
        <f t="shared" si="12"/>
        <v>0</v>
      </c>
      <c r="M52" s="25">
        <f t="shared" si="13"/>
        <v>0</v>
      </c>
      <c r="N52" s="25">
        <f t="shared" si="14"/>
        <v>0</v>
      </c>
    </row>
    <row r="53" spans="1:14" x14ac:dyDescent="0.2">
      <c r="A53" s="27" t="str">
        <f>'Operating Results'!A55</f>
        <v>2018</v>
      </c>
      <c r="B53" s="25">
        <f t="shared" si="2"/>
        <v>15920198.549999982</v>
      </c>
      <c r="C53" s="25">
        <f t="shared" si="3"/>
        <v>-10167734.15</v>
      </c>
      <c r="D53" s="25">
        <f t="shared" si="4"/>
        <v>-312859.56</v>
      </c>
      <c r="E53" s="25">
        <f t="shared" si="5"/>
        <v>0</v>
      </c>
      <c r="F53" s="25">
        <f t="shared" si="6"/>
        <v>80342.26000000257</v>
      </c>
      <c r="G53" s="25">
        <f t="shared" si="7"/>
        <v>0</v>
      </c>
      <c r="H53" s="25">
        <f t="shared" si="8"/>
        <v>0</v>
      </c>
      <c r="I53" s="25">
        <f t="shared" si="9"/>
        <v>5555.2899999991059</v>
      </c>
      <c r="J53" s="25">
        <f t="shared" si="10"/>
        <v>0</v>
      </c>
      <c r="K53" s="25">
        <f t="shared" si="11"/>
        <v>0</v>
      </c>
      <c r="L53" s="25">
        <f t="shared" si="12"/>
        <v>-140676.3899999978</v>
      </c>
      <c r="M53" s="25">
        <f t="shared" si="13"/>
        <v>0</v>
      </c>
      <c r="N53" s="25">
        <f t="shared" si="14"/>
        <v>0</v>
      </c>
    </row>
    <row r="54" spans="1:14" x14ac:dyDescent="0.2">
      <c r="A54" s="27" t="str">
        <f>'Operating Results'!A56</f>
        <v>2019</v>
      </c>
      <c r="B54" s="25">
        <f t="shared" si="2"/>
        <v>28156065.659999982</v>
      </c>
      <c r="C54" s="25">
        <f t="shared" si="3"/>
        <v>-18693241.49000001</v>
      </c>
      <c r="D54" s="25">
        <f t="shared" si="4"/>
        <v>-21966066.609999999</v>
      </c>
      <c r="E54" s="25">
        <f t="shared" si="5"/>
        <v>-8092.570000000298</v>
      </c>
      <c r="F54" s="25">
        <f t="shared" si="6"/>
        <v>-780596.59000000171</v>
      </c>
      <c r="G54" s="25">
        <f t="shared" si="7"/>
        <v>-10790.10000000149</v>
      </c>
      <c r="H54" s="25">
        <f t="shared" si="8"/>
        <v>-1198.9000000003725</v>
      </c>
      <c r="I54" s="25">
        <f t="shared" si="9"/>
        <v>1339.7200000006706</v>
      </c>
      <c r="J54" s="25">
        <f t="shared" si="10"/>
        <v>0</v>
      </c>
      <c r="K54" s="25">
        <f t="shared" si="11"/>
        <v>0</v>
      </c>
      <c r="L54" s="25">
        <f t="shared" si="12"/>
        <v>-54907.569999999367</v>
      </c>
      <c r="M54" s="25">
        <f t="shared" si="13"/>
        <v>-57.269999999552965</v>
      </c>
      <c r="N54" s="25">
        <f t="shared" si="14"/>
        <v>0</v>
      </c>
    </row>
    <row r="55" spans="1:14" x14ac:dyDescent="0.2">
      <c r="A55" s="27" t="str">
        <f>'Operating Results'!A57</f>
        <v>2020</v>
      </c>
      <c r="B55" s="25">
        <f t="shared" si="2"/>
        <v>46824453.26000002</v>
      </c>
      <c r="C55" s="25">
        <f t="shared" si="3"/>
        <v>-24674865.54999999</v>
      </c>
      <c r="D55" s="25">
        <f t="shared" si="4"/>
        <v>-918730.08000000566</v>
      </c>
      <c r="E55" s="25">
        <f t="shared" si="5"/>
        <v>-1938.6700000017881</v>
      </c>
      <c r="F55" s="25">
        <f t="shared" si="6"/>
        <v>1053475.0299999975</v>
      </c>
      <c r="G55" s="25">
        <f t="shared" si="7"/>
        <v>-1888.9400000050664</v>
      </c>
      <c r="H55" s="25">
        <f t="shared" si="8"/>
        <v>-144.62999999988824</v>
      </c>
      <c r="I55" s="25">
        <f t="shared" si="9"/>
        <v>2853.0500000007451</v>
      </c>
      <c r="J55" s="25">
        <f t="shared" si="10"/>
        <v>0</v>
      </c>
      <c r="K55" s="25">
        <f t="shared" si="11"/>
        <v>0</v>
      </c>
      <c r="L55" s="25">
        <f t="shared" si="12"/>
        <v>144407.89999999944</v>
      </c>
      <c r="M55" s="25">
        <f t="shared" si="13"/>
        <v>-7.1200000001117587</v>
      </c>
      <c r="N55" s="25">
        <f t="shared" si="14"/>
        <v>96.840000000000146</v>
      </c>
    </row>
    <row r="56" spans="1:14" x14ac:dyDescent="0.2">
      <c r="A56" s="27" t="str">
        <f>'Operating Results'!A58</f>
        <v>2021</v>
      </c>
      <c r="B56" s="25">
        <f t="shared" si="2"/>
        <v>73443049.26000005</v>
      </c>
      <c r="C56" s="25">
        <f t="shared" si="3"/>
        <v>-19995003.729999989</v>
      </c>
      <c r="D56" s="25">
        <f t="shared" si="4"/>
        <v>-15789472.550000004</v>
      </c>
      <c r="E56" s="25">
        <f t="shared" si="5"/>
        <v>-162159.5700000003</v>
      </c>
      <c r="F56" s="25">
        <f t="shared" si="6"/>
        <v>2431573.9499999993</v>
      </c>
      <c r="G56" s="25">
        <f t="shared" si="7"/>
        <v>-107863.01999999583</v>
      </c>
      <c r="H56" s="25">
        <f t="shared" si="8"/>
        <v>-11741.919999999925</v>
      </c>
      <c r="I56" s="25">
        <f t="shared" si="9"/>
        <v>-2913.6499999947846</v>
      </c>
      <c r="J56" s="25">
        <f t="shared" si="10"/>
        <v>0</v>
      </c>
      <c r="K56" s="25">
        <f t="shared" si="11"/>
        <v>-19.839999999999236</v>
      </c>
      <c r="L56" s="25">
        <f t="shared" si="12"/>
        <v>590120.5</v>
      </c>
      <c r="M56" s="25">
        <f t="shared" si="13"/>
        <v>-2471.7099999999627</v>
      </c>
      <c r="N56" s="25">
        <f t="shared" si="14"/>
        <v>5.7900000000008731</v>
      </c>
    </row>
    <row r="57" spans="1:14" x14ac:dyDescent="0.2">
      <c r="A57" s="27" t="str">
        <f>'Operating Results'!A59</f>
        <v>2022</v>
      </c>
      <c r="B57" s="25">
        <f t="shared" si="2"/>
        <v>74460846.799999997</v>
      </c>
      <c r="C57" s="25">
        <f t="shared" si="3"/>
        <v>9903253.6700000614</v>
      </c>
      <c r="D57" s="25">
        <f t="shared" si="4"/>
        <v>-12583189.080000006</v>
      </c>
      <c r="E57" s="25">
        <f t="shared" si="5"/>
        <v>2350947.3999999911</v>
      </c>
      <c r="F57" s="25">
        <f t="shared" si="6"/>
        <v>2666056.41</v>
      </c>
      <c r="G57" s="25">
        <f t="shared" si="7"/>
        <v>-1460949.0600000024</v>
      </c>
      <c r="H57" s="25">
        <f t="shared" si="8"/>
        <v>-83616.540000000969</v>
      </c>
      <c r="I57" s="25">
        <f t="shared" si="9"/>
        <v>-585765.92000000179</v>
      </c>
      <c r="J57" s="25">
        <f t="shared" si="10"/>
        <v>-9122111</v>
      </c>
      <c r="K57" s="25">
        <f t="shared" si="11"/>
        <v>0</v>
      </c>
      <c r="L57" s="25">
        <f t="shared" si="12"/>
        <v>6977082.9900000049</v>
      </c>
      <c r="M57" s="25">
        <f t="shared" si="13"/>
        <v>31471.529999999242</v>
      </c>
      <c r="N57" s="25">
        <f t="shared" si="14"/>
        <v>-611.75</v>
      </c>
    </row>
    <row r="58" spans="1:14" x14ac:dyDescent="0.2">
      <c r="A58" s="27" t="str">
        <f>'Operating Results'!A60</f>
        <v>2023</v>
      </c>
      <c r="B58" s="25">
        <f t="shared" si="2"/>
        <v>40057417.169999994</v>
      </c>
      <c r="C58" s="25">
        <f t="shared" si="3"/>
        <v>61889048.169999987</v>
      </c>
      <c r="D58" s="25">
        <f t="shared" si="4"/>
        <v>59741087.890000001</v>
      </c>
      <c r="E58" s="25">
        <f t="shared" si="5"/>
        <v>14418839.840000002</v>
      </c>
      <c r="F58" s="25">
        <f t="shared" si="6"/>
        <v>698202.25</v>
      </c>
      <c r="G58" s="25">
        <f t="shared" si="7"/>
        <v>22092913.309999995</v>
      </c>
      <c r="H58" s="25">
        <f t="shared" si="8"/>
        <v>2475976.09</v>
      </c>
      <c r="I58" s="25">
        <f t="shared" si="9"/>
        <v>8203227.4499999993</v>
      </c>
      <c r="J58" s="25">
        <f t="shared" si="10"/>
        <v>-7879411</v>
      </c>
      <c r="K58" s="25">
        <f t="shared" si="11"/>
        <v>1038774.4100000005</v>
      </c>
      <c r="L58" s="25">
        <f t="shared" si="12"/>
        <v>5222856.6600000011</v>
      </c>
      <c r="M58" s="25">
        <f t="shared" si="13"/>
        <v>3321096.0799999959</v>
      </c>
      <c r="N58" s="25">
        <f t="shared" si="14"/>
        <v>307327.93000000011</v>
      </c>
    </row>
    <row r="59" spans="1:14" x14ac:dyDescent="0.2">
      <c r="A59" s="27" t="str">
        <f>'Operating Results'!A61</f>
        <v>2024</v>
      </c>
      <c r="B59" s="25">
        <f t="shared" si="2"/>
        <v>524387.02</v>
      </c>
      <c r="C59" s="25">
        <f t="shared" si="3"/>
        <v>3447448.4</v>
      </c>
      <c r="D59" s="25">
        <f t="shared" si="4"/>
        <v>15489896.690000003</v>
      </c>
      <c r="E59" s="25">
        <f t="shared" si="5"/>
        <v>2144323.9999999995</v>
      </c>
      <c r="F59" s="25">
        <f t="shared" si="6"/>
        <v>0</v>
      </c>
      <c r="G59" s="25">
        <f t="shared" si="7"/>
        <v>18269262.430000007</v>
      </c>
      <c r="H59" s="25">
        <f t="shared" si="8"/>
        <v>2240139.8099999996</v>
      </c>
      <c r="I59" s="25">
        <f t="shared" si="9"/>
        <v>6526763.6999999993</v>
      </c>
      <c r="J59" s="25">
        <f t="shared" si="10"/>
        <v>22349611</v>
      </c>
      <c r="K59" s="25">
        <f t="shared" si="11"/>
        <v>1607430.9799999995</v>
      </c>
      <c r="L59" s="25">
        <f t="shared" si="12"/>
        <v>29798.130000000005</v>
      </c>
      <c r="M59" s="25">
        <f t="shared" si="13"/>
        <v>1775016.4499999993</v>
      </c>
      <c r="N59" s="25">
        <f t="shared" si="14"/>
        <v>24721.85</v>
      </c>
    </row>
    <row r="60" spans="1:14" x14ac:dyDescent="0.2">
      <c r="A60" s="48" t="s">
        <v>118</v>
      </c>
      <c r="B60" s="49">
        <f>SUM(B48:B59)</f>
        <v>288156930.14000005</v>
      </c>
      <c r="C60" s="49">
        <f t="shared" ref="C60:N60" si="15">SUM(C48:C59)</f>
        <v>-7028376.1699999478</v>
      </c>
      <c r="D60" s="49">
        <f t="shared" si="15"/>
        <v>22702656.699999988</v>
      </c>
      <c r="E60" s="49">
        <f t="shared" si="15"/>
        <v>18741920.429999989</v>
      </c>
      <c r="F60" s="49">
        <f t="shared" si="15"/>
        <v>6370580.1199999964</v>
      </c>
      <c r="G60" s="49">
        <f t="shared" si="15"/>
        <v>38780684.619999997</v>
      </c>
      <c r="H60" s="49">
        <f t="shared" si="15"/>
        <v>4619413.9099999983</v>
      </c>
      <c r="I60" s="49">
        <f t="shared" si="15"/>
        <v>14152257.580000002</v>
      </c>
      <c r="J60" s="49">
        <f t="shared" ref="J60" si="16">SUM(J48:J59)</f>
        <v>5348089</v>
      </c>
      <c r="K60" s="49">
        <f t="shared" si="15"/>
        <v>2646185.38</v>
      </c>
      <c r="L60" s="49">
        <f t="shared" si="15"/>
        <v>12741515.580000009</v>
      </c>
      <c r="M60" s="49">
        <f t="shared" si="15"/>
        <v>5125047.9999999944</v>
      </c>
      <c r="N60" s="49">
        <f t="shared" si="15"/>
        <v>331539.4800000001</v>
      </c>
    </row>
    <row r="62" spans="1:14" x14ac:dyDescent="0.2">
      <c r="A62" s="62" t="s">
        <v>436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</sheetData>
  <sheetProtection algorithmName="SHA-512" hashValue="NW4igW+nj32nSioY+Umws67pF26Evmf8RrQ4zbLu+JmgkjEHaaDwX+/E0hFnD1lBKW2lj/ppPIpifCUqdO1WaA==" saltValue="uus8x7dljr8Xpl93Zx5MTw==" spinCount="100000" sheet="1" objects="1" scenarios="1"/>
  <mergeCells count="8">
    <mergeCell ref="A13:N13"/>
    <mergeCell ref="A30:N30"/>
    <mergeCell ref="A46:N46"/>
    <mergeCell ref="A62:N63"/>
    <mergeCell ref="B7:D7"/>
    <mergeCell ref="E7:F7"/>
    <mergeCell ref="K7:N7"/>
    <mergeCell ref="G7:J7"/>
  </mergeCells>
  <printOptions horizontalCentered="1"/>
  <pageMargins left="0.5" right="0.5" top="0.5" bottom="0.5" header="0.3" footer="0.3"/>
  <pageSetup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Operating Results</vt:lpstr>
      <vt:lpstr>Loss &amp; Expense Detail</vt:lpstr>
      <vt:lpstr>'Loss &amp; Expense Detail'!Print_Area</vt:lpstr>
      <vt:lpstr>'Operating Results'!Print_Area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filedmw</dc:creator>
  <cp:lastModifiedBy>Eckler, Nicole</cp:lastModifiedBy>
  <cp:lastPrinted>2020-06-25T11:30:43Z</cp:lastPrinted>
  <dcterms:created xsi:type="dcterms:W3CDTF">2017-06-02T12:40:43Z</dcterms:created>
  <dcterms:modified xsi:type="dcterms:W3CDTF">2024-10-03T17:47:15Z</dcterms:modified>
</cp:coreProperties>
</file>